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164bf996eed02e5/Bureau/"/>
    </mc:Choice>
  </mc:AlternateContent>
  <xr:revisionPtr revIDLastSave="2" documentId="8_{31FCD36D-AEBD-46FE-8B91-84FF7E4C97A3}" xr6:coauthVersionLast="47" xr6:coauthVersionMax="47" xr10:uidLastSave="{3AE932C2-5F65-4058-9E70-27CD47A3D258}"/>
  <bookViews>
    <workbookView xWindow="-108" yWindow="-108" windowWidth="23256" windowHeight="12576" xr2:uid="{00000000-000D-0000-FFFF-FFFF00000000}"/>
  </bookViews>
  <sheets>
    <sheet name="PLANNING JUIN" sheetId="1" r:id="rId1"/>
    <sheet name="RÉCAP JUIN" sheetId="2" r:id="rId2"/>
    <sheet name="PAIE JUIN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2" l="1"/>
  <c r="I9" i="2"/>
  <c r="H9" i="2"/>
  <c r="G9" i="2"/>
  <c r="J8" i="2"/>
  <c r="I8" i="2"/>
  <c r="H8" i="2"/>
  <c r="G8" i="2"/>
  <c r="B8" i="2"/>
  <c r="J7" i="2"/>
  <c r="I7" i="2"/>
  <c r="H7" i="2"/>
  <c r="G7" i="2"/>
  <c r="B7" i="2"/>
  <c r="J6" i="2"/>
  <c r="I6" i="2"/>
  <c r="H6" i="2"/>
  <c r="G6" i="2"/>
  <c r="B6" i="2"/>
  <c r="J5" i="2"/>
  <c r="I5" i="2"/>
  <c r="H5" i="2"/>
  <c r="G5" i="2"/>
  <c r="B5" i="2"/>
  <c r="C5" i="2" s="1"/>
  <c r="D5" i="2" s="1"/>
  <c r="C8" i="2"/>
  <c r="D8" i="2" s="1"/>
  <c r="C7" i="2"/>
  <c r="D7" i="2" s="1"/>
  <c r="C6" i="2"/>
  <c r="D6" i="2" s="1"/>
  <c r="N10" i="1"/>
  <c r="M10" i="1"/>
  <c r="L10" i="1"/>
  <c r="N9" i="1"/>
  <c r="M9" i="1"/>
  <c r="L9" i="1"/>
  <c r="N8" i="1"/>
  <c r="M8" i="1"/>
  <c r="L8" i="1"/>
  <c r="N7" i="1"/>
  <c r="M7" i="1"/>
  <c r="L7" i="1"/>
  <c r="N6" i="1"/>
  <c r="M6" i="1"/>
  <c r="L6" i="1"/>
  <c r="N5" i="1"/>
  <c r="M5" i="1"/>
  <c r="L5" i="1"/>
  <c r="N4" i="1"/>
  <c r="M4" i="1"/>
  <c r="L4" i="1"/>
  <c r="C9" i="2"/>
  <c r="D9" i="2" s="1"/>
  <c r="B9" i="2"/>
  <c r="B11" i="3"/>
  <c r="E11" i="3" s="1"/>
  <c r="B9" i="3"/>
  <c r="E9" i="3" s="1"/>
  <c r="E8" i="3"/>
  <c r="C7" i="3"/>
  <c r="C6" i="3"/>
  <c r="E5" i="3"/>
  <c r="E4" i="3"/>
  <c r="O9" i="1" l="1"/>
  <c r="I4" i="2"/>
  <c r="I10" i="2" s="1"/>
  <c r="J4" i="2"/>
  <c r="J10" i="2" s="1"/>
  <c r="O4" i="1"/>
  <c r="H4" i="2"/>
  <c r="H10" i="2" s="1"/>
  <c r="O10" i="1"/>
  <c r="N11" i="1"/>
  <c r="O7" i="1"/>
  <c r="O6" i="1"/>
  <c r="O5" i="1"/>
  <c r="M11" i="1"/>
  <c r="O8" i="1"/>
  <c r="L11" i="1"/>
  <c r="E5" i="2"/>
  <c r="F5" i="2" s="1"/>
  <c r="E6" i="2"/>
  <c r="F6" i="2" s="1"/>
  <c r="E9" i="2"/>
  <c r="E10" i="2" s="1"/>
  <c r="E7" i="2"/>
  <c r="F7" i="2" s="1"/>
  <c r="E8" i="2"/>
  <c r="F8" i="2" s="1"/>
  <c r="O12" i="1" l="1"/>
  <c r="O11" i="1"/>
  <c r="G4" i="2" s="1"/>
  <c r="G10" i="2" s="1"/>
  <c r="F9" i="2"/>
  <c r="F10" i="2" s="1"/>
  <c r="B4" i="2" l="1"/>
  <c r="B10" i="2" s="1"/>
  <c r="C4" i="2" l="1"/>
  <c r="C10" i="2" s="1"/>
  <c r="D4" i="2" l="1"/>
  <c r="E4" i="2" s="1"/>
  <c r="E11" i="2" s="1"/>
  <c r="D10" i="2"/>
  <c r="F4" i="2" l="1"/>
  <c r="F11" i="2" s="1"/>
  <c r="B12" i="3" l="1"/>
  <c r="E12" i="3" s="1"/>
  <c r="B10" i="3" l="1"/>
  <c r="E10" i="3" s="1"/>
  <c r="B6" i="3" l="1"/>
  <c r="E6" i="3" s="1"/>
  <c r="B7" i="3" l="1"/>
  <c r="E7" i="3" s="1"/>
  <c r="E14" i="3" s="1"/>
  <c r="B21" i="3" l="1"/>
  <c r="B28" i="3"/>
  <c r="F28" i="3" s="1"/>
  <c r="F49" i="3"/>
  <c r="B27" i="3"/>
  <c r="E27" i="3" s="1"/>
  <c r="B17" i="3"/>
  <c r="F17" i="3" s="1"/>
  <c r="B18" i="3"/>
  <c r="F18" i="3" s="1"/>
  <c r="E37" i="3"/>
  <c r="B52" i="3" s="1"/>
  <c r="F52" i="3" s="1"/>
  <c r="B26" i="3"/>
  <c r="E26" i="3" s="1"/>
  <c r="B34" i="3"/>
  <c r="B25" i="3"/>
  <c r="E25" i="3" s="1"/>
  <c r="B24" i="3"/>
  <c r="F24" i="3" s="1"/>
  <c r="B30" i="3"/>
  <c r="F30" i="3" s="1"/>
  <c r="B20" i="3"/>
  <c r="B39" i="3"/>
  <c r="F39" i="3" s="1"/>
  <c r="B32" i="3"/>
  <c r="B33" i="3"/>
  <c r="B31" i="3"/>
  <c r="F31" i="3" s="1"/>
  <c r="B23" i="3"/>
  <c r="F23" i="3" s="1"/>
  <c r="B35" i="3"/>
  <c r="B22" i="3"/>
  <c r="F22" i="3" s="1"/>
  <c r="B29" i="3"/>
  <c r="E29" i="3" s="1"/>
  <c r="F33" i="3" l="1"/>
  <c r="E33" i="3"/>
  <c r="F35" i="3"/>
  <c r="E35" i="3"/>
  <c r="E32" i="3"/>
  <c r="F32" i="3"/>
  <c r="E20" i="3"/>
  <c r="F20" i="3"/>
  <c r="F34" i="3"/>
  <c r="E34" i="3"/>
  <c r="F21" i="3"/>
  <c r="E21" i="3"/>
  <c r="F45" i="3" l="1"/>
  <c r="E45" i="3"/>
  <c r="F47" i="3" s="1"/>
  <c r="F54" i="3" s="1"/>
</calcChain>
</file>

<file path=xl/sharedStrings.xml><?xml version="1.0" encoding="utf-8"?>
<sst xmlns="http://schemas.openxmlformats.org/spreadsheetml/2006/main" count="100" uniqueCount="92">
  <si>
    <t>Désignation</t>
  </si>
  <si>
    <t>Nombre ou Base</t>
  </si>
  <si>
    <t>Taux Salariale</t>
  </si>
  <si>
    <t>Taux Patronale</t>
  </si>
  <si>
    <t>Montant</t>
  </si>
  <si>
    <t>Part Employeur</t>
  </si>
  <si>
    <t>Salaire mensuel</t>
  </si>
  <si>
    <t>Heure abscence dûe au faite commencement 05/11</t>
  </si>
  <si>
    <t>Heures supplémentaires à 125%</t>
  </si>
  <si>
    <t>Heures supplémentaires à 150%</t>
  </si>
  <si>
    <t>Prime d'habillage ou déshabillage</t>
  </si>
  <si>
    <t>Prime Dimanche</t>
  </si>
  <si>
    <t>Indemnités Spéciale</t>
  </si>
  <si>
    <t>Indemnité de Repas Unique</t>
  </si>
  <si>
    <t>Indemnités Repas</t>
  </si>
  <si>
    <t>Total Brut</t>
  </si>
  <si>
    <t>SANTE</t>
  </si>
  <si>
    <t xml:space="preserve">      Sécurité Sociale - Maladie Maternité Invalidité Décès</t>
  </si>
  <si>
    <t>ACCIDENT DU TRAVAIL - MALADIE PROFESSIONNELLES</t>
  </si>
  <si>
    <t>RETRAITE</t>
  </si>
  <si>
    <t xml:space="preserve">       Sécurité Sociale Plafonnée</t>
  </si>
  <si>
    <t xml:space="preserve">       Sécurité Sociale Déplafonnée</t>
  </si>
  <si>
    <t>FAMILLE</t>
  </si>
  <si>
    <t>ASSURANCE CHÔMAGE</t>
  </si>
  <si>
    <t>AUTRES CONTRIBUTIONS DUES PAR L'EMPLOYEUR</t>
  </si>
  <si>
    <t>CSG déductible de l'impôt sur le revenu</t>
  </si>
  <si>
    <t>CSG / CRDS non déductible de l'impöt sur le revenu</t>
  </si>
  <si>
    <t>CSG / CRDS sur les revenus non imposables</t>
  </si>
  <si>
    <t>EXONERATIONS DE CÔTISATIONS EMPLOYEUR</t>
  </si>
  <si>
    <t>EXONERATIONS DE CÔTISATIONS SALARIALES</t>
  </si>
  <si>
    <t>Pôle Emploi Fngs</t>
  </si>
  <si>
    <t>Contribution org.syndicale</t>
  </si>
  <si>
    <t>Retraite TU1</t>
  </si>
  <si>
    <t>CEG TU1</t>
  </si>
  <si>
    <t>Prévoyance 2 CARCEPT TA</t>
  </si>
  <si>
    <t>Paritarisme TA</t>
  </si>
  <si>
    <t>Total imposable</t>
  </si>
  <si>
    <t>Formation continue</t>
  </si>
  <si>
    <t>Total des cötisations et contributions</t>
  </si>
  <si>
    <t>Net à Payer avant impöt sur le revenu</t>
  </si>
  <si>
    <t>dont évolution de la rémunération liée à la suppression des côtisations salariales chômage et maladie</t>
  </si>
  <si>
    <t>Impôt sur le revenu</t>
  </si>
  <si>
    <t>Base</t>
  </si>
  <si>
    <t>Taux Personnalisé</t>
  </si>
  <si>
    <t>Impôt sur le revenu prélevé à la source</t>
  </si>
  <si>
    <t>Net à payer</t>
  </si>
  <si>
    <t>Semaines</t>
  </si>
  <si>
    <t>Nombre d'heures travaillées</t>
  </si>
  <si>
    <t>HEURES SUPPLEMENTAIRES</t>
  </si>
  <si>
    <t>HS +25%</t>
  </si>
  <si>
    <t>HS +50%</t>
  </si>
  <si>
    <t>Indemnités Dimanche</t>
  </si>
  <si>
    <t>Indemnités Spéciales</t>
  </si>
  <si>
    <t>Indemnités de Repas Unique</t>
  </si>
  <si>
    <t>Indemnités de Repas</t>
  </si>
  <si>
    <t>DU 26/10/2020 AU 01/11/2020</t>
  </si>
  <si>
    <t>DU 02/11/2020 AU 08/11/2020</t>
  </si>
  <si>
    <t>DU 09/11/2020 AU 15/11/2020</t>
  </si>
  <si>
    <t>DU 16/11/2020 AU 22/11/2020</t>
  </si>
  <si>
    <t>DU 23/11/2020 AU 29/11/2020</t>
  </si>
  <si>
    <t>DU 30/11/2020 AU 06/12/2020</t>
  </si>
  <si>
    <t>Totaux</t>
  </si>
  <si>
    <t>TOTAL HEURES SUPPLEMENTAIRES (DU 02/11 AU 29/11/2020 ET DU 26/10 AU 01/11/2020)</t>
  </si>
  <si>
    <t>Date</t>
  </si>
  <si>
    <t>Prise de Service</t>
  </si>
  <si>
    <t>Fin de Service</t>
  </si>
  <si>
    <t>Début Pause Matin</t>
  </si>
  <si>
    <t>Fin de Pause Matin</t>
  </si>
  <si>
    <t>Début Repas</t>
  </si>
  <si>
    <t>Fin de Repas</t>
  </si>
  <si>
    <t>LIEU PAUSE</t>
  </si>
  <si>
    <t>Début Pause Aprem</t>
  </si>
  <si>
    <t>Fin de Pause Aprem</t>
  </si>
  <si>
    <t>0 / IS / IRU / IR</t>
  </si>
  <si>
    <t>Total Travail Amplitude</t>
  </si>
  <si>
    <t>Total Pause Repas</t>
  </si>
  <si>
    <t>Total Autres Pauses</t>
  </si>
  <si>
    <t>Total Travail Effectif</t>
  </si>
  <si>
    <t>Total semaine</t>
  </si>
  <si>
    <t>Total repas</t>
  </si>
  <si>
    <t>k4 à k10</t>
  </si>
  <si>
    <t>ENT</t>
  </si>
  <si>
    <t>IR -&gt; Pause repas pris à l'extérieur et non prévenu la veille avant 12h00</t>
  </si>
  <si>
    <t>IRU -&gt; Pause repas pris à l'extérieure et prévenu la veille avant 12h00</t>
  </si>
  <si>
    <t>IRU -&gt; Pause repas pris à l'entreprise et de moins d'1h00</t>
  </si>
  <si>
    <t>IS -&gt; Pause repas pris à l'entreprise et d'au moins 1h00 et qu'au moins 30 min n'est pas compris entre 11h00 et 14h30 ou 18h30 et 22h00</t>
  </si>
  <si>
    <t>0 -&gt; Pause repas pris à l'entreprise et d'au moins 1h00 entre 11h00 et 14h30 ou 18h30 et 22h00</t>
  </si>
  <si>
    <t>IRU -&gt; Si travail de 4h00 minimum entre 22h00 et 7h00</t>
  </si>
  <si>
    <t>IR X2 -&gt; Pause 2 repas pris à l'extérieur et finit après 22h00</t>
  </si>
  <si>
    <t>0 -&gt; Prise de service entre 11:00 et 14h30 ou 18:30 et 22h00</t>
  </si>
  <si>
    <t>IR -&gt; Si dépassement régulier fin de service après 21:30</t>
  </si>
  <si>
    <t>En sachant que l'on aura notre planning chaque soir pour le lendemain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</si>
</sst>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#,##0.00\ &quot;€&quot;"/>
    <numFmt numFmtId="166" formatCode="[h]:mm"/>
    <numFmt numFmtId="167" formatCode="h:mm;@"/>
    <numFmt numFmtId="168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/>
    <xf numFmtId="0" fontId="3" fillId="0" borderId="4" xfId="0" applyFont="1" applyBorder="1"/>
    <xf numFmtId="0" fontId="3" fillId="0" borderId="2" xfId="0" applyFont="1" applyBorder="1" applyAlignment="1">
      <alignment horizontal="right"/>
    </xf>
    <xf numFmtId="164" fontId="3" fillId="0" borderId="5" xfId="0" applyNumberFormat="1" applyFont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165" fontId="3" fillId="0" borderId="2" xfId="0" applyNumberFormat="1" applyFont="1" applyBorder="1" applyAlignment="1">
      <alignment horizontal="right"/>
    </xf>
    <xf numFmtId="165" fontId="3" fillId="0" borderId="6" xfId="0" applyNumberFormat="1" applyFont="1" applyBorder="1" applyAlignment="1">
      <alignment horizontal="right"/>
    </xf>
    <xf numFmtId="0" fontId="3" fillId="0" borderId="7" xfId="0" applyFont="1" applyBorder="1"/>
    <xf numFmtId="2" fontId="3" fillId="0" borderId="8" xfId="0" applyNumberFormat="1" applyFont="1" applyBorder="1" applyAlignment="1">
      <alignment horizontal="right"/>
    </xf>
    <xf numFmtId="2" fontId="3" fillId="0" borderId="7" xfId="0" applyNumberFormat="1" applyFont="1" applyBorder="1" applyAlignment="1">
      <alignment horizontal="right"/>
    </xf>
    <xf numFmtId="165" fontId="3" fillId="0" borderId="9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165" fontId="3" fillId="0" borderId="8" xfId="0" applyNumberFormat="1" applyFont="1" applyBorder="1" applyAlignment="1">
      <alignment horizontal="right"/>
    </xf>
    <xf numFmtId="1" fontId="3" fillId="0" borderId="8" xfId="0" applyNumberFormat="1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164" fontId="3" fillId="0" borderId="0" xfId="0" applyNumberFormat="1" applyFont="1"/>
    <xf numFmtId="165" fontId="4" fillId="0" borderId="8" xfId="0" applyNumberFormat="1" applyFont="1" applyBorder="1" applyAlignment="1">
      <alignment horizontal="right"/>
    </xf>
    <xf numFmtId="0" fontId="3" fillId="0" borderId="10" xfId="0" applyFont="1" applyBorder="1"/>
    <xf numFmtId="165" fontId="3" fillId="0" borderId="3" xfId="0" applyNumberFormat="1" applyFont="1" applyBorder="1" applyAlignment="1">
      <alignment horizontal="right"/>
    </xf>
    <xf numFmtId="164" fontId="3" fillId="0" borderId="3" xfId="0" applyNumberFormat="1" applyFont="1" applyBorder="1" applyAlignment="1">
      <alignment horizontal="right"/>
    </xf>
    <xf numFmtId="165" fontId="3" fillId="0" borderId="0" xfId="0" applyNumberFormat="1" applyFont="1"/>
    <xf numFmtId="165" fontId="3" fillId="0" borderId="1" xfId="0" applyNumberFormat="1" applyFont="1" applyBorder="1" applyAlignment="1">
      <alignment horizontal="right"/>
    </xf>
    <xf numFmtId="165" fontId="4" fillId="0" borderId="1" xfId="0" applyNumberFormat="1" applyFont="1" applyBorder="1" applyAlignment="1">
      <alignment horizontal="right"/>
    </xf>
    <xf numFmtId="0" fontId="4" fillId="0" borderId="0" xfId="0" applyFont="1"/>
    <xf numFmtId="165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6" fillId="0" borderId="0" xfId="0" applyFont="1"/>
    <xf numFmtId="0" fontId="5" fillId="3" borderId="1" xfId="0" applyFont="1" applyFill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2" fontId="6" fillId="0" borderId="3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2" fontId="7" fillId="4" borderId="1" xfId="0" applyNumberFormat="1" applyFont="1" applyFill="1" applyBorder="1" applyAlignment="1">
      <alignment horizontal="center"/>
    </xf>
    <xf numFmtId="2" fontId="7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 wrapText="1"/>
    </xf>
    <xf numFmtId="167" fontId="0" fillId="0" borderId="8" xfId="0" applyNumberFormat="1" applyBorder="1" applyAlignment="1">
      <alignment horizontal="center" vertical="center" wrapText="1"/>
    </xf>
    <xf numFmtId="167" fontId="0" fillId="0" borderId="3" xfId="0" applyNumberFormat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 wrapText="1"/>
    </xf>
    <xf numFmtId="166" fontId="0" fillId="0" borderId="9" xfId="0" applyNumberFormat="1" applyBorder="1" applyAlignment="1">
      <alignment horizontal="center" vertical="center" wrapText="1"/>
    </xf>
    <xf numFmtId="166" fontId="0" fillId="0" borderId="14" xfId="0" applyNumberFormat="1" applyBorder="1" applyAlignment="1">
      <alignment horizontal="center" vertical="center" wrapText="1"/>
    </xf>
    <xf numFmtId="167" fontId="2" fillId="0" borderId="11" xfId="0" applyNumberFormat="1" applyFont="1" applyBorder="1" applyAlignment="1">
      <alignment horizontal="center" vertical="center"/>
    </xf>
    <xf numFmtId="167" fontId="2" fillId="0" borderId="12" xfId="0" applyNumberFormat="1" applyFont="1" applyBorder="1" applyAlignment="1">
      <alignment horizontal="center" vertical="center"/>
    </xf>
    <xf numFmtId="167" fontId="2" fillId="0" borderId="13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0" fontId="3" fillId="0" borderId="11" xfId="0" applyNumberFormat="1" applyFont="1" applyBorder="1" applyAlignment="1">
      <alignment horizontal="center"/>
    </xf>
    <xf numFmtId="10" fontId="3" fillId="0" borderId="12" xfId="0" applyNumberFormat="1" applyFont="1" applyBorder="1" applyAlignment="1">
      <alignment horizontal="center"/>
    </xf>
    <xf numFmtId="10" fontId="3" fillId="0" borderId="1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\Downloads\Planning%202020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tho\Google%20Drive\Travail\Planning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"/>
      <sheetName val="RECAP NOVEMBRE"/>
    </sheetNames>
    <sheetDataSet>
      <sheetData sheetId="0" refreshError="1">
        <row r="14">
          <cell r="P14">
            <v>0</v>
          </cell>
        </row>
        <row r="33">
          <cell r="AF33">
            <v>0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"/>
      <sheetName val="RECAP HEURES MARS"/>
      <sheetName val="PAIE MARS"/>
      <sheetName val="KM MARS"/>
      <sheetName val="AVRIL"/>
      <sheetName val="RECAP HEURES AVRIL"/>
      <sheetName val="PAIE AVRIL"/>
      <sheetName val="KM AVRIL"/>
      <sheetName val="MAI"/>
      <sheetName val="RECAP HEURES MAI"/>
      <sheetName val="PAIE MAI"/>
      <sheetName val="KM MAI"/>
      <sheetName val="JUIN"/>
      <sheetName val="RECAP HEURES JUIN"/>
      <sheetName val="PAIE JUIN"/>
      <sheetName val="JUIN CGA"/>
      <sheetName val="RECAP HEURES JUIN CGA"/>
      <sheetName val="PAIE JUIN CGA"/>
      <sheetName val="KM JUIN"/>
      <sheetName val="JUILLET CGA"/>
      <sheetName val="RECAP HEURES JUILLET CGA"/>
      <sheetName val="PAIE JUILLET CGA"/>
      <sheetName val="JUILLET BELFORTAINES"/>
      <sheetName val="RECAP HEURES JUILLET BELFORTAIN"/>
      <sheetName val="PAIE JUILLET BELFORTAINES"/>
      <sheetName val="KM JUILLET"/>
      <sheetName val="AOÛT"/>
      <sheetName val="RECAP HEURES AOÛT"/>
      <sheetName val="PAIE AOÛT"/>
      <sheetName val="KM AOÛT"/>
      <sheetName val="SEPTEMBRE"/>
      <sheetName val="RECAP HEURES SEPTEMBRE"/>
      <sheetName val="PAIE SEPTEMBRE"/>
      <sheetName val="KM SEPTEMBRE"/>
      <sheetName val="OCTOBRE"/>
      <sheetName val="RECAP HEURES OCTOBRE"/>
      <sheetName val="PAIE OCTOBRE"/>
      <sheetName val="KM OCTOBRE"/>
      <sheetName val="NOVEMBRE"/>
      <sheetName val="RECAP NOVEMBRE"/>
      <sheetName val="PAIE NOVEMBRE"/>
      <sheetName val="KM NOVEMBRE"/>
      <sheetName val="DECEMBRE"/>
      <sheetName val="RECAP HEURES DECEMBRE"/>
      <sheetName val="PAIE DECEMBRE"/>
      <sheetName val="KM DECEMBRE"/>
      <sheetName val="RECAP PAIE 2020"/>
      <sheetName val="RECAP KM 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10">
          <cell r="G10">
            <v>2</v>
          </cell>
          <cell r="H10">
            <v>0</v>
          </cell>
          <cell r="I10">
            <v>5</v>
          </cell>
          <cell r="J10">
            <v>6</v>
          </cell>
        </row>
        <row r="11">
          <cell r="E11">
            <v>19.666666666666671</v>
          </cell>
          <cell r="F11">
            <v>13.25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workbookViewId="0">
      <selection activeCell="A26" sqref="A26"/>
    </sheetView>
  </sheetViews>
  <sheetFormatPr baseColWidth="10" defaultRowHeight="14.4" x14ac:dyDescent="0.3"/>
  <cols>
    <col min="1" max="1" width="24.6640625" bestFit="1" customWidth="1"/>
  </cols>
  <sheetData>
    <row r="1" spans="1:15" x14ac:dyDescent="0.3">
      <c r="A1" s="47" t="s">
        <v>63</v>
      </c>
      <c r="B1" s="47" t="s">
        <v>64</v>
      </c>
      <c r="C1" s="47" t="s">
        <v>65</v>
      </c>
      <c r="D1" s="47" t="s">
        <v>66</v>
      </c>
      <c r="E1" s="47" t="s">
        <v>67</v>
      </c>
      <c r="F1" s="47" t="s">
        <v>68</v>
      </c>
      <c r="G1" s="47" t="s">
        <v>69</v>
      </c>
      <c r="H1" s="47" t="s">
        <v>70</v>
      </c>
      <c r="I1" s="47" t="s">
        <v>71</v>
      </c>
      <c r="J1" s="47" t="s">
        <v>72</v>
      </c>
      <c r="K1" s="57" t="s">
        <v>73</v>
      </c>
      <c r="L1" s="58" t="s">
        <v>74</v>
      </c>
      <c r="M1" s="47" t="s">
        <v>75</v>
      </c>
      <c r="N1" s="47" t="s">
        <v>76</v>
      </c>
      <c r="O1" s="50" t="s">
        <v>77</v>
      </c>
    </row>
    <row r="2" spans="1:15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57"/>
      <c r="L2" s="58"/>
      <c r="M2" s="48"/>
      <c r="N2" s="48"/>
      <c r="O2" s="51"/>
    </row>
    <row r="3" spans="1:15" x14ac:dyDescent="0.3">
      <c r="A3" s="49"/>
      <c r="B3" s="49"/>
      <c r="C3" s="49"/>
      <c r="D3" s="49"/>
      <c r="E3" s="49"/>
      <c r="F3" s="49"/>
      <c r="G3" s="49"/>
      <c r="H3" s="49"/>
      <c r="I3" s="49"/>
      <c r="J3" s="49"/>
      <c r="K3" s="57"/>
      <c r="L3" s="58"/>
      <c r="M3" s="49"/>
      <c r="N3" s="49"/>
      <c r="O3" s="52"/>
    </row>
    <row r="4" spans="1:15" x14ac:dyDescent="0.3">
      <c r="A4" s="41">
        <v>44711</v>
      </c>
      <c r="B4" s="42">
        <v>0.39583333333333331</v>
      </c>
      <c r="C4" s="42">
        <v>0.79861111111111116</v>
      </c>
      <c r="D4" s="42"/>
      <c r="E4" s="42"/>
      <c r="F4" s="42">
        <v>0.55902777777777779</v>
      </c>
      <c r="G4" s="42">
        <v>0.61805555555555558</v>
      </c>
      <c r="H4" s="42" t="s">
        <v>81</v>
      </c>
      <c r="I4" s="42"/>
      <c r="J4" s="42"/>
      <c r="K4" s="43"/>
      <c r="L4" s="44">
        <f t="shared" ref="L4:L10" si="0">C4-B4</f>
        <v>0.40277777777777785</v>
      </c>
      <c r="M4" s="42">
        <f t="shared" ref="M4:M10" si="1">G4-F4</f>
        <v>5.902777777777779E-2</v>
      </c>
      <c r="N4" s="42">
        <f t="shared" ref="N4:N10" si="2">SUM(E4-D4,J4-I4)</f>
        <v>0</v>
      </c>
      <c r="O4" s="44">
        <f t="shared" ref="O4:O10" si="3">L4-SUM(M4:N4)</f>
        <v>0.34375000000000006</v>
      </c>
    </row>
    <row r="5" spans="1:15" x14ac:dyDescent="0.3">
      <c r="A5" s="41">
        <v>44712</v>
      </c>
      <c r="B5" s="42">
        <v>0.41666666666666669</v>
      </c>
      <c r="C5" s="42">
        <v>0.83333333333333337</v>
      </c>
      <c r="D5" s="42"/>
      <c r="E5" s="42"/>
      <c r="F5" s="42">
        <v>0.5</v>
      </c>
      <c r="G5" s="42">
        <v>0.54166666666666663</v>
      </c>
      <c r="H5" s="42" t="s">
        <v>81</v>
      </c>
      <c r="I5" s="42"/>
      <c r="J5" s="42"/>
      <c r="K5" s="43"/>
      <c r="L5" s="44">
        <f t="shared" si="0"/>
        <v>0.41666666666666669</v>
      </c>
      <c r="M5" s="42">
        <f t="shared" si="1"/>
        <v>4.166666666666663E-2</v>
      </c>
      <c r="N5" s="42">
        <f t="shared" si="2"/>
        <v>0</v>
      </c>
      <c r="O5" s="44">
        <f t="shared" si="3"/>
        <v>0.37500000000000006</v>
      </c>
    </row>
    <row r="6" spans="1:15" x14ac:dyDescent="0.3">
      <c r="A6" s="41">
        <v>44713</v>
      </c>
      <c r="B6" s="42">
        <v>0.39583333333333331</v>
      </c>
      <c r="C6" s="42">
        <v>0.79861111111111116</v>
      </c>
      <c r="D6" s="42"/>
      <c r="E6" s="42"/>
      <c r="F6" s="42">
        <v>0.52083333333333337</v>
      </c>
      <c r="G6" s="42">
        <v>0.5625</v>
      </c>
      <c r="H6" s="42" t="s">
        <v>81</v>
      </c>
      <c r="I6" s="42"/>
      <c r="J6" s="42"/>
      <c r="K6" s="43"/>
      <c r="L6" s="44">
        <f>C6-B6</f>
        <v>0.40277777777777785</v>
      </c>
      <c r="M6" s="42">
        <f t="shared" si="1"/>
        <v>4.166666666666663E-2</v>
      </c>
      <c r="N6" s="42">
        <f t="shared" si="2"/>
        <v>0</v>
      </c>
      <c r="O6" s="44">
        <f t="shared" si="3"/>
        <v>0.36111111111111122</v>
      </c>
    </row>
    <row r="7" spans="1:15" x14ac:dyDescent="0.3">
      <c r="A7" s="41">
        <v>44714</v>
      </c>
      <c r="B7" s="42">
        <v>0.39583333333333331</v>
      </c>
      <c r="C7" s="42">
        <v>0.79861111111111116</v>
      </c>
      <c r="D7" s="42"/>
      <c r="E7" s="42"/>
      <c r="F7" s="42">
        <v>0.52083333333333337</v>
      </c>
      <c r="G7" s="42">
        <v>0.5625</v>
      </c>
      <c r="H7" s="42" t="s">
        <v>81</v>
      </c>
      <c r="I7" s="42"/>
      <c r="J7" s="42"/>
      <c r="K7" s="43"/>
      <c r="L7" s="44">
        <f t="shared" si="0"/>
        <v>0.40277777777777785</v>
      </c>
      <c r="M7" s="42">
        <f>G7-F7</f>
        <v>4.166666666666663E-2</v>
      </c>
      <c r="N7" s="42">
        <f>SUM(E7-D7,J7-I7)</f>
        <v>0</v>
      </c>
      <c r="O7" s="44">
        <f t="shared" si="3"/>
        <v>0.36111111111111122</v>
      </c>
    </row>
    <row r="8" spans="1:15" x14ac:dyDescent="0.3">
      <c r="A8" s="41">
        <v>44715</v>
      </c>
      <c r="B8" s="42">
        <v>0.41666666666666669</v>
      </c>
      <c r="C8" s="42">
        <v>0.83333333333333337</v>
      </c>
      <c r="D8" s="42"/>
      <c r="E8" s="42"/>
      <c r="F8" s="42">
        <v>0.5</v>
      </c>
      <c r="G8" s="42">
        <v>0.54166666666666663</v>
      </c>
      <c r="H8" s="42" t="s">
        <v>81</v>
      </c>
      <c r="I8" s="42"/>
      <c r="J8" s="42"/>
      <c r="K8" s="43"/>
      <c r="L8" s="44">
        <f t="shared" si="0"/>
        <v>0.41666666666666669</v>
      </c>
      <c r="M8" s="42">
        <f t="shared" si="1"/>
        <v>4.166666666666663E-2</v>
      </c>
      <c r="N8" s="42">
        <f>SUM(E8-D8,J8-I8)</f>
        <v>0</v>
      </c>
      <c r="O8" s="44">
        <f>L8-SUM(M8:N8)</f>
        <v>0.37500000000000006</v>
      </c>
    </row>
    <row r="9" spans="1:15" x14ac:dyDescent="0.3">
      <c r="A9" s="41">
        <v>44716</v>
      </c>
      <c r="B9" s="42">
        <v>0.39583333333333331</v>
      </c>
      <c r="C9" s="42">
        <v>0.79861111111111116</v>
      </c>
      <c r="D9" s="42"/>
      <c r="E9" s="42"/>
      <c r="F9" s="42">
        <v>0.52083333333333337</v>
      </c>
      <c r="G9" s="42">
        <v>0.5625</v>
      </c>
      <c r="H9" s="42" t="s">
        <v>81</v>
      </c>
      <c r="I9" s="42"/>
      <c r="J9" s="42"/>
      <c r="K9" s="43"/>
      <c r="L9" s="44">
        <f t="shared" si="0"/>
        <v>0.40277777777777785</v>
      </c>
      <c r="M9" s="42">
        <f t="shared" si="1"/>
        <v>4.166666666666663E-2</v>
      </c>
      <c r="N9" s="42">
        <f t="shared" si="2"/>
        <v>0</v>
      </c>
      <c r="O9" s="44">
        <f t="shared" si="3"/>
        <v>0.36111111111111122</v>
      </c>
    </row>
    <row r="10" spans="1:15" x14ac:dyDescent="0.3">
      <c r="A10" s="41">
        <v>44717</v>
      </c>
      <c r="B10" s="42">
        <v>0.41666666666666669</v>
      </c>
      <c r="C10" s="42">
        <v>0.83333333333333337</v>
      </c>
      <c r="D10" s="42"/>
      <c r="E10" s="42"/>
      <c r="F10" s="42">
        <v>0.5</v>
      </c>
      <c r="G10" s="42">
        <v>0.54166666666666663</v>
      </c>
      <c r="H10" s="42" t="s">
        <v>81</v>
      </c>
      <c r="I10" s="42"/>
      <c r="J10" s="42"/>
      <c r="K10" s="43"/>
      <c r="L10" s="44">
        <f t="shared" si="0"/>
        <v>0.41666666666666669</v>
      </c>
      <c r="M10" s="42">
        <f t="shared" si="1"/>
        <v>4.166666666666663E-2</v>
      </c>
      <c r="N10" s="42">
        <f t="shared" si="2"/>
        <v>0</v>
      </c>
      <c r="O10" s="44">
        <f t="shared" si="3"/>
        <v>0.37500000000000006</v>
      </c>
    </row>
    <row r="11" spans="1:15" x14ac:dyDescent="0.3">
      <c r="A11" s="53" t="s">
        <v>78</v>
      </c>
      <c r="B11" s="54"/>
      <c r="C11" s="54"/>
      <c r="D11" s="54"/>
      <c r="E11" s="54"/>
      <c r="F11" s="54"/>
      <c r="G11" s="54"/>
      <c r="H11" s="54"/>
      <c r="I11" s="54"/>
      <c r="J11" s="54"/>
      <c r="K11" s="55"/>
      <c r="L11" s="45">
        <f>SUM(L4:L10)</f>
        <v>2.8611111111111112</v>
      </c>
      <c r="M11" s="45">
        <f t="shared" ref="M11:O11" si="4">SUM(M4:M10)</f>
        <v>0.30902777777777757</v>
      </c>
      <c r="N11" s="45">
        <f t="shared" si="4"/>
        <v>0</v>
      </c>
      <c r="O11" s="45">
        <f t="shared" si="4"/>
        <v>2.5520833333333339</v>
      </c>
    </row>
    <row r="12" spans="1:15" x14ac:dyDescent="0.3">
      <c r="A12" s="56" t="s">
        <v>79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46">
        <f>IF(O4&gt;0,1,0)+IF(O5&gt;0,1,0)+IF(O6&gt;0,1,0)+IF(O7&gt;0,1,0)+IF(O8&gt;0,1,0)+IF(O9&gt;0,1,0)+IF(O10&gt;0,1,0)</f>
        <v>7</v>
      </c>
    </row>
    <row r="15" spans="1:15" x14ac:dyDescent="0.3">
      <c r="A15" t="s">
        <v>85</v>
      </c>
    </row>
    <row r="16" spans="1:15" x14ac:dyDescent="0.3">
      <c r="A16" t="s">
        <v>86</v>
      </c>
    </row>
    <row r="17" spans="1:1" x14ac:dyDescent="0.3">
      <c r="A17" t="s">
        <v>89</v>
      </c>
    </row>
    <row r="18" spans="1:1" x14ac:dyDescent="0.3">
      <c r="A18" t="s">
        <v>82</v>
      </c>
    </row>
    <row r="19" spans="1:1" x14ac:dyDescent="0.3">
      <c r="A19" t="s">
        <v>90</v>
      </c>
    </row>
    <row r="20" spans="1:1" x14ac:dyDescent="0.3">
      <c r="A20" t="s">
        <v>88</v>
      </c>
    </row>
    <row r="21" spans="1:1" x14ac:dyDescent="0.3">
      <c r="A21" t="s">
        <v>83</v>
      </c>
    </row>
    <row r="22" spans="1:1" x14ac:dyDescent="0.3">
      <c r="A22" t="s">
        <v>84</v>
      </c>
    </row>
    <row r="23" spans="1:1" x14ac:dyDescent="0.3">
      <c r="A23" t="s">
        <v>87</v>
      </c>
    </row>
    <row r="25" spans="1:1" x14ac:dyDescent="0.3">
      <c r="A25" t="s">
        <v>91</v>
      </c>
    </row>
  </sheetData>
  <mergeCells count="17">
    <mergeCell ref="A12:N12"/>
    <mergeCell ref="G1:G3"/>
    <mergeCell ref="H1:H3"/>
    <mergeCell ref="I1:I3"/>
    <mergeCell ref="J1:J3"/>
    <mergeCell ref="K1:K3"/>
    <mergeCell ref="L1:L3"/>
    <mergeCell ref="A1:A3"/>
    <mergeCell ref="B1:B3"/>
    <mergeCell ref="C1:C3"/>
    <mergeCell ref="D1:D3"/>
    <mergeCell ref="E1:E3"/>
    <mergeCell ref="F1:F3"/>
    <mergeCell ref="M1:M3"/>
    <mergeCell ref="N1:N3"/>
    <mergeCell ref="O1:O3"/>
    <mergeCell ref="A11:K1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J14"/>
  <sheetViews>
    <sheetView workbookViewId="0">
      <selection activeCell="J4" sqref="J4"/>
    </sheetView>
  </sheetViews>
  <sheetFormatPr baseColWidth="10" defaultColWidth="12.44140625" defaultRowHeight="15.6" x14ac:dyDescent="0.3"/>
  <cols>
    <col min="1" max="1" width="33.109375" style="29" bestFit="1" customWidth="1"/>
    <col min="2" max="3" width="20.33203125" style="29" bestFit="1" customWidth="1"/>
    <col min="4" max="4" width="23.109375" style="29" customWidth="1"/>
    <col min="5" max="6" width="11.33203125" style="29" bestFit="1" customWidth="1"/>
    <col min="7" max="7" width="11.33203125" style="29" customWidth="1"/>
    <col min="8" max="258" width="12.44140625" style="29"/>
    <col min="259" max="262" width="24.44140625" style="29" customWidth="1"/>
    <col min="263" max="514" width="12.44140625" style="29"/>
    <col min="515" max="518" width="24.44140625" style="29" customWidth="1"/>
    <col min="519" max="770" width="12.44140625" style="29"/>
    <col min="771" max="774" width="24.44140625" style="29" customWidth="1"/>
    <col min="775" max="1026" width="12.44140625" style="29"/>
    <col min="1027" max="1030" width="24.44140625" style="29" customWidth="1"/>
    <col min="1031" max="1282" width="12.44140625" style="29"/>
    <col min="1283" max="1286" width="24.44140625" style="29" customWidth="1"/>
    <col min="1287" max="1538" width="12.44140625" style="29"/>
    <col min="1539" max="1542" width="24.44140625" style="29" customWidth="1"/>
    <col min="1543" max="1794" width="12.44140625" style="29"/>
    <col min="1795" max="1798" width="24.44140625" style="29" customWidth="1"/>
    <col min="1799" max="2050" width="12.44140625" style="29"/>
    <col min="2051" max="2054" width="24.44140625" style="29" customWidth="1"/>
    <col min="2055" max="2306" width="12.44140625" style="29"/>
    <col min="2307" max="2310" width="24.44140625" style="29" customWidth="1"/>
    <col min="2311" max="2562" width="12.44140625" style="29"/>
    <col min="2563" max="2566" width="24.44140625" style="29" customWidth="1"/>
    <col min="2567" max="2818" width="12.44140625" style="29"/>
    <col min="2819" max="2822" width="24.44140625" style="29" customWidth="1"/>
    <col min="2823" max="3074" width="12.44140625" style="29"/>
    <col min="3075" max="3078" width="24.44140625" style="29" customWidth="1"/>
    <col min="3079" max="3330" width="12.44140625" style="29"/>
    <col min="3331" max="3334" width="24.44140625" style="29" customWidth="1"/>
    <col min="3335" max="3586" width="12.44140625" style="29"/>
    <col min="3587" max="3590" width="24.44140625" style="29" customWidth="1"/>
    <col min="3591" max="3842" width="12.44140625" style="29"/>
    <col min="3843" max="3846" width="24.44140625" style="29" customWidth="1"/>
    <col min="3847" max="4098" width="12.44140625" style="29"/>
    <col min="4099" max="4102" width="24.44140625" style="29" customWidth="1"/>
    <col min="4103" max="4354" width="12.44140625" style="29"/>
    <col min="4355" max="4358" width="24.44140625" style="29" customWidth="1"/>
    <col min="4359" max="4610" width="12.44140625" style="29"/>
    <col min="4611" max="4614" width="24.44140625" style="29" customWidth="1"/>
    <col min="4615" max="4866" width="12.44140625" style="29"/>
    <col min="4867" max="4870" width="24.44140625" style="29" customWidth="1"/>
    <col min="4871" max="5122" width="12.44140625" style="29"/>
    <col min="5123" max="5126" width="24.44140625" style="29" customWidth="1"/>
    <col min="5127" max="5378" width="12.44140625" style="29"/>
    <col min="5379" max="5382" width="24.44140625" style="29" customWidth="1"/>
    <col min="5383" max="5634" width="12.44140625" style="29"/>
    <col min="5635" max="5638" width="24.44140625" style="29" customWidth="1"/>
    <col min="5639" max="5890" width="12.44140625" style="29"/>
    <col min="5891" max="5894" width="24.44140625" style="29" customWidth="1"/>
    <col min="5895" max="6146" width="12.44140625" style="29"/>
    <col min="6147" max="6150" width="24.44140625" style="29" customWidth="1"/>
    <col min="6151" max="6402" width="12.44140625" style="29"/>
    <col min="6403" max="6406" width="24.44140625" style="29" customWidth="1"/>
    <col min="6407" max="6658" width="12.44140625" style="29"/>
    <col min="6659" max="6662" width="24.44140625" style="29" customWidth="1"/>
    <col min="6663" max="6914" width="12.44140625" style="29"/>
    <col min="6915" max="6918" width="24.44140625" style="29" customWidth="1"/>
    <col min="6919" max="7170" width="12.44140625" style="29"/>
    <col min="7171" max="7174" width="24.44140625" style="29" customWidth="1"/>
    <col min="7175" max="7426" width="12.44140625" style="29"/>
    <col min="7427" max="7430" width="24.44140625" style="29" customWidth="1"/>
    <col min="7431" max="7682" width="12.44140625" style="29"/>
    <col min="7683" max="7686" width="24.44140625" style="29" customWidth="1"/>
    <col min="7687" max="7938" width="12.44140625" style="29"/>
    <col min="7939" max="7942" width="24.44140625" style="29" customWidth="1"/>
    <col min="7943" max="8194" width="12.44140625" style="29"/>
    <col min="8195" max="8198" width="24.44140625" style="29" customWidth="1"/>
    <col min="8199" max="8450" width="12.44140625" style="29"/>
    <col min="8451" max="8454" width="24.44140625" style="29" customWidth="1"/>
    <col min="8455" max="8706" width="12.44140625" style="29"/>
    <col min="8707" max="8710" width="24.44140625" style="29" customWidth="1"/>
    <col min="8711" max="8962" width="12.44140625" style="29"/>
    <col min="8963" max="8966" width="24.44140625" style="29" customWidth="1"/>
    <col min="8967" max="9218" width="12.44140625" style="29"/>
    <col min="9219" max="9222" width="24.44140625" style="29" customWidth="1"/>
    <col min="9223" max="9474" width="12.44140625" style="29"/>
    <col min="9475" max="9478" width="24.44140625" style="29" customWidth="1"/>
    <col min="9479" max="9730" width="12.44140625" style="29"/>
    <col min="9731" max="9734" width="24.44140625" style="29" customWidth="1"/>
    <col min="9735" max="9986" width="12.44140625" style="29"/>
    <col min="9987" max="9990" width="24.44140625" style="29" customWidth="1"/>
    <col min="9991" max="10242" width="12.44140625" style="29"/>
    <col min="10243" max="10246" width="24.44140625" style="29" customWidth="1"/>
    <col min="10247" max="10498" width="12.44140625" style="29"/>
    <col min="10499" max="10502" width="24.44140625" style="29" customWidth="1"/>
    <col min="10503" max="10754" width="12.44140625" style="29"/>
    <col min="10755" max="10758" width="24.44140625" style="29" customWidth="1"/>
    <col min="10759" max="11010" width="12.44140625" style="29"/>
    <col min="11011" max="11014" width="24.44140625" style="29" customWidth="1"/>
    <col min="11015" max="11266" width="12.44140625" style="29"/>
    <col min="11267" max="11270" width="24.44140625" style="29" customWidth="1"/>
    <col min="11271" max="11522" width="12.44140625" style="29"/>
    <col min="11523" max="11526" width="24.44140625" style="29" customWidth="1"/>
    <col min="11527" max="11778" width="12.44140625" style="29"/>
    <col min="11779" max="11782" width="24.44140625" style="29" customWidth="1"/>
    <col min="11783" max="12034" width="12.44140625" style="29"/>
    <col min="12035" max="12038" width="24.44140625" style="29" customWidth="1"/>
    <col min="12039" max="12290" width="12.44140625" style="29"/>
    <col min="12291" max="12294" width="24.44140625" style="29" customWidth="1"/>
    <col min="12295" max="12546" width="12.44140625" style="29"/>
    <col min="12547" max="12550" width="24.44140625" style="29" customWidth="1"/>
    <col min="12551" max="12802" width="12.44140625" style="29"/>
    <col min="12803" max="12806" width="24.44140625" style="29" customWidth="1"/>
    <col min="12807" max="13058" width="12.44140625" style="29"/>
    <col min="13059" max="13062" width="24.44140625" style="29" customWidth="1"/>
    <col min="13063" max="13314" width="12.44140625" style="29"/>
    <col min="13315" max="13318" width="24.44140625" style="29" customWidth="1"/>
    <col min="13319" max="13570" width="12.44140625" style="29"/>
    <col min="13571" max="13574" width="24.44140625" style="29" customWidth="1"/>
    <col min="13575" max="13826" width="12.44140625" style="29"/>
    <col min="13827" max="13830" width="24.44140625" style="29" customWidth="1"/>
    <col min="13831" max="14082" width="12.44140625" style="29"/>
    <col min="14083" max="14086" width="24.44140625" style="29" customWidth="1"/>
    <col min="14087" max="14338" width="12.44140625" style="29"/>
    <col min="14339" max="14342" width="24.44140625" style="29" customWidth="1"/>
    <col min="14343" max="14594" width="12.44140625" style="29"/>
    <col min="14595" max="14598" width="24.44140625" style="29" customWidth="1"/>
    <col min="14599" max="14850" width="12.44140625" style="29"/>
    <col min="14851" max="14854" width="24.44140625" style="29" customWidth="1"/>
    <col min="14855" max="15106" width="12.44140625" style="29"/>
    <col min="15107" max="15110" width="24.44140625" style="29" customWidth="1"/>
    <col min="15111" max="15362" width="12.44140625" style="29"/>
    <col min="15363" max="15366" width="24.44140625" style="29" customWidth="1"/>
    <col min="15367" max="15618" width="12.44140625" style="29"/>
    <col min="15619" max="15622" width="24.44140625" style="29" customWidth="1"/>
    <col min="15623" max="15874" width="12.44140625" style="29"/>
    <col min="15875" max="15878" width="24.44140625" style="29" customWidth="1"/>
    <col min="15879" max="16130" width="12.44140625" style="29"/>
    <col min="16131" max="16134" width="24.44140625" style="29" customWidth="1"/>
    <col min="16135" max="16384" width="12.44140625" style="29"/>
  </cols>
  <sheetData>
    <row r="3" spans="1:10" ht="46.8" x14ac:dyDescent="0.3">
      <c r="A3" s="28" t="s">
        <v>46</v>
      </c>
      <c r="B3" s="28" t="s">
        <v>47</v>
      </c>
      <c r="C3" s="28" t="s">
        <v>47</v>
      </c>
      <c r="D3" s="28" t="s">
        <v>48</v>
      </c>
      <c r="E3" s="28" t="s">
        <v>49</v>
      </c>
      <c r="F3" s="28" t="s">
        <v>50</v>
      </c>
      <c r="G3" s="28" t="s">
        <v>51</v>
      </c>
      <c r="H3" s="28" t="s">
        <v>52</v>
      </c>
      <c r="I3" s="28" t="s">
        <v>53</v>
      </c>
      <c r="J3" s="28" t="s">
        <v>54</v>
      </c>
    </row>
    <row r="4" spans="1:10" x14ac:dyDescent="0.3">
      <c r="A4" s="30" t="s">
        <v>55</v>
      </c>
      <c r="B4" s="31">
        <f>'PLANNING JUIN'!O11</f>
        <v>2.5520833333333339</v>
      </c>
      <c r="C4" s="32">
        <f t="shared" ref="C4:C9" si="0">B4*24</f>
        <v>61.250000000000014</v>
      </c>
      <c r="D4" s="32">
        <f>IF(C4&lt;35.01,0,C4-35)</f>
        <v>26.250000000000014</v>
      </c>
      <c r="E4" s="32">
        <f>IF(D4&lt;=9,D4,8)</f>
        <v>8</v>
      </c>
      <c r="F4" s="32">
        <f t="shared" ref="F4:F9" si="1">D4-E4</f>
        <v>18.250000000000014</v>
      </c>
      <c r="G4" s="33">
        <f>IF('PLANNING JUIN'!O11&gt;"0:00"*1,1,0)</f>
        <v>1</v>
      </c>
      <c r="H4" s="33">
        <f>IF('PLANNING JUIN'!K4="IS",1,0)+IF('PLANNING JUIN'!K5="IS",1,0)+IF('PLANNING JUIN'!K6="IS",1,0)+IF('PLANNING JUIN'!K7="IS",1,0)+IF('PLANNING JUIN'!K8="IS",1,0)+IF('PLANNING JUIN'!K9="IS",1,0)+IF('PLANNING JUIN'!K10="IS",1,0)</f>
        <v>0</v>
      </c>
      <c r="I4" s="33">
        <f>IF('PLANNING JUIN'!K4="IRU",1,0)+IF('PLANNING JUIN'!K5="IRU",1,0)+IF('PLANNING JUIN'!K6="IRU",1,0)+IF('PLANNING JUIN'!K7="IRU",1,0)+IF('PLANNING JUIN'!K8="IRU",1,0)+IF('PLANNING JUIN'!K9="IRU",1,0)+IF('PLANNING JUIN'!K10="IRU",1,0)</f>
        <v>0</v>
      </c>
      <c r="J4" s="33">
        <f>IF('PLANNING JUIN'!K4="IR",1,0)+IF('PLANNING JUIN'!K5="IR",1,0)+IF('PLANNING JUIN'!K6="IR",1,0)+IF('PLANNING JUIN'!K7="IR",1,0)+IF('PLANNING JUIN'!K8="IR",1,0)+IF('PLANNING JUIN'!K9="IR",1,0)+IF('PLANNING JUIN'!K10="IR",1,0)</f>
        <v>0</v>
      </c>
    </row>
    <row r="5" spans="1:10" x14ac:dyDescent="0.3">
      <c r="A5" s="30" t="s">
        <v>56</v>
      </c>
      <c r="B5" s="31">
        <f>'PLANNING JUIN'!P36</f>
        <v>0</v>
      </c>
      <c r="C5" s="32">
        <f t="shared" si="0"/>
        <v>0</v>
      </c>
      <c r="D5" s="32">
        <f>IF(C5&lt;14.01,0,C5-14)</f>
        <v>0</v>
      </c>
      <c r="E5" s="32">
        <f>IF(D5&lt;=8,D5,8)</f>
        <v>0</v>
      </c>
      <c r="F5" s="32">
        <f t="shared" si="1"/>
        <v>0</v>
      </c>
      <c r="G5" s="33">
        <f>IF('PLANNING JUIN'!P35&gt;"0:00"*1,1,0)</f>
        <v>0</v>
      </c>
      <c r="H5" s="33">
        <f>IF('PLANNING JUIN'!L29="IS",1,0)+IF('PLANNING JUIN'!L30="IS",1,0)+IF('PLANNING JUIN'!L31="IS",1,0)+IF('PLANNING JUIN'!L32="IS",1,0)+IF('PLANNING JUIN'!L33="IS",1,0)+IF('PLANNING JUIN'!L34="IS",1,0)+IF('PLANNING JUIN'!L35="IS",1,0)</f>
        <v>0</v>
      </c>
      <c r="I5" s="33">
        <f>IF('PLANNING JUIN'!M29="IRU",1,0)+IF('PLANNING JUIN'!M30="IRU",1,0)+IF('PLANNING JUIN'!M31="IRU",1,0)+IF('PLANNING JUIN'!M32="IRU",1,0)+IF('PLANNING JUIN'!M33="IRU",1,0)+IF('PLANNING JUIN'!M34="IRU",1,0)+IF('PLANNING JUIN'!M35="IRU",1,0)</f>
        <v>0</v>
      </c>
      <c r="J5" s="33">
        <f>IF('PLANNING JUIN'!L29="IR",1,0)+IF('PLANNING JUIN'!L30="IR",1,0)+IF('PLANNING JUIN'!L31="IR",1,0)+IF('PLANNING JUIN'!L32="IR",1,0)+IF('PLANNING JUIN'!L33="IR",1,0)+IF('PLANNING JUIN'!L34="IR",1,0)+IF('PLANNING JUIN'!L35="IR",1,0)</f>
        <v>0</v>
      </c>
    </row>
    <row r="6" spans="1:10" x14ac:dyDescent="0.3">
      <c r="A6" s="30" t="s">
        <v>57</v>
      </c>
      <c r="B6" s="31">
        <f>'PLANNING JUIN'!P55</f>
        <v>0</v>
      </c>
      <c r="C6" s="32">
        <f t="shared" si="0"/>
        <v>0</v>
      </c>
      <c r="D6" s="32">
        <f t="shared" ref="D6:D9" si="2">IF(C6&lt;35.01,0,C6-35)</f>
        <v>0</v>
      </c>
      <c r="E6" s="32">
        <f>IF(D6&lt;=9,D6,8)</f>
        <v>0</v>
      </c>
      <c r="F6" s="32">
        <f t="shared" si="1"/>
        <v>0</v>
      </c>
      <c r="G6" s="33">
        <f>IF('PLANNING JUIN'!P54&gt;"0:00"*1,1,0)</f>
        <v>0</v>
      </c>
      <c r="H6" s="33">
        <f>IF('PLANNING JUIN'!L48="IS",1,0)+IF('PLANNING JUIN'!L49="IS",1,0)+IF('PLANNING JUIN'!L50="IS",1,0)+IF('PLANNING JUIN'!L51="IS",1,0)+IF('PLANNING JUIN'!L52="IS",1,0)+IF('PLANNING JUIN'!L53="IS",1,0)+IF('PLANNING JUIN'!L54="IS",1,0)</f>
        <v>0</v>
      </c>
      <c r="I6" s="33">
        <f>IF('PLANNING JUIN'!L48="IRU",1,0)+IF('PLANNING JUIN'!L49="IRU",1,0)+IF('PLANNING JUIN'!L50="IRU",1,0)+IF('PLANNING JUIN'!L51="IRU",1,0)+IF('PLANNING JUIN'!L52="IRU",1,0)+IF('PLANNING JUIN'!L53="IRU",1,0)+IF('PLANNING JUIN'!L54="IRU",1,0)</f>
        <v>0</v>
      </c>
      <c r="J6" s="33">
        <f>IF('PLANNING JUIN'!L48="IR",1,0)+IF('PLANNING JUIN'!L49="IR",1,0)+IF('PLANNING JUIN'!L50="IR",1,0)+IF('PLANNING JUIN'!L51="IR",1,0)+IF('PLANNING JUIN'!L52="IR",1,0)+IF('PLANNING JUIN'!L53="IR",1,0)+IF('PLANNING JUIN'!L54="IR",1,0)</f>
        <v>0</v>
      </c>
    </row>
    <row r="7" spans="1:10" x14ac:dyDescent="0.3">
      <c r="A7" s="30" t="s">
        <v>58</v>
      </c>
      <c r="B7" s="31">
        <f>'PLANNING JUIN'!P77</f>
        <v>0</v>
      </c>
      <c r="C7" s="32">
        <f t="shared" si="0"/>
        <v>0</v>
      </c>
      <c r="D7" s="32">
        <f t="shared" si="2"/>
        <v>0</v>
      </c>
      <c r="E7" s="32">
        <f>IF(D7&lt;=9,D7,8)</f>
        <v>0</v>
      </c>
      <c r="F7" s="32">
        <f t="shared" si="1"/>
        <v>0</v>
      </c>
      <c r="G7" s="33">
        <f>IF('PLANNING JUIN'!P76&gt;"0:00"*1,1,0)</f>
        <v>0</v>
      </c>
      <c r="H7" s="33">
        <f>IF('PLANNING JUIN'!L70="IS",1,0)+IF('PLANNING JUIN'!L71="IS",1,0)+IF('PLANNING JUIN'!L72="IS",1,0)+IF('PLANNING JUIN'!L73="IS",1,0)+IF('PLANNING JUIN'!L74="IS",1,0)+IF('PLANNING JUIN'!L75="IS",1,0)+IF('PLANNING JUIN'!L76="IS",1,0)</f>
        <v>0</v>
      </c>
      <c r="I7" s="33">
        <f>IF('PLANNING JUIN'!L70="IRU",1,0)+IF('PLANNING JUIN'!L71="IRU",1,0)+IF('PLANNING JUIN'!L72="IRU",1,0)+IF('PLANNING JUIN'!L73="IRU",1,0)+IF('PLANNING JUIN'!L74="IRU",1,0)+IF('PLANNING JUIN'!L75="IRU",1,0)+IF('PLANNING JUIN'!L76="IRU",1,0)</f>
        <v>0</v>
      </c>
      <c r="J7" s="33">
        <f>IF('PLANNING JUIN'!L70="IR",1,0)+IF('PLANNING JUIN'!L71="IR",1,0)+IF('PLANNING JUIN'!L72="IR",1,0)+IF('PLANNING JUIN'!L73="IR",1,0)+IF('PLANNING JUIN'!L74="IR",1,0)+IF('PLANNING JUIN'!L75="IR",1,0)+IF('PLANNING JUIN'!L76="IR",1,0)</f>
        <v>0</v>
      </c>
    </row>
    <row r="8" spans="1:10" x14ac:dyDescent="0.3">
      <c r="A8" s="30" t="s">
        <v>59</v>
      </c>
      <c r="B8" s="31">
        <f>'PLANNING JUIN'!AF14</f>
        <v>0</v>
      </c>
      <c r="C8" s="32">
        <f t="shared" si="0"/>
        <v>0</v>
      </c>
      <c r="D8" s="32">
        <f t="shared" si="2"/>
        <v>0</v>
      </c>
      <c r="E8" s="32">
        <f>IF(D8&lt;=9,D8,8)</f>
        <v>0</v>
      </c>
      <c r="F8" s="32">
        <f t="shared" si="1"/>
        <v>0</v>
      </c>
      <c r="G8" s="33">
        <f>IF('PLANNING JUIN'!AF13&gt;"0:00"*1,1,0)</f>
        <v>0</v>
      </c>
      <c r="H8" s="33">
        <f>IF('PLANNING JUIN'!AB7="IS",1,0)+IF('PLANNING JUIN'!AB8="IS",1,0)+IF('PLANNING JUIN'!AB9="IS",1,0)+IF('PLANNING JUIN'!AB10="IS",1,0)+IF('PLANNING JUIN'!AB11="IS",1,0)+IF('PLANNING JUIN'!AB12="IS",1,0)+IF('PLANNING JUIN'!AB13="IS",1,0)</f>
        <v>0</v>
      </c>
      <c r="I8" s="33">
        <f>IF('PLANNING JUIN'!AB7="IRU",1,0)+IF('PLANNING JUIN'!AB8="IRU",1,0)+IF('PLANNING JUIN'!AB9="IRU",1,0)+IF('PLANNING JUIN'!AB10="IRU",1,0)+IF('PLANNING JUIN'!AB11="IRU",1,0)+IF('PLANNING JUIN'!AB12="IRU",1,0)+IF('PLANNING JUIN'!AB13="IRU",1,0)</f>
        <v>0</v>
      </c>
      <c r="J8" s="33">
        <f>IF('PLANNING JUIN'!AB7="IR",1,0)+IF('PLANNING JUIN'!AB8="IR",1,0)+IF('PLANNING JUIN'!AB9="IR",1,0)+IF('PLANNING JUIN'!AB10="IR",1,0)+IF('PLANNING JUIN'!AB11="IR",1,0)+IF('PLANNING JUIN'!AB12="IR",1,0)+IF('PLANNING JUIN'!AB13="IR",1,0)</f>
        <v>0</v>
      </c>
    </row>
    <row r="9" spans="1:10" x14ac:dyDescent="0.3">
      <c r="A9" s="30" t="s">
        <v>60</v>
      </c>
      <c r="B9" s="31">
        <f>[1]NOVEMBRE!AF33</f>
        <v>0</v>
      </c>
      <c r="C9" s="32">
        <f t="shared" si="0"/>
        <v>0</v>
      </c>
      <c r="D9" s="32">
        <f t="shared" si="2"/>
        <v>0</v>
      </c>
      <c r="E9" s="32">
        <f>IF(D9&lt;=9,D9,8)</f>
        <v>0</v>
      </c>
      <c r="F9" s="34">
        <f t="shared" si="1"/>
        <v>0</v>
      </c>
      <c r="G9" s="33">
        <f>IF('PLANNING JUIN'!AF35&gt;"0:00"*1,1,0)</f>
        <v>0</v>
      </c>
      <c r="H9" s="33">
        <f>IF('PLANNING JUIN'!AB29="IS",1,0)</f>
        <v>0</v>
      </c>
      <c r="I9" s="33">
        <f>IF('PLANNING JUIN'!AB29="IRU",1,0)</f>
        <v>0</v>
      </c>
      <c r="J9" s="33">
        <f>IF('PLANNING JUIN'!AB29="IR",1,0)</f>
        <v>0</v>
      </c>
    </row>
    <row r="10" spans="1:10" x14ac:dyDescent="0.3">
      <c r="A10" s="30" t="s">
        <v>61</v>
      </c>
      <c r="B10" s="35">
        <f>SUM(B4:B9)</f>
        <v>2.5520833333333339</v>
      </c>
      <c r="C10" s="36">
        <f>SUM(C4:C9)</f>
        <v>61.250000000000014</v>
      </c>
      <c r="D10" s="36">
        <f>SUM(D4:D9)</f>
        <v>26.250000000000014</v>
      </c>
      <c r="E10" s="36">
        <f>SUM(E9)</f>
        <v>0</v>
      </c>
      <c r="F10" s="36">
        <f>SUM(F9)</f>
        <v>0</v>
      </c>
      <c r="G10" s="37">
        <f>SUM(G4:G9)</f>
        <v>1</v>
      </c>
      <c r="H10" s="37">
        <f>SUM(H4:H9)</f>
        <v>0</v>
      </c>
      <c r="I10" s="37">
        <f>SUM(I4:I9)</f>
        <v>0</v>
      </c>
      <c r="J10" s="37">
        <f>SUM(J4:J9)</f>
        <v>0</v>
      </c>
    </row>
    <row r="11" spans="1:10" x14ac:dyDescent="0.3">
      <c r="A11" s="59" t="s">
        <v>62</v>
      </c>
      <c r="B11" s="60"/>
      <c r="C11" s="60"/>
      <c r="D11" s="61"/>
      <c r="E11" s="38">
        <f>SUM(E4:E8)</f>
        <v>8</v>
      </c>
      <c r="F11" s="38">
        <f>SUM(F4:F8)</f>
        <v>18.250000000000014</v>
      </c>
      <c r="G11" s="39"/>
      <c r="H11" s="40"/>
      <c r="I11" s="40"/>
      <c r="J11" s="40"/>
    </row>
    <row r="14" spans="1:10" x14ac:dyDescent="0.3">
      <c r="D14" s="29" t="s">
        <v>80</v>
      </c>
    </row>
  </sheetData>
  <mergeCells count="1">
    <mergeCell ref="A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4"/>
  <sheetViews>
    <sheetView workbookViewId="0">
      <selection activeCell="C8" sqref="C8"/>
    </sheetView>
  </sheetViews>
  <sheetFormatPr baseColWidth="10" defaultColWidth="11.44140625" defaultRowHeight="13.2" x14ac:dyDescent="0.25"/>
  <cols>
    <col min="1" max="1" width="54.109375" style="1" bestFit="1" customWidth="1"/>
    <col min="2" max="2" width="9.88671875" style="1" customWidth="1"/>
    <col min="3" max="4" width="8.6640625" style="1" customWidth="1"/>
    <col min="5" max="6" width="9.88671875" style="1" customWidth="1"/>
    <col min="7" max="16384" width="11.44140625" style="1"/>
  </cols>
  <sheetData>
    <row r="1" spans="1:12" x14ac:dyDescent="0.25">
      <c r="A1" s="62" t="s">
        <v>0</v>
      </c>
      <c r="B1" s="62" t="s">
        <v>1</v>
      </c>
      <c r="C1" s="62" t="s">
        <v>2</v>
      </c>
      <c r="D1" s="64" t="s">
        <v>3</v>
      </c>
      <c r="E1" s="62" t="s">
        <v>4</v>
      </c>
      <c r="F1" s="62" t="s">
        <v>5</v>
      </c>
    </row>
    <row r="2" spans="1:12" x14ac:dyDescent="0.25">
      <c r="A2" s="62"/>
      <c r="B2" s="62"/>
      <c r="C2" s="62"/>
      <c r="D2" s="65"/>
      <c r="E2" s="62"/>
      <c r="F2" s="62"/>
    </row>
    <row r="3" spans="1:12" ht="4.5" customHeight="1" x14ac:dyDescent="0.25"/>
    <row r="4" spans="1:12" x14ac:dyDescent="0.25">
      <c r="A4" s="2" t="s">
        <v>6</v>
      </c>
      <c r="B4" s="3">
        <v>151.66999999999999</v>
      </c>
      <c r="C4" s="4">
        <v>11.3</v>
      </c>
      <c r="D4" s="5"/>
      <c r="E4" s="6">
        <f>B4*C4</f>
        <v>1713.8709999999999</v>
      </c>
      <c r="F4" s="7"/>
    </row>
    <row r="5" spans="1:12" x14ac:dyDescent="0.25">
      <c r="A5" s="8" t="s">
        <v>7</v>
      </c>
      <c r="B5" s="9">
        <v>21</v>
      </c>
      <c r="C5" s="10">
        <v>11.3</v>
      </c>
      <c r="D5" s="10"/>
      <c r="E5" s="9">
        <f>-(B5*C5)</f>
        <v>-237.3</v>
      </c>
      <c r="F5" s="11"/>
    </row>
    <row r="6" spans="1:12" x14ac:dyDescent="0.25">
      <c r="A6" s="8" t="s">
        <v>8</v>
      </c>
      <c r="B6" s="9">
        <f>'[2]RECAP NOVEMBRE'!E11</f>
        <v>19.666666666666671</v>
      </c>
      <c r="C6" s="12">
        <f>C4*125%</f>
        <v>14.125</v>
      </c>
      <c r="D6" s="12"/>
      <c r="E6" s="13">
        <f>B6*C6</f>
        <v>277.79166666666674</v>
      </c>
      <c r="F6" s="11"/>
    </row>
    <row r="7" spans="1:12" x14ac:dyDescent="0.25">
      <c r="A7" s="8" t="s">
        <v>9</v>
      </c>
      <c r="B7" s="9">
        <f>'[2]RECAP NOVEMBRE'!F11</f>
        <v>13.25</v>
      </c>
      <c r="C7" s="12">
        <f>C4*150%</f>
        <v>16.950000000000003</v>
      </c>
      <c r="D7" s="12"/>
      <c r="E7" s="13">
        <f>B7*C7</f>
        <v>224.58750000000003</v>
      </c>
      <c r="F7" s="11"/>
    </row>
    <row r="8" spans="1:12" x14ac:dyDescent="0.25">
      <c r="A8" s="8" t="s">
        <v>10</v>
      </c>
      <c r="B8" s="14"/>
      <c r="C8" s="12"/>
      <c r="D8" s="12"/>
      <c r="E8" s="13">
        <f t="shared" ref="E8:E12" si="0">B8*C8</f>
        <v>0</v>
      </c>
      <c r="F8" s="11"/>
    </row>
    <row r="9" spans="1:12" x14ac:dyDescent="0.25">
      <c r="A9" s="8" t="s">
        <v>11</v>
      </c>
      <c r="B9" s="14">
        <f>'[2]RECAP NOVEMBRE'!G10</f>
        <v>2</v>
      </c>
      <c r="C9" s="12">
        <v>21.74</v>
      </c>
      <c r="D9" s="12"/>
      <c r="E9" s="13">
        <f t="shared" si="0"/>
        <v>43.48</v>
      </c>
      <c r="F9" s="11"/>
    </row>
    <row r="10" spans="1:12" x14ac:dyDescent="0.25">
      <c r="A10" s="8" t="s">
        <v>12</v>
      </c>
      <c r="B10" s="14">
        <f>'[2]RECAP NOVEMBRE'!H10</f>
        <v>0</v>
      </c>
      <c r="C10" s="12">
        <v>3.88</v>
      </c>
      <c r="D10" s="12"/>
      <c r="E10" s="13">
        <f t="shared" si="0"/>
        <v>0</v>
      </c>
      <c r="F10" s="11"/>
    </row>
    <row r="11" spans="1:12" x14ac:dyDescent="0.25">
      <c r="A11" s="8" t="s">
        <v>13</v>
      </c>
      <c r="B11" s="14">
        <f>'[2]RECAP NOVEMBRE'!I10</f>
        <v>5</v>
      </c>
      <c r="C11" s="12">
        <v>8.57</v>
      </c>
      <c r="D11" s="12"/>
      <c r="E11" s="13">
        <f t="shared" si="0"/>
        <v>42.85</v>
      </c>
      <c r="F11" s="11"/>
    </row>
    <row r="12" spans="1:12" x14ac:dyDescent="0.25">
      <c r="A12" s="8" t="s">
        <v>14</v>
      </c>
      <c r="B12" s="14">
        <f>'[2]RECAP NOVEMBRE'!J10</f>
        <v>6</v>
      </c>
      <c r="C12" s="12">
        <v>13.88</v>
      </c>
      <c r="D12" s="12"/>
      <c r="E12" s="13">
        <f t="shared" si="0"/>
        <v>83.28</v>
      </c>
      <c r="F12" s="11"/>
    </row>
    <row r="13" spans="1:12" x14ac:dyDescent="0.25">
      <c r="A13" s="8"/>
      <c r="B13" s="15"/>
      <c r="C13" s="16"/>
      <c r="D13" s="16"/>
      <c r="E13" s="13"/>
      <c r="F13" s="13"/>
      <c r="I13" s="17"/>
      <c r="L13" s="17"/>
    </row>
    <row r="14" spans="1:12" x14ac:dyDescent="0.25">
      <c r="A14" s="8" t="s">
        <v>15</v>
      </c>
      <c r="B14" s="15"/>
      <c r="C14" s="16"/>
      <c r="D14" s="16"/>
      <c r="E14" s="18">
        <f>SUM(E4:E13)</f>
        <v>2148.5601666666671</v>
      </c>
      <c r="F14" s="13"/>
    </row>
    <row r="15" spans="1:12" x14ac:dyDescent="0.25">
      <c r="A15" s="8"/>
      <c r="B15" s="15"/>
      <c r="C15" s="16"/>
      <c r="D15" s="16"/>
      <c r="E15" s="13"/>
      <c r="F15" s="13"/>
    </row>
    <row r="16" spans="1:12" x14ac:dyDescent="0.25">
      <c r="A16" s="8" t="s">
        <v>16</v>
      </c>
      <c r="B16" s="13"/>
      <c r="C16" s="16"/>
      <c r="D16" s="16"/>
      <c r="E16" s="13"/>
      <c r="F16" s="13"/>
      <c r="I16" s="17"/>
      <c r="L16" s="17"/>
    </row>
    <row r="17" spans="1:12" x14ac:dyDescent="0.25">
      <c r="A17" s="8" t="s">
        <v>17</v>
      </c>
      <c r="B17" s="13">
        <f>E14</f>
        <v>2148.5601666666671</v>
      </c>
      <c r="C17" s="16"/>
      <c r="D17" s="16">
        <v>7</v>
      </c>
      <c r="E17" s="13"/>
      <c r="F17" s="13">
        <f>(B17*D17)/100</f>
        <v>150.3992116666667</v>
      </c>
    </row>
    <row r="18" spans="1:12" x14ac:dyDescent="0.25">
      <c r="A18" s="8" t="s">
        <v>18</v>
      </c>
      <c r="B18" s="13">
        <f>E14</f>
        <v>2148.5601666666671</v>
      </c>
      <c r="C18" s="16"/>
      <c r="D18" s="16">
        <v>3.9</v>
      </c>
      <c r="E18" s="13"/>
      <c r="F18" s="13">
        <f>(B18*D18)/100</f>
        <v>83.793846500000015</v>
      </c>
    </row>
    <row r="19" spans="1:12" x14ac:dyDescent="0.25">
      <c r="A19" s="8" t="s">
        <v>19</v>
      </c>
      <c r="B19" s="13"/>
      <c r="C19" s="16"/>
      <c r="D19" s="16"/>
      <c r="E19" s="13"/>
      <c r="F19" s="13"/>
      <c r="I19" s="17"/>
      <c r="L19" s="17"/>
    </row>
    <row r="20" spans="1:12" x14ac:dyDescent="0.25">
      <c r="A20" s="8" t="s">
        <v>20</v>
      </c>
      <c r="B20" s="13">
        <f>E14</f>
        <v>2148.5601666666671</v>
      </c>
      <c r="C20" s="16">
        <v>6.9</v>
      </c>
      <c r="D20" s="16">
        <v>8.5500000000000007</v>
      </c>
      <c r="E20" s="13">
        <f>(B20*C20)/100</f>
        <v>148.25065150000003</v>
      </c>
      <c r="F20" s="13">
        <f>(B20*D20)/100</f>
        <v>183.70189425000004</v>
      </c>
    </row>
    <row r="21" spans="1:12" x14ac:dyDescent="0.25">
      <c r="A21" s="8" t="s">
        <v>21</v>
      </c>
      <c r="B21" s="13">
        <f>E14</f>
        <v>2148.5601666666671</v>
      </c>
      <c r="C21" s="16">
        <v>0.4</v>
      </c>
      <c r="D21" s="16">
        <v>1.9</v>
      </c>
      <c r="E21" s="13">
        <f>(B21*C21)/100</f>
        <v>8.5942406666666695</v>
      </c>
      <c r="F21" s="13">
        <f>(B21*D21)/100</f>
        <v>40.822643166666673</v>
      </c>
    </row>
    <row r="22" spans="1:12" x14ac:dyDescent="0.25">
      <c r="A22" s="8" t="s">
        <v>22</v>
      </c>
      <c r="B22" s="13">
        <f>E14</f>
        <v>2148.5601666666671</v>
      </c>
      <c r="C22" s="16"/>
      <c r="D22" s="16">
        <v>3.45</v>
      </c>
      <c r="E22" s="13"/>
      <c r="F22" s="13">
        <f>(B22*D22)/100</f>
        <v>74.125325750000016</v>
      </c>
      <c r="I22" s="17"/>
      <c r="L22" s="17"/>
    </row>
    <row r="23" spans="1:12" x14ac:dyDescent="0.25">
      <c r="A23" s="8" t="s">
        <v>23</v>
      </c>
      <c r="B23" s="13">
        <f>E14</f>
        <v>2148.5601666666671</v>
      </c>
      <c r="C23" s="16"/>
      <c r="D23" s="16">
        <v>4.05</v>
      </c>
      <c r="E23" s="13"/>
      <c r="F23" s="13">
        <f>(B23*D23)/100</f>
        <v>87.016686750000005</v>
      </c>
    </row>
    <row r="24" spans="1:12" x14ac:dyDescent="0.25">
      <c r="A24" s="8" t="s">
        <v>24</v>
      </c>
      <c r="B24" s="13">
        <f>E14</f>
        <v>2148.5601666666671</v>
      </c>
      <c r="C24" s="16"/>
      <c r="D24" s="16">
        <v>1.08</v>
      </c>
      <c r="E24" s="13"/>
      <c r="F24" s="13">
        <f>(B24*D24)/100</f>
        <v>23.204449800000006</v>
      </c>
    </row>
    <row r="25" spans="1:12" x14ac:dyDescent="0.25">
      <c r="A25" s="8" t="s">
        <v>25</v>
      </c>
      <c r="B25" s="13">
        <f>E14*64.2362922%</f>
        <v>1380.1553867528071</v>
      </c>
      <c r="C25" s="16">
        <v>6.8</v>
      </c>
      <c r="D25" s="16"/>
      <c r="E25" s="13">
        <f>(B25*C25)/100</f>
        <v>93.850566299190888</v>
      </c>
      <c r="F25" s="13"/>
      <c r="I25" s="17"/>
    </row>
    <row r="26" spans="1:12" x14ac:dyDescent="0.25">
      <c r="A26" s="8" t="s">
        <v>26</v>
      </c>
      <c r="B26" s="13">
        <f>E14*64.2362922%</f>
        <v>1380.1553867528071</v>
      </c>
      <c r="C26" s="16">
        <v>2.9</v>
      </c>
      <c r="D26" s="16"/>
      <c r="E26" s="13">
        <f>(B26*C26)/100</f>
        <v>40.024506215831401</v>
      </c>
      <c r="F26" s="13"/>
    </row>
    <row r="27" spans="1:12" x14ac:dyDescent="0.25">
      <c r="A27" s="8" t="s">
        <v>27</v>
      </c>
      <c r="B27" s="13">
        <f>E14*34.0137104%</f>
        <v>730.80503285975749</v>
      </c>
      <c r="C27" s="16">
        <v>9.6999999999999993</v>
      </c>
      <c r="D27" s="16"/>
      <c r="E27" s="13">
        <f>(B27*C27)/100</f>
        <v>70.888088187396477</v>
      </c>
      <c r="F27" s="13"/>
    </row>
    <row r="28" spans="1:12" x14ac:dyDescent="0.25">
      <c r="A28" s="8" t="s">
        <v>28</v>
      </c>
      <c r="B28" s="13">
        <f>E14</f>
        <v>2148.5601666666671</v>
      </c>
      <c r="C28" s="16"/>
      <c r="D28" s="16">
        <v>-11.119</v>
      </c>
      <c r="E28" s="13"/>
      <c r="F28" s="13">
        <f>(B28*D28)/100</f>
        <v>-238.8984049316667</v>
      </c>
      <c r="I28" s="17"/>
    </row>
    <row r="29" spans="1:12" x14ac:dyDescent="0.25">
      <c r="A29" s="8" t="s">
        <v>29</v>
      </c>
      <c r="B29" s="13">
        <f>E14</f>
        <v>2148.5601666666671</v>
      </c>
      <c r="C29" s="16">
        <v>-2.7519999999999998</v>
      </c>
      <c r="D29" s="16"/>
      <c r="E29" s="13">
        <f>(B29*C29)/100</f>
        <v>-59.128375786666673</v>
      </c>
      <c r="F29" s="13"/>
    </row>
    <row r="30" spans="1:12" x14ac:dyDescent="0.25">
      <c r="A30" s="8" t="s">
        <v>30</v>
      </c>
      <c r="B30" s="13">
        <f>E14</f>
        <v>2148.5601666666671</v>
      </c>
      <c r="C30" s="16"/>
      <c r="D30" s="16">
        <v>0.15</v>
      </c>
      <c r="E30" s="13"/>
      <c r="F30" s="13">
        <f t="shared" ref="F30:F35" si="1">(B30*D30)/100</f>
        <v>3.2228402500000004</v>
      </c>
    </row>
    <row r="31" spans="1:12" x14ac:dyDescent="0.25">
      <c r="A31" s="8" t="s">
        <v>31</v>
      </c>
      <c r="B31" s="13">
        <f>E14</f>
        <v>2148.5601666666671</v>
      </c>
      <c r="C31" s="16"/>
      <c r="D31" s="16">
        <v>1.6E-2</v>
      </c>
      <c r="E31" s="13"/>
      <c r="F31" s="13">
        <f t="shared" si="1"/>
        <v>0.34376962666666672</v>
      </c>
      <c r="I31" s="17"/>
    </row>
    <row r="32" spans="1:12" x14ac:dyDescent="0.25">
      <c r="A32" s="8" t="s">
        <v>32</v>
      </c>
      <c r="B32" s="13">
        <f>E14</f>
        <v>2148.5601666666671</v>
      </c>
      <c r="C32" s="16">
        <v>3.15</v>
      </c>
      <c r="D32" s="16">
        <v>4.72</v>
      </c>
      <c r="E32" s="13">
        <f>(B32*C32)/100</f>
        <v>67.679645250000007</v>
      </c>
      <c r="F32" s="13">
        <f t="shared" si="1"/>
        <v>101.41203986666667</v>
      </c>
    </row>
    <row r="33" spans="1:9" x14ac:dyDescent="0.25">
      <c r="A33" s="8" t="s">
        <v>33</v>
      </c>
      <c r="B33" s="13">
        <f>E14</f>
        <v>2148.5601666666671</v>
      </c>
      <c r="C33" s="16">
        <v>0.86</v>
      </c>
      <c r="D33" s="16">
        <v>1.29</v>
      </c>
      <c r="E33" s="13">
        <f>(B33*C33)/100</f>
        <v>18.477617433333336</v>
      </c>
      <c r="F33" s="13">
        <f t="shared" si="1"/>
        <v>27.716426150000007</v>
      </c>
    </row>
    <row r="34" spans="1:9" x14ac:dyDescent="0.25">
      <c r="A34" s="8" t="s">
        <v>34</v>
      </c>
      <c r="B34" s="13">
        <f>E14</f>
        <v>2148.5601666666671</v>
      </c>
      <c r="C34" s="16">
        <v>0.35</v>
      </c>
      <c r="D34" s="16">
        <v>0.35</v>
      </c>
      <c r="E34" s="13">
        <f>(B34*C34)/100</f>
        <v>7.5199605833333338</v>
      </c>
      <c r="F34" s="13">
        <f t="shared" si="1"/>
        <v>7.5199605833333338</v>
      </c>
      <c r="I34" s="17"/>
    </row>
    <row r="35" spans="1:9" x14ac:dyDescent="0.25">
      <c r="A35" s="8" t="s">
        <v>35</v>
      </c>
      <c r="B35" s="13">
        <f>E14</f>
        <v>2148.5601666666671</v>
      </c>
      <c r="C35" s="16">
        <v>2.5000000000000001E-2</v>
      </c>
      <c r="D35" s="16">
        <v>2.5000000000000001E-2</v>
      </c>
      <c r="E35" s="13">
        <f>(B35*C35)/100</f>
        <v>0.53714004166666685</v>
      </c>
      <c r="F35" s="13">
        <f t="shared" si="1"/>
        <v>0.53714004166666685</v>
      </c>
    </row>
    <row r="36" spans="1:9" x14ac:dyDescent="0.25">
      <c r="A36" s="8"/>
      <c r="B36" s="13"/>
      <c r="C36" s="16"/>
      <c r="D36" s="16"/>
      <c r="E36" s="13"/>
      <c r="F36" s="13"/>
    </row>
    <row r="37" spans="1:9" x14ac:dyDescent="0.25">
      <c r="A37" s="8" t="s">
        <v>36</v>
      </c>
      <c r="B37" s="13"/>
      <c r="C37" s="16"/>
      <c r="D37" s="16"/>
      <c r="E37" s="18">
        <f>(E14*61.657)/100</f>
        <v>1324.7377419616669</v>
      </c>
      <c r="F37" s="13"/>
      <c r="I37" s="17"/>
    </row>
    <row r="38" spans="1:9" x14ac:dyDescent="0.25">
      <c r="A38" s="8"/>
      <c r="B38" s="13"/>
      <c r="C38" s="16"/>
      <c r="D38" s="16"/>
      <c r="E38" s="13"/>
      <c r="F38" s="13"/>
    </row>
    <row r="39" spans="1:9" x14ac:dyDescent="0.25">
      <c r="A39" s="8" t="s">
        <v>37</v>
      </c>
      <c r="B39" s="13">
        <f>E14</f>
        <v>2148.5601666666671</v>
      </c>
      <c r="C39" s="16"/>
      <c r="D39" s="16">
        <v>0.55000000000000004</v>
      </c>
      <c r="E39" s="13"/>
      <c r="F39" s="13">
        <f>(B39*D39)/100</f>
        <v>11.81708091666667</v>
      </c>
    </row>
    <row r="40" spans="1:9" x14ac:dyDescent="0.25">
      <c r="A40" s="8"/>
      <c r="B40" s="13"/>
      <c r="C40" s="16"/>
      <c r="D40" s="16"/>
      <c r="E40" s="13"/>
      <c r="F40" s="13"/>
    </row>
    <row r="41" spans="1:9" x14ac:dyDescent="0.25">
      <c r="A41" s="8"/>
      <c r="B41" s="13"/>
      <c r="C41" s="16"/>
      <c r="D41" s="16"/>
      <c r="E41" s="13"/>
      <c r="F41" s="13"/>
    </row>
    <row r="42" spans="1:9" x14ac:dyDescent="0.25">
      <c r="A42" s="8"/>
      <c r="B42" s="13"/>
      <c r="C42" s="16"/>
      <c r="D42" s="16"/>
      <c r="E42" s="13"/>
      <c r="F42" s="13"/>
    </row>
    <row r="43" spans="1:9" x14ac:dyDescent="0.25">
      <c r="A43" s="19"/>
      <c r="B43" s="20"/>
      <c r="C43" s="21"/>
      <c r="D43" s="21"/>
      <c r="E43" s="20"/>
      <c r="F43" s="20"/>
    </row>
    <row r="44" spans="1:9" ht="4.5" customHeight="1" x14ac:dyDescent="0.25">
      <c r="C44" s="17"/>
      <c r="D44" s="17"/>
      <c r="E44" s="22"/>
      <c r="F44" s="22"/>
    </row>
    <row r="45" spans="1:9" x14ac:dyDescent="0.25">
      <c r="A45" s="66" t="s">
        <v>38</v>
      </c>
      <c r="B45" s="67"/>
      <c r="C45" s="67"/>
      <c r="D45" s="68"/>
      <c r="E45" s="23">
        <f>SUM(E15:E35)</f>
        <v>396.69404039075221</v>
      </c>
      <c r="F45" s="23">
        <f>SUM(F15:F39)</f>
        <v>556.7349103866668</v>
      </c>
    </row>
    <row r="46" spans="1:9" ht="4.5" customHeight="1" x14ac:dyDescent="0.25">
      <c r="C46" s="17"/>
      <c r="D46" s="17"/>
      <c r="E46" s="22"/>
      <c r="F46" s="22"/>
    </row>
    <row r="47" spans="1:9" x14ac:dyDescent="0.25">
      <c r="A47" s="69" t="s">
        <v>39</v>
      </c>
      <c r="B47" s="70"/>
      <c r="C47" s="70"/>
      <c r="D47" s="70"/>
      <c r="E47" s="71"/>
      <c r="F47" s="24">
        <f>E14-E45</f>
        <v>1751.8661262759149</v>
      </c>
    </row>
    <row r="48" spans="1:9" ht="4.5" customHeight="1" x14ac:dyDescent="0.25">
      <c r="F48" s="25"/>
    </row>
    <row r="49" spans="1:6" x14ac:dyDescent="0.25">
      <c r="A49" s="69" t="s">
        <v>40</v>
      </c>
      <c r="B49" s="70"/>
      <c r="C49" s="70"/>
      <c r="D49" s="70"/>
      <c r="E49" s="71"/>
      <c r="F49" s="26">
        <f>(E14*1.88)/100</f>
        <v>40.392931133333342</v>
      </c>
    </row>
    <row r="50" spans="1:6" ht="4.5" customHeight="1" x14ac:dyDescent="0.25"/>
    <row r="51" spans="1:6" x14ac:dyDescent="0.25">
      <c r="A51" s="27" t="s">
        <v>41</v>
      </c>
      <c r="B51" s="27" t="s">
        <v>42</v>
      </c>
      <c r="C51" s="72" t="s">
        <v>43</v>
      </c>
      <c r="D51" s="73"/>
      <c r="E51" s="74"/>
      <c r="F51" s="27" t="s">
        <v>4</v>
      </c>
    </row>
    <row r="52" spans="1:6" x14ac:dyDescent="0.25">
      <c r="A52" s="27" t="s">
        <v>44</v>
      </c>
      <c r="B52" s="23">
        <f>E37</f>
        <v>1324.7377419616669</v>
      </c>
      <c r="C52" s="75">
        <v>0</v>
      </c>
      <c r="D52" s="76"/>
      <c r="E52" s="77"/>
      <c r="F52" s="23">
        <f>B52*C52</f>
        <v>0</v>
      </c>
    </row>
    <row r="53" spans="1:6" ht="4.5" customHeight="1" x14ac:dyDescent="0.25">
      <c r="B53" s="22"/>
    </row>
    <row r="54" spans="1:6" x14ac:dyDescent="0.25">
      <c r="C54" s="63" t="s">
        <v>45</v>
      </c>
      <c r="D54" s="63"/>
      <c r="E54" s="63"/>
      <c r="F54" s="24">
        <f>F47-F52</f>
        <v>1751.8661262759149</v>
      </c>
    </row>
  </sheetData>
  <mergeCells count="12">
    <mergeCell ref="F1:F2"/>
    <mergeCell ref="C54:E54"/>
    <mergeCell ref="A1:A2"/>
    <mergeCell ref="B1:B2"/>
    <mergeCell ref="C1:C2"/>
    <mergeCell ref="D1:D2"/>
    <mergeCell ref="E1:E2"/>
    <mergeCell ref="A45:D45"/>
    <mergeCell ref="A47:E47"/>
    <mergeCell ref="A49:E49"/>
    <mergeCell ref="C51:E51"/>
    <mergeCell ref="C52:E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JUIN</vt:lpstr>
      <vt:lpstr>RÉCAP JUIN</vt:lpstr>
      <vt:lpstr>PAIE JUIN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 GLOAN</dc:creator>
  <cp:lastModifiedBy>Anthony LE GLOAN</cp:lastModifiedBy>
  <dcterms:created xsi:type="dcterms:W3CDTF">2022-06-10T06:17:33Z</dcterms:created>
  <dcterms:modified xsi:type="dcterms:W3CDTF">2022-06-10T16:16:02Z</dcterms:modified>
</cp:coreProperties>
</file>