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Energie GES\"/>
    </mc:Choice>
  </mc:AlternateContent>
  <xr:revisionPtr revIDLastSave="0" documentId="13_ncr:1_{F4064E3F-9881-4FF5-A063-A0BC76DD17FD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tableau de bord" sheetId="1" r:id="rId1"/>
    <sheet name="base de données" sheetId="2" r:id="rId2"/>
    <sheet name="Listes" sheetId="3" r:id="rId3"/>
    <sheet name="Facteurs Kaya" sheetId="4" r:id="rId4"/>
    <sheet name="Trajectoires énergie-climat" sheetId="5" r:id="rId5"/>
    <sheet name="BEGES 2012 VS etat des lieux 20" sheetId="6" r:id="rId6"/>
  </sheets>
  <calcPr calcId="191029" iterateDelta="1E-4"/>
</workbook>
</file>

<file path=xl/calcChain.xml><?xml version="1.0" encoding="utf-8"?>
<calcChain xmlns="http://schemas.openxmlformats.org/spreadsheetml/2006/main">
  <c r="E15" i="4" l="1"/>
  <c r="E6" i="4"/>
  <c r="G5" i="6"/>
  <c r="F5" i="6"/>
  <c r="E5" i="6"/>
  <c r="F4" i="6"/>
  <c r="E4" i="6"/>
  <c r="F3" i="6"/>
  <c r="E3" i="6"/>
  <c r="A56" i="5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F55" i="5"/>
  <c r="E55" i="5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C55" i="5"/>
  <c r="C56" i="5" s="1"/>
  <c r="A55" i="5"/>
  <c r="F54" i="5"/>
  <c r="Q46" i="5"/>
  <c r="O46" i="5"/>
  <c r="P27" i="5"/>
  <c r="N27" i="5"/>
  <c r="K27" i="5"/>
  <c r="I27" i="5"/>
  <c r="P26" i="5"/>
  <c r="N26" i="5"/>
  <c r="K26" i="5"/>
  <c r="I26" i="5"/>
  <c r="P25" i="5"/>
  <c r="N25" i="5"/>
  <c r="K25" i="5"/>
  <c r="I25" i="5"/>
  <c r="P24" i="5"/>
  <c r="N24" i="5"/>
  <c r="N22" i="5" s="1"/>
  <c r="K24" i="5"/>
  <c r="I24" i="5"/>
  <c r="P23" i="5"/>
  <c r="N23" i="5"/>
  <c r="K23" i="5"/>
  <c r="J23" i="5"/>
  <c r="I23" i="5"/>
  <c r="I22" i="5" s="1"/>
  <c r="P22" i="5"/>
  <c r="G22" i="5"/>
  <c r="K22" i="5" s="1"/>
  <c r="P21" i="5"/>
  <c r="N21" i="5"/>
  <c r="K21" i="5"/>
  <c r="I21" i="5"/>
  <c r="P20" i="5"/>
  <c r="N20" i="5"/>
  <c r="K20" i="5"/>
  <c r="I20" i="5"/>
  <c r="P19" i="5"/>
  <c r="N19" i="5"/>
  <c r="K19" i="5"/>
  <c r="I19" i="5"/>
  <c r="P18" i="5"/>
  <c r="N18" i="5"/>
  <c r="K18" i="5"/>
  <c r="I18" i="5"/>
  <c r="P17" i="5"/>
  <c r="N17" i="5"/>
  <c r="N16" i="5" s="1"/>
  <c r="O16" i="5" s="1"/>
  <c r="K17" i="5"/>
  <c r="I17" i="5"/>
  <c r="I16" i="5"/>
  <c r="J16" i="5" s="1"/>
  <c r="H16" i="5"/>
  <c r="P16" i="5" s="1"/>
  <c r="G16" i="5"/>
  <c r="K16" i="5" s="1"/>
  <c r="C8" i="5"/>
  <c r="D8" i="5" s="1"/>
  <c r="D7" i="5"/>
  <c r="C7" i="5"/>
  <c r="C6" i="5"/>
  <c r="D6" i="5" s="1"/>
  <c r="H4" i="5"/>
  <c r="I4" i="5" s="1"/>
  <c r="H3" i="5"/>
  <c r="H6" i="5" s="1"/>
  <c r="R11" i="4"/>
  <c r="R13" i="4" s="1"/>
  <c r="J17" i="4" s="1"/>
  <c r="Q11" i="4"/>
  <c r="Q13" i="4" s="1"/>
  <c r="E17" i="4" s="1"/>
  <c r="L6" i="4"/>
  <c r="K6" i="4"/>
  <c r="I6" i="4"/>
  <c r="U5" i="4"/>
  <c r="P5" i="4"/>
  <c r="R5" i="4" s="1"/>
  <c r="L5" i="4"/>
  <c r="K5" i="4"/>
  <c r="I5" i="4"/>
  <c r="U4" i="4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3" i="1"/>
  <c r="A2" i="1"/>
  <c r="Q12" i="4" l="1"/>
  <c r="E8" i="4" s="1"/>
  <c r="E3" i="2" s="1"/>
  <c r="F3" i="1" s="1"/>
  <c r="R7" i="4"/>
  <c r="J15" i="4" s="1"/>
  <c r="R6" i="4"/>
  <c r="J6" i="4" s="1"/>
  <c r="O22" i="5"/>
  <c r="N28" i="5"/>
  <c r="J4" i="5"/>
  <c r="J22" i="5"/>
  <c r="G3" i="2"/>
  <c r="F56" i="5"/>
  <c r="C57" i="5"/>
  <c r="H3" i="1"/>
  <c r="Q5" i="4"/>
  <c r="I3" i="5"/>
  <c r="J3" i="5" s="1"/>
  <c r="V3" i="5" s="1"/>
  <c r="H7" i="5"/>
  <c r="P28" i="5"/>
  <c r="R12" i="4"/>
  <c r="J8" i="4" s="1"/>
  <c r="T3" i="5"/>
  <c r="H5" i="5"/>
  <c r="U3" i="5" l="1"/>
  <c r="T8" i="5" s="1"/>
  <c r="J6" i="5"/>
  <c r="J7" i="5"/>
  <c r="G44" i="5"/>
  <c r="G40" i="5"/>
  <c r="G36" i="5"/>
  <c r="H43" i="5"/>
  <c r="H39" i="5"/>
  <c r="H35" i="5"/>
  <c r="G43" i="5"/>
  <c r="G39" i="5"/>
  <c r="G35" i="5"/>
  <c r="H42" i="5"/>
  <c r="H38" i="5"/>
  <c r="H34" i="5"/>
  <c r="G42" i="5"/>
  <c r="G38" i="5"/>
  <c r="G34" i="5"/>
  <c r="H45" i="5"/>
  <c r="H41" i="5"/>
  <c r="H37" i="5"/>
  <c r="G45" i="5"/>
  <c r="G41" i="5"/>
  <c r="G37" i="5"/>
  <c r="H44" i="5"/>
  <c r="H40" i="5"/>
  <c r="K2" i="1" s="1"/>
  <c r="H36" i="5"/>
  <c r="C58" i="5"/>
  <c r="F57" i="5"/>
  <c r="J5" i="5"/>
  <c r="I5" i="5"/>
  <c r="Q7" i="4"/>
  <c r="Q6" i="4"/>
  <c r="I7" i="5"/>
  <c r="I6" i="5"/>
  <c r="N45" i="5" l="1"/>
  <c r="O45" i="5" s="1"/>
  <c r="P44" i="5"/>
  <c r="Q44" i="5" s="1"/>
  <c r="K42" i="5"/>
  <c r="L42" i="5" s="1"/>
  <c r="N41" i="5"/>
  <c r="O41" i="5" s="1"/>
  <c r="P40" i="5"/>
  <c r="K38" i="5"/>
  <c r="L38" i="5" s="1"/>
  <c r="N37" i="5"/>
  <c r="O37" i="5" s="1"/>
  <c r="P36" i="5"/>
  <c r="Q36" i="5" s="1"/>
  <c r="K34" i="5"/>
  <c r="L34" i="5" s="1"/>
  <c r="K45" i="5"/>
  <c r="L45" i="5" s="1"/>
  <c r="N44" i="5"/>
  <c r="O44" i="5" s="1"/>
  <c r="P43" i="5"/>
  <c r="Q43" i="5" s="1"/>
  <c r="K41" i="5"/>
  <c r="L41" i="5" s="1"/>
  <c r="N40" i="5"/>
  <c r="P39" i="5"/>
  <c r="Q39" i="5" s="1"/>
  <c r="K37" i="5"/>
  <c r="L37" i="5" s="1"/>
  <c r="N36" i="5"/>
  <c r="O36" i="5" s="1"/>
  <c r="P35" i="5"/>
  <c r="Q35" i="5" s="1"/>
  <c r="K44" i="5"/>
  <c r="L44" i="5" s="1"/>
  <c r="N43" i="5"/>
  <c r="O43" i="5" s="1"/>
  <c r="P42" i="5"/>
  <c r="Q42" i="5" s="1"/>
  <c r="K40" i="5"/>
  <c r="N39" i="5"/>
  <c r="O39" i="5" s="1"/>
  <c r="P38" i="5"/>
  <c r="Q38" i="5" s="1"/>
  <c r="K36" i="5"/>
  <c r="L36" i="5" s="1"/>
  <c r="N35" i="5"/>
  <c r="O35" i="5" s="1"/>
  <c r="P34" i="5"/>
  <c r="Q34" i="5" s="1"/>
  <c r="P45" i="5"/>
  <c r="Q45" i="5" s="1"/>
  <c r="K43" i="5"/>
  <c r="L43" i="5" s="1"/>
  <c r="N42" i="5"/>
  <c r="O42" i="5" s="1"/>
  <c r="P41" i="5"/>
  <c r="Q41" i="5" s="1"/>
  <c r="K39" i="5"/>
  <c r="L39" i="5" s="1"/>
  <c r="N38" i="5"/>
  <c r="O38" i="5" s="1"/>
  <c r="P37" i="5"/>
  <c r="Q37" i="5" s="1"/>
  <c r="K35" i="5"/>
  <c r="L35" i="5" s="1"/>
  <c r="N34" i="5"/>
  <c r="O34" i="5" s="1"/>
  <c r="I43" i="5"/>
  <c r="J43" i="5" s="1"/>
  <c r="I39" i="5"/>
  <c r="J39" i="5" s="1"/>
  <c r="I35" i="5"/>
  <c r="J35" i="5" s="1"/>
  <c r="I42" i="5"/>
  <c r="J42" i="5" s="1"/>
  <c r="I38" i="5"/>
  <c r="J38" i="5" s="1"/>
  <c r="I34" i="5"/>
  <c r="J34" i="5" s="1"/>
  <c r="I45" i="5"/>
  <c r="J45" i="5" s="1"/>
  <c r="I41" i="5"/>
  <c r="J41" i="5" s="1"/>
  <c r="I37" i="5"/>
  <c r="J37" i="5" s="1"/>
  <c r="I44" i="5"/>
  <c r="J44" i="5" s="1"/>
  <c r="I40" i="5"/>
  <c r="I36" i="5"/>
  <c r="J36" i="5" s="1"/>
  <c r="T4" i="5"/>
  <c r="T5" i="5" s="1"/>
  <c r="N2" i="1"/>
  <c r="F58" i="5"/>
  <c r="C59" i="5"/>
  <c r="E2" i="2"/>
  <c r="F2" i="1" s="1"/>
  <c r="L2" i="1" s="1"/>
  <c r="G2" i="2"/>
  <c r="H2" i="1" s="1"/>
  <c r="O2" i="1" s="1"/>
  <c r="U8" i="5"/>
  <c r="O40" i="5" l="1"/>
  <c r="N46" i="5"/>
  <c r="E5" i="4"/>
  <c r="M2" i="1"/>
  <c r="G1" i="1"/>
  <c r="E14" i="4"/>
  <c r="U4" i="5"/>
  <c r="U5" i="5" s="1"/>
  <c r="J40" i="5"/>
  <c r="P2" i="1"/>
  <c r="L40" i="5"/>
  <c r="V4" i="5"/>
  <c r="V5" i="5" s="1"/>
  <c r="J14" i="4"/>
  <c r="J5" i="4"/>
  <c r="K7" i="4" s="1"/>
  <c r="Q40" i="5"/>
  <c r="P46" i="5"/>
  <c r="I1" i="1"/>
  <c r="C60" i="5"/>
  <c r="F59" i="5"/>
  <c r="F18" i="4" l="1"/>
  <c r="H3" i="2" s="1"/>
  <c r="I3" i="1" s="1"/>
  <c r="F16" i="4"/>
  <c r="H2" i="2" s="1"/>
  <c r="I2" i="1" s="1"/>
  <c r="K18" i="4"/>
  <c r="K16" i="4"/>
  <c r="F9" i="4"/>
  <c r="F7" i="4"/>
  <c r="F60" i="5"/>
  <c r="C61" i="5"/>
  <c r="C62" i="5" l="1"/>
  <c r="F61" i="5"/>
  <c r="F2" i="2"/>
  <c r="G2" i="1" s="1"/>
  <c r="F3" i="2"/>
  <c r="G3" i="1" s="1"/>
  <c r="F62" i="5" l="1"/>
  <c r="C63" i="5"/>
  <c r="C64" i="5" l="1"/>
  <c r="F63" i="5"/>
  <c r="F64" i="5" l="1"/>
  <c r="C65" i="5"/>
  <c r="C66" i="5" l="1"/>
  <c r="F65" i="5"/>
  <c r="F66" i="5" l="1"/>
  <c r="C67" i="5"/>
  <c r="C68" i="5" l="1"/>
  <c r="F67" i="5"/>
  <c r="F68" i="5" l="1"/>
  <c r="C69" i="5"/>
  <c r="C70" i="5" l="1"/>
  <c r="F69" i="5"/>
  <c r="F70" i="5" l="1"/>
  <c r="C71" i="5"/>
  <c r="C72" i="5" l="1"/>
  <c r="F71" i="5"/>
  <c r="F72" i="5" l="1"/>
  <c r="C73" i="5"/>
  <c r="C74" i="5" l="1"/>
  <c r="F73" i="5"/>
  <c r="F74" i="5" l="1"/>
  <c r="C75" i="5"/>
  <c r="C76" i="5" l="1"/>
  <c r="F75" i="5"/>
  <c r="F76" i="5" l="1"/>
  <c r="C77" i="5"/>
  <c r="C78" i="5" l="1"/>
  <c r="F77" i="5"/>
  <c r="F78" i="5" l="1"/>
  <c r="C79" i="5"/>
  <c r="C80" i="5" l="1"/>
  <c r="F79" i="5"/>
  <c r="F80" i="5" l="1"/>
  <c r="C81" i="5"/>
  <c r="C82" i="5" l="1"/>
  <c r="F81" i="5"/>
  <c r="F82" i="5" l="1"/>
  <c r="C83" i="5"/>
  <c r="C84" i="5" l="1"/>
  <c r="F84" i="5" s="1"/>
  <c r="G84" i="5" s="1"/>
  <c r="F83" i="5"/>
</calcChain>
</file>

<file path=xl/sharedStrings.xml><?xml version="1.0" encoding="utf-8"?>
<sst xmlns="http://schemas.openxmlformats.org/spreadsheetml/2006/main" count="264" uniqueCount="152">
  <si>
    <t>Secteur</t>
  </si>
  <si>
    <t>Périmètre</t>
  </si>
  <si>
    <t>Action</t>
  </si>
  <si>
    <t>Taux de réalisation de l'action</t>
  </si>
  <si>
    <t>Evolution des besoins en énergie (MWh/an)</t>
  </si>
  <si>
    <t>Evolution des rejets de GES (t eq CO2/an)</t>
  </si>
  <si>
    <t>Consommation estimée en 2019 Mwh/an</t>
  </si>
  <si>
    <t>Réductions de consommation liées aux actions mises en place MWh/an</t>
  </si>
  <si>
    <t>Budget énergétique en 2030 Mwh/an</t>
  </si>
  <si>
    <t>Emissions estimées en 2019 t eq CO2/an</t>
  </si>
  <si>
    <t>Réduction des émissions liée aux actions mises en place t eq CO2/an</t>
  </si>
  <si>
    <t>Budget carbone estimée en 2030 t eq CO2/an</t>
  </si>
  <si>
    <t>Bâtiment</t>
  </si>
  <si>
    <t>Patrimoine Communal</t>
  </si>
  <si>
    <t>BBC</t>
  </si>
  <si>
    <t>Commune</t>
  </si>
  <si>
    <t>Alimentation</t>
  </si>
  <si>
    <t>Cuisine Centrale</t>
  </si>
  <si>
    <t>Végétalienne conventionnelle vers végétalienne bio</t>
  </si>
  <si>
    <t>Transport</t>
  </si>
  <si>
    <t>Flotte De Véhicules</t>
  </si>
  <si>
    <t>Motorisation thermique vers électrique</t>
  </si>
  <si>
    <t>Photovoltaïque</t>
  </si>
  <si>
    <t>Toitures individuelles</t>
  </si>
  <si>
    <t xml:space="preserve">Exploitation des 50 hectares de toitures bien exposées </t>
  </si>
  <si>
    <t>Périmètre &amp; Action</t>
  </si>
  <si>
    <t>action</t>
  </si>
  <si>
    <t xml:space="preserve">Contribution aux objectifs énergétiques du PCAET pour 2030 </t>
  </si>
  <si>
    <t xml:space="preserve">Contribution aux objectifs GES du PCAET pour 2030 </t>
  </si>
  <si>
    <t>Facteurs de Kaya</t>
  </si>
  <si>
    <t>Démographie</t>
  </si>
  <si>
    <t>Revenu par habitant</t>
  </si>
  <si>
    <t>Variation du revenu par habitant entre 2019 et 2030</t>
  </si>
  <si>
    <t>Pérmètres des secteurs</t>
  </si>
  <si>
    <t>Actions associées aux secteurs eux-mêmes associés à un périmètre</t>
  </si>
  <si>
    <t>Bâtiment Patrimoine Communal</t>
  </si>
  <si>
    <t>Facteurs de Kaya Démographie</t>
  </si>
  <si>
    <t>Facteurs de Kaya Revenu par habitant</t>
  </si>
  <si>
    <t>Bâtiment Commune</t>
  </si>
  <si>
    <t>Alimentation Cuisine Centrale</t>
  </si>
  <si>
    <t>Alimentation Commune</t>
  </si>
  <si>
    <t>Transport Flotte De Véhicules</t>
  </si>
  <si>
    <t>Transport Commune</t>
  </si>
  <si>
    <t>Photovoltaïque Toitures individuelles</t>
  </si>
  <si>
    <t xml:space="preserve">Eclairage public LED </t>
  </si>
  <si>
    <t>Eclairage LED bâtiments</t>
  </si>
  <si>
    <t>Conventionnelle vers locale</t>
  </si>
  <si>
    <t>VE</t>
  </si>
  <si>
    <t>Carnée conventionnelle vers carnée bio</t>
  </si>
  <si>
    <t>GNV</t>
  </si>
  <si>
    <t>Mairie</t>
  </si>
  <si>
    <t>Nuit noire</t>
  </si>
  <si>
    <t>Réduction de masse</t>
  </si>
  <si>
    <t>Carnée conventionnelle vers végétalienne conventionnelle</t>
  </si>
  <si>
    <t>OBJECTIFS énergie</t>
  </si>
  <si>
    <t xml:space="preserve">Déclinaison Bidart PCAET 2030 </t>
  </si>
  <si>
    <t xml:space="preserve">Déclinaison Bidart PCAET 2050 </t>
  </si>
  <si>
    <t>Tous secteurs</t>
  </si>
  <si>
    <t xml:space="preserve">Données </t>
  </si>
  <si>
    <t>Valeur prévue (MWh/an)</t>
  </si>
  <si>
    <t>Réduction entre 2019 et 2030 (MWh/an)</t>
  </si>
  <si>
    <t>Vitesse de réduction entre 2019 et 2030 (%/an)</t>
  </si>
  <si>
    <t>Taux de réduction des secteurs entre 2019 et 2030 (%)</t>
  </si>
  <si>
    <t>Réduction entre 2019 et 2050 (MWh/an)</t>
  </si>
  <si>
    <t>Taux de réduction des secteurs entre 2019 et 2050 (%)</t>
  </si>
  <si>
    <t>Variation de la population entre 2019 et …</t>
  </si>
  <si>
    <t>Consommation énergétique d'un habitant de la CAPB en 2019 MWh/an.habitant</t>
  </si>
  <si>
    <t>Population</t>
  </si>
  <si>
    <t>Emission de Ges d'un habitant de la CAPB en 2019 t eq CO2/an.habitant</t>
  </si>
  <si>
    <t>ACTIONS</t>
  </si>
  <si>
    <t>Variation des consommations énergétiques par rapport à 2019 MWh/an</t>
  </si>
  <si>
    <t xml:space="preserve">Contribution de l'action à l'objectif : </t>
  </si>
  <si>
    <t>Variation des émissions par rapport à 2019 en t eq CO2/an</t>
  </si>
  <si>
    <t>Augmentation de 100% du revenu par habitant</t>
  </si>
  <si>
    <t>Variation du revenu par habitant entre 2019 et …</t>
  </si>
  <si>
    <t>OBJECTIFS GES</t>
  </si>
  <si>
    <t>Salaire moyen (source JDN)</t>
  </si>
  <si>
    <t>Valeur prévue (t eq CO2/an)</t>
  </si>
  <si>
    <t>Réduction entre 2019 et 2030 (t eq CO2/an)</t>
  </si>
  <si>
    <t>Réduction entre 2019 et 2050 (t eq CO2/an)</t>
  </si>
  <si>
    <t>Augmentation de 100% du revenu par habitan</t>
  </si>
  <si>
    <t>VARIABLES</t>
  </si>
  <si>
    <t>Années</t>
  </si>
  <si>
    <t>CAPB</t>
  </si>
  <si>
    <t>Bidart</t>
  </si>
  <si>
    <t xml:space="preserve"> par habitant</t>
  </si>
  <si>
    <t xml:space="preserve">Population </t>
  </si>
  <si>
    <t>Population CAPB</t>
  </si>
  <si>
    <t>Taux de croissance démographique annuel 2020 à 2030</t>
  </si>
  <si>
    <t>Population Bidart</t>
  </si>
  <si>
    <t>Taux de croissance démographique 2030 à 2050</t>
  </si>
  <si>
    <t>% de la population de la CAPB vivant à Bidart</t>
  </si>
  <si>
    <t>Rapport Bidart/CAPB</t>
  </si>
  <si>
    <t>GES  (t eq CO2/an) périmètre territoire</t>
  </si>
  <si>
    <t>Objectifs en MWh/an.habitant</t>
  </si>
  <si>
    <t>Emission par habitant t eq CO2/hab.an</t>
  </si>
  <si>
    <t>GES  (t eq CO2/an) périmètre empreinte</t>
  </si>
  <si>
    <t>Objectif en t eq CO2/an.habitant</t>
  </si>
  <si>
    <t>Energie  (MWh/an) périmètre territoire</t>
  </si>
  <si>
    <t>.</t>
  </si>
  <si>
    <t>Valeurs prévues GES 2030</t>
  </si>
  <si>
    <t>Valeurs prévues GES 2050</t>
  </si>
  <si>
    <t>Valeurs prévues énergie 2030</t>
  </si>
  <si>
    <t>Valeurs prévues énergie 2050</t>
  </si>
  <si>
    <t>Source</t>
  </si>
  <si>
    <t>Scénario</t>
  </si>
  <si>
    <t>secteur</t>
  </si>
  <si>
    <t>Année de référence</t>
  </si>
  <si>
    <t>GES émis (kt eq CO2/an)</t>
  </si>
  <si>
    <t>Energie finale (GWh/an)</t>
  </si>
  <si>
    <t>kt eq CO2/an</t>
  </si>
  <si>
    <t>%</t>
  </si>
  <si>
    <t>GWh/an</t>
  </si>
  <si>
    <t>PCAET</t>
  </si>
  <si>
    <t>tendanciel</t>
  </si>
  <si>
    <t>Tous</t>
  </si>
  <si>
    <t>Résidentiel</t>
  </si>
  <si>
    <t>Tertiaire</t>
  </si>
  <si>
    <t>Agricole</t>
  </si>
  <si>
    <t>Industriel</t>
  </si>
  <si>
    <t>"Trajectoire Basque"</t>
  </si>
  <si>
    <t xml:space="preserve">Production EnR </t>
  </si>
  <si>
    <t>BIDART</t>
  </si>
  <si>
    <t>objectifs GES 2030</t>
  </si>
  <si>
    <t>Objectif GES 2050</t>
  </si>
  <si>
    <t>Objectif énergie 2030</t>
  </si>
  <si>
    <t>Objectif énergie 2050</t>
  </si>
  <si>
    <t>GES émis (t eq CO2/an)</t>
  </si>
  <si>
    <t>Energie finale (MWh/an)</t>
  </si>
  <si>
    <t>t eq CO2/an</t>
  </si>
  <si>
    <t>MWh/an</t>
  </si>
  <si>
    <t xml:space="preserve">Conversion des scénarii du PCAET de l'échelle de 300 000 habitants à une échelle de 6800 habitants </t>
  </si>
  <si>
    <t>Production EnR</t>
  </si>
  <si>
    <t>Année</t>
  </si>
  <si>
    <t>Taux de croissance annuelle</t>
  </si>
  <si>
    <t>pop Bidart</t>
  </si>
  <si>
    <t>Taux de croissance annuel</t>
  </si>
  <si>
    <t>Pop CAPB</t>
  </si>
  <si>
    <t>Part de Bidart dans la pop de la CAPB</t>
  </si>
  <si>
    <t>Données BEGES 2012</t>
  </si>
  <si>
    <t>Valeurs calculées 2020</t>
  </si>
  <si>
    <t>Tendanciel</t>
  </si>
  <si>
    <t>Scénario Grenelle +</t>
  </si>
  <si>
    <t>Bâtiments du patrimoine public de Bidart</t>
  </si>
  <si>
    <t>Services techniques</t>
  </si>
  <si>
    <t>Consommation d’énergie (2008/2020)</t>
  </si>
  <si>
    <t>Part des EnR dans la consommation d’énergie</t>
  </si>
  <si>
    <t>Emissions de GES (par rapport à 1990)</t>
  </si>
  <si>
    <t xml:space="preserve">Augmentation de la population de 1 habitant </t>
  </si>
  <si>
    <t>Augmentation de la population de 1 habitant</t>
  </si>
  <si>
    <t>Empreinte carbone d'un français (source : MTES) t eq CO2/an</t>
  </si>
  <si>
    <t>Variation de la population entre 2019 et 2030 (habitants)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</si>
</sst>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\ %"/>
    <numFmt numFmtId="165" formatCode="0.0\ %"/>
    <numFmt numFmtId="166" formatCode="0.0"/>
    <numFmt numFmtId="167" formatCode="0.00\ %"/>
    <numFmt numFmtId="168" formatCode="0.0%"/>
    <numFmt numFmtId="169" formatCode="0.00000"/>
    <numFmt numFmtId="172" formatCode="\+\ #,###&quot; &quot;&quot;habitants&quot;;\-\ #,###&quot; &quot;&quot;habitants&quot;"/>
  </numFmts>
  <fonts count="20" x14ac:knownFonts="1">
    <font>
      <sz val="11"/>
      <color indexed="64"/>
      <name val="Calibri"/>
    </font>
    <font>
      <b/>
      <sz val="11"/>
      <color rgb="FF4472C4"/>
      <name val="Calibri"/>
    </font>
    <font>
      <b/>
      <sz val="11"/>
      <color rgb="FFED7D31"/>
      <name val="Calibri"/>
    </font>
    <font>
      <sz val="11"/>
      <color rgb="FF2F5597"/>
      <name val="Calibri"/>
    </font>
    <font>
      <sz val="11"/>
      <color rgb="FFED7D31"/>
      <name val="Calibri"/>
    </font>
    <font>
      <b/>
      <sz val="11"/>
      <color indexed="64"/>
      <name val="Calibri"/>
    </font>
    <font>
      <b/>
      <sz val="20"/>
      <color indexed="64"/>
      <name val="Calibri"/>
    </font>
    <font>
      <b/>
      <sz val="12"/>
      <color indexed="64"/>
      <name val="Calibri"/>
    </font>
    <font>
      <sz val="11"/>
      <color rgb="FF00B050"/>
      <name val="Calibri"/>
    </font>
    <font>
      <b/>
      <sz val="22"/>
      <color indexed="64"/>
      <name val="Calibri"/>
    </font>
    <font>
      <b/>
      <sz val="12"/>
      <color rgb="FF00B050"/>
      <name val="Calibri"/>
    </font>
    <font>
      <u/>
      <sz val="11"/>
      <color theme="10"/>
      <name val="Calibri"/>
    </font>
    <font>
      <sz val="16"/>
      <color indexed="64"/>
      <name val="Calibri"/>
    </font>
    <font>
      <u/>
      <sz val="11"/>
      <color rgb="FF0563C1"/>
      <name val="Calibri"/>
    </font>
    <font>
      <u/>
      <sz val="9"/>
      <color rgb="FF0563C1"/>
      <name val="Calibri"/>
    </font>
    <font>
      <sz val="13"/>
      <color indexed="64"/>
      <name val="Calibri"/>
    </font>
    <font>
      <sz val="11"/>
      <color indexed="64"/>
      <name val="Calibri"/>
    </font>
    <font>
      <sz val="11"/>
      <color rgb="FF2F5597"/>
      <name val="Calibri"/>
      <family val="2"/>
    </font>
    <font>
      <sz val="11"/>
      <color indexed="64"/>
      <name val="Calibri"/>
      <family val="2"/>
    </font>
    <font>
      <b/>
      <sz val="11"/>
      <color indexed="64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E7E6E6"/>
        <bgColor rgb="FFDEE6EF"/>
      </patternFill>
    </fill>
    <fill>
      <patternFill patternType="solid">
        <fgColor rgb="FFDAE3F3"/>
        <bgColor rgb="FFDEE6EF"/>
      </patternFill>
    </fill>
    <fill>
      <patternFill patternType="solid">
        <fgColor indexed="65"/>
        <bgColor rgb="FFF2F2F2"/>
      </patternFill>
    </fill>
    <fill>
      <patternFill patternType="solid">
        <fgColor rgb="FFFBE5D6"/>
        <bgColor rgb="FFFEDCC6"/>
      </patternFill>
    </fill>
    <fill>
      <patternFill patternType="solid">
        <fgColor rgb="FFB4C7E7"/>
        <bgColor rgb="FFD0CECE"/>
      </patternFill>
    </fill>
    <fill>
      <patternFill patternType="solid">
        <fgColor rgb="FF1F4E79"/>
        <bgColor rgb="FF2F5597"/>
      </patternFill>
    </fill>
    <fill>
      <patternFill patternType="solid">
        <fgColor rgb="FFF8CBAD"/>
        <bgColor rgb="FFFCD3C1"/>
      </patternFill>
    </fill>
    <fill>
      <patternFill patternType="solid">
        <fgColor rgb="FFD0CECE"/>
        <bgColor rgb="FFD9D9D9"/>
      </patternFill>
    </fill>
    <fill>
      <patternFill patternType="solid">
        <fgColor rgb="FFFFE699"/>
        <bgColor rgb="FFFEDCC6"/>
      </patternFill>
    </fill>
    <fill>
      <patternFill patternType="solid">
        <fgColor rgb="FFFFF2CC"/>
        <bgColor rgb="FFFBE5D6"/>
      </patternFill>
    </fill>
    <fill>
      <patternFill patternType="solid">
        <fgColor rgb="FFC5E0B4"/>
        <bgColor rgb="FFD9D9D9"/>
      </patternFill>
    </fill>
    <fill>
      <patternFill patternType="solid">
        <fgColor rgb="FFE2F0D9"/>
        <bgColor rgb="FFE7E6E6"/>
      </patternFill>
    </fill>
    <fill>
      <patternFill patternType="solid">
        <fgColor rgb="FF203864"/>
        <bgColor indexed="56"/>
      </patternFill>
    </fill>
    <fill>
      <patternFill patternType="solid">
        <fgColor rgb="FFDDDDDD"/>
        <bgColor rgb="FFD9D9D9"/>
      </patternFill>
    </fill>
    <fill>
      <patternFill patternType="solid">
        <fgColor rgb="FFEEEEEE"/>
        <bgColor rgb="FFF2F2F2"/>
      </patternFill>
    </fill>
    <fill>
      <patternFill patternType="solid">
        <fgColor rgb="FFF04E4D"/>
        <bgColor rgb="FFEC7C30"/>
      </patternFill>
    </fill>
    <fill>
      <patternFill patternType="solid">
        <bgColor indexed="58"/>
      </patternFill>
    </fill>
    <fill>
      <patternFill patternType="solid">
        <fgColor rgb="FF00B274"/>
        <bgColor rgb="FF00B050"/>
      </patternFill>
    </fill>
  </fills>
  <borders count="31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rgb="FF4472C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4472C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6" fillId="0" borderId="0" applyBorder="0"/>
  </cellStyleXfs>
  <cellXfs count="27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  <xf numFmtId="164" fontId="3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65" fontId="3" fillId="3" borderId="1" xfId="1" applyNumberFormat="1" applyFont="1" applyFill="1" applyBorder="1" applyAlignment="1">
      <alignment horizontal="center"/>
    </xf>
    <xf numFmtId="165" fontId="3" fillId="3" borderId="2" xfId="1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wrapText="1"/>
    </xf>
    <xf numFmtId="164" fontId="3" fillId="4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165" fontId="3" fillId="4" borderId="2" xfId="1" applyNumberFormat="1" applyFont="1" applyFill="1" applyBorder="1" applyAlignment="1">
      <alignment horizontal="center"/>
    </xf>
    <xf numFmtId="165" fontId="3" fillId="4" borderId="1" xfId="1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wrapText="1"/>
    </xf>
    <xf numFmtId="1" fontId="3" fillId="3" borderId="4" xfId="0" applyNumberFormat="1" applyFont="1" applyFill="1" applyBorder="1" applyAlignment="1">
      <alignment horizontal="center"/>
    </xf>
    <xf numFmtId="165" fontId="3" fillId="3" borderId="4" xfId="1" applyNumberFormat="1" applyFont="1" applyFill="1" applyBorder="1" applyAlignment="1">
      <alignment horizontal="center"/>
    </xf>
    <xf numFmtId="165" fontId="3" fillId="3" borderId="5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6" fillId="0" borderId="0" xfId="1" applyNumberFormat="1" applyAlignment="1">
      <alignment horizontal="center"/>
    </xf>
    <xf numFmtId="0" fontId="0" fillId="0" borderId="0" xfId="0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165" fontId="4" fillId="2" borderId="8" xfId="1" applyNumberFormat="1" applyFont="1" applyFill="1" applyBorder="1" applyAlignment="1">
      <alignment horizontal="center" wrapText="1"/>
    </xf>
    <xf numFmtId="0" fontId="3" fillId="0" borderId="0" xfId="0" applyFont="1"/>
    <xf numFmtId="1" fontId="0" fillId="0" borderId="0" xfId="0" applyNumberFormat="1" applyAlignment="1">
      <alignment horizontal="center"/>
    </xf>
    <xf numFmtId="0" fontId="5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0" borderId="0" xfId="0" applyFont="1"/>
    <xf numFmtId="0" fontId="0" fillId="3" borderId="9" xfId="0" applyFill="1" applyBorder="1"/>
    <xf numFmtId="0" fontId="0" fillId="2" borderId="9" xfId="0" applyFill="1" applyBorder="1"/>
    <xf numFmtId="0" fontId="0" fillId="5" borderId="9" xfId="0" applyFill="1" applyBorder="1"/>
    <xf numFmtId="0" fontId="0" fillId="2" borderId="9" xfId="0" applyFill="1" applyBorder="1"/>
    <xf numFmtId="0" fontId="5" fillId="3" borderId="9" xfId="0" applyFont="1" applyFill="1" applyBorder="1"/>
    <xf numFmtId="0" fontId="0" fillId="0" borderId="0" xfId="0" applyAlignment="1">
      <alignment vertical="center"/>
    </xf>
    <xf numFmtId="0" fontId="0" fillId="0" borderId="10" xfId="0" applyBorder="1"/>
    <xf numFmtId="0" fontId="6" fillId="7" borderId="9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7" fillId="7" borderId="9" xfId="0" applyFont="1" applyFill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6" borderId="9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164" fontId="16" fillId="0" borderId="9" xfId="1" applyNumberFormat="1" applyBorder="1" applyAlignment="1">
      <alignment vertical="center"/>
    </xf>
    <xf numFmtId="9" fontId="16" fillId="0" borderId="9" xfId="1" applyNumberFormat="1" applyBorder="1" applyAlignment="1">
      <alignment vertical="center"/>
    </xf>
    <xf numFmtId="166" fontId="0" fillId="0" borderId="9" xfId="0" applyNumberFormat="1" applyBorder="1"/>
    <xf numFmtId="0" fontId="0" fillId="0" borderId="11" xfId="0" applyBorder="1" applyAlignment="1">
      <alignment wrapText="1"/>
    </xf>
    <xf numFmtId="1" fontId="0" fillId="6" borderId="12" xfId="0" applyNumberFormat="1" applyFill="1" applyBorder="1" applyAlignment="1">
      <alignment horizontal="center" vertical="center" wrapText="1"/>
    </xf>
    <xf numFmtId="167" fontId="8" fillId="6" borderId="12" xfId="0" applyNumberFormat="1" applyFont="1" applyFill="1" applyBorder="1" applyAlignment="1">
      <alignment horizontal="center" vertical="center" wrapText="1"/>
    </xf>
    <xf numFmtId="164" fontId="0" fillId="6" borderId="12" xfId="0" applyNumberFormat="1" applyFill="1" applyBorder="1" applyAlignment="1">
      <alignment horizontal="center" vertical="center" wrapText="1"/>
    </xf>
    <xf numFmtId="164" fontId="0" fillId="7" borderId="12" xfId="0" applyNumberFormat="1" applyFill="1" applyBorder="1" applyAlignment="1">
      <alignment horizontal="center" vertical="center" wrapText="1"/>
    </xf>
    <xf numFmtId="167" fontId="0" fillId="6" borderId="12" xfId="0" applyNumberFormat="1" applyFill="1" applyBorder="1" applyAlignment="1">
      <alignment horizontal="center" vertical="center" wrapText="1"/>
    </xf>
    <xf numFmtId="1" fontId="0" fillId="0" borderId="9" xfId="0" applyNumberFormat="1" applyBorder="1"/>
    <xf numFmtId="1" fontId="5" fillId="5" borderId="13" xfId="0" applyNumberFormat="1" applyFont="1" applyFill="1" applyBorder="1" applyAlignment="1">
      <alignment horizontal="center" vertical="center"/>
    </xf>
    <xf numFmtId="167" fontId="10" fillId="5" borderId="13" xfId="0" applyNumberFormat="1" applyFont="1" applyFill="1" applyBorder="1" applyAlignment="1">
      <alignment horizontal="center" vertical="center"/>
    </xf>
    <xf numFmtId="167" fontId="7" fillId="5" borderId="13" xfId="0" applyNumberFormat="1" applyFont="1" applyFill="1" applyBorder="1" applyAlignment="1">
      <alignment horizontal="center" vertical="center"/>
    </xf>
    <xf numFmtId="167" fontId="7" fillId="7" borderId="13" xfId="0" applyNumberFormat="1" applyFont="1" applyFill="1" applyBorder="1" applyAlignment="1">
      <alignment horizontal="center" vertical="center"/>
    </xf>
    <xf numFmtId="1" fontId="7" fillId="5" borderId="13" xfId="0" applyNumberFormat="1" applyFont="1" applyFill="1" applyBorder="1" applyAlignment="1">
      <alignment horizontal="center" vertical="center"/>
    </xf>
    <xf numFmtId="167" fontId="7" fillId="5" borderId="14" xfId="0" applyNumberFormat="1" applyFont="1" applyFill="1" applyBorder="1" applyAlignment="1">
      <alignment horizontal="center" vertical="center"/>
    </xf>
    <xf numFmtId="168" fontId="7" fillId="5" borderId="16" xfId="0" applyNumberFormat="1" applyFont="1" applyFill="1" applyBorder="1" applyAlignment="1">
      <alignment vertical="center"/>
    </xf>
    <xf numFmtId="168" fontId="7" fillId="5" borderId="17" xfId="0" applyNumberFormat="1" applyFont="1" applyFill="1" applyBorder="1" applyAlignment="1">
      <alignment vertical="center"/>
    </xf>
    <xf numFmtId="168" fontId="7" fillId="7" borderId="12" xfId="0" applyNumberFormat="1" applyFont="1" applyFill="1" applyBorder="1" applyAlignment="1">
      <alignment horizontal="center" vertical="center"/>
    </xf>
    <xf numFmtId="168" fontId="7" fillId="5" borderId="18" xfId="0" applyNumberFormat="1" applyFont="1" applyFill="1" applyBorder="1" applyAlignment="1">
      <alignment vertical="center"/>
    </xf>
    <xf numFmtId="168" fontId="7" fillId="5" borderId="13" xfId="0" applyNumberFormat="1" applyFont="1" applyFill="1" applyBorder="1" applyAlignment="1">
      <alignment horizontal="center" vertical="center"/>
    </xf>
    <xf numFmtId="168" fontId="7" fillId="7" borderId="13" xfId="0" applyNumberFormat="1" applyFont="1" applyFill="1" applyBorder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168" fontId="7" fillId="5" borderId="14" xfId="0" applyNumberFormat="1" applyFont="1" applyFill="1" applyBorder="1" applyAlignment="1">
      <alignment horizontal="center" vertical="center"/>
    </xf>
    <xf numFmtId="168" fontId="7" fillId="5" borderId="12" xfId="0" applyNumberFormat="1" applyFont="1" applyFill="1" applyBorder="1" applyAlignment="1">
      <alignment horizontal="left" vertical="center"/>
    </xf>
    <xf numFmtId="168" fontId="7" fillId="5" borderId="12" xfId="0" applyNumberFormat="1" applyFont="1" applyFill="1" applyBorder="1" applyAlignment="1">
      <alignment vertical="center"/>
    </xf>
    <xf numFmtId="0" fontId="0" fillId="0" borderId="20" xfId="0" applyBorder="1"/>
    <xf numFmtId="0" fontId="0" fillId="0" borderId="9" xfId="0" applyBorder="1" applyAlignment="1">
      <alignment vertical="center" wrapText="1"/>
    </xf>
    <xf numFmtId="9" fontId="16" fillId="0" borderId="9" xfId="1" applyNumberForma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" fontId="0" fillId="0" borderId="9" xfId="0" applyNumberFormat="1" applyBorder="1"/>
    <xf numFmtId="0" fontId="0" fillId="0" borderId="21" xfId="0" applyBorder="1"/>
    <xf numFmtId="0" fontId="0" fillId="0" borderId="22" xfId="0" applyBorder="1"/>
    <xf numFmtId="1" fontId="0" fillId="6" borderId="9" xfId="0" applyNumberFormat="1" applyFill="1" applyBorder="1" applyAlignment="1">
      <alignment horizontal="center" vertical="center" wrapText="1"/>
    </xf>
    <xf numFmtId="167" fontId="8" fillId="6" borderId="9" xfId="0" applyNumberFormat="1" applyFont="1" applyFill="1" applyBorder="1" applyAlignment="1">
      <alignment horizontal="center" vertical="center" wrapText="1"/>
    </xf>
    <xf numFmtId="164" fontId="0" fillId="6" borderId="9" xfId="0" applyNumberFormat="1" applyFill="1" applyBorder="1" applyAlignment="1">
      <alignment horizontal="center" vertical="center" wrapText="1"/>
    </xf>
    <xf numFmtId="164" fontId="0" fillId="7" borderId="9" xfId="0" applyNumberFormat="1" applyFill="1" applyBorder="1" applyAlignment="1">
      <alignment horizontal="center" vertical="center" wrapText="1"/>
    </xf>
    <xf numFmtId="1" fontId="7" fillId="2" borderId="9" xfId="0" applyNumberFormat="1" applyFont="1" applyFill="1" applyBorder="1" applyAlignment="1">
      <alignment horizontal="center" vertical="center"/>
    </xf>
    <xf numFmtId="167" fontId="10" fillId="2" borderId="9" xfId="0" applyNumberFormat="1" applyFont="1" applyFill="1" applyBorder="1" applyAlignment="1">
      <alignment horizontal="center" vertical="center"/>
    </xf>
    <xf numFmtId="167" fontId="7" fillId="2" borderId="9" xfId="0" applyNumberFormat="1" applyFont="1" applyFill="1" applyBorder="1" applyAlignment="1">
      <alignment horizontal="center" vertical="center"/>
    </xf>
    <xf numFmtId="166" fontId="7" fillId="7" borderId="9" xfId="0" applyNumberFormat="1" applyFont="1" applyFill="1" applyBorder="1" applyAlignment="1">
      <alignment horizontal="center" vertical="center"/>
    </xf>
    <xf numFmtId="168" fontId="7" fillId="2" borderId="23" xfId="0" applyNumberFormat="1" applyFont="1" applyFill="1" applyBorder="1" applyAlignment="1">
      <alignment horizontal="left" vertical="center"/>
    </xf>
    <xf numFmtId="168" fontId="7" fillId="2" borderId="24" xfId="0" applyNumberFormat="1" applyFont="1" applyFill="1" applyBorder="1" applyAlignment="1">
      <alignment vertical="center"/>
    </xf>
    <xf numFmtId="168" fontId="7" fillId="7" borderId="9" xfId="0" applyNumberFormat="1" applyFont="1" applyFill="1" applyBorder="1" applyAlignment="1">
      <alignment horizontal="center" vertical="center"/>
    </xf>
    <xf numFmtId="168" fontId="7" fillId="2" borderId="9" xfId="0" applyNumberFormat="1" applyFont="1" applyFill="1" applyBorder="1" applyAlignment="1">
      <alignment vertical="center"/>
    </xf>
    <xf numFmtId="1" fontId="7" fillId="2" borderId="9" xfId="1" applyNumberFormat="1" applyFont="1" applyFill="1" applyBorder="1" applyAlignment="1">
      <alignment horizontal="center" vertical="center"/>
    </xf>
    <xf numFmtId="168" fontId="7" fillId="2" borderId="9" xfId="0" applyNumberFormat="1" applyFont="1" applyFill="1" applyBorder="1" applyAlignment="1">
      <alignment horizontal="center" vertical="center"/>
    </xf>
    <xf numFmtId="2" fontId="7" fillId="2" borderId="9" xfId="0" applyNumberFormat="1" applyFont="1" applyFill="1" applyBorder="1" applyAlignment="1">
      <alignment horizontal="center" vertical="center"/>
    </xf>
    <xf numFmtId="168" fontId="7" fillId="2" borderId="23" xfId="0" applyNumberFormat="1" applyFont="1" applyFill="1" applyBorder="1" applyAlignment="1">
      <alignment vertical="center"/>
    </xf>
    <xf numFmtId="0" fontId="0" fillId="0" borderId="11" xfId="0" applyBorder="1"/>
    <xf numFmtId="0" fontId="0" fillId="0" borderId="6" xfId="0" applyBorder="1"/>
    <xf numFmtId="0" fontId="5" fillId="0" borderId="9" xfId="0" applyFont="1" applyBorder="1" applyAlignment="1">
      <alignment horizontal="center"/>
    </xf>
    <xf numFmtId="0" fontId="5" fillId="0" borderId="9" xfId="0" applyFont="1" applyBorder="1"/>
    <xf numFmtId="0" fontId="5" fillId="0" borderId="9" xfId="0" applyFont="1" applyBorder="1" applyAlignment="1">
      <alignment wrapText="1"/>
    </xf>
    <xf numFmtId="1" fontId="0" fillId="0" borderId="9" xfId="0" applyNumberFormat="1" applyBorder="1" applyAlignment="1">
      <alignment horizontal="center"/>
    </xf>
    <xf numFmtId="166" fontId="0" fillId="0" borderId="0" xfId="0" applyNumberFormat="1"/>
    <xf numFmtId="0" fontId="5" fillId="0" borderId="9" xfId="0" applyFont="1" applyBorder="1" applyAlignment="1">
      <alignment vertical="center" wrapText="1"/>
    </xf>
    <xf numFmtId="164" fontId="16" fillId="0" borderId="9" xfId="1" applyNumberForma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horizontal="center" wrapText="1"/>
    </xf>
    <xf numFmtId="167" fontId="0" fillId="0" borderId="9" xfId="0" applyNumberFormat="1" applyBorder="1" applyAlignment="1">
      <alignment horizontal="center"/>
    </xf>
    <xf numFmtId="164" fontId="16" fillId="0" borderId="0" xfId="1" applyNumberFormat="1"/>
    <xf numFmtId="166" fontId="0" fillId="0" borderId="9" xfId="0" applyNumberFormat="1" applyBorder="1" applyAlignment="1">
      <alignment horizontal="center"/>
    </xf>
    <xf numFmtId="169" fontId="0" fillId="0" borderId="9" xfId="0" applyNumberFormat="1" applyBorder="1"/>
    <xf numFmtId="167" fontId="0" fillId="0" borderId="0" xfId="0" applyNumberFormat="1"/>
    <xf numFmtId="0" fontId="5" fillId="0" borderId="21" xfId="0" applyFont="1" applyBorder="1" applyAlignment="1">
      <alignment wrapText="1"/>
    </xf>
    <xf numFmtId="0" fontId="0" fillId="0" borderId="21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0" fontId="5" fillId="0" borderId="0" xfId="0" applyFont="1" applyAlignment="1">
      <alignment wrapText="1"/>
    </xf>
    <xf numFmtId="166" fontId="0" fillId="0" borderId="0" xfId="0" applyNumberFormat="1" applyAlignment="1">
      <alignment horizontal="center"/>
    </xf>
    <xf numFmtId="0" fontId="0" fillId="7" borderId="21" xfId="0" applyFill="1" applyBorder="1" applyAlignment="1">
      <alignment horizontal="center"/>
    </xf>
    <xf numFmtId="0" fontId="0" fillId="6" borderId="9" xfId="0" applyFill="1" applyBorder="1"/>
    <xf numFmtId="0" fontId="0" fillId="6" borderId="9" xfId="0" applyFill="1" applyBorder="1" applyAlignment="1">
      <alignment wrapText="1"/>
    </xf>
    <xf numFmtId="0" fontId="0" fillId="6" borderId="26" xfId="0" applyFill="1" applyBorder="1" applyAlignment="1">
      <alignment wrapText="1"/>
    </xf>
    <xf numFmtId="0" fontId="0" fillId="9" borderId="28" xfId="0" applyFill="1" applyBorder="1" applyAlignment="1">
      <alignment horizontal="center" wrapText="1"/>
    </xf>
    <xf numFmtId="164" fontId="0" fillId="9" borderId="9" xfId="0" applyNumberFormat="1" applyFill="1" applyBorder="1" applyAlignment="1">
      <alignment horizontal="center" wrapText="1"/>
    </xf>
    <xf numFmtId="0" fontId="0" fillId="9" borderId="9" xfId="0" applyFill="1" applyBorder="1" applyAlignment="1">
      <alignment horizontal="center" wrapText="1"/>
    </xf>
    <xf numFmtId="0" fontId="0" fillId="9" borderId="29" xfId="0" applyFill="1" applyBorder="1" applyAlignment="1">
      <alignment horizontal="center" wrapText="1"/>
    </xf>
    <xf numFmtId="0" fontId="0" fillId="7" borderId="0" xfId="0" applyFill="1" applyAlignment="1">
      <alignment horizontal="center"/>
    </xf>
    <xf numFmtId="0" fontId="0" fillId="8" borderId="28" xfId="0" applyFill="1" applyBorder="1"/>
    <xf numFmtId="0" fontId="0" fillId="8" borderId="9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13" fillId="0" borderId="9" xfId="0" applyFont="1" applyBorder="1"/>
    <xf numFmtId="0" fontId="0" fillId="10" borderId="9" xfId="0" applyFill="1" applyBorder="1"/>
    <xf numFmtId="0" fontId="0" fillId="10" borderId="9" xfId="0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164" fontId="0" fillId="10" borderId="9" xfId="0" applyNumberFormat="1" applyFill="1" applyBorder="1" applyAlignment="1">
      <alignment horizontal="center"/>
    </xf>
    <xf numFmtId="1" fontId="0" fillId="10" borderId="9" xfId="0" applyNumberFormat="1" applyFill="1" applyBorder="1" applyAlignment="1">
      <alignment horizontal="center"/>
    </xf>
    <xf numFmtId="164" fontId="0" fillId="10" borderId="29" xfId="0" applyNumberFormat="1" applyFill="1" applyBorder="1" applyAlignment="1">
      <alignment horizontal="center"/>
    </xf>
    <xf numFmtId="1" fontId="0" fillId="10" borderId="28" xfId="0" applyNumberFormat="1" applyFill="1" applyBorder="1" applyAlignment="1">
      <alignment horizontal="center"/>
    </xf>
    <xf numFmtId="1" fontId="0" fillId="10" borderId="9" xfId="0" applyNumberFormat="1" applyFill="1" applyBorder="1"/>
    <xf numFmtId="164" fontId="0" fillId="10" borderId="29" xfId="0" applyNumberFormat="1" applyFill="1" applyBorder="1"/>
    <xf numFmtId="0" fontId="0" fillId="11" borderId="9" xfId="0" applyFill="1" applyBorder="1"/>
    <xf numFmtId="0" fontId="0" fillId="11" borderId="9" xfId="0" applyFill="1" applyBorder="1" applyAlignment="1">
      <alignment horizontal="center"/>
    </xf>
    <xf numFmtId="0" fontId="0" fillId="11" borderId="26" xfId="0" applyFill="1" applyBorder="1" applyAlignment="1">
      <alignment horizontal="center"/>
    </xf>
    <xf numFmtId="1" fontId="0" fillId="11" borderId="28" xfId="0" applyNumberFormat="1" applyFill="1" applyBorder="1" applyAlignment="1">
      <alignment horizontal="center"/>
    </xf>
    <xf numFmtId="164" fontId="0" fillId="11" borderId="9" xfId="0" applyNumberFormat="1" applyFill="1" applyBorder="1" applyAlignment="1">
      <alignment horizontal="center"/>
    </xf>
    <xf numFmtId="1" fontId="0" fillId="11" borderId="9" xfId="0" applyNumberFormat="1" applyFill="1" applyBorder="1" applyAlignment="1">
      <alignment horizontal="center"/>
    </xf>
    <xf numFmtId="164" fontId="0" fillId="11" borderId="29" xfId="0" applyNumberFormat="1" applyFill="1" applyBorder="1" applyAlignment="1">
      <alignment horizontal="center"/>
    </xf>
    <xf numFmtId="1" fontId="0" fillId="11" borderId="9" xfId="0" applyNumberFormat="1" applyFill="1" applyBorder="1"/>
    <xf numFmtId="164" fontId="0" fillId="11" borderId="29" xfId="0" applyNumberFormat="1" applyFill="1" applyBorder="1"/>
    <xf numFmtId="0" fontId="0" fillId="12" borderId="9" xfId="0" applyFill="1" applyBorder="1"/>
    <xf numFmtId="0" fontId="0" fillId="12" borderId="9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164" fontId="0" fillId="12" borderId="9" xfId="0" applyNumberFormat="1" applyFill="1" applyBorder="1" applyAlignment="1">
      <alignment horizontal="center"/>
    </xf>
    <xf numFmtId="1" fontId="0" fillId="12" borderId="9" xfId="0" applyNumberFormat="1" applyFill="1" applyBorder="1" applyAlignment="1">
      <alignment horizontal="center"/>
    </xf>
    <xf numFmtId="164" fontId="0" fillId="12" borderId="29" xfId="0" applyNumberFormat="1" applyFill="1" applyBorder="1" applyAlignment="1">
      <alignment horizontal="center"/>
    </xf>
    <xf numFmtId="1" fontId="0" fillId="12" borderId="28" xfId="0" applyNumberFormat="1" applyFill="1" applyBorder="1" applyAlignment="1">
      <alignment horizontal="center"/>
    </xf>
    <xf numFmtId="1" fontId="0" fillId="12" borderId="9" xfId="0" applyNumberFormat="1" applyFill="1" applyBorder="1"/>
    <xf numFmtId="164" fontId="0" fillId="12" borderId="29" xfId="0" applyNumberFormat="1" applyFill="1" applyBorder="1"/>
    <xf numFmtId="1" fontId="0" fillId="0" borderId="0" xfId="0" applyNumberFormat="1"/>
    <xf numFmtId="0" fontId="0" fillId="13" borderId="9" xfId="0" applyFill="1" applyBorder="1"/>
    <xf numFmtId="0" fontId="0" fillId="13" borderId="9" xfId="0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1" fontId="0" fillId="13" borderId="28" xfId="0" applyNumberFormat="1" applyFill="1" applyBorder="1" applyAlignment="1">
      <alignment horizontal="center"/>
    </xf>
    <xf numFmtId="164" fontId="0" fillId="13" borderId="9" xfId="0" applyNumberFormat="1" applyFill="1" applyBorder="1" applyAlignment="1">
      <alignment horizontal="center"/>
    </xf>
    <xf numFmtId="1" fontId="0" fillId="13" borderId="9" xfId="0" applyNumberFormat="1" applyFill="1" applyBorder="1" applyAlignment="1">
      <alignment horizontal="center"/>
    </xf>
    <xf numFmtId="164" fontId="0" fillId="13" borderId="29" xfId="0" applyNumberFormat="1" applyFill="1" applyBorder="1" applyAlignment="1">
      <alignment horizontal="center"/>
    </xf>
    <xf numFmtId="1" fontId="0" fillId="13" borderId="9" xfId="0" applyNumberFormat="1" applyFill="1" applyBorder="1"/>
    <xf numFmtId="164" fontId="0" fillId="13" borderId="29" xfId="0" applyNumberFormat="1" applyFill="1" applyBorder="1"/>
    <xf numFmtId="0" fontId="0" fillId="13" borderId="28" xfId="0" applyFill="1" applyBorder="1" applyAlignment="1">
      <alignment horizontal="center"/>
    </xf>
    <xf numFmtId="1" fontId="0" fillId="13" borderId="19" xfId="0" applyNumberFormat="1" applyFill="1" applyBorder="1" applyAlignment="1">
      <alignment horizontal="center"/>
    </xf>
    <xf numFmtId="164" fontId="0" fillId="13" borderId="12" xfId="0" applyNumberFormat="1" applyFill="1" applyBorder="1" applyAlignment="1">
      <alignment horizontal="center"/>
    </xf>
    <xf numFmtId="1" fontId="0" fillId="13" borderId="12" xfId="0" applyNumberFormat="1" applyFill="1" applyBorder="1" applyAlignment="1">
      <alignment horizontal="center"/>
    </xf>
    <xf numFmtId="164" fontId="0" fillId="13" borderId="18" xfId="0" applyNumberFormat="1" applyFill="1" applyBorder="1" applyAlignment="1">
      <alignment horizontal="center"/>
    </xf>
    <xf numFmtId="1" fontId="0" fillId="13" borderId="12" xfId="0" applyNumberFormat="1" applyFill="1" applyBorder="1"/>
    <xf numFmtId="164" fontId="0" fillId="13" borderId="18" xfId="0" applyNumberFormat="1" applyFill="1" applyBorder="1"/>
    <xf numFmtId="0" fontId="0" fillId="13" borderId="26" xfId="0" applyFill="1" applyBorder="1"/>
    <xf numFmtId="0" fontId="0" fillId="13" borderId="23" xfId="0" applyFill="1" applyBorder="1"/>
    <xf numFmtId="0" fontId="0" fillId="13" borderId="11" xfId="0" applyFill="1" applyBorder="1"/>
    <xf numFmtId="0" fontId="0" fillId="13" borderId="22" xfId="0" applyFill="1" applyBorder="1"/>
    <xf numFmtId="0" fontId="0" fillId="7" borderId="7" xfId="0" applyFill="1" applyBorder="1" applyAlignment="1">
      <alignment horizontal="center"/>
    </xf>
    <xf numFmtId="1" fontId="0" fillId="13" borderId="8" xfId="0" applyNumberFormat="1" applyFill="1" applyBorder="1"/>
    <xf numFmtId="164" fontId="0" fillId="13" borderId="8" xfId="0" applyNumberFormat="1" applyFill="1" applyBorder="1" applyAlignment="1">
      <alignment horizontal="center"/>
    </xf>
    <xf numFmtId="164" fontId="0" fillId="13" borderId="8" xfId="0" applyNumberFormat="1" applyFill="1" applyBorder="1"/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4" borderId="11" xfId="0" applyFill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1" fontId="0" fillId="10" borderId="26" xfId="0" applyNumberFormat="1" applyFill="1" applyBorder="1" applyAlignment="1">
      <alignment horizontal="center"/>
    </xf>
    <xf numFmtId="1" fontId="0" fillId="11" borderId="26" xfId="0" applyNumberFormat="1" applyFill="1" applyBorder="1" applyAlignment="1">
      <alignment horizontal="center"/>
    </xf>
    <xf numFmtId="1" fontId="0" fillId="12" borderId="26" xfId="0" applyNumberFormat="1" applyFill="1" applyBorder="1" applyAlignment="1">
      <alignment horizontal="center"/>
    </xf>
    <xf numFmtId="1" fontId="0" fillId="13" borderId="26" xfId="0" applyNumberFormat="1" applyFill="1" applyBorder="1" applyAlignment="1">
      <alignment horizontal="center"/>
    </xf>
    <xf numFmtId="0" fontId="0" fillId="14" borderId="0" xfId="0" applyFill="1" applyAlignment="1">
      <alignment horizontal="center"/>
    </xf>
    <xf numFmtId="164" fontId="0" fillId="13" borderId="11" xfId="0" applyNumberFormat="1" applyFill="1" applyBorder="1"/>
    <xf numFmtId="164" fontId="0" fillId="0" borderId="21" xfId="0" applyNumberFormat="1" applyBorder="1"/>
    <xf numFmtId="0" fontId="0" fillId="4" borderId="0" xfId="0" applyFill="1"/>
    <xf numFmtId="164" fontId="0" fillId="0" borderId="0" xfId="0" applyNumberFormat="1"/>
    <xf numFmtId="0" fontId="0" fillId="0" borderId="11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167" fontId="16" fillId="0" borderId="9" xfId="1" applyNumberFormat="1" applyBorder="1" applyAlignment="1">
      <alignment horizontal="center"/>
    </xf>
    <xf numFmtId="0" fontId="0" fillId="0" borderId="6" xfId="0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6" xfId="0" applyNumberFormat="1" applyBorder="1" applyAlignment="1">
      <alignment horizontal="center"/>
    </xf>
    <xf numFmtId="0" fontId="0" fillId="15" borderId="0" xfId="0" applyFill="1" applyAlignment="1">
      <alignment horizontal="center" wrapText="1"/>
    </xf>
    <xf numFmtId="0" fontId="5" fillId="15" borderId="3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right" vertical="center" wrapText="1"/>
    </xf>
    <xf numFmtId="167" fontId="15" fillId="16" borderId="3" xfId="0" applyNumberFormat="1" applyFont="1" applyFill="1" applyBorder="1" applyAlignment="1">
      <alignment horizontal="center" vertical="center" wrapText="1"/>
    </xf>
    <xf numFmtId="167" fontId="15" fillId="17" borderId="3" xfId="0" applyNumberFormat="1" applyFont="1" applyFill="1" applyBorder="1" applyAlignment="1">
      <alignment horizontal="center" vertical="center" wrapText="1"/>
    </xf>
    <xf numFmtId="167" fontId="15" fillId="4" borderId="3" xfId="0" applyNumberFormat="1" applyFont="1" applyFill="1" applyBorder="1" applyAlignment="1">
      <alignment horizontal="center" vertical="center" wrapText="1"/>
    </xf>
    <xf numFmtId="167" fontId="15" fillId="18" borderId="3" xfId="0" applyNumberFormat="1" applyFont="1" applyFill="1" applyBorder="1" applyAlignment="1">
      <alignment horizontal="center" vertical="center" wrapText="1"/>
    </xf>
    <xf numFmtId="167" fontId="0" fillId="4" borderId="0" xfId="0" applyNumberFormat="1" applyFill="1" applyAlignment="1">
      <alignment wrapText="1"/>
    </xf>
    <xf numFmtId="167" fontId="0" fillId="0" borderId="0" xfId="0" applyNumberFormat="1" applyAlignment="1">
      <alignment wrapText="1"/>
    </xf>
    <xf numFmtId="0" fontId="0" fillId="4" borderId="0" xfId="0" applyFill="1" applyAlignment="1">
      <alignment wrapText="1"/>
    </xf>
    <xf numFmtId="167" fontId="15" fillId="19" borderId="3" xfId="0" applyNumberFormat="1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165" fontId="3" fillId="3" borderId="1" xfId="1" applyNumberFormat="1" applyFont="1" applyFill="1" applyBorder="1" applyAlignment="1">
      <alignment horizontal="center" vertical="center"/>
    </xf>
    <xf numFmtId="165" fontId="3" fillId="3" borderId="2" xfId="1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65" fontId="3" fillId="4" borderId="2" xfId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9" fillId="9" borderId="9" xfId="0" applyFont="1" applyFill="1" applyBorder="1" applyAlignment="1">
      <alignment horizontal="center" vertical="center" textRotation="90" wrapText="1"/>
    </xf>
    <xf numFmtId="0" fontId="9" fillId="9" borderId="1" xfId="0" applyFont="1" applyFill="1" applyBorder="1" applyAlignment="1">
      <alignment horizontal="center" vertical="center" textRotation="90" wrapText="1"/>
    </xf>
    <xf numFmtId="0" fontId="5" fillId="9" borderId="9" xfId="0" applyFont="1" applyFill="1" applyBorder="1" applyAlignment="1">
      <alignment horizontal="center" vertical="center" wrapText="1"/>
    </xf>
    <xf numFmtId="168" fontId="7" fillId="2" borderId="23" xfId="0" applyNumberFormat="1" applyFont="1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 wrapText="1"/>
    </xf>
    <xf numFmtId="168" fontId="7" fillId="2" borderId="26" xfId="0" applyNumberFormat="1" applyFont="1" applyFill="1" applyBorder="1" applyAlignment="1">
      <alignment horizontal="center" vertical="center" wrapText="1"/>
    </xf>
    <xf numFmtId="168" fontId="7" fillId="2" borderId="26" xfId="0" applyNumberFormat="1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 textRotation="90" wrapText="1"/>
    </xf>
    <xf numFmtId="0" fontId="6" fillId="3" borderId="9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9" fillId="8" borderId="1" xfId="0" applyFont="1" applyFill="1" applyBorder="1" applyAlignment="1">
      <alignment horizontal="center" vertical="center" textRotation="90" wrapText="1"/>
    </xf>
    <xf numFmtId="0" fontId="5" fillId="8" borderId="9" xfId="0" applyFont="1" applyFill="1" applyBorder="1" applyAlignment="1">
      <alignment horizontal="center" vertical="center" wrapText="1"/>
    </xf>
    <xf numFmtId="168" fontId="7" fillId="5" borderId="15" xfId="0" applyNumberFormat="1" applyFont="1" applyFill="1" applyBorder="1" applyAlignment="1">
      <alignment horizontal="center" vertical="center" wrapText="1"/>
    </xf>
    <xf numFmtId="168" fontId="7" fillId="5" borderId="12" xfId="0" applyNumberFormat="1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 wrapText="1"/>
    </xf>
    <xf numFmtId="168" fontId="7" fillId="5" borderId="12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left" vertical="center" textRotation="90" wrapText="1"/>
    </xf>
    <xf numFmtId="0" fontId="14" fillId="0" borderId="20" xfId="0" applyFont="1" applyBorder="1" applyAlignment="1">
      <alignment horizontal="center" wrapText="1"/>
    </xf>
    <xf numFmtId="0" fontId="12" fillId="6" borderId="2" xfId="0" applyFont="1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0" applyNumberFormat="1"/>
    <xf numFmtId="0" fontId="0" fillId="0" borderId="0" xfId="0" applyFill="1" applyBorder="1"/>
    <xf numFmtId="0" fontId="0" fillId="0" borderId="0" xfId="0"/>
    <xf numFmtId="172" fontId="0" fillId="0" borderId="0" xfId="0" applyNumberFormat="1"/>
    <xf numFmtId="0" fontId="19" fillId="8" borderId="9" xfId="0" applyFont="1" applyFill="1" applyBorder="1" applyAlignment="1">
      <alignment horizontal="center" vertical="center" wrapText="1"/>
    </xf>
    <xf numFmtId="0" fontId="19" fillId="9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166" fontId="0" fillId="0" borderId="2" xfId="0" applyNumberFormat="1" applyBorder="1"/>
    <xf numFmtId="0" fontId="18" fillId="0" borderId="30" xfId="0" applyFont="1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0" xfId="0" applyBorder="1"/>
    <xf numFmtId="0" fontId="17" fillId="3" borderId="1" xfId="0" applyFont="1" applyFill="1" applyBorder="1" applyAlignment="1">
      <alignment wrapText="1"/>
    </xf>
    <xf numFmtId="0" fontId="18" fillId="5" borderId="9" xfId="0" applyFont="1" applyFill="1" applyBorder="1"/>
    <xf numFmtId="0" fontId="17" fillId="0" borderId="0" xfId="0" applyFont="1"/>
  </cellXfs>
  <cellStyles count="2">
    <cellStyle name="Normal" xfId="0" builtinId="0"/>
    <cellStyle name="Pourcentage" xfId="1" builtinId="5"/>
  </cellStyles>
  <dxfs count="25">
    <dxf>
      <numFmt numFmtId="174" formatCode="\+\ #,###&quot; habitants&quot;;\-\ #,###&quot; habitants&quot;"/>
    </dxf>
    <dxf>
      <numFmt numFmtId="8" formatCode="#,##0.00;[Red]\-#,##0.00"/>
    </dxf>
    <dxf>
      <numFmt numFmtId="171" formatCode="[$-40C]dddd\ d\ mmmm\ yyyy"/>
    </dxf>
    <dxf>
      <numFmt numFmtId="174" formatCode="\+\ #,###&quot; habitants&quot;;\-\ #,###&quot; habitants&quot;"/>
    </dxf>
    <dxf>
      <numFmt numFmtId="8" formatCode="#,##0.00;[Red]\-#,##0.00"/>
    </dxf>
    <dxf>
      <numFmt numFmtId="171" formatCode="[$-40C]dddd\ d\ mmmm\ yyyy"/>
    </dxf>
    <dxf>
      <numFmt numFmtId="174" formatCode="\+\ #,###&quot; habitants&quot;;\-\ #,###&quot; habitants&quot;"/>
    </dxf>
    <dxf>
      <numFmt numFmtId="174" formatCode="\+\ #,###&quot; habitants&quot;;\-\ #,###&quot; habitants&quot;"/>
    </dxf>
    <dxf>
      <numFmt numFmtId="8" formatCode="#,##0.00;[Red]\-#,##0.00"/>
    </dxf>
    <dxf>
      <numFmt numFmtId="171" formatCode="[$-40C]dddd\ d\ mmmm\ yyyy"/>
    </dxf>
    <dxf>
      <numFmt numFmtId="174" formatCode="\+\ #,###&quot; habitants&quot;;\-\ #,###&quot; habitants&quot;"/>
    </dxf>
    <dxf>
      <numFmt numFmtId="174" formatCode="\+\ #,###&quot; habitants&quot;;\-\ #,###&quot; habitants&quot;"/>
    </dxf>
    <dxf>
      <numFmt numFmtId="173" formatCode="\+\ #,###,&quot;habitants&quot;;\-\ #,###,&quot;habitants&quot;"/>
    </dxf>
    <dxf>
      <numFmt numFmtId="8" formatCode="#,##0.00;[Red]\-#,##0.00"/>
    </dxf>
    <dxf>
      <numFmt numFmtId="171" formatCode="[$-40C]dddd\ d\ mmmm\ yyyy"/>
    </dxf>
    <dxf>
      <numFmt numFmtId="171" formatCode="[$-40C]dddd\ d\ mmmm\ yyyy"/>
    </dxf>
    <dxf>
      <numFmt numFmtId="8" formatCode="#,##0.00;[Red]\-#,##0.00"/>
    </dxf>
    <dxf>
      <numFmt numFmtId="171" formatCode="[$-40C]dddd\ d\ mmmm\ yyyy"/>
    </dxf>
    <dxf>
      <numFmt numFmtId="8" formatCode="#,##0.00;[Red]\-#,##0.00"/>
    </dxf>
    <dxf>
      <numFmt numFmtId="171" formatCode="[$-40C]dddd\ d\ mmmm\ yyyy"/>
    </dxf>
    <dxf>
      <numFmt numFmtId="8" formatCode="#,##0.00;[Red]\-#,##0.00"/>
    </dxf>
    <dxf>
      <numFmt numFmtId="171" formatCode="[$-40C]dddd\ d\ mmmm\ yyyy"/>
    </dxf>
    <dxf>
      <numFmt numFmtId="8" formatCode="#,##0.00;[Red]\-#,##0.00"/>
    </dxf>
    <dxf>
      <numFmt numFmtId="171" formatCode="[$-40C]dddd\ d\ mmmm\ yyyy"/>
    </dxf>
    <dxf>
      <numFmt numFmtId="171" formatCode="[$-40C]dddd\ d\ mmmm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B1:H2">
  <autoFilter ref="B1:H2" xr:uid="{00000000-0009-0000-0100-000001000000}"/>
  <tableColumns count="7">
    <tableColumn id="1" xr3:uid="{00000000-0010-0000-0000-000001000000}" name="Secteur"/>
    <tableColumn id="2" xr3:uid="{00000000-0010-0000-0000-000002000000}" name="Périmètre"/>
    <tableColumn id="3" xr3:uid="{00000000-0010-0000-0000-000003000000}" name="action"/>
    <tableColumn id="4" xr3:uid="{00000000-0010-0000-0000-000004000000}" name="Evolution des besoins en énergie (MWh/an)"/>
    <tableColumn id="5" xr3:uid="{00000000-0010-0000-0000-000005000000}" name="Contribution aux objectifs énergétiques du PCAET pour 2030 "/>
    <tableColumn id="6" xr3:uid="{00000000-0010-0000-0000-000006000000}" name="Evolution des rejets de GES (t eq CO2/an)"/>
    <tableColumn id="7" xr3:uid="{00000000-0010-0000-0000-000007000000}" name="Contribution aux objectifs GES du PCAET pour 2030 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ransport" displayName="Transport" ref="J4:J5">
  <tableColumns count="1">
    <tableColumn id="1" xr3:uid="{00000000-0010-0000-0100-000001000000}" name="Eclairage LED bâtiment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ournaldunet.com/business/salaire/bidart/ville-64125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limataction-paysbasque.fr/library/userfiles/PCAET/Strategie_Plan_Climat_VF_(24_01_2020).pdf" TargetMode="External"/><Relationship Id="rId1" Type="http://schemas.openxmlformats.org/officeDocument/2006/relationships/hyperlink" Target="https://www.climataction-paysbasque.fr/library/userfiles/PCAET/Strategie_Plan_Climat_VF_(24_01_2020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C1" zoomScale="90" workbookViewId="0">
      <selection activeCell="E2" sqref="E2"/>
    </sheetView>
  </sheetViews>
  <sheetFormatPr baseColWidth="10" defaultColWidth="8.7265625" defaultRowHeight="14.5" x14ac:dyDescent="0.35"/>
  <cols>
    <col min="1" max="1" width="2.7265625" customWidth="1"/>
    <col min="2" max="2" width="18.54296875" bestFit="1" customWidth="1"/>
    <col min="3" max="3" width="21.6328125" bestFit="1" customWidth="1"/>
    <col min="4" max="4" width="25.54296875" bestFit="1" customWidth="1"/>
    <col min="5" max="5" width="17.26953125" bestFit="1" customWidth="1"/>
    <col min="6" max="6" width="17.81640625" bestFit="1" customWidth="1"/>
    <col min="7" max="7" width="24.7265625" bestFit="1" customWidth="1"/>
    <col min="8" max="8" width="16.7265625" bestFit="1" customWidth="1"/>
    <col min="9" max="9" width="22.1796875" bestFit="1" customWidth="1"/>
    <col min="10" max="10" width="8.54296875" bestFit="1" customWidth="1"/>
    <col min="11" max="16" width="14.1796875" bestFit="1" customWidth="1"/>
    <col min="17" max="17" width="10.453125" bestFit="1" customWidth="1"/>
    <col min="18" max="1025" width="8.54296875" bestFit="1" customWidth="1"/>
  </cols>
  <sheetData>
    <row r="1" spans="1:16" ht="87" x14ac:dyDescent="0.35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3" t="str">
        <f>"Contribution aux objectifs énergétiques du PCAET pour 2030"&amp;" (=réduction de "&amp;LEFT(SUM('Trajectoires énergie-climat'!H40,-'Trajectoires énergie-climat'!N40),5)&amp;" MWh/an)"</f>
        <v>Contribution aux objectifs énergétiques du PCAET pour 2030 (=réduction de 23257 MWh/an)</v>
      </c>
      <c r="H1" s="3" t="s">
        <v>5</v>
      </c>
      <c r="I1" s="4" t="str">
        <f>"Contribution aux objectifs GES du PCAET pour 2030"&amp;" (=réduction de "&amp;LEFT(SUM('Trajectoires énergie-climat'!G40-'Trajectoires énergie-climat'!I40),4)&amp;" t eq CO2/an)"</f>
        <v>Contribution aux objectifs GES du PCAET pour 2030 (=réduction de 9000 t eq CO2/an)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</row>
    <row r="2" spans="1:16" ht="43.5" x14ac:dyDescent="0.35">
      <c r="A2" t="str">
        <f t="shared" ref="A2:A3" si="0">B2&amp;" "&amp;C2&amp;" "&amp;D2</f>
        <v>Facteurs de Kaya Démographie Variation de la population entre 2019 et 2030 (habitants)</v>
      </c>
      <c r="B2" s="6" t="s">
        <v>29</v>
      </c>
      <c r="C2" s="6" t="s">
        <v>30</v>
      </c>
      <c r="D2" s="6" t="s">
        <v>151</v>
      </c>
      <c r="E2" s="6">
        <v>8</v>
      </c>
      <c r="F2" s="220">
        <f>VLOOKUP($A2,'base de données'!$A$2:$H$19,5,0)*E2</f>
        <v>166.34838709677419</v>
      </c>
      <c r="G2" s="221">
        <f>VLOOKUP($A2,'base de données'!$A$2:$H$19,6,0)*E2</f>
        <v>-7.1524511791946554E-3</v>
      </c>
      <c r="H2" s="220">
        <f>VLOOKUP($A2,'base de données'!$A$2:$H$19,7,0)*E2</f>
        <v>88</v>
      </c>
      <c r="I2" s="222">
        <f>VLOOKUP($A2,'base de données'!$A$2:$H$19,8,0)*E2</f>
        <v>-9.7776375965935927E-3</v>
      </c>
      <c r="K2" s="219">
        <f>'Trajectoires énergie-climat'!H40</f>
        <v>141396.12903225803</v>
      </c>
      <c r="L2" s="219" t="e">
        <f>SUM(F2:F30)</f>
        <v>#N/A</v>
      </c>
      <c r="M2" s="219">
        <f>'Trajectoires énergie-climat'!N40</f>
        <v>118138.5935483871</v>
      </c>
      <c r="N2" s="219">
        <f>'Trajectoires énergie-climat'!G40</f>
        <v>48367.741935483871</v>
      </c>
      <c r="O2" s="219" t="e">
        <f>SUM(H2:H30)</f>
        <v>#N/A</v>
      </c>
      <c r="P2" s="219">
        <f>'Trajectoires énergie-climat'!I40</f>
        <v>39367.612903225803</v>
      </c>
    </row>
    <row r="3" spans="1:16" ht="43.5" x14ac:dyDescent="0.35">
      <c r="A3" t="str">
        <f t="shared" si="0"/>
        <v>Facteurs de Kaya Revenu par habitant Variation de la population entre 2019 et 2030 (habitants)</v>
      </c>
      <c r="B3" s="6" t="s">
        <v>29</v>
      </c>
      <c r="C3" s="11" t="s">
        <v>31</v>
      </c>
      <c r="D3" s="269" t="s">
        <v>151</v>
      </c>
      <c r="E3" s="6">
        <v>8</v>
      </c>
      <c r="F3" s="223" t="e">
        <f>VLOOKUP($A3,'base de données'!$A$2:$H$19,5,0)*E3</f>
        <v>#N/A</v>
      </c>
      <c r="G3" s="224" t="e">
        <f>VLOOKUP($A3,'base de données'!$A$2:$H$19,6,0)*E3</f>
        <v>#N/A</v>
      </c>
      <c r="H3" s="225" t="e">
        <f>VLOOKUP($A3,'base de données'!$A$2:$H$19,7,0)*E3</f>
        <v>#N/A</v>
      </c>
      <c r="I3" s="226" t="e">
        <f>VLOOKUP($A3,'base de données'!$A$2:$H$19,8,0)*E3</f>
        <v>#N/A</v>
      </c>
    </row>
    <row r="4" spans="1:16" x14ac:dyDescent="0.35">
      <c r="B4" s="6"/>
      <c r="C4" s="6"/>
      <c r="D4" s="6"/>
      <c r="E4" s="7"/>
      <c r="F4" s="8"/>
      <c r="G4" s="9"/>
      <c r="H4" s="8"/>
      <c r="I4" s="10"/>
    </row>
    <row r="5" spans="1:16" x14ac:dyDescent="0.35">
      <c r="B5" s="11"/>
      <c r="C5" s="11"/>
      <c r="D5" s="11"/>
      <c r="E5" s="12"/>
      <c r="F5" s="13"/>
      <c r="G5" s="15"/>
      <c r="H5" s="13"/>
      <c r="I5" s="14"/>
    </row>
    <row r="6" spans="1:16" x14ac:dyDescent="0.35">
      <c r="B6" s="16"/>
      <c r="C6" s="16"/>
      <c r="D6" s="16"/>
      <c r="E6" s="7"/>
      <c r="F6" s="17"/>
      <c r="G6" s="18"/>
      <c r="H6" s="17"/>
      <c r="I6" s="19"/>
    </row>
    <row r="10" spans="1:16" x14ac:dyDescent="0.35">
      <c r="G10" s="260"/>
    </row>
    <row r="11" spans="1:16" x14ac:dyDescent="0.35">
      <c r="G11" s="259"/>
      <c r="H11" s="261"/>
      <c r="I11" s="258"/>
    </row>
    <row r="12" spans="1:16" x14ac:dyDescent="0.35">
      <c r="G12" s="259"/>
    </row>
  </sheetData>
  <conditionalFormatting sqref="G10:G12">
    <cfRule type="expression" dxfId="5" priority="5">
      <formula>$D$2="Variation de la population entre 2019 et 2030"</formula>
    </cfRule>
  </conditionalFormatting>
  <conditionalFormatting sqref="G9">
    <cfRule type="expression" dxfId="4" priority="4">
      <formula>$D$2="Variation de la population entre2019 et 2030"</formula>
    </cfRule>
  </conditionalFormatting>
  <conditionalFormatting sqref="E2:E3">
    <cfRule type="expression" dxfId="3" priority="2">
      <formula>IF(C2="Démographie",1,2)</formula>
    </cfRule>
  </conditionalFormatting>
  <dataValidations count="1">
    <dataValidation type="list" operator="equal" allowBlank="1" showErrorMessage="1" sqref="K2:P2 D4:D6" xr:uid="{0075007A-0057-4841-9DB7-00F9008C0005}"/>
  </dataValidations>
  <pageMargins left="0.70078740157480324" right="0.70078740157480324" top="0.75196850393700787" bottom="0.75196850393700787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equal" allowBlank="1" showErrorMessage="1" xr:uid="{00000000-0002-0000-0000-000000000000}">
          <x14:formula1>
            <xm:f>OFFSET(Listes!$A$3,1,MATCH(B2,Listes!$3:$3,0)-1,COUNTA(OFFSET(Listes!$A$3,1,MATCH(B2,Listes!$3:$3,0)-1,100,1)),1)</xm:f>
          </x14:formula1>
          <x14:formula2>
            <xm:f>0</xm:f>
          </x14:formula2>
          <xm:sqref>C2:C6</xm:sqref>
        </x14:dataValidation>
        <x14:dataValidation type="list" allowBlank="1" showInputMessage="1" showErrorMessage="1" xr:uid="{0BB77390-14CE-445D-8F6B-F2FA6D6B1D49}">
          <x14:formula1>
            <xm:f>OFFSET(Listes!$A$3,1,0,COUNTA(Listes!A:A)-1,1)</xm:f>
          </x14:formula1>
          <xm:sqref>B2:B3</xm:sqref>
        </x14:dataValidation>
        <x14:dataValidation type="list" operator="equal" allowBlank="1" showErrorMessage="1" xr:uid="{441B2096-A4CE-45A9-930F-CA676B8D886F}">
          <x14:formula1>
            <xm:f>OFFSET(Listes!$A$3,1,MATCH(B2&amp;" "&amp;C2,Listes!$3:$3,0)-1,COUNTA(OFFSET(Listes!$A$3,0,MATCH(B2&amp;" "&amp;C2,Listes!$3:$3,0)-1,100,1))-1,1)</xm:f>
          </x14:formula1>
          <xm:sqref>D2:D3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zoomScale="80" workbookViewId="0">
      <selection activeCell="D2" sqref="D2"/>
    </sheetView>
  </sheetViews>
  <sheetFormatPr baseColWidth="10" defaultColWidth="8.7265625" defaultRowHeight="14.5" x14ac:dyDescent="0.35"/>
  <cols>
    <col min="1" max="1" width="38.6328125" bestFit="1" customWidth="1"/>
    <col min="2" max="2" width="16.81640625" bestFit="1" customWidth="1"/>
    <col min="3" max="3" width="24.1796875" bestFit="1" customWidth="1"/>
    <col min="4" max="4" width="34.54296875" bestFit="1" customWidth="1"/>
    <col min="5" max="5" width="18.36328125" style="20" bestFit="1" customWidth="1"/>
    <col min="6" max="6" width="19.6328125" style="21" bestFit="1" customWidth="1"/>
    <col min="7" max="7" width="17.90625" style="20" bestFit="1" customWidth="1"/>
    <col min="8" max="8" width="22" style="21" bestFit="1" customWidth="1"/>
    <col min="9" max="1025" width="10.54296875" bestFit="1" customWidth="1"/>
  </cols>
  <sheetData>
    <row r="1" spans="1:8" ht="43.5" x14ac:dyDescent="0.35">
      <c r="A1" s="22" t="s">
        <v>25</v>
      </c>
      <c r="B1" s="23" t="s">
        <v>0</v>
      </c>
      <c r="C1" s="23" t="s">
        <v>1</v>
      </c>
      <c r="D1" s="24" t="s">
        <v>26</v>
      </c>
      <c r="E1" s="25" t="s">
        <v>4</v>
      </c>
      <c r="F1" s="26" t="s">
        <v>27</v>
      </c>
      <c r="G1" s="25" t="s">
        <v>5</v>
      </c>
      <c r="H1" s="26" t="s">
        <v>28</v>
      </c>
    </row>
    <row r="2" spans="1:8" x14ac:dyDescent="0.35">
      <c r="A2" t="str">
        <f>B2&amp;" "&amp;C2&amp; " "&amp;D2</f>
        <v>Facteurs de Kaya Démographie Variation de la population entre 2019 et 2030 (habitants)</v>
      </c>
      <c r="B2" s="27" t="s">
        <v>29</v>
      </c>
      <c r="C2" s="27" t="s">
        <v>30</v>
      </c>
      <c r="D2" s="271" t="s">
        <v>151</v>
      </c>
      <c r="E2" s="28">
        <f>'Facteurs Kaya'!E6</f>
        <v>20.793548387096774</v>
      </c>
      <c r="F2" s="21">
        <f>'Facteurs Kaya'!F7</f>
        <v>-8.9405639739933193E-4</v>
      </c>
      <c r="G2" s="28">
        <f>'Facteurs Kaya'!E15</f>
        <v>11</v>
      </c>
      <c r="H2" s="21">
        <f>'Facteurs Kaya'!F16</f>
        <v>-1.2222046995741991E-3</v>
      </c>
    </row>
    <row r="3" spans="1:8" x14ac:dyDescent="0.35">
      <c r="A3" t="str">
        <f t="shared" ref="A3:A18" si="0">B3&amp;" "&amp;C3&amp;" "&amp;D3</f>
        <v>Facteurs de Kaya Revenu par habitant Variation du revenu par habitant entre 2019 et 2030</v>
      </c>
      <c r="B3" s="27" t="s">
        <v>29</v>
      </c>
      <c r="C3" s="27" t="s">
        <v>31</v>
      </c>
      <c r="D3" s="27" t="s">
        <v>32</v>
      </c>
      <c r="E3" s="28">
        <f>'Facteurs Kaya'!E8</f>
        <v>141396.12903225806</v>
      </c>
      <c r="F3" s="21">
        <f>'Facteurs Kaya'!F7</f>
        <v>-8.9405639739933193E-4</v>
      </c>
      <c r="G3" s="28">
        <f>'Facteurs Kaya'!E17</f>
        <v>48367.741935483871</v>
      </c>
      <c r="H3" s="21">
        <f>'Facteurs Kaya'!F18</f>
        <v>-5.3741165001218603</v>
      </c>
    </row>
    <row r="4" spans="1:8" x14ac:dyDescent="0.35">
      <c r="A4" t="str">
        <f t="shared" si="0"/>
        <v xml:space="preserve">  </v>
      </c>
    </row>
    <row r="5" spans="1:8" x14ac:dyDescent="0.35">
      <c r="A5" t="str">
        <f t="shared" si="0"/>
        <v xml:space="preserve">  </v>
      </c>
    </row>
    <row r="6" spans="1:8" x14ac:dyDescent="0.35">
      <c r="A6" t="str">
        <f t="shared" si="0"/>
        <v xml:space="preserve">  </v>
      </c>
    </row>
    <row r="7" spans="1:8" x14ac:dyDescent="0.35">
      <c r="A7" t="str">
        <f t="shared" si="0"/>
        <v xml:space="preserve">  </v>
      </c>
    </row>
    <row r="8" spans="1:8" x14ac:dyDescent="0.35">
      <c r="A8" t="str">
        <f t="shared" si="0"/>
        <v xml:space="preserve">  </v>
      </c>
    </row>
    <row r="9" spans="1:8" x14ac:dyDescent="0.35">
      <c r="A9" t="str">
        <f t="shared" si="0"/>
        <v xml:space="preserve">  </v>
      </c>
    </row>
    <row r="10" spans="1:8" x14ac:dyDescent="0.35">
      <c r="A10" t="str">
        <f t="shared" si="0"/>
        <v xml:space="preserve">  </v>
      </c>
    </row>
    <row r="11" spans="1:8" x14ac:dyDescent="0.35">
      <c r="A11" t="str">
        <f t="shared" si="0"/>
        <v xml:space="preserve">  </v>
      </c>
    </row>
    <row r="12" spans="1:8" x14ac:dyDescent="0.35">
      <c r="A12" t="str">
        <f t="shared" si="0"/>
        <v xml:space="preserve">  </v>
      </c>
    </row>
    <row r="13" spans="1:8" x14ac:dyDescent="0.35">
      <c r="A13" t="str">
        <f t="shared" si="0"/>
        <v xml:space="preserve">  </v>
      </c>
    </row>
    <row r="14" spans="1:8" x14ac:dyDescent="0.35">
      <c r="A14" t="str">
        <f t="shared" si="0"/>
        <v xml:space="preserve">  </v>
      </c>
    </row>
    <row r="15" spans="1:8" x14ac:dyDescent="0.35">
      <c r="A15" t="str">
        <f t="shared" si="0"/>
        <v xml:space="preserve">  </v>
      </c>
    </row>
    <row r="16" spans="1:8" x14ac:dyDescent="0.35">
      <c r="A16" t="str">
        <f t="shared" si="0"/>
        <v xml:space="preserve">  </v>
      </c>
    </row>
    <row r="17" spans="1:1" x14ac:dyDescent="0.35">
      <c r="A17" t="str">
        <f t="shared" si="0"/>
        <v xml:space="preserve">  </v>
      </c>
    </row>
    <row r="18" spans="1:1" x14ac:dyDescent="0.35">
      <c r="A18" t="str">
        <f t="shared" si="0"/>
        <v xml:space="preserve">  </v>
      </c>
    </row>
  </sheetData>
  <pageMargins left="0.7" right="0.7" top="0.75" bottom="0.75" header="0.51180555555555496" footer="0.51180555555555496"/>
  <pageSetup paperSize="9" firstPageNumber="0" orientation="portrait" horizontalDpi="300" verticalDpi="300"/>
  <cellWatches>
    <cellWatch r="E2"/>
    <cellWatch r="F2"/>
    <cellWatch r="G2"/>
    <cellWatch r="H2"/>
    <cellWatch r="E3"/>
    <cellWatch r="F3"/>
    <cellWatch r="G3"/>
    <cellWatch r="H3"/>
  </cellWatche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37"/>
  <sheetViews>
    <sheetView topLeftCell="F1" zoomScale="80" workbookViewId="0">
      <selection activeCell="H5" sqref="H5"/>
    </sheetView>
  </sheetViews>
  <sheetFormatPr baseColWidth="10" defaultColWidth="8.7265625" defaultRowHeight="14.5" x14ac:dyDescent="0.35"/>
  <cols>
    <col min="1" max="1" width="21.36328125" bestFit="1" customWidth="1"/>
    <col min="2" max="2" width="20.90625" bestFit="1" customWidth="1"/>
    <col min="3" max="3" width="15.7265625" bestFit="1" customWidth="1"/>
    <col min="4" max="4" width="18" bestFit="1" customWidth="1"/>
    <col min="5" max="5" width="21.7265625" bestFit="1" customWidth="1"/>
    <col min="6" max="9" width="39.453125" bestFit="1" customWidth="1"/>
    <col min="10" max="10" width="22.81640625" bestFit="1" customWidth="1"/>
    <col min="11" max="11" width="33.26953125" bestFit="1" customWidth="1"/>
    <col min="12" max="12" width="24.54296875" bestFit="1" customWidth="1"/>
    <col min="13" max="13" width="29.36328125" bestFit="1" customWidth="1"/>
    <col min="14" max="14" width="20.36328125" bestFit="1" customWidth="1"/>
    <col min="15" max="16" width="27.90625" bestFit="1" customWidth="1"/>
    <col min="17" max="17" width="21.6328125" bestFit="1" customWidth="1"/>
    <col min="18" max="18" width="27.36328125" bestFit="1" customWidth="1"/>
    <col min="19" max="19" width="19.453125" bestFit="1" customWidth="1"/>
    <col min="20" max="20" width="5.54296875" bestFit="1" customWidth="1"/>
    <col min="21" max="21" width="11.7265625" bestFit="1" customWidth="1"/>
    <col min="22" max="1025" width="10.54296875" bestFit="1" customWidth="1"/>
  </cols>
  <sheetData>
    <row r="2" spans="1:20" x14ac:dyDescent="0.35">
      <c r="B2" s="227" t="s">
        <v>33</v>
      </c>
      <c r="C2" s="227"/>
      <c r="D2" s="227"/>
      <c r="E2" s="29"/>
      <c r="F2" s="29"/>
      <c r="G2" s="228" t="s">
        <v>34</v>
      </c>
      <c r="H2" s="228"/>
      <c r="I2" s="228"/>
      <c r="J2" s="228"/>
      <c r="K2" s="228"/>
      <c r="L2" s="228"/>
      <c r="M2" s="228"/>
      <c r="N2" s="228"/>
      <c r="O2" s="30"/>
    </row>
    <row r="3" spans="1:20" x14ac:dyDescent="0.35">
      <c r="A3" s="31" t="s">
        <v>0</v>
      </c>
      <c r="B3" s="31" t="s">
        <v>12</v>
      </c>
      <c r="C3" s="31" t="s">
        <v>16</v>
      </c>
      <c r="D3" s="31" t="s">
        <v>19</v>
      </c>
      <c r="E3" s="31" t="s">
        <v>29</v>
      </c>
      <c r="F3" s="31" t="s">
        <v>22</v>
      </c>
      <c r="G3" s="31" t="s">
        <v>35</v>
      </c>
      <c r="H3" s="31" t="s">
        <v>36</v>
      </c>
      <c r="I3" s="31" t="s">
        <v>37</v>
      </c>
      <c r="J3" s="31" t="s">
        <v>38</v>
      </c>
      <c r="K3" s="31" t="s">
        <v>39</v>
      </c>
      <c r="L3" s="31" t="s">
        <v>40</v>
      </c>
      <c r="M3" s="31" t="s">
        <v>41</v>
      </c>
      <c r="N3" s="31" t="s">
        <v>42</v>
      </c>
      <c r="O3" s="31" t="s">
        <v>43</v>
      </c>
    </row>
    <row r="4" spans="1:20" x14ac:dyDescent="0.35">
      <c r="A4" s="32" t="s">
        <v>12</v>
      </c>
      <c r="B4" s="33" t="s">
        <v>13</v>
      </c>
      <c r="C4" s="33" t="s">
        <v>17</v>
      </c>
      <c r="D4" s="33" t="s">
        <v>20</v>
      </c>
      <c r="E4" s="33" t="s">
        <v>30</v>
      </c>
      <c r="F4" s="33" t="s">
        <v>23</v>
      </c>
      <c r="G4" s="34" t="s">
        <v>44</v>
      </c>
      <c r="H4" s="270" t="s">
        <v>151</v>
      </c>
      <c r="I4" s="270" t="s">
        <v>32</v>
      </c>
      <c r="J4" s="34" t="s">
        <v>45</v>
      </c>
      <c r="K4" s="34" t="s">
        <v>46</v>
      </c>
      <c r="L4" s="34" t="s">
        <v>46</v>
      </c>
      <c r="M4" s="34" t="s">
        <v>21</v>
      </c>
      <c r="N4" s="34" t="s">
        <v>47</v>
      </c>
      <c r="O4" s="34" t="s">
        <v>24</v>
      </c>
    </row>
    <row r="5" spans="1:20" x14ac:dyDescent="0.35">
      <c r="A5" s="32" t="s">
        <v>16</v>
      </c>
      <c r="B5" s="33" t="s">
        <v>15</v>
      </c>
      <c r="C5" s="33" t="s">
        <v>15</v>
      </c>
      <c r="D5" s="33" t="s">
        <v>15</v>
      </c>
      <c r="E5" s="35" t="s">
        <v>31</v>
      </c>
      <c r="F5" s="33"/>
      <c r="G5" s="34" t="s">
        <v>14</v>
      </c>
      <c r="H5" s="34"/>
      <c r="I5" s="34"/>
      <c r="J5" s="34" t="s">
        <v>14</v>
      </c>
      <c r="K5" s="34" t="s">
        <v>48</v>
      </c>
      <c r="L5" s="34" t="s">
        <v>48</v>
      </c>
      <c r="M5" s="34" t="s">
        <v>49</v>
      </c>
      <c r="N5" s="34" t="s">
        <v>49</v>
      </c>
      <c r="O5" s="34"/>
    </row>
    <row r="6" spans="1:20" x14ac:dyDescent="0.35">
      <c r="A6" s="32" t="s">
        <v>19</v>
      </c>
      <c r="B6" s="33" t="s">
        <v>50</v>
      </c>
      <c r="C6" s="33"/>
      <c r="D6" s="33"/>
      <c r="E6" s="33"/>
      <c r="F6" s="33"/>
      <c r="G6" s="34" t="s">
        <v>51</v>
      </c>
      <c r="H6" s="34"/>
      <c r="I6" s="34"/>
      <c r="J6" s="34"/>
      <c r="K6" s="34" t="s">
        <v>18</v>
      </c>
      <c r="L6" s="34" t="s">
        <v>18</v>
      </c>
      <c r="M6" s="34" t="s">
        <v>52</v>
      </c>
      <c r="N6" s="34" t="s">
        <v>52</v>
      </c>
      <c r="O6" s="34"/>
      <c r="Q6">
        <v>1</v>
      </c>
      <c r="R6">
        <v>1</v>
      </c>
      <c r="S6">
        <v>1</v>
      </c>
      <c r="T6">
        <v>1</v>
      </c>
    </row>
    <row r="7" spans="1:20" x14ac:dyDescent="0.35">
      <c r="A7" s="32" t="s">
        <v>29</v>
      </c>
      <c r="B7" s="33"/>
      <c r="C7" s="33"/>
      <c r="D7" s="33"/>
      <c r="E7" s="33"/>
      <c r="F7" s="33"/>
      <c r="G7" s="34"/>
      <c r="H7" s="34"/>
      <c r="I7" s="34"/>
      <c r="J7" s="34"/>
      <c r="K7" s="34" t="s">
        <v>53</v>
      </c>
      <c r="L7" s="34" t="s">
        <v>53</v>
      </c>
      <c r="M7" s="34"/>
      <c r="N7" s="34"/>
      <c r="O7" s="34"/>
      <c r="Q7">
        <v>1</v>
      </c>
      <c r="R7">
        <v>1</v>
      </c>
      <c r="S7">
        <v>1</v>
      </c>
      <c r="T7">
        <v>1</v>
      </c>
    </row>
    <row r="8" spans="1:20" x14ac:dyDescent="0.35">
      <c r="A8" s="32" t="s">
        <v>22</v>
      </c>
      <c r="B8" s="33"/>
      <c r="C8" s="33"/>
      <c r="D8" s="33"/>
      <c r="E8" s="33"/>
      <c r="F8" s="33"/>
      <c r="G8" s="34"/>
      <c r="H8" s="34"/>
      <c r="I8" s="34"/>
      <c r="J8" s="34"/>
      <c r="K8" s="34"/>
      <c r="L8" s="34"/>
      <c r="M8" s="34"/>
      <c r="N8" s="34"/>
      <c r="O8" s="34"/>
      <c r="Q8">
        <v>1</v>
      </c>
      <c r="R8">
        <v>2</v>
      </c>
      <c r="S8">
        <v>1</v>
      </c>
      <c r="T8">
        <v>1</v>
      </c>
    </row>
    <row r="9" spans="1:20" x14ac:dyDescent="0.35">
      <c r="A9" s="32"/>
      <c r="B9" s="33"/>
      <c r="C9" s="33"/>
      <c r="D9" s="33"/>
      <c r="E9" s="33"/>
      <c r="F9" s="33"/>
      <c r="G9" s="34"/>
      <c r="H9" s="34"/>
      <c r="I9" s="34"/>
      <c r="J9" s="34"/>
      <c r="K9" s="34"/>
      <c r="L9" s="34"/>
      <c r="M9" s="34"/>
      <c r="N9" s="34"/>
      <c r="O9" s="34"/>
    </row>
    <row r="10" spans="1:20" x14ac:dyDescent="0.35">
      <c r="A10" s="32"/>
      <c r="B10" s="33"/>
      <c r="C10" s="33"/>
      <c r="D10" s="33"/>
      <c r="E10" s="33"/>
      <c r="F10" s="33"/>
      <c r="G10" s="34"/>
      <c r="H10" s="34"/>
      <c r="I10" s="34"/>
      <c r="J10" s="34"/>
      <c r="K10" s="34"/>
      <c r="L10" s="34"/>
      <c r="M10" s="34"/>
      <c r="N10" s="34"/>
      <c r="O10" s="34"/>
    </row>
    <row r="11" spans="1:20" x14ac:dyDescent="0.35">
      <c r="A11" s="32"/>
      <c r="B11" s="33"/>
      <c r="C11" s="33"/>
      <c r="D11" s="33"/>
      <c r="E11" s="33"/>
      <c r="F11" s="33"/>
      <c r="G11" s="34"/>
      <c r="H11" s="34"/>
      <c r="I11" s="34"/>
      <c r="J11" s="34"/>
      <c r="K11" s="34"/>
      <c r="L11" s="34"/>
      <c r="M11" s="34"/>
      <c r="N11" s="34"/>
      <c r="O11" s="34"/>
    </row>
    <row r="12" spans="1:20" x14ac:dyDescent="0.35">
      <c r="A12" s="32"/>
      <c r="B12" s="33"/>
      <c r="C12" s="33"/>
      <c r="D12" s="33"/>
      <c r="E12" s="33"/>
      <c r="F12" s="33"/>
      <c r="G12" s="34"/>
      <c r="H12" s="34"/>
      <c r="I12" s="34"/>
      <c r="J12" s="34"/>
      <c r="K12" s="34"/>
      <c r="L12" s="34"/>
      <c r="M12" s="34"/>
      <c r="N12" s="34"/>
      <c r="O12" s="34"/>
    </row>
    <row r="13" spans="1:20" x14ac:dyDescent="0.35">
      <c r="A13" s="32"/>
      <c r="B13" s="33"/>
      <c r="C13" s="33"/>
      <c r="D13" s="33"/>
      <c r="E13" s="33"/>
      <c r="F13" s="33"/>
      <c r="G13" s="34"/>
      <c r="H13" s="34"/>
      <c r="I13" s="34"/>
      <c r="J13" s="34"/>
      <c r="K13" s="34"/>
      <c r="L13" s="34"/>
      <c r="M13" s="34"/>
      <c r="N13" s="34"/>
      <c r="O13" s="34"/>
    </row>
    <row r="14" spans="1:20" x14ac:dyDescent="0.35">
      <c r="A14" s="32"/>
      <c r="B14" s="33"/>
      <c r="C14" s="33"/>
      <c r="D14" s="33"/>
      <c r="E14" s="33"/>
      <c r="F14" s="33"/>
      <c r="G14" s="34"/>
      <c r="H14" s="34"/>
      <c r="I14" s="34"/>
      <c r="J14" s="34"/>
      <c r="K14" s="34"/>
      <c r="L14" s="34"/>
      <c r="M14" s="34"/>
      <c r="N14" s="34"/>
      <c r="O14" s="34"/>
    </row>
    <row r="15" spans="1:20" x14ac:dyDescent="0.35">
      <c r="A15" s="36"/>
      <c r="B15" s="33"/>
      <c r="C15" s="33"/>
      <c r="D15" s="33"/>
      <c r="E15" s="33"/>
      <c r="F15" s="33"/>
      <c r="G15" s="34"/>
      <c r="H15" s="34"/>
      <c r="I15" s="34"/>
      <c r="J15" s="34"/>
      <c r="K15" s="34"/>
      <c r="L15" s="34"/>
      <c r="M15" s="34"/>
      <c r="N15" s="34"/>
      <c r="O15" s="34"/>
    </row>
    <row r="16" spans="1:20" x14ac:dyDescent="0.35">
      <c r="A16" s="32"/>
      <c r="B16" s="33"/>
      <c r="C16" s="33"/>
      <c r="D16" s="33"/>
      <c r="E16" s="33"/>
      <c r="F16" s="33"/>
      <c r="G16" s="34"/>
      <c r="H16" s="34"/>
      <c r="I16" s="34"/>
      <c r="J16" s="34"/>
      <c r="K16" s="34"/>
      <c r="L16" s="34"/>
      <c r="M16" s="34"/>
      <c r="N16" s="34"/>
      <c r="O16" s="34"/>
    </row>
    <row r="17" spans="1:15" x14ac:dyDescent="0.35">
      <c r="A17" s="32"/>
      <c r="B17" s="33"/>
      <c r="C17" s="33"/>
      <c r="D17" s="33"/>
      <c r="E17" s="33"/>
      <c r="F17" s="33"/>
      <c r="G17" s="34"/>
      <c r="H17" s="34"/>
      <c r="I17" s="34"/>
      <c r="J17" s="34"/>
      <c r="K17" s="34"/>
      <c r="L17" s="34"/>
      <c r="M17" s="34"/>
      <c r="N17" s="34"/>
      <c r="O17" s="34"/>
    </row>
    <row r="18" spans="1:15" x14ac:dyDescent="0.35">
      <c r="A18" s="32"/>
      <c r="B18" s="33"/>
      <c r="C18" s="33"/>
      <c r="D18" s="33"/>
      <c r="E18" s="33"/>
      <c r="F18" s="33"/>
      <c r="G18" s="34"/>
      <c r="H18" s="34"/>
      <c r="I18" s="34"/>
      <c r="J18" s="34"/>
      <c r="K18" s="34"/>
      <c r="L18" s="34"/>
      <c r="M18" s="34"/>
      <c r="N18" s="34"/>
      <c r="O18" s="34"/>
    </row>
    <row r="19" spans="1:15" x14ac:dyDescent="0.35">
      <c r="A19" s="32"/>
      <c r="B19" s="33"/>
      <c r="C19" s="33"/>
      <c r="D19" s="33"/>
      <c r="E19" s="33"/>
      <c r="F19" s="33"/>
      <c r="G19" s="34"/>
      <c r="H19" s="34"/>
      <c r="I19" s="34"/>
      <c r="J19" s="34"/>
      <c r="K19" s="34"/>
      <c r="L19" s="34"/>
      <c r="M19" s="34"/>
      <c r="N19" s="34"/>
      <c r="O19" s="34"/>
    </row>
    <row r="20" spans="1:15" x14ac:dyDescent="0.35">
      <c r="A20" s="32"/>
      <c r="B20" s="33"/>
      <c r="C20" s="33"/>
      <c r="D20" s="33"/>
      <c r="E20" s="33"/>
      <c r="F20" s="33"/>
      <c r="G20" s="34"/>
      <c r="H20" s="34"/>
      <c r="I20" s="34"/>
      <c r="J20" s="34"/>
      <c r="K20" s="34"/>
      <c r="L20" s="34"/>
      <c r="M20" s="34"/>
      <c r="N20" s="34"/>
      <c r="O20" s="34"/>
    </row>
    <row r="21" spans="1:15" x14ac:dyDescent="0.35">
      <c r="A21" s="32"/>
      <c r="B21" s="33"/>
      <c r="C21" s="33"/>
      <c r="D21" s="33"/>
      <c r="E21" s="33"/>
      <c r="F21" s="33"/>
      <c r="G21" s="34"/>
      <c r="H21" s="34"/>
      <c r="I21" s="34"/>
      <c r="J21" s="34"/>
      <c r="K21" s="34"/>
      <c r="L21" s="34"/>
      <c r="M21" s="34"/>
      <c r="N21" s="34"/>
      <c r="O21" s="34"/>
    </row>
    <row r="22" spans="1:15" x14ac:dyDescent="0.35">
      <c r="A22" s="32"/>
      <c r="B22" s="33"/>
      <c r="C22" s="33"/>
      <c r="D22" s="33"/>
      <c r="E22" s="33"/>
      <c r="F22" s="33"/>
      <c r="G22" s="34"/>
      <c r="H22" s="34"/>
      <c r="I22" s="34"/>
      <c r="J22" s="34"/>
      <c r="K22" s="34"/>
      <c r="L22" s="34"/>
      <c r="M22" s="34"/>
      <c r="N22" s="34"/>
      <c r="O22" s="34"/>
    </row>
    <row r="23" spans="1:15" x14ac:dyDescent="0.35">
      <c r="A23" s="32"/>
      <c r="B23" s="33"/>
      <c r="C23" s="33"/>
      <c r="D23" s="33"/>
      <c r="E23" s="33"/>
      <c r="F23" s="33"/>
      <c r="G23" s="34"/>
      <c r="H23" s="34"/>
      <c r="I23" s="34"/>
      <c r="J23" s="34"/>
      <c r="K23" s="34"/>
      <c r="L23" s="34"/>
      <c r="M23" s="34"/>
      <c r="N23" s="34"/>
      <c r="O23" s="34"/>
    </row>
    <row r="24" spans="1:15" x14ac:dyDescent="0.35">
      <c r="A24" s="32"/>
      <c r="B24" s="33"/>
      <c r="C24" s="33"/>
      <c r="D24" s="33"/>
      <c r="E24" s="33"/>
      <c r="F24" s="33"/>
      <c r="G24" s="34"/>
      <c r="H24" s="34"/>
      <c r="I24" s="34"/>
      <c r="J24" s="34"/>
      <c r="K24" s="34"/>
      <c r="L24" s="34"/>
      <c r="M24" s="34"/>
      <c r="N24" s="34"/>
      <c r="O24" s="34"/>
    </row>
    <row r="25" spans="1:15" x14ac:dyDescent="0.35">
      <c r="A25" s="32"/>
      <c r="B25" s="33"/>
      <c r="C25" s="33"/>
      <c r="D25" s="33"/>
      <c r="E25" s="33"/>
      <c r="F25" s="33"/>
      <c r="G25" s="34"/>
      <c r="H25" s="34"/>
      <c r="I25" s="34"/>
      <c r="J25" s="34"/>
      <c r="K25" s="34"/>
      <c r="L25" s="34"/>
      <c r="M25" s="34"/>
      <c r="N25" s="34"/>
      <c r="O25" s="34"/>
    </row>
    <row r="26" spans="1:15" x14ac:dyDescent="0.35">
      <c r="A26" s="32"/>
      <c r="B26" s="33"/>
      <c r="C26" s="33"/>
      <c r="D26" s="33"/>
      <c r="E26" s="33"/>
      <c r="F26" s="33"/>
      <c r="G26" s="34"/>
      <c r="H26" s="34"/>
      <c r="I26" s="34"/>
      <c r="J26" s="34"/>
      <c r="K26" s="34"/>
      <c r="L26" s="34"/>
      <c r="M26" s="34"/>
      <c r="N26" s="34"/>
      <c r="O26" s="34"/>
    </row>
    <row r="27" spans="1:15" x14ac:dyDescent="0.35">
      <c r="A27" s="32"/>
      <c r="B27" s="33"/>
      <c r="C27" s="33"/>
      <c r="D27" s="33"/>
      <c r="E27" s="33"/>
      <c r="F27" s="33"/>
      <c r="G27" s="34"/>
      <c r="H27" s="34"/>
      <c r="I27" s="34"/>
      <c r="J27" s="34"/>
      <c r="K27" s="34"/>
      <c r="L27" s="34"/>
      <c r="M27" s="34"/>
      <c r="N27" s="34"/>
      <c r="O27" s="34"/>
    </row>
    <row r="28" spans="1:15" x14ac:dyDescent="0.35">
      <c r="A28" s="32"/>
      <c r="B28" s="33"/>
      <c r="C28" s="33"/>
      <c r="D28" s="33"/>
      <c r="E28" s="33"/>
      <c r="F28" s="33"/>
      <c r="G28" s="34"/>
      <c r="H28" s="34"/>
      <c r="I28" s="34"/>
      <c r="J28" s="34"/>
      <c r="K28" s="34"/>
      <c r="L28" s="34"/>
      <c r="M28" s="34"/>
      <c r="N28" s="34"/>
      <c r="O28" s="34"/>
    </row>
    <row r="29" spans="1:15" x14ac:dyDescent="0.35">
      <c r="A29" s="32"/>
      <c r="B29" s="33"/>
      <c r="C29" s="33"/>
      <c r="D29" s="33"/>
      <c r="E29" s="33"/>
      <c r="F29" s="33"/>
      <c r="G29" s="34"/>
      <c r="H29" s="34"/>
      <c r="I29" s="34"/>
      <c r="J29" s="34"/>
      <c r="K29" s="34"/>
      <c r="L29" s="34"/>
      <c r="M29" s="34"/>
      <c r="N29" s="34"/>
      <c r="O29" s="34"/>
    </row>
    <row r="30" spans="1:15" x14ac:dyDescent="0.35">
      <c r="A30" s="32"/>
      <c r="B30" s="33"/>
      <c r="C30" s="33"/>
      <c r="D30" s="33"/>
      <c r="E30" s="33"/>
      <c r="F30" s="33"/>
      <c r="G30" s="34"/>
      <c r="H30" s="34"/>
      <c r="I30" s="34"/>
      <c r="J30" s="34"/>
      <c r="K30" s="34"/>
      <c r="L30" s="34"/>
      <c r="M30" s="34"/>
      <c r="N30" s="34"/>
      <c r="O30" s="34"/>
    </row>
    <row r="31" spans="1:15" x14ac:dyDescent="0.35">
      <c r="A31" s="32"/>
      <c r="B31" s="33"/>
      <c r="C31" s="33"/>
      <c r="D31" s="33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</row>
    <row r="32" spans="1:15" x14ac:dyDescent="0.35">
      <c r="G32" s="34"/>
      <c r="H32" s="34"/>
      <c r="I32" s="34"/>
      <c r="J32" s="34"/>
      <c r="K32" s="34"/>
      <c r="L32" s="34"/>
      <c r="M32" s="34"/>
      <c r="N32" s="34"/>
      <c r="O32" s="34"/>
    </row>
    <row r="33" spans="7:15" x14ac:dyDescent="0.35">
      <c r="G33" s="34"/>
      <c r="H33" s="34"/>
      <c r="I33" s="34"/>
      <c r="J33" s="34"/>
      <c r="K33" s="34"/>
      <c r="L33" s="34"/>
      <c r="M33" s="34"/>
      <c r="N33" s="34"/>
      <c r="O33" s="34"/>
    </row>
    <row r="34" spans="7:15" x14ac:dyDescent="0.35">
      <c r="G34" s="34"/>
      <c r="H34" s="34"/>
      <c r="I34" s="34"/>
      <c r="J34" s="34"/>
      <c r="K34" s="34"/>
      <c r="L34" s="34"/>
      <c r="M34" s="34"/>
      <c r="N34" s="34"/>
      <c r="O34" s="34"/>
    </row>
    <row r="35" spans="7:15" x14ac:dyDescent="0.35">
      <c r="G35" s="34"/>
      <c r="H35" s="34"/>
      <c r="I35" s="34"/>
      <c r="J35" s="34"/>
      <c r="K35" s="34"/>
      <c r="L35" s="34"/>
      <c r="M35" s="34"/>
      <c r="N35" s="34"/>
      <c r="O35" s="34"/>
    </row>
    <row r="36" spans="7:15" x14ac:dyDescent="0.35">
      <c r="G36" s="34"/>
      <c r="H36" s="34"/>
      <c r="I36" s="34"/>
      <c r="J36" s="34"/>
      <c r="K36" s="34"/>
      <c r="L36" s="34"/>
      <c r="M36" s="34"/>
      <c r="N36" s="34"/>
      <c r="O36" s="34"/>
    </row>
    <row r="37" spans="7:15" x14ac:dyDescent="0.35">
      <c r="G37" s="34"/>
      <c r="H37" s="34"/>
      <c r="I37" s="34"/>
      <c r="J37" s="34"/>
      <c r="K37" s="34"/>
      <c r="L37" s="34"/>
      <c r="M37" s="34"/>
      <c r="N37" s="34"/>
      <c r="O37" s="34"/>
    </row>
  </sheetData>
  <mergeCells count="2">
    <mergeCell ref="B2:D2"/>
    <mergeCell ref="G2:N2"/>
  </mergeCells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4"/>
  <sheetViews>
    <sheetView topLeftCell="A10" zoomScale="80" workbookViewId="0">
      <selection activeCell="D16" sqref="D16:E16"/>
    </sheetView>
  </sheetViews>
  <sheetFormatPr baseColWidth="10" defaultColWidth="8.7265625" defaultRowHeight="14.5" x14ac:dyDescent="0.35"/>
  <cols>
    <col min="1" max="1" width="8.54296875" bestFit="1" customWidth="1"/>
    <col min="2" max="2" width="32.81640625" bestFit="1" customWidth="1"/>
    <col min="3" max="3" width="11" bestFit="1" customWidth="1"/>
    <col min="4" max="7" width="15.7265625" bestFit="1" customWidth="1"/>
    <col min="8" max="8" width="1.36328125" bestFit="1" customWidth="1"/>
    <col min="9" max="12" width="15.7265625" bestFit="1" customWidth="1"/>
    <col min="13" max="14" width="8.54296875" bestFit="1" customWidth="1"/>
    <col min="15" max="15" width="30" bestFit="1" customWidth="1"/>
    <col min="16" max="16" width="10.1796875" bestFit="1" customWidth="1"/>
    <col min="17" max="17" width="10.90625" bestFit="1" customWidth="1"/>
    <col min="18" max="18" width="10.6328125" bestFit="1" customWidth="1"/>
    <col min="19" max="19" width="8.54296875" bestFit="1" customWidth="1"/>
    <col min="20" max="20" width="27.1796875" bestFit="1" customWidth="1"/>
    <col min="21" max="21" width="8.26953125" bestFit="1" customWidth="1"/>
    <col min="22" max="22" width="9.7265625" bestFit="1" customWidth="1"/>
    <col min="23" max="23" width="11.6328125" bestFit="1" customWidth="1"/>
    <col min="24" max="24" width="10.7265625" bestFit="1" customWidth="1"/>
    <col min="25" max="1025" width="8.54296875" bestFit="1" customWidth="1"/>
  </cols>
  <sheetData>
    <row r="1" spans="1:21" x14ac:dyDescent="0.35">
      <c r="A1" s="37"/>
      <c r="B1" s="37"/>
      <c r="C1" s="37"/>
      <c r="D1" s="37"/>
      <c r="E1" s="37"/>
      <c r="F1" s="37"/>
      <c r="G1" s="37"/>
      <c r="H1" s="37"/>
    </row>
    <row r="2" spans="1:21" ht="26" customHeight="1" x14ac:dyDescent="0.35">
      <c r="A2" s="22"/>
      <c r="B2" s="38"/>
      <c r="C2" s="246" t="s">
        <v>54</v>
      </c>
      <c r="D2" s="237" t="s">
        <v>55</v>
      </c>
      <c r="E2" s="237"/>
      <c r="F2" s="237"/>
      <c r="G2" s="237"/>
      <c r="H2" s="39"/>
      <c r="I2" s="237" t="s">
        <v>56</v>
      </c>
      <c r="J2" s="237"/>
      <c r="K2" s="237"/>
      <c r="L2" s="237"/>
    </row>
    <row r="3" spans="1:21" ht="15.5" x14ac:dyDescent="0.35">
      <c r="A3" s="40"/>
      <c r="B3" s="41"/>
      <c r="C3" s="246"/>
      <c r="D3" s="238" t="s">
        <v>57</v>
      </c>
      <c r="E3" s="238"/>
      <c r="F3" s="238"/>
      <c r="G3" s="238"/>
      <c r="H3" s="42"/>
      <c r="I3" s="238" t="s">
        <v>57</v>
      </c>
      <c r="J3" s="238"/>
      <c r="K3" s="238"/>
      <c r="L3" s="238"/>
      <c r="O3" s="43"/>
      <c r="P3" s="43">
        <v>2019</v>
      </c>
      <c r="Q3" s="43">
        <v>2030</v>
      </c>
      <c r="R3" s="43">
        <v>2050</v>
      </c>
      <c r="T3" s="239" t="s">
        <v>58</v>
      </c>
      <c r="U3" s="239"/>
    </row>
    <row r="4" spans="1:21" ht="58" x14ac:dyDescent="0.35">
      <c r="A4" s="40"/>
      <c r="B4" s="41"/>
      <c r="C4" s="246"/>
      <c r="D4" s="45" t="s">
        <v>59</v>
      </c>
      <c r="E4" s="45" t="s">
        <v>60</v>
      </c>
      <c r="F4" s="45" t="s">
        <v>61</v>
      </c>
      <c r="G4" s="45" t="s">
        <v>62</v>
      </c>
      <c r="H4" s="46"/>
      <c r="I4" s="45" t="s">
        <v>59</v>
      </c>
      <c r="J4" s="45" t="s">
        <v>63</v>
      </c>
      <c r="K4" s="45" t="s">
        <v>61</v>
      </c>
      <c r="L4" s="45" t="s">
        <v>64</v>
      </c>
      <c r="O4" s="47" t="s">
        <v>65</v>
      </c>
      <c r="P4" s="48"/>
      <c r="Q4" s="49">
        <v>0</v>
      </c>
      <c r="R4" s="48">
        <v>0</v>
      </c>
      <c r="T4" s="47" t="s">
        <v>66</v>
      </c>
      <c r="U4" s="50">
        <f>('Trajectoires énergie-climat'!H22/'Trajectoires énergie-climat'!H3)*1000</f>
        <v>20.793548387096774</v>
      </c>
    </row>
    <row r="5" spans="1:21" ht="43.5" x14ac:dyDescent="0.35">
      <c r="A5" s="51"/>
      <c r="B5" s="41"/>
      <c r="C5" s="246"/>
      <c r="D5" s="52"/>
      <c r="E5" s="52">
        <f>'Trajectoires énergie-climat'!$N$40-'Trajectoires énergie-climat'!$H$40</f>
        <v>-23257.535483870932</v>
      </c>
      <c r="F5" s="53"/>
      <c r="G5" s="54"/>
      <c r="H5" s="55"/>
      <c r="I5" s="52">
        <f>'Trajectoires énergie-climat'!B47</f>
        <v>0</v>
      </c>
      <c r="J5" s="52">
        <f>'Trajectoires énergie-climat'!$P$40-'Trajectoires énergie-climat'!$H$40</f>
        <v>-69284.103225806422</v>
      </c>
      <c r="K5" s="56" t="e">
        <f>POWER('Trajectoires énergie-climat'!B47/#REF!,1/31)-1</f>
        <v>#REF!</v>
      </c>
      <c r="L5" s="54">
        <f>'Trajectoires énergie-climat'!C47</f>
        <v>0</v>
      </c>
      <c r="O5" s="47" t="s">
        <v>67</v>
      </c>
      <c r="P5" s="57">
        <f>'Trajectoires énergie-climat'!C3</f>
        <v>6800</v>
      </c>
      <c r="Q5" s="57">
        <f>P5*(1+Q4)</f>
        <v>6800</v>
      </c>
      <c r="R5" s="57">
        <f>P5*(1+R4)</f>
        <v>6800</v>
      </c>
      <c r="T5" s="47" t="s">
        <v>68</v>
      </c>
      <c r="U5" s="50">
        <f>('Trajectoires énergie-climat'!G22/'Trajectoires énergie-climat'!H3)*1000</f>
        <v>7.112903225806452</v>
      </c>
    </row>
    <row r="6" spans="1:21" ht="43.5" customHeight="1" x14ac:dyDescent="0.35">
      <c r="A6" s="240" t="s">
        <v>69</v>
      </c>
      <c r="B6" s="262" t="s">
        <v>149</v>
      </c>
      <c r="C6" s="241"/>
      <c r="D6" s="58"/>
      <c r="E6" s="58">
        <f>'Trajectoires énergie-climat'!H6</f>
        <v>20.793548387096774</v>
      </c>
      <c r="F6" s="59"/>
      <c r="G6" s="60"/>
      <c r="H6" s="61"/>
      <c r="I6" s="62" t="e">
        <f>#REF!*POWER((1+#REF!),31)</f>
        <v>#REF!</v>
      </c>
      <c r="J6" s="62">
        <f>R6</f>
        <v>0</v>
      </c>
      <c r="K6" s="60" t="e">
        <f>POWER(#REF!/#REF!,1/9)-1</f>
        <v>#REF!</v>
      </c>
      <c r="L6" s="63" t="e">
        <f>#REF!/#REF!</f>
        <v>#REF!</v>
      </c>
      <c r="O6" s="47" t="s">
        <v>70</v>
      </c>
      <c r="P6" s="57"/>
      <c r="Q6" s="57">
        <f>(Q5*U4)-(P5*U4)</f>
        <v>0</v>
      </c>
      <c r="R6" s="57">
        <f>(R5*U4)-(P5*U4)</f>
        <v>0</v>
      </c>
    </row>
    <row r="7" spans="1:21" ht="29.5" customHeight="1" x14ac:dyDescent="0.35">
      <c r="A7" s="240"/>
      <c r="B7" s="241"/>
      <c r="C7" s="241"/>
      <c r="D7" s="242" t="s">
        <v>71</v>
      </c>
      <c r="E7" s="242"/>
      <c r="F7" s="64">
        <f>E6/E5</f>
        <v>-8.9405639739933193E-4</v>
      </c>
      <c r="G7" s="65"/>
      <c r="H7" s="66"/>
      <c r="I7" s="243" t="s">
        <v>71</v>
      </c>
      <c r="J7" s="243"/>
      <c r="K7" s="67">
        <f>J6/J5</f>
        <v>0</v>
      </c>
      <c r="L7" s="67"/>
      <c r="O7" s="47" t="s">
        <v>72</v>
      </c>
      <c r="P7" s="57"/>
      <c r="Q7" s="57">
        <f>(Q5*U5)-(P5*U5)</f>
        <v>0</v>
      </c>
      <c r="R7" s="57">
        <f>(R5*U5)-(P5*U5)</f>
        <v>0</v>
      </c>
    </row>
    <row r="8" spans="1:21" ht="28.5" customHeight="1" x14ac:dyDescent="0.35">
      <c r="A8" s="240"/>
      <c r="B8" s="244" t="s">
        <v>73</v>
      </c>
      <c r="C8" s="244"/>
      <c r="D8" s="62"/>
      <c r="E8" s="62">
        <f>Q12</f>
        <v>141396.12903225806</v>
      </c>
      <c r="F8" s="68"/>
      <c r="G8" s="68"/>
      <c r="H8" s="69"/>
      <c r="I8" s="68"/>
      <c r="J8" s="70">
        <f>R12</f>
        <v>141396.12903225806</v>
      </c>
      <c r="K8" s="68"/>
      <c r="L8" s="71"/>
    </row>
    <row r="9" spans="1:21" ht="37.5" customHeight="1" x14ac:dyDescent="0.35">
      <c r="A9" s="240"/>
      <c r="B9" s="244"/>
      <c r="C9" s="244"/>
      <c r="D9" s="245" t="s">
        <v>71</v>
      </c>
      <c r="E9" s="245"/>
      <c r="F9" s="72">
        <f>E8/E5</f>
        <v>-6.0795835023154572</v>
      </c>
      <c r="G9" s="73"/>
      <c r="H9" s="66"/>
      <c r="I9" s="243" t="s">
        <v>71</v>
      </c>
      <c r="J9" s="243"/>
      <c r="K9" s="73"/>
      <c r="L9" s="67"/>
      <c r="O9" s="43"/>
      <c r="P9" s="43">
        <v>2019</v>
      </c>
      <c r="Q9" s="43">
        <v>2030</v>
      </c>
      <c r="R9" s="43">
        <v>2050</v>
      </c>
    </row>
    <row r="10" spans="1:21" ht="29" x14ac:dyDescent="0.35">
      <c r="A10" s="38"/>
      <c r="B10" s="38"/>
      <c r="C10" s="74"/>
      <c r="D10" s="74"/>
      <c r="E10" s="74"/>
      <c r="F10" s="74"/>
      <c r="G10" s="74"/>
      <c r="H10" s="74"/>
      <c r="I10" s="74"/>
      <c r="J10" s="74"/>
      <c r="K10" s="74"/>
      <c r="L10" s="74"/>
      <c r="O10" s="75" t="s">
        <v>74</v>
      </c>
      <c r="P10" s="48"/>
      <c r="Q10" s="76">
        <v>1</v>
      </c>
      <c r="R10" s="48">
        <v>1</v>
      </c>
    </row>
    <row r="11" spans="1:21" ht="26" customHeight="1" x14ac:dyDescent="0.35">
      <c r="A11" s="38"/>
      <c r="B11" s="74"/>
      <c r="C11" s="236" t="s">
        <v>75</v>
      </c>
      <c r="D11" s="237"/>
      <c r="E11" s="237"/>
      <c r="F11" s="237"/>
      <c r="G11" s="237"/>
      <c r="H11" s="39"/>
      <c r="I11" s="237"/>
      <c r="J11" s="237"/>
      <c r="K11" s="237"/>
      <c r="L11" s="237"/>
      <c r="O11" s="77" t="s">
        <v>76</v>
      </c>
      <c r="P11" s="57">
        <v>2237</v>
      </c>
      <c r="Q11" s="57">
        <f>P11*(1+Q10)</f>
        <v>4474</v>
      </c>
      <c r="R11" s="57">
        <f>P11*(1+R10)</f>
        <v>4474</v>
      </c>
    </row>
    <row r="12" spans="1:21" ht="43.5" x14ac:dyDescent="0.35">
      <c r="A12" s="38"/>
      <c r="B12" s="38"/>
      <c r="C12" s="236"/>
      <c r="D12" s="238" t="s">
        <v>57</v>
      </c>
      <c r="E12" s="238"/>
      <c r="F12" s="238"/>
      <c r="G12" s="238"/>
      <c r="H12" s="42"/>
      <c r="I12" s="238" t="s">
        <v>57</v>
      </c>
      <c r="J12" s="238"/>
      <c r="K12" s="238"/>
      <c r="L12" s="238"/>
      <c r="O12" s="47" t="s">
        <v>70</v>
      </c>
      <c r="P12" s="57"/>
      <c r="Q12" s="57">
        <f>((Q11-$P$11)/$P$11)*$U$4*$P$5</f>
        <v>141396.12903225806</v>
      </c>
      <c r="R12" s="78">
        <f>((R11-$P$11)/$P$11)*$U$4*$P$5</f>
        <v>141396.12903225806</v>
      </c>
    </row>
    <row r="13" spans="1:21" ht="58" x14ac:dyDescent="0.35">
      <c r="A13" s="38"/>
      <c r="B13" s="38"/>
      <c r="C13" s="236"/>
      <c r="D13" s="45" t="s">
        <v>77</v>
      </c>
      <c r="E13" s="45" t="s">
        <v>78</v>
      </c>
      <c r="F13" s="45" t="s">
        <v>61</v>
      </c>
      <c r="G13" s="45" t="s">
        <v>62</v>
      </c>
      <c r="H13" s="46"/>
      <c r="I13" s="45" t="s">
        <v>77</v>
      </c>
      <c r="J13" s="45" t="s">
        <v>79</v>
      </c>
      <c r="K13" s="45" t="s">
        <v>61</v>
      </c>
      <c r="L13" s="45" t="s">
        <v>64</v>
      </c>
      <c r="O13" s="47" t="s">
        <v>72</v>
      </c>
      <c r="P13" s="57"/>
      <c r="Q13" s="78">
        <f>((Q11-P11)/P11)*U5*P5</f>
        <v>48367.741935483871</v>
      </c>
      <c r="R13" s="78">
        <f>((R11-P11)/P11)*P5*U5</f>
        <v>48367.741935483871</v>
      </c>
    </row>
    <row r="14" spans="1:21" x14ac:dyDescent="0.35">
      <c r="A14" s="79"/>
      <c r="B14" s="80"/>
      <c r="C14" s="236"/>
      <c r="D14" s="81"/>
      <c r="E14" s="81">
        <f>'Trajectoires énergie-climat'!$I$40-'Trajectoires énergie-climat'!$G$40</f>
        <v>-9000.129032258068</v>
      </c>
      <c r="F14" s="82"/>
      <c r="G14" s="83"/>
      <c r="H14" s="84"/>
      <c r="I14" s="81"/>
      <c r="J14" s="81">
        <f>'Trajectoires énergie-climat'!$K$40-'Trajectoires énergie-climat'!$G$40</f>
        <v>-27085.93548387097</v>
      </c>
      <c r="K14" s="82"/>
      <c r="L14" s="83"/>
    </row>
    <row r="15" spans="1:21" ht="27" customHeight="1" x14ac:dyDescent="0.35">
      <c r="A15" s="230" t="s">
        <v>69</v>
      </c>
      <c r="B15" s="263" t="s">
        <v>148</v>
      </c>
      <c r="C15" s="231"/>
      <c r="D15" s="85"/>
      <c r="E15" s="85">
        <f>'Trajectoires énergie-climat'!H8</f>
        <v>11</v>
      </c>
      <c r="F15" s="86"/>
      <c r="G15" s="87"/>
      <c r="H15" s="88"/>
      <c r="I15" s="85"/>
      <c r="J15" s="85">
        <f>R7</f>
        <v>0</v>
      </c>
      <c r="K15" s="86"/>
      <c r="L15" s="87"/>
    </row>
    <row r="16" spans="1:21" ht="27" customHeight="1" x14ac:dyDescent="0.35">
      <c r="A16" s="230"/>
      <c r="B16" s="231"/>
      <c r="C16" s="231"/>
      <c r="D16" s="232" t="s">
        <v>71</v>
      </c>
      <c r="E16" s="232"/>
      <c r="F16" s="89">
        <f>E15/E14</f>
        <v>-1.2222046995741991E-3</v>
      </c>
      <c r="G16" s="90"/>
      <c r="H16" s="91"/>
      <c r="I16" s="232" t="s">
        <v>71</v>
      </c>
      <c r="J16" s="232"/>
      <c r="K16" s="92">
        <f>J15/J14</f>
        <v>0</v>
      </c>
      <c r="L16" s="92"/>
    </row>
    <row r="17" spans="1:12" ht="27" customHeight="1" x14ac:dyDescent="0.35">
      <c r="A17" s="230"/>
      <c r="B17" s="233" t="s">
        <v>80</v>
      </c>
      <c r="C17" s="233"/>
      <c r="D17" s="93"/>
      <c r="E17" s="93">
        <f>Q13</f>
        <v>48367.741935483871</v>
      </c>
      <c r="F17" s="87"/>
      <c r="G17" s="94"/>
      <c r="H17" s="91"/>
      <c r="I17" s="94"/>
      <c r="J17" s="95">
        <f>R13</f>
        <v>48367.741935483871</v>
      </c>
      <c r="K17" s="94"/>
      <c r="L17" s="94"/>
    </row>
    <row r="18" spans="1:12" ht="27" customHeight="1" x14ac:dyDescent="0.35">
      <c r="A18" s="230"/>
      <c r="B18" s="233"/>
      <c r="C18" s="233"/>
      <c r="D18" s="234" t="s">
        <v>71</v>
      </c>
      <c r="E18" s="234"/>
      <c r="F18" s="89">
        <f>E17/E14</f>
        <v>-5.3741165001218603</v>
      </c>
      <c r="G18" s="90"/>
      <c r="H18" s="91"/>
      <c r="I18" s="235" t="s">
        <v>71</v>
      </c>
      <c r="J18" s="235"/>
      <c r="K18" s="96">
        <f>J17/J14</f>
        <v>-1.7857142857142856</v>
      </c>
      <c r="L18" s="90"/>
    </row>
    <row r="19" spans="1:12" x14ac:dyDescent="0.35">
      <c r="A19" s="22"/>
    </row>
    <row r="20" spans="1:12" x14ac:dyDescent="0.35">
      <c r="A20" s="22"/>
    </row>
    <row r="21" spans="1:12" x14ac:dyDescent="0.35">
      <c r="A21" s="22"/>
    </row>
    <row r="22" spans="1:12" x14ac:dyDescent="0.35">
      <c r="A22" s="22"/>
    </row>
    <row r="23" spans="1:12" x14ac:dyDescent="0.35">
      <c r="A23" s="22"/>
    </row>
    <row r="24" spans="1:12" x14ac:dyDescent="0.35">
      <c r="A24" s="22"/>
    </row>
    <row r="25" spans="1:12" x14ac:dyDescent="0.35">
      <c r="A25" s="22"/>
    </row>
    <row r="26" spans="1:12" x14ac:dyDescent="0.35">
      <c r="A26" s="97"/>
    </row>
    <row r="27" spans="1:12" ht="14.5" customHeight="1" x14ac:dyDescent="0.35">
      <c r="A27" s="229" t="s">
        <v>69</v>
      </c>
    </row>
    <row r="28" spans="1:12" x14ac:dyDescent="0.35">
      <c r="A28" s="229"/>
    </row>
    <row r="29" spans="1:12" x14ac:dyDescent="0.35">
      <c r="A29" s="229"/>
    </row>
    <row r="30" spans="1:12" x14ac:dyDescent="0.35">
      <c r="A30" s="229"/>
    </row>
    <row r="31" spans="1:12" x14ac:dyDescent="0.35">
      <c r="A31" s="229"/>
    </row>
    <row r="32" spans="1:12" x14ac:dyDescent="0.35">
      <c r="A32" s="229"/>
    </row>
    <row r="33" spans="1:1" x14ac:dyDescent="0.35">
      <c r="A33" s="229"/>
    </row>
    <row r="34" spans="1:1" x14ac:dyDescent="0.35">
      <c r="A34" s="229"/>
    </row>
  </sheetData>
  <mergeCells count="26">
    <mergeCell ref="T3:U3"/>
    <mergeCell ref="A6:A9"/>
    <mergeCell ref="B6:C7"/>
    <mergeCell ref="D7:E7"/>
    <mergeCell ref="I7:J7"/>
    <mergeCell ref="B8:C9"/>
    <mergeCell ref="D9:E9"/>
    <mergeCell ref="I9:J9"/>
    <mergeCell ref="C2:C5"/>
    <mergeCell ref="D2:G2"/>
    <mergeCell ref="I2:L2"/>
    <mergeCell ref="D3:G3"/>
    <mergeCell ref="I3:L3"/>
    <mergeCell ref="C11:C14"/>
    <mergeCell ref="D11:G11"/>
    <mergeCell ref="I11:L11"/>
    <mergeCell ref="D12:G12"/>
    <mergeCell ref="I12:L12"/>
    <mergeCell ref="A27:A34"/>
    <mergeCell ref="A15:A18"/>
    <mergeCell ref="B15:C16"/>
    <mergeCell ref="D16:E16"/>
    <mergeCell ref="I16:J16"/>
    <mergeCell ref="B17:C18"/>
    <mergeCell ref="D18:E18"/>
    <mergeCell ref="I18:J18"/>
  </mergeCells>
  <hyperlinks>
    <hyperlink ref="O11" r:id="rId1" xr:uid="{00000000-0004-0000-0300-000000000000}"/>
  </hyperlinks>
  <pageMargins left="0.70069444444444395" right="0.70069444444444395" top="0.75208333333333299" bottom="0.75208333333333299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86"/>
  <sheetViews>
    <sheetView zoomScale="80" workbookViewId="0">
      <selection activeCell="G13" sqref="G13"/>
    </sheetView>
  </sheetViews>
  <sheetFormatPr baseColWidth="10" defaultColWidth="8.7265625" defaultRowHeight="14.5" x14ac:dyDescent="0.35"/>
  <cols>
    <col min="1" max="1" width="21.1796875" style="22" bestFit="1" customWidth="1"/>
    <col min="2" max="2" width="16.7265625" style="22" bestFit="1" customWidth="1"/>
    <col min="3" max="3" width="15.26953125" style="22" bestFit="1" customWidth="1"/>
    <col min="4" max="4" width="20.7265625" style="22" bestFit="1" customWidth="1"/>
    <col min="5" max="5" width="16.81640625" style="22" bestFit="1" customWidth="1"/>
    <col min="6" max="6" width="12.08984375" style="22" bestFit="1" customWidth="1"/>
    <col min="7" max="7" width="12.7265625" style="22" bestFit="1" customWidth="1"/>
    <col min="8" max="12" width="12.08984375" style="22" bestFit="1" customWidth="1"/>
    <col min="13" max="13" width="1" style="22" bestFit="1" customWidth="1"/>
    <col min="14" max="14" width="12.08984375" style="22" bestFit="1" customWidth="1"/>
    <col min="15" max="15" width="16" style="22" bestFit="1" customWidth="1"/>
    <col min="16" max="16" width="12.08984375" style="22" bestFit="1" customWidth="1"/>
    <col min="17" max="17" width="15.81640625" style="22" bestFit="1" customWidth="1"/>
    <col min="18" max="18" width="9.08984375" style="22" bestFit="1" customWidth="1"/>
    <col min="19" max="19" width="19.453125" style="22" bestFit="1" customWidth="1"/>
    <col min="20" max="1025" width="9.08984375" style="22" bestFit="1" customWidth="1"/>
  </cols>
  <sheetData>
    <row r="1" spans="1:22" x14ac:dyDescent="0.35">
      <c r="A1" s="255" t="s">
        <v>81</v>
      </c>
      <c r="B1" s="255"/>
      <c r="C1" s="255"/>
      <c r="D1" s="255"/>
      <c r="G1" s="38"/>
      <c r="H1" s="239" t="s">
        <v>82</v>
      </c>
      <c r="I1" s="239"/>
      <c r="J1" s="239"/>
      <c r="K1" s="98"/>
    </row>
    <row r="2" spans="1:22" x14ac:dyDescent="0.35">
      <c r="A2" s="80"/>
      <c r="B2" s="99" t="s">
        <v>83</v>
      </c>
      <c r="C2" s="99" t="s">
        <v>84</v>
      </c>
      <c r="D2" s="100" t="s">
        <v>85</v>
      </c>
      <c r="E2" s="98"/>
      <c r="F2" s="97"/>
      <c r="G2" s="80"/>
      <c r="H2" s="44">
        <v>2020</v>
      </c>
      <c r="I2" s="44">
        <v>2030</v>
      </c>
      <c r="J2" s="44">
        <v>2050</v>
      </c>
      <c r="K2" s="98"/>
      <c r="T2" s="22">
        <v>2020</v>
      </c>
      <c r="U2" s="22">
        <v>2030</v>
      </c>
      <c r="V2" s="22">
        <v>2050</v>
      </c>
    </row>
    <row r="3" spans="1:22" x14ac:dyDescent="0.35">
      <c r="A3" s="101" t="s">
        <v>86</v>
      </c>
      <c r="B3" s="44">
        <v>310000</v>
      </c>
      <c r="C3" s="44">
        <v>6800</v>
      </c>
      <c r="D3" s="100"/>
      <c r="E3" s="98"/>
      <c r="F3" s="239" t="s">
        <v>87</v>
      </c>
      <c r="G3" s="239"/>
      <c r="H3" s="44">
        <f>B3</f>
        <v>310000</v>
      </c>
      <c r="I3" s="102">
        <f>H3*POWER(1+B4,10)</f>
        <v>310000</v>
      </c>
      <c r="J3" s="102">
        <f>I3*POWER(1+B5,20)</f>
        <v>310000</v>
      </c>
      <c r="K3" s="98"/>
      <c r="S3" s="22" t="s">
        <v>83</v>
      </c>
      <c r="T3" s="103">
        <f>(G22/H3)*1000</f>
        <v>7.112903225806452</v>
      </c>
      <c r="U3" s="103">
        <f>(I22/I3)*1000</f>
        <v>5.7893548387096772</v>
      </c>
      <c r="V3" s="103">
        <f>(K22/J3)*1000</f>
        <v>3.1296774193548385</v>
      </c>
    </row>
    <row r="4" spans="1:22" ht="43.5" x14ac:dyDescent="0.35">
      <c r="A4" s="104" t="s">
        <v>88</v>
      </c>
      <c r="B4" s="105">
        <v>0</v>
      </c>
      <c r="C4" s="105">
        <v>0</v>
      </c>
      <c r="D4" s="106"/>
      <c r="E4" s="98"/>
      <c r="F4" s="256" t="s">
        <v>89</v>
      </c>
      <c r="G4" s="256"/>
      <c r="H4" s="107">
        <f>C3</f>
        <v>6800</v>
      </c>
      <c r="I4" s="108">
        <f>H4*POWER(1+C4,10)</f>
        <v>6800</v>
      </c>
      <c r="J4" s="108">
        <f>I4*POWER(1+C5,20)</f>
        <v>6800</v>
      </c>
      <c r="K4" s="98"/>
      <c r="S4" s="22" t="s">
        <v>84</v>
      </c>
      <c r="T4" s="103">
        <f>G40/H4</f>
        <v>7.112903225806452</v>
      </c>
      <c r="U4" s="103">
        <f>I40/I4</f>
        <v>5.7893548387096772</v>
      </c>
      <c r="V4" s="103">
        <f>K40/J4</f>
        <v>3.1296774193548385</v>
      </c>
    </row>
    <row r="5" spans="1:22" s="37" customFormat="1" ht="42.75" customHeight="1" x14ac:dyDescent="0.35">
      <c r="A5" s="104" t="s">
        <v>90</v>
      </c>
      <c r="B5" s="105">
        <v>0</v>
      </c>
      <c r="C5" s="105">
        <v>0</v>
      </c>
      <c r="E5" s="109"/>
      <c r="F5" s="253" t="s">
        <v>91</v>
      </c>
      <c r="G5" s="253"/>
      <c r="H5" s="111">
        <f>H4/H3</f>
        <v>2.1935483870967741E-2</v>
      </c>
      <c r="I5" s="111">
        <f>I4/I3</f>
        <v>2.1935483870967741E-2</v>
      </c>
      <c r="J5" s="111">
        <f>J4/J3</f>
        <v>2.1935483870967741E-2</v>
      </c>
      <c r="K5" s="109"/>
      <c r="S5" s="22" t="s">
        <v>92</v>
      </c>
      <c r="T5" s="112">
        <f>T4/T3</f>
        <v>1</v>
      </c>
      <c r="U5" s="112">
        <f>U4/U3</f>
        <v>1</v>
      </c>
      <c r="V5" s="112">
        <f>V4/V3</f>
        <v>1</v>
      </c>
    </row>
    <row r="6" spans="1:22" ht="28.5" customHeight="1" x14ac:dyDescent="0.35">
      <c r="A6" s="101" t="s">
        <v>93</v>
      </c>
      <c r="B6" s="44">
        <v>2200000</v>
      </c>
      <c r="C6" s="102">
        <f t="shared" ref="C6:C8" si="0">(B6/300000)*6800</f>
        <v>49866.666666666664</v>
      </c>
      <c r="D6" s="113">
        <f t="shared" ref="D6:D8" si="1">C6/6800</f>
        <v>7.333333333333333</v>
      </c>
      <c r="E6" s="98"/>
      <c r="F6" s="253" t="s">
        <v>94</v>
      </c>
      <c r="G6" s="253"/>
      <c r="H6" s="57">
        <f>(H22/H3)*1000</f>
        <v>20.793548387096774</v>
      </c>
      <c r="I6" s="50">
        <f>(N22/I3)*1000</f>
        <v>17.373322580645166</v>
      </c>
      <c r="J6" s="50">
        <f>(P22/J3)*1000</f>
        <v>10.604709677419356</v>
      </c>
      <c r="S6" s="254" t="s">
        <v>95</v>
      </c>
      <c r="T6" s="254"/>
      <c r="U6" s="254"/>
      <c r="V6" s="254"/>
    </row>
    <row r="7" spans="1:22" ht="28.5" customHeight="1" x14ac:dyDescent="0.35">
      <c r="A7" s="101" t="s">
        <v>96</v>
      </c>
      <c r="B7" s="44">
        <v>3600000</v>
      </c>
      <c r="C7" s="102">
        <f t="shared" si="0"/>
        <v>81600</v>
      </c>
      <c r="D7" s="113">
        <f t="shared" si="1"/>
        <v>12</v>
      </c>
      <c r="E7" s="98"/>
      <c r="F7" s="264" t="s">
        <v>97</v>
      </c>
      <c r="G7" s="264"/>
      <c r="H7" s="265">
        <f>(G22/H3)*1000</f>
        <v>7.112903225806452</v>
      </c>
      <c r="I7" s="114">
        <f>(I22/I3)*1000</f>
        <v>5.7893548387096772</v>
      </c>
      <c r="J7" s="50">
        <f>(K22/J3)*1000</f>
        <v>3.1296774193548385</v>
      </c>
    </row>
    <row r="8" spans="1:22" ht="29" x14ac:dyDescent="0.35">
      <c r="A8" s="101" t="s">
        <v>98</v>
      </c>
      <c r="B8" s="44">
        <v>6500000</v>
      </c>
      <c r="C8" s="102">
        <f t="shared" si="0"/>
        <v>147333.33333333334</v>
      </c>
      <c r="D8" s="113">
        <f t="shared" si="1"/>
        <v>21.666666666666668</v>
      </c>
      <c r="E8" s="98"/>
      <c r="F8" s="266" t="s">
        <v>150</v>
      </c>
      <c r="G8" s="267"/>
      <c r="H8" s="268">
        <v>11</v>
      </c>
      <c r="T8" s="112">
        <f>POWER(U3/T3,1/10)-1</f>
        <v>-2.0378457654261051E-2</v>
      </c>
      <c r="U8" s="112">
        <f>POWER(V3/U3,1/20)-1</f>
        <v>-3.0286436070816714E-2</v>
      </c>
    </row>
    <row r="9" spans="1:22" x14ac:dyDescent="0.35">
      <c r="E9" s="98"/>
      <c r="R9" s="115"/>
    </row>
    <row r="10" spans="1:22" x14ac:dyDescent="0.35">
      <c r="E10" s="98"/>
      <c r="L10" s="22" t="s">
        <v>99</v>
      </c>
    </row>
    <row r="11" spans="1:22" x14ac:dyDescent="0.35">
      <c r="A11" s="116"/>
      <c r="B11" s="117"/>
      <c r="C11" s="118"/>
      <c r="D11" s="119"/>
    </row>
    <row r="12" spans="1:22" x14ac:dyDescent="0.35">
      <c r="A12" s="120"/>
      <c r="B12" s="20"/>
      <c r="C12" s="28"/>
      <c r="D12" s="121"/>
      <c r="I12" s="97"/>
      <c r="J12" s="97"/>
      <c r="K12" s="97"/>
      <c r="L12" s="97"/>
      <c r="M12" s="97"/>
      <c r="N12" s="97"/>
      <c r="O12" s="97"/>
      <c r="P12" s="97"/>
      <c r="Q12" s="97"/>
    </row>
    <row r="13" spans="1:22" ht="21" x14ac:dyDescent="0.5">
      <c r="A13" s="120"/>
      <c r="B13" s="20"/>
      <c r="C13" s="28"/>
      <c r="D13" s="121"/>
      <c r="H13" s="38"/>
      <c r="I13" s="248" t="s">
        <v>83</v>
      </c>
      <c r="J13" s="248"/>
      <c r="K13" s="248"/>
      <c r="L13" s="248"/>
      <c r="M13" s="248"/>
      <c r="N13" s="248"/>
      <c r="O13" s="248"/>
      <c r="P13" s="248"/>
      <c r="Q13" s="248"/>
      <c r="R13" s="98"/>
    </row>
    <row r="14" spans="1:22" x14ac:dyDescent="0.35">
      <c r="C14" s="97"/>
      <c r="D14" s="97"/>
      <c r="E14" s="97"/>
      <c r="F14" s="97"/>
      <c r="G14" s="97"/>
      <c r="H14" s="97"/>
      <c r="I14" s="249" t="s">
        <v>100</v>
      </c>
      <c r="J14" s="249"/>
      <c r="K14" s="250" t="s">
        <v>101</v>
      </c>
      <c r="L14" s="250"/>
      <c r="M14" s="122"/>
      <c r="N14" s="251" t="s">
        <v>102</v>
      </c>
      <c r="O14" s="251"/>
      <c r="P14" s="252" t="s">
        <v>103</v>
      </c>
      <c r="Q14" s="252"/>
    </row>
    <row r="15" spans="1:22" ht="29" x14ac:dyDescent="0.35">
      <c r="B15" s="38"/>
      <c r="C15" s="123" t="s">
        <v>104</v>
      </c>
      <c r="D15" s="123" t="s">
        <v>105</v>
      </c>
      <c r="E15" s="123" t="s">
        <v>106</v>
      </c>
      <c r="F15" s="123" t="s">
        <v>107</v>
      </c>
      <c r="G15" s="124" t="s">
        <v>108</v>
      </c>
      <c r="H15" s="125" t="s">
        <v>109</v>
      </c>
      <c r="I15" s="126" t="s">
        <v>110</v>
      </c>
      <c r="J15" s="127" t="s">
        <v>111</v>
      </c>
      <c r="K15" s="128" t="s">
        <v>110</v>
      </c>
      <c r="L15" s="129" t="s">
        <v>111</v>
      </c>
      <c r="M15" s="130"/>
      <c r="N15" s="131" t="s">
        <v>112</v>
      </c>
      <c r="O15" s="132" t="s">
        <v>111</v>
      </c>
      <c r="P15" s="132" t="s">
        <v>112</v>
      </c>
      <c r="Q15" s="133" t="s">
        <v>111</v>
      </c>
    </row>
    <row r="16" spans="1:22" x14ac:dyDescent="0.35">
      <c r="B16" s="38"/>
      <c r="C16" s="134" t="s">
        <v>113</v>
      </c>
      <c r="D16" s="135" t="s">
        <v>114</v>
      </c>
      <c r="E16" s="135" t="s">
        <v>115</v>
      </c>
      <c r="F16" s="136">
        <v>2019</v>
      </c>
      <c r="G16" s="136">
        <f>SUM(G17:G21)</f>
        <v>2205</v>
      </c>
      <c r="H16" s="137">
        <f>SUM(H17:H21)</f>
        <v>6446</v>
      </c>
      <c r="I16" s="138">
        <f>SUM(I17:I21)</f>
        <v>2051.3500000000004</v>
      </c>
      <c r="J16" s="139">
        <f>(I16-G16)/G16</f>
        <v>-6.9682539682539513E-2</v>
      </c>
      <c r="K16" s="140">
        <f t="shared" ref="K16:K27" si="2">G16*(1+L16)</f>
        <v>1719.9</v>
      </c>
      <c r="L16" s="141">
        <v>-0.22</v>
      </c>
      <c r="M16" s="130"/>
      <c r="N16" s="142">
        <f>SUM(N17:N21)</f>
        <v>6218.88</v>
      </c>
      <c r="O16" s="139">
        <f>(N16-H16)/H16</f>
        <v>-3.5234253800806685E-2</v>
      </c>
      <c r="P16" s="143">
        <f t="shared" ref="P16:P27" si="3">H16*(1+Q16)</f>
        <v>5801.4000000000005</v>
      </c>
      <c r="Q16" s="144">
        <v>-0.1</v>
      </c>
    </row>
    <row r="17" spans="3:19" x14ac:dyDescent="0.35">
      <c r="C17" s="74"/>
      <c r="D17" s="145" t="s">
        <v>114</v>
      </c>
      <c r="E17" s="145" t="s">
        <v>116</v>
      </c>
      <c r="F17" s="146">
        <v>2019</v>
      </c>
      <c r="G17" s="146">
        <v>335</v>
      </c>
      <c r="H17" s="147">
        <v>2432</v>
      </c>
      <c r="I17" s="148">
        <f t="shared" ref="I17:I21" si="4">G17*(1+J17)</f>
        <v>324.95</v>
      </c>
      <c r="J17" s="149">
        <v>-0.03</v>
      </c>
      <c r="K17" s="150">
        <f t="shared" si="2"/>
        <v>301.5</v>
      </c>
      <c r="L17" s="151">
        <v>-0.1</v>
      </c>
      <c r="M17" s="130"/>
      <c r="N17" s="148">
        <f t="shared" ref="N17:N21" si="5">H17*(1+O17)</f>
        <v>2407.6799999999998</v>
      </c>
      <c r="O17" s="149">
        <v>-0.01</v>
      </c>
      <c r="P17" s="152">
        <f t="shared" si="3"/>
        <v>2359.04</v>
      </c>
      <c r="Q17" s="153">
        <v>-0.03</v>
      </c>
    </row>
    <row r="18" spans="3:19" x14ac:dyDescent="0.35">
      <c r="C18" s="38"/>
      <c r="D18" s="145" t="s">
        <v>114</v>
      </c>
      <c r="E18" s="145" t="s">
        <v>117</v>
      </c>
      <c r="F18" s="146">
        <v>2019</v>
      </c>
      <c r="G18" s="146">
        <v>230</v>
      </c>
      <c r="H18" s="147">
        <v>1185</v>
      </c>
      <c r="I18" s="148">
        <f t="shared" si="4"/>
        <v>223.1</v>
      </c>
      <c r="J18" s="149">
        <v>-0.03</v>
      </c>
      <c r="K18" s="146">
        <f t="shared" si="2"/>
        <v>207</v>
      </c>
      <c r="L18" s="151">
        <v>-0.1</v>
      </c>
      <c r="M18" s="130"/>
      <c r="N18" s="148">
        <f t="shared" si="5"/>
        <v>1173.1500000000001</v>
      </c>
      <c r="O18" s="149">
        <v>-0.01</v>
      </c>
      <c r="P18" s="152">
        <f t="shared" si="3"/>
        <v>1137.5999999999999</v>
      </c>
      <c r="Q18" s="153">
        <v>-0.04</v>
      </c>
    </row>
    <row r="19" spans="3:19" x14ac:dyDescent="0.35">
      <c r="C19" s="38"/>
      <c r="D19" s="145" t="s">
        <v>114</v>
      </c>
      <c r="E19" s="145" t="s">
        <v>118</v>
      </c>
      <c r="F19" s="146">
        <v>2019</v>
      </c>
      <c r="G19" s="146">
        <v>840</v>
      </c>
      <c r="H19" s="147">
        <v>160</v>
      </c>
      <c r="I19" s="148">
        <f t="shared" si="4"/>
        <v>831.6</v>
      </c>
      <c r="J19" s="149">
        <v>-0.01</v>
      </c>
      <c r="K19" s="150">
        <f t="shared" si="2"/>
        <v>823.19999999999993</v>
      </c>
      <c r="L19" s="151">
        <v>-0.02</v>
      </c>
      <c r="M19" s="130"/>
      <c r="N19" s="148">
        <f t="shared" si="5"/>
        <v>152</v>
      </c>
      <c r="O19" s="149">
        <v>-0.05</v>
      </c>
      <c r="P19" s="152">
        <f t="shared" si="3"/>
        <v>136</v>
      </c>
      <c r="Q19" s="153">
        <v>-0.15</v>
      </c>
    </row>
    <row r="20" spans="3:19" x14ac:dyDescent="0.35">
      <c r="C20" s="38"/>
      <c r="D20" s="145" t="s">
        <v>114</v>
      </c>
      <c r="E20" s="145" t="s">
        <v>19</v>
      </c>
      <c r="F20" s="146">
        <v>2019</v>
      </c>
      <c r="G20" s="146">
        <v>730</v>
      </c>
      <c r="H20" s="147">
        <v>2281</v>
      </c>
      <c r="I20" s="148">
        <f t="shared" si="4"/>
        <v>605.9</v>
      </c>
      <c r="J20" s="149">
        <v>-0.17</v>
      </c>
      <c r="K20" s="150">
        <f t="shared" si="2"/>
        <v>357.7</v>
      </c>
      <c r="L20" s="151">
        <v>-0.51</v>
      </c>
      <c r="M20" s="130"/>
      <c r="N20" s="148">
        <f t="shared" si="5"/>
        <v>2121.33</v>
      </c>
      <c r="O20" s="149">
        <v>-7.0000000000000007E-2</v>
      </c>
      <c r="P20" s="152">
        <f t="shared" si="3"/>
        <v>1824.8000000000002</v>
      </c>
      <c r="Q20" s="153">
        <v>-0.2</v>
      </c>
    </row>
    <row r="21" spans="3:19" x14ac:dyDescent="0.35">
      <c r="C21" s="38"/>
      <c r="D21" s="145" t="s">
        <v>114</v>
      </c>
      <c r="E21" s="145" t="s">
        <v>119</v>
      </c>
      <c r="F21" s="146">
        <v>2019</v>
      </c>
      <c r="G21" s="146">
        <v>70</v>
      </c>
      <c r="H21" s="147">
        <v>388</v>
      </c>
      <c r="I21" s="148">
        <f t="shared" si="4"/>
        <v>65.8</v>
      </c>
      <c r="J21" s="149">
        <v>-0.06</v>
      </c>
      <c r="K21" s="150">
        <f t="shared" si="2"/>
        <v>56.7</v>
      </c>
      <c r="L21" s="151">
        <v>-0.19</v>
      </c>
      <c r="M21" s="130"/>
      <c r="N21" s="148">
        <f t="shared" si="5"/>
        <v>364.71999999999997</v>
      </c>
      <c r="O21" s="149">
        <v>-0.06</v>
      </c>
      <c r="P21" s="152">
        <f t="shared" si="3"/>
        <v>318.16000000000003</v>
      </c>
      <c r="Q21" s="153">
        <v>-0.18</v>
      </c>
    </row>
    <row r="22" spans="3:19" x14ac:dyDescent="0.35">
      <c r="C22" s="38"/>
      <c r="D22" s="154" t="s">
        <v>120</v>
      </c>
      <c r="E22" s="154" t="s">
        <v>115</v>
      </c>
      <c r="F22" s="155">
        <v>2019</v>
      </c>
      <c r="G22" s="155">
        <f>SUM(G23:G27)</f>
        <v>2205</v>
      </c>
      <c r="H22" s="156">
        <v>6446</v>
      </c>
      <c r="I22" s="157">
        <f>SUM(I23:I27)</f>
        <v>1794.7</v>
      </c>
      <c r="J22" s="158">
        <f>(I22-G22)/G22</f>
        <v>-0.18607709750566892</v>
      </c>
      <c r="K22" s="159">
        <f t="shared" si="2"/>
        <v>970.19999999999993</v>
      </c>
      <c r="L22" s="160">
        <v>-0.56000000000000005</v>
      </c>
      <c r="M22" s="130"/>
      <c r="N22" s="161">
        <f>SUM(N23:N27)</f>
        <v>5385.7300000000005</v>
      </c>
      <c r="O22" s="158">
        <f>(N22-H22)/H22</f>
        <v>-0.16448495190816004</v>
      </c>
      <c r="P22" s="162">
        <f t="shared" si="3"/>
        <v>3287.46</v>
      </c>
      <c r="Q22" s="163">
        <v>-0.49</v>
      </c>
      <c r="S22" s="164"/>
    </row>
    <row r="23" spans="3:19" x14ac:dyDescent="0.35">
      <c r="C23" s="38"/>
      <c r="D23" s="165" t="s">
        <v>120</v>
      </c>
      <c r="E23" s="165" t="s">
        <v>116</v>
      </c>
      <c r="F23" s="166">
        <v>2019</v>
      </c>
      <c r="G23" s="166">
        <v>335</v>
      </c>
      <c r="H23" s="167">
        <v>2432</v>
      </c>
      <c r="I23" s="168">
        <f t="shared" ref="I23:I27" si="6">G23*(1+J23)</f>
        <v>254.6</v>
      </c>
      <c r="J23" s="169">
        <f>-24%</f>
        <v>-0.24</v>
      </c>
      <c r="K23" s="170">
        <f t="shared" si="2"/>
        <v>90.45</v>
      </c>
      <c r="L23" s="171">
        <v>-0.73</v>
      </c>
      <c r="M23" s="130"/>
      <c r="N23" s="168">
        <f t="shared" ref="N23:N27" si="7">H23*(1+O23)</f>
        <v>2018.56</v>
      </c>
      <c r="O23" s="169">
        <v>-0.17</v>
      </c>
      <c r="P23" s="172">
        <f t="shared" si="3"/>
        <v>1216</v>
      </c>
      <c r="Q23" s="173">
        <v>-0.5</v>
      </c>
      <c r="S23" s="164"/>
    </row>
    <row r="24" spans="3:19" x14ac:dyDescent="0.35">
      <c r="C24" s="38"/>
      <c r="D24" s="165" t="s">
        <v>120</v>
      </c>
      <c r="E24" s="165" t="s">
        <v>117</v>
      </c>
      <c r="F24" s="166">
        <v>2019</v>
      </c>
      <c r="G24" s="166">
        <v>230</v>
      </c>
      <c r="H24" s="167">
        <v>1185</v>
      </c>
      <c r="I24" s="168">
        <f t="shared" si="6"/>
        <v>188.60000000000002</v>
      </c>
      <c r="J24" s="169">
        <v>-0.18</v>
      </c>
      <c r="K24" s="170">
        <f t="shared" si="2"/>
        <v>108.1</v>
      </c>
      <c r="L24" s="171">
        <v>-0.53</v>
      </c>
      <c r="M24" s="130"/>
      <c r="N24" s="168">
        <f t="shared" si="7"/>
        <v>1030.95</v>
      </c>
      <c r="O24" s="169">
        <v>-0.13</v>
      </c>
      <c r="P24" s="172">
        <f t="shared" si="3"/>
        <v>711</v>
      </c>
      <c r="Q24" s="173">
        <v>-0.4</v>
      </c>
    </row>
    <row r="25" spans="3:19" x14ac:dyDescent="0.35">
      <c r="C25" s="38"/>
      <c r="D25" s="165" t="s">
        <v>120</v>
      </c>
      <c r="E25" s="165" t="s">
        <v>118</v>
      </c>
      <c r="F25" s="166">
        <v>2019</v>
      </c>
      <c r="G25" s="166">
        <v>840</v>
      </c>
      <c r="H25" s="167">
        <v>160</v>
      </c>
      <c r="I25" s="174">
        <f t="shared" si="6"/>
        <v>756</v>
      </c>
      <c r="J25" s="169">
        <v>-0.1</v>
      </c>
      <c r="K25" s="166">
        <f t="shared" si="2"/>
        <v>588</v>
      </c>
      <c r="L25" s="171">
        <v>-0.3</v>
      </c>
      <c r="M25" s="130"/>
      <c r="N25" s="168">
        <f t="shared" si="7"/>
        <v>136</v>
      </c>
      <c r="O25" s="169">
        <v>-0.15</v>
      </c>
      <c r="P25" s="172">
        <f t="shared" si="3"/>
        <v>89.600000000000009</v>
      </c>
      <c r="Q25" s="173">
        <v>-0.44</v>
      </c>
    </row>
    <row r="26" spans="3:19" x14ac:dyDescent="0.35">
      <c r="C26" s="38"/>
      <c r="D26" s="165" t="s">
        <v>120</v>
      </c>
      <c r="E26" s="165" t="s">
        <v>19</v>
      </c>
      <c r="F26" s="166">
        <v>2019</v>
      </c>
      <c r="G26" s="166">
        <v>730</v>
      </c>
      <c r="H26" s="167">
        <v>2281</v>
      </c>
      <c r="I26" s="168">
        <f t="shared" si="6"/>
        <v>540.20000000000005</v>
      </c>
      <c r="J26" s="169">
        <v>-0.26</v>
      </c>
      <c r="K26" s="170">
        <f t="shared" si="2"/>
        <v>167.89999999999998</v>
      </c>
      <c r="L26" s="171">
        <v>-0.77</v>
      </c>
      <c r="M26" s="130"/>
      <c r="N26" s="168">
        <f t="shared" si="7"/>
        <v>1870.42</v>
      </c>
      <c r="O26" s="169">
        <v>-0.18</v>
      </c>
      <c r="P26" s="172">
        <f t="shared" si="3"/>
        <v>1049.26</v>
      </c>
      <c r="Q26" s="173">
        <v>-0.54</v>
      </c>
    </row>
    <row r="27" spans="3:19" x14ac:dyDescent="0.35">
      <c r="C27" s="38"/>
      <c r="D27" s="165" t="s">
        <v>120</v>
      </c>
      <c r="E27" s="165" t="s">
        <v>119</v>
      </c>
      <c r="F27" s="166">
        <v>2019</v>
      </c>
      <c r="G27" s="166">
        <v>70</v>
      </c>
      <c r="H27" s="167">
        <v>388</v>
      </c>
      <c r="I27" s="175">
        <f t="shared" si="6"/>
        <v>55.300000000000004</v>
      </c>
      <c r="J27" s="176">
        <v>-0.21</v>
      </c>
      <c r="K27" s="177">
        <f t="shared" si="2"/>
        <v>25.9</v>
      </c>
      <c r="L27" s="178">
        <v>-0.63</v>
      </c>
      <c r="M27" s="130"/>
      <c r="N27" s="175">
        <f t="shared" si="7"/>
        <v>329.8</v>
      </c>
      <c r="O27" s="176">
        <v>-0.15</v>
      </c>
      <c r="P27" s="179">
        <f t="shared" si="3"/>
        <v>213.4</v>
      </c>
      <c r="Q27" s="180">
        <v>-0.45</v>
      </c>
    </row>
    <row r="28" spans="3:19" x14ac:dyDescent="0.35">
      <c r="D28" s="74"/>
      <c r="E28" s="181" t="s">
        <v>121</v>
      </c>
      <c r="F28" s="182"/>
      <c r="G28" s="182"/>
      <c r="H28" s="182"/>
      <c r="I28" s="183"/>
      <c r="J28" s="183"/>
      <c r="K28" s="183"/>
      <c r="L28" s="184"/>
      <c r="M28" s="185"/>
      <c r="N28" s="186">
        <f>O28*N22</f>
        <v>1615.7190000000001</v>
      </c>
      <c r="O28" s="187">
        <v>0.3</v>
      </c>
      <c r="P28" s="186">
        <f>P22*Q28</f>
        <v>3287.46</v>
      </c>
      <c r="Q28" s="188">
        <v>1</v>
      </c>
      <c r="R28" s="98"/>
    </row>
    <row r="29" spans="3:19" x14ac:dyDescent="0.35">
      <c r="E29" s="79"/>
      <c r="F29" s="79"/>
      <c r="G29" s="79"/>
      <c r="H29" s="79"/>
      <c r="I29" s="79"/>
      <c r="J29" s="79"/>
      <c r="K29" s="79"/>
      <c r="L29" s="79"/>
      <c r="N29" s="79"/>
      <c r="O29" s="79"/>
      <c r="P29" s="79"/>
      <c r="Q29" s="79"/>
    </row>
    <row r="30" spans="3:19" x14ac:dyDescent="0.35">
      <c r="F30" s="20"/>
      <c r="G30" s="20"/>
      <c r="H30" s="20"/>
      <c r="I30" s="189"/>
      <c r="J30" s="190"/>
      <c r="K30" s="189"/>
      <c r="L30" s="190"/>
      <c r="M30" s="191"/>
      <c r="N30" s="189"/>
      <c r="O30" s="192"/>
      <c r="P30" s="97"/>
      <c r="Q30" s="97"/>
    </row>
    <row r="31" spans="3:19" ht="21" x14ac:dyDescent="0.5">
      <c r="C31" s="28"/>
      <c r="D31" s="121"/>
      <c r="H31" s="38"/>
      <c r="I31" s="248" t="s">
        <v>122</v>
      </c>
      <c r="J31" s="248"/>
      <c r="K31" s="248"/>
      <c r="L31" s="248"/>
      <c r="M31" s="248"/>
      <c r="N31" s="248"/>
      <c r="O31" s="248"/>
      <c r="P31" s="248"/>
      <c r="Q31" s="248"/>
      <c r="R31" s="98"/>
    </row>
    <row r="32" spans="3:19" x14ac:dyDescent="0.35">
      <c r="C32" s="97"/>
      <c r="D32" s="97"/>
      <c r="E32" s="97"/>
      <c r="F32" s="97"/>
      <c r="G32" s="97"/>
      <c r="H32" s="97"/>
      <c r="I32" s="249" t="s">
        <v>123</v>
      </c>
      <c r="J32" s="249"/>
      <c r="K32" s="250" t="s">
        <v>124</v>
      </c>
      <c r="L32" s="250"/>
      <c r="M32" s="122"/>
      <c r="N32" s="251" t="s">
        <v>125</v>
      </c>
      <c r="O32" s="251"/>
      <c r="P32" s="252" t="s">
        <v>126</v>
      </c>
      <c r="Q32" s="252"/>
    </row>
    <row r="33" spans="2:18" ht="29" x14ac:dyDescent="0.35">
      <c r="B33" s="38"/>
      <c r="C33" s="123" t="s">
        <v>104</v>
      </c>
      <c r="D33" s="123" t="s">
        <v>105</v>
      </c>
      <c r="E33" s="123" t="s">
        <v>106</v>
      </c>
      <c r="F33" s="123" t="s">
        <v>107</v>
      </c>
      <c r="G33" s="124" t="s">
        <v>127</v>
      </c>
      <c r="H33" s="125" t="s">
        <v>128</v>
      </c>
      <c r="I33" s="126" t="s">
        <v>129</v>
      </c>
      <c r="J33" s="127" t="s">
        <v>111</v>
      </c>
      <c r="K33" s="128" t="s">
        <v>129</v>
      </c>
      <c r="L33" s="129" t="s">
        <v>111</v>
      </c>
      <c r="M33" s="130"/>
      <c r="N33" s="131" t="s">
        <v>130</v>
      </c>
      <c r="O33" s="132" t="s">
        <v>111</v>
      </c>
      <c r="P33" s="132" t="s">
        <v>130</v>
      </c>
      <c r="Q33" s="133" t="s">
        <v>111</v>
      </c>
    </row>
    <row r="34" spans="2:18" ht="14.25" customHeight="1" x14ac:dyDescent="0.35">
      <c r="C34" s="247" t="s">
        <v>131</v>
      </c>
      <c r="D34" s="135" t="s">
        <v>114</v>
      </c>
      <c r="E34" s="135" t="s">
        <v>115</v>
      </c>
      <c r="F34" s="136">
        <v>2019</v>
      </c>
      <c r="G34" s="140">
        <f t="shared" ref="G34:H45" si="8">$H$5*G16*1000</f>
        <v>48367.741935483871</v>
      </c>
      <c r="H34" s="193">
        <f t="shared" si="8"/>
        <v>141396.12903225803</v>
      </c>
      <c r="I34" s="142">
        <f t="shared" ref="I34:I45" si="9">$I$5*I16*1000</f>
        <v>44997.354838709682</v>
      </c>
      <c r="J34" s="139">
        <f t="shared" ref="J34:J45" si="10">(I34-G34)/G34</f>
        <v>-6.9682539682539596E-2</v>
      </c>
      <c r="K34" s="140">
        <f t="shared" ref="K34:K45" si="11">$J$5*K16*1000</f>
        <v>37726.838709677424</v>
      </c>
      <c r="L34" s="141">
        <f t="shared" ref="L34:L45" si="12">(K34-G34)/G34</f>
        <v>-0.21999999999999992</v>
      </c>
      <c r="M34" s="130"/>
      <c r="N34" s="142">
        <f t="shared" ref="N34:N45" si="13">$J$5*N16*1000</f>
        <v>136414.14193548384</v>
      </c>
      <c r="O34" s="139">
        <f t="shared" ref="O34:O45" si="14">(N34-H34)/H34</f>
        <v>-3.5234253800806671E-2</v>
      </c>
      <c r="P34" s="140">
        <f t="shared" ref="P34:P45" si="15">$J$5*P16*1000</f>
        <v>127256.51612903226</v>
      </c>
      <c r="Q34" s="141">
        <f t="shared" ref="Q34:Q45" si="16">(P34-H34)/H34</f>
        <v>-9.9999999999999797E-2</v>
      </c>
    </row>
    <row r="35" spans="2:18" x14ac:dyDescent="0.35">
      <c r="C35" s="247"/>
      <c r="D35" s="145" t="s">
        <v>114</v>
      </c>
      <c r="E35" s="145" t="s">
        <v>116</v>
      </c>
      <c r="F35" s="146">
        <v>2019</v>
      </c>
      <c r="G35" s="150">
        <f t="shared" si="8"/>
        <v>7348.3870967741932</v>
      </c>
      <c r="H35" s="194">
        <f t="shared" si="8"/>
        <v>53347.096774193546</v>
      </c>
      <c r="I35" s="148">
        <f t="shared" si="9"/>
        <v>7127.9354838709669</v>
      </c>
      <c r="J35" s="149">
        <f t="shared" si="10"/>
        <v>-3.0000000000000068E-2</v>
      </c>
      <c r="K35" s="150">
        <f t="shared" si="11"/>
        <v>6613.5483870967737</v>
      </c>
      <c r="L35" s="151">
        <f t="shared" si="12"/>
        <v>-0.10000000000000002</v>
      </c>
      <c r="M35" s="130"/>
      <c r="N35" s="148">
        <f t="shared" si="13"/>
        <v>52813.625806451608</v>
      </c>
      <c r="O35" s="149">
        <f t="shared" si="14"/>
        <v>-1.0000000000000044E-2</v>
      </c>
      <c r="P35" s="150">
        <f t="shared" si="15"/>
        <v>51746.683870967739</v>
      </c>
      <c r="Q35" s="151">
        <f t="shared" si="16"/>
        <v>-2.9999999999999995E-2</v>
      </c>
    </row>
    <row r="36" spans="2:18" x14ac:dyDescent="0.35">
      <c r="C36" s="247"/>
      <c r="D36" s="145" t="s">
        <v>114</v>
      </c>
      <c r="E36" s="145" t="s">
        <v>117</v>
      </c>
      <c r="F36" s="146">
        <v>2019</v>
      </c>
      <c r="G36" s="150">
        <f t="shared" si="8"/>
        <v>5045.1612903225805</v>
      </c>
      <c r="H36" s="194">
        <f t="shared" si="8"/>
        <v>25993.548387096773</v>
      </c>
      <c r="I36" s="148">
        <f t="shared" si="9"/>
        <v>4893.8064516129034</v>
      </c>
      <c r="J36" s="149">
        <f t="shared" si="10"/>
        <v>-2.9999999999999936E-2</v>
      </c>
      <c r="K36" s="150">
        <f t="shared" si="11"/>
        <v>4540.645161290322</v>
      </c>
      <c r="L36" s="151">
        <f t="shared" si="12"/>
        <v>-0.10000000000000009</v>
      </c>
      <c r="M36" s="130"/>
      <c r="N36" s="148">
        <f t="shared" si="13"/>
        <v>25733.612903225807</v>
      </c>
      <c r="O36" s="149">
        <f t="shared" si="14"/>
        <v>-9.9999999999999326E-3</v>
      </c>
      <c r="P36" s="150">
        <f t="shared" si="15"/>
        <v>24953.806451612902</v>
      </c>
      <c r="Q36" s="151">
        <f t="shared" si="16"/>
        <v>-4.0000000000000008E-2</v>
      </c>
    </row>
    <row r="37" spans="2:18" x14ac:dyDescent="0.35">
      <c r="C37" s="247"/>
      <c r="D37" s="145" t="s">
        <v>114</v>
      </c>
      <c r="E37" s="145" t="s">
        <v>118</v>
      </c>
      <c r="F37" s="146">
        <v>2019</v>
      </c>
      <c r="G37" s="150">
        <f t="shared" si="8"/>
        <v>18425.806451612902</v>
      </c>
      <c r="H37" s="194">
        <f t="shared" si="8"/>
        <v>3509.677419354839</v>
      </c>
      <c r="I37" s="148">
        <f t="shared" si="9"/>
        <v>18241.548387096773</v>
      </c>
      <c r="J37" s="149">
        <f t="shared" si="10"/>
        <v>-9.9999999999999881E-3</v>
      </c>
      <c r="K37" s="150">
        <f t="shared" si="11"/>
        <v>18057.29032258064</v>
      </c>
      <c r="L37" s="151">
        <f t="shared" si="12"/>
        <v>-2.0000000000000174E-2</v>
      </c>
      <c r="M37" s="130"/>
      <c r="N37" s="148">
        <f t="shared" si="13"/>
        <v>3334.1935483870966</v>
      </c>
      <c r="O37" s="149">
        <f t="shared" si="14"/>
        <v>-5.0000000000000128E-2</v>
      </c>
      <c r="P37" s="150">
        <f t="shared" si="15"/>
        <v>2983.2258064516127</v>
      </c>
      <c r="Q37" s="151">
        <f t="shared" si="16"/>
        <v>-0.15000000000000013</v>
      </c>
    </row>
    <row r="38" spans="2:18" x14ac:dyDescent="0.35">
      <c r="C38" s="247"/>
      <c r="D38" s="145" t="s">
        <v>114</v>
      </c>
      <c r="E38" s="145" t="s">
        <v>19</v>
      </c>
      <c r="F38" s="146">
        <v>2019</v>
      </c>
      <c r="G38" s="150">
        <f t="shared" si="8"/>
        <v>16012.903225806451</v>
      </c>
      <c r="H38" s="194">
        <f t="shared" si="8"/>
        <v>50034.838709677417</v>
      </c>
      <c r="I38" s="148">
        <f t="shared" si="9"/>
        <v>13290.709677419354</v>
      </c>
      <c r="J38" s="149">
        <f t="shared" si="10"/>
        <v>-0.16999999999999998</v>
      </c>
      <c r="K38" s="150">
        <f t="shared" si="11"/>
        <v>7846.322580645161</v>
      </c>
      <c r="L38" s="151">
        <f t="shared" si="12"/>
        <v>-0.51</v>
      </c>
      <c r="M38" s="130"/>
      <c r="N38" s="148">
        <f t="shared" si="13"/>
        <v>46532.399999999994</v>
      </c>
      <c r="O38" s="149">
        <f t="shared" si="14"/>
        <v>-7.0000000000000062E-2</v>
      </c>
      <c r="P38" s="150">
        <f t="shared" si="15"/>
        <v>40027.870967741939</v>
      </c>
      <c r="Q38" s="151">
        <f t="shared" si="16"/>
        <v>-0.19999999999999987</v>
      </c>
    </row>
    <row r="39" spans="2:18" x14ac:dyDescent="0.35">
      <c r="C39" s="247"/>
      <c r="D39" s="145" t="s">
        <v>114</v>
      </c>
      <c r="E39" s="145" t="s">
        <v>119</v>
      </c>
      <c r="F39" s="146">
        <v>2019</v>
      </c>
      <c r="G39" s="150">
        <f t="shared" si="8"/>
        <v>1535.483870967742</v>
      </c>
      <c r="H39" s="194">
        <f t="shared" si="8"/>
        <v>8510.967741935483</v>
      </c>
      <c r="I39" s="148">
        <f t="shared" si="9"/>
        <v>1443.3548387096773</v>
      </c>
      <c r="J39" s="149">
        <f t="shared" si="10"/>
        <v>-6.0000000000000074E-2</v>
      </c>
      <c r="K39" s="150">
        <f t="shared" si="11"/>
        <v>1243.741935483871</v>
      </c>
      <c r="L39" s="151">
        <f t="shared" si="12"/>
        <v>-0.19</v>
      </c>
      <c r="M39" s="130"/>
      <c r="N39" s="148">
        <f t="shared" si="13"/>
        <v>8000.3096774193536</v>
      </c>
      <c r="O39" s="149">
        <f t="shared" si="14"/>
        <v>-6.0000000000000039E-2</v>
      </c>
      <c r="P39" s="150">
        <f t="shared" si="15"/>
        <v>6978.9935483870968</v>
      </c>
      <c r="Q39" s="151">
        <f t="shared" si="16"/>
        <v>-0.17999999999999991</v>
      </c>
    </row>
    <row r="40" spans="2:18" x14ac:dyDescent="0.35">
      <c r="C40" s="247"/>
      <c r="D40" s="154" t="s">
        <v>120</v>
      </c>
      <c r="E40" s="154" t="s">
        <v>115</v>
      </c>
      <c r="F40" s="155">
        <v>2019</v>
      </c>
      <c r="G40" s="159">
        <f t="shared" si="8"/>
        <v>48367.741935483871</v>
      </c>
      <c r="H40" s="195">
        <f t="shared" si="8"/>
        <v>141396.12903225803</v>
      </c>
      <c r="I40" s="161">
        <f t="shared" si="9"/>
        <v>39367.612903225803</v>
      </c>
      <c r="J40" s="158">
        <f t="shared" si="10"/>
        <v>-0.186077097505669</v>
      </c>
      <c r="K40" s="159">
        <f t="shared" si="11"/>
        <v>21281.806451612902</v>
      </c>
      <c r="L40" s="160">
        <f t="shared" si="12"/>
        <v>-0.56000000000000005</v>
      </c>
      <c r="M40" s="130"/>
      <c r="N40" s="161">
        <f t="shared" si="13"/>
        <v>118138.5935483871</v>
      </c>
      <c r="O40" s="158">
        <f t="shared" si="14"/>
        <v>-0.16448495190815987</v>
      </c>
      <c r="P40" s="159">
        <f t="shared" si="15"/>
        <v>72112.025806451609</v>
      </c>
      <c r="Q40" s="160">
        <f t="shared" si="16"/>
        <v>-0.48999999999999988</v>
      </c>
    </row>
    <row r="41" spans="2:18" x14ac:dyDescent="0.35">
      <c r="C41" s="247"/>
      <c r="D41" s="165" t="s">
        <v>120</v>
      </c>
      <c r="E41" s="165" t="s">
        <v>116</v>
      </c>
      <c r="F41" s="166">
        <v>2019</v>
      </c>
      <c r="G41" s="170">
        <f t="shared" si="8"/>
        <v>7348.3870967741932</v>
      </c>
      <c r="H41" s="196">
        <f t="shared" si="8"/>
        <v>53347.096774193546</v>
      </c>
      <c r="I41" s="168">
        <f t="shared" si="9"/>
        <v>5584.7741935483864</v>
      </c>
      <c r="J41" s="169">
        <f t="shared" si="10"/>
        <v>-0.24000000000000005</v>
      </c>
      <c r="K41" s="170">
        <f t="shared" si="11"/>
        <v>1984.0645161290322</v>
      </c>
      <c r="L41" s="171">
        <f t="shared" si="12"/>
        <v>-0.73</v>
      </c>
      <c r="M41" s="130"/>
      <c r="N41" s="168">
        <f t="shared" si="13"/>
        <v>44278.090322580647</v>
      </c>
      <c r="O41" s="169">
        <f t="shared" si="14"/>
        <v>-0.16999999999999993</v>
      </c>
      <c r="P41" s="170">
        <f t="shared" si="15"/>
        <v>26673.548387096773</v>
      </c>
      <c r="Q41" s="171">
        <f t="shared" si="16"/>
        <v>-0.5</v>
      </c>
    </row>
    <row r="42" spans="2:18" x14ac:dyDescent="0.35">
      <c r="C42" s="247"/>
      <c r="D42" s="165" t="s">
        <v>120</v>
      </c>
      <c r="E42" s="165" t="s">
        <v>117</v>
      </c>
      <c r="F42" s="166">
        <v>2019</v>
      </c>
      <c r="G42" s="170">
        <f t="shared" si="8"/>
        <v>5045.1612903225805</v>
      </c>
      <c r="H42" s="196">
        <f t="shared" si="8"/>
        <v>25993.548387096773</v>
      </c>
      <c r="I42" s="168">
        <f t="shared" si="9"/>
        <v>4137.0322580645161</v>
      </c>
      <c r="J42" s="169">
        <f t="shared" si="10"/>
        <v>-0.18</v>
      </c>
      <c r="K42" s="170">
        <f t="shared" si="11"/>
        <v>2371.2258064516127</v>
      </c>
      <c r="L42" s="171">
        <f t="shared" si="12"/>
        <v>-0.53</v>
      </c>
      <c r="M42" s="130"/>
      <c r="N42" s="168">
        <f t="shared" si="13"/>
        <v>22614.387096774193</v>
      </c>
      <c r="O42" s="169">
        <f t="shared" si="14"/>
        <v>-0.12999999999999998</v>
      </c>
      <c r="P42" s="170">
        <f t="shared" si="15"/>
        <v>15596.129032258064</v>
      </c>
      <c r="Q42" s="171">
        <f t="shared" si="16"/>
        <v>-0.39999999999999997</v>
      </c>
    </row>
    <row r="43" spans="2:18" x14ac:dyDescent="0.35">
      <c r="C43" s="247"/>
      <c r="D43" s="165" t="s">
        <v>120</v>
      </c>
      <c r="E43" s="165" t="s">
        <v>118</v>
      </c>
      <c r="F43" s="166">
        <v>2019</v>
      </c>
      <c r="G43" s="170">
        <f t="shared" si="8"/>
        <v>18425.806451612902</v>
      </c>
      <c r="H43" s="196">
        <f t="shared" si="8"/>
        <v>3509.677419354839</v>
      </c>
      <c r="I43" s="168">
        <f t="shared" si="9"/>
        <v>16583.225806451614</v>
      </c>
      <c r="J43" s="169">
        <f t="shared" si="10"/>
        <v>-9.9999999999999881E-2</v>
      </c>
      <c r="K43" s="170">
        <f t="shared" si="11"/>
        <v>12898.064516129032</v>
      </c>
      <c r="L43" s="171">
        <f t="shared" si="12"/>
        <v>-0.29999999999999993</v>
      </c>
      <c r="M43" s="197"/>
      <c r="N43" s="168">
        <f t="shared" si="13"/>
        <v>2983.2258064516127</v>
      </c>
      <c r="O43" s="169">
        <f t="shared" si="14"/>
        <v>-0.15000000000000013</v>
      </c>
      <c r="P43" s="170">
        <f t="shared" si="15"/>
        <v>1965.4193548387098</v>
      </c>
      <c r="Q43" s="171">
        <f t="shared" si="16"/>
        <v>-0.44</v>
      </c>
    </row>
    <row r="44" spans="2:18" x14ac:dyDescent="0.35">
      <c r="C44" s="247"/>
      <c r="D44" s="165" t="s">
        <v>120</v>
      </c>
      <c r="E44" s="165" t="s">
        <v>19</v>
      </c>
      <c r="F44" s="166">
        <v>2019</v>
      </c>
      <c r="G44" s="170">
        <f t="shared" si="8"/>
        <v>16012.903225806451</v>
      </c>
      <c r="H44" s="196">
        <f t="shared" si="8"/>
        <v>50034.838709677417</v>
      </c>
      <c r="I44" s="168">
        <f t="shared" si="9"/>
        <v>11849.548387096775</v>
      </c>
      <c r="J44" s="169">
        <f t="shared" si="10"/>
        <v>-0.25999999999999995</v>
      </c>
      <c r="K44" s="170">
        <f t="shared" si="11"/>
        <v>3682.9677419354834</v>
      </c>
      <c r="L44" s="171">
        <f t="shared" si="12"/>
        <v>-0.77</v>
      </c>
      <c r="M44" s="130"/>
      <c r="N44" s="168">
        <f t="shared" si="13"/>
        <v>41028.567741935483</v>
      </c>
      <c r="O44" s="169">
        <f t="shared" si="14"/>
        <v>-0.17999999999999997</v>
      </c>
      <c r="P44" s="170">
        <f t="shared" si="15"/>
        <v>23016.025806451613</v>
      </c>
      <c r="Q44" s="171">
        <f t="shared" si="16"/>
        <v>-0.53999999999999992</v>
      </c>
    </row>
    <row r="45" spans="2:18" x14ac:dyDescent="0.35">
      <c r="C45" s="247"/>
      <c r="D45" s="165" t="s">
        <v>120</v>
      </c>
      <c r="E45" s="165" t="s">
        <v>119</v>
      </c>
      <c r="F45" s="166">
        <v>2019</v>
      </c>
      <c r="G45" s="170">
        <f t="shared" si="8"/>
        <v>1535.483870967742</v>
      </c>
      <c r="H45" s="196">
        <f t="shared" si="8"/>
        <v>8510.967741935483</v>
      </c>
      <c r="I45" s="168">
        <f t="shared" si="9"/>
        <v>1213.0322580645161</v>
      </c>
      <c r="J45" s="169">
        <f t="shared" si="10"/>
        <v>-0.21000000000000002</v>
      </c>
      <c r="K45" s="170">
        <f t="shared" si="11"/>
        <v>568.1290322580644</v>
      </c>
      <c r="L45" s="171">
        <f t="shared" si="12"/>
        <v>-0.63000000000000012</v>
      </c>
      <c r="M45" s="130"/>
      <c r="N45" s="168">
        <f t="shared" si="13"/>
        <v>7234.322580645161</v>
      </c>
      <c r="O45" s="169">
        <f t="shared" si="14"/>
        <v>-0.14999999999999994</v>
      </c>
      <c r="P45" s="170">
        <f t="shared" si="15"/>
        <v>4681.0322580645161</v>
      </c>
      <c r="Q45" s="171">
        <f t="shared" si="16"/>
        <v>-0.44999999999999996</v>
      </c>
    </row>
    <row r="46" spans="2:18" x14ac:dyDescent="0.35">
      <c r="D46" s="74"/>
      <c r="E46" s="181" t="s">
        <v>132</v>
      </c>
      <c r="F46" s="182"/>
      <c r="G46" s="182"/>
      <c r="H46" s="182"/>
      <c r="I46" s="183"/>
      <c r="J46" s="198"/>
      <c r="K46" s="183"/>
      <c r="L46" s="184"/>
      <c r="M46" s="185"/>
      <c r="N46" s="186">
        <f>O46*N40</f>
        <v>35441.578064516129</v>
      </c>
      <c r="O46" s="187">
        <f>O28</f>
        <v>0.3</v>
      </c>
      <c r="P46" s="186">
        <f>Q46*P40</f>
        <v>72112.025806451609</v>
      </c>
      <c r="Q46" s="187">
        <f>Q28</f>
        <v>1</v>
      </c>
      <c r="R46" s="98"/>
    </row>
    <row r="47" spans="2:18" x14ac:dyDescent="0.35">
      <c r="E47" s="79"/>
      <c r="F47" s="79"/>
      <c r="G47" s="79"/>
      <c r="H47" s="79"/>
      <c r="I47" s="79"/>
      <c r="J47" s="199"/>
      <c r="K47" s="79"/>
      <c r="L47" s="79"/>
      <c r="M47" s="200"/>
      <c r="N47" s="79"/>
      <c r="O47" s="79"/>
      <c r="P47" s="79"/>
      <c r="Q47" s="79"/>
    </row>
    <row r="48" spans="2:18" x14ac:dyDescent="0.35">
      <c r="J48" s="201"/>
      <c r="M48" s="200"/>
      <c r="N48" s="164"/>
      <c r="P48" s="164"/>
    </row>
    <row r="49" spans="1:15" x14ac:dyDescent="0.35">
      <c r="J49" s="201"/>
      <c r="M49" s="200"/>
    </row>
    <row r="50" spans="1:15" x14ac:dyDescent="0.35">
      <c r="J50" s="201"/>
      <c r="M50" s="200"/>
    </row>
    <row r="51" spans="1:15" x14ac:dyDescent="0.35">
      <c r="J51" s="201"/>
      <c r="M51" s="200"/>
    </row>
    <row r="52" spans="1:15" x14ac:dyDescent="0.35">
      <c r="A52" s="189"/>
      <c r="B52" s="202"/>
      <c r="C52" s="202"/>
      <c r="D52" s="192"/>
      <c r="E52" s="189"/>
      <c r="F52" s="189"/>
      <c r="G52" s="20"/>
      <c r="J52" s="201"/>
      <c r="M52" s="200"/>
    </row>
    <row r="53" spans="1:15" ht="58" x14ac:dyDescent="0.35">
      <c r="A53" s="44" t="s">
        <v>133</v>
      </c>
      <c r="B53" s="44" t="s">
        <v>134</v>
      </c>
      <c r="C53" s="110" t="s">
        <v>135</v>
      </c>
      <c r="D53" s="110" t="s">
        <v>136</v>
      </c>
      <c r="E53" s="110" t="s">
        <v>137</v>
      </c>
      <c r="F53" s="110" t="s">
        <v>138</v>
      </c>
      <c r="G53" s="203"/>
      <c r="H53" s="20"/>
      <c r="I53" s="20"/>
      <c r="L53" s="201"/>
      <c r="O53" s="200"/>
    </row>
    <row r="54" spans="1:15" x14ac:dyDescent="0.35">
      <c r="A54" s="44">
        <v>2020</v>
      </c>
      <c r="B54" s="111">
        <v>1.9E-2</v>
      </c>
      <c r="C54" s="44">
        <v>6800</v>
      </c>
      <c r="D54" s="204">
        <v>8.0000000000000002E-3</v>
      </c>
      <c r="E54" s="44">
        <v>310000</v>
      </c>
      <c r="F54" s="111">
        <f t="shared" ref="F54:F84" si="17">C54/E54</f>
        <v>2.1935483870967741E-2</v>
      </c>
      <c r="G54" s="205"/>
      <c r="H54" s="20"/>
      <c r="I54" s="206"/>
      <c r="L54" s="201"/>
      <c r="O54" s="200"/>
    </row>
    <row r="55" spans="1:15" x14ac:dyDescent="0.35">
      <c r="A55" s="44">
        <f t="shared" ref="A55:A84" si="18">A54+1</f>
        <v>2021</v>
      </c>
      <c r="B55" s="44"/>
      <c r="C55" s="44">
        <f t="shared" ref="C55:C84" si="19">C54*(1+$B$54)</f>
        <v>6929.1999999999989</v>
      </c>
      <c r="D55" s="44"/>
      <c r="E55" s="44">
        <f t="shared" ref="E55:E84" si="20">E54*(1+$D$54)</f>
        <v>312480</v>
      </c>
      <c r="F55" s="111">
        <f t="shared" si="17"/>
        <v>2.217485919098822E-2</v>
      </c>
      <c r="G55" s="205"/>
      <c r="H55" s="20"/>
      <c r="I55" s="20"/>
      <c r="L55" s="201"/>
      <c r="O55" s="200"/>
    </row>
    <row r="56" spans="1:15" x14ac:dyDescent="0.35">
      <c r="A56" s="44">
        <f t="shared" si="18"/>
        <v>2022</v>
      </c>
      <c r="B56" s="44"/>
      <c r="C56" s="102">
        <f t="shared" si="19"/>
        <v>7060.8547999999982</v>
      </c>
      <c r="D56" s="102"/>
      <c r="E56" s="44">
        <f t="shared" si="20"/>
        <v>314979.84000000003</v>
      </c>
      <c r="F56" s="111">
        <f t="shared" si="17"/>
        <v>2.2416846741683524E-2</v>
      </c>
      <c r="G56" s="205"/>
      <c r="H56" s="20"/>
      <c r="I56" s="20"/>
      <c r="L56" s="201"/>
      <c r="O56" s="200"/>
    </row>
    <row r="57" spans="1:15" x14ac:dyDescent="0.35">
      <c r="A57" s="44">
        <f t="shared" si="18"/>
        <v>2023</v>
      </c>
      <c r="B57" s="44"/>
      <c r="C57" s="102">
        <f t="shared" si="19"/>
        <v>7195.0110411999976</v>
      </c>
      <c r="D57" s="102"/>
      <c r="E57" s="44">
        <f t="shared" si="20"/>
        <v>317499.67872000003</v>
      </c>
      <c r="F57" s="111">
        <f t="shared" si="17"/>
        <v>2.2661475029539194E-2</v>
      </c>
      <c r="G57" s="205"/>
      <c r="H57" s="20"/>
      <c r="I57" s="20"/>
      <c r="L57" s="201"/>
      <c r="O57" s="200"/>
    </row>
    <row r="58" spans="1:15" x14ac:dyDescent="0.35">
      <c r="A58" s="44">
        <f t="shared" si="18"/>
        <v>2024</v>
      </c>
      <c r="B58" s="44"/>
      <c r="C58" s="102">
        <f t="shared" si="19"/>
        <v>7331.7162509827967</v>
      </c>
      <c r="D58" s="102"/>
      <c r="E58" s="44">
        <f t="shared" si="20"/>
        <v>320039.67614976002</v>
      </c>
      <c r="F58" s="111">
        <f t="shared" si="17"/>
        <v>2.2908772872123451E-2</v>
      </c>
      <c r="G58" s="205"/>
      <c r="H58" s="20"/>
      <c r="I58" s="20"/>
      <c r="L58" s="201"/>
      <c r="O58" s="200"/>
    </row>
    <row r="59" spans="1:15" x14ac:dyDescent="0.35">
      <c r="A59" s="44">
        <f t="shared" si="18"/>
        <v>2025</v>
      </c>
      <c r="B59" s="44"/>
      <c r="C59" s="102">
        <f t="shared" si="19"/>
        <v>7471.0188597514689</v>
      </c>
      <c r="D59" s="102"/>
      <c r="E59" s="44">
        <f t="shared" si="20"/>
        <v>322599.99355895811</v>
      </c>
      <c r="F59" s="111">
        <f t="shared" si="17"/>
        <v>2.3158769401481937E-2</v>
      </c>
      <c r="G59" s="205"/>
      <c r="H59" s="20"/>
      <c r="I59" s="20"/>
      <c r="L59" s="201"/>
      <c r="O59" s="200"/>
    </row>
    <row r="60" spans="1:15" x14ac:dyDescent="0.35">
      <c r="A60" s="44">
        <f t="shared" si="18"/>
        <v>2026</v>
      </c>
      <c r="B60" s="44"/>
      <c r="C60" s="102">
        <f t="shared" si="19"/>
        <v>7612.9682180867458</v>
      </c>
      <c r="D60" s="102"/>
      <c r="E60" s="44">
        <f t="shared" si="20"/>
        <v>325180.79350742977</v>
      </c>
      <c r="F60" s="111">
        <f t="shared" si="17"/>
        <v>2.3411494067569535E-2</v>
      </c>
      <c r="G60" s="205"/>
      <c r="H60" s="20"/>
      <c r="I60" s="20"/>
      <c r="L60" s="201"/>
      <c r="O60" s="200"/>
    </row>
    <row r="61" spans="1:15" x14ac:dyDescent="0.35">
      <c r="A61" s="44">
        <f t="shared" si="18"/>
        <v>2027</v>
      </c>
      <c r="B61" s="44"/>
      <c r="C61" s="102">
        <f t="shared" si="19"/>
        <v>7757.6146142303933</v>
      </c>
      <c r="D61" s="102"/>
      <c r="E61" s="44">
        <f t="shared" si="20"/>
        <v>327782.23985548923</v>
      </c>
      <c r="F61" s="111">
        <f t="shared" si="17"/>
        <v>2.3666976641719593E-2</v>
      </c>
      <c r="G61" s="205"/>
      <c r="H61" s="20"/>
      <c r="I61" s="20"/>
      <c r="O61" s="200"/>
    </row>
    <row r="62" spans="1:15" x14ac:dyDescent="0.35">
      <c r="A62" s="44">
        <f t="shared" si="18"/>
        <v>2028</v>
      </c>
      <c r="B62" s="44"/>
      <c r="C62" s="102">
        <f t="shared" si="19"/>
        <v>7905.0092919007702</v>
      </c>
      <c r="D62" s="102"/>
      <c r="E62" s="44">
        <f t="shared" si="20"/>
        <v>330404.49777433317</v>
      </c>
      <c r="F62" s="111">
        <f t="shared" si="17"/>
        <v>2.3925247220151054E-2</v>
      </c>
      <c r="G62" s="205"/>
      <c r="H62" s="20"/>
      <c r="I62" s="20"/>
      <c r="O62" s="200"/>
    </row>
    <row r="63" spans="1:15" x14ac:dyDescent="0.35">
      <c r="A63" s="44">
        <f t="shared" si="18"/>
        <v>2029</v>
      </c>
      <c r="B63" s="44"/>
      <c r="C63" s="102">
        <f t="shared" si="19"/>
        <v>8055.2044684468838</v>
      </c>
      <c r="D63" s="102"/>
      <c r="E63" s="44">
        <f t="shared" si="20"/>
        <v>333047.73375652783</v>
      </c>
      <c r="F63" s="111">
        <f t="shared" si="17"/>
        <v>2.4186336227513813E-2</v>
      </c>
      <c r="G63" s="205"/>
      <c r="H63" s="20"/>
      <c r="I63" s="20"/>
      <c r="O63" s="200"/>
    </row>
    <row r="64" spans="1:15" x14ac:dyDescent="0.35">
      <c r="A64" s="44">
        <f t="shared" si="18"/>
        <v>2030</v>
      </c>
      <c r="B64" s="44"/>
      <c r="C64" s="102">
        <f t="shared" si="19"/>
        <v>8208.2533533473743</v>
      </c>
      <c r="D64" s="102"/>
      <c r="E64" s="44">
        <f t="shared" si="20"/>
        <v>335712.11562658008</v>
      </c>
      <c r="F64" s="111">
        <f t="shared" si="17"/>
        <v>2.445027442047279E-2</v>
      </c>
      <c r="G64" s="205"/>
      <c r="H64" s="20"/>
      <c r="I64" s="20"/>
      <c r="O64" s="200"/>
    </row>
    <row r="65" spans="1:15" x14ac:dyDescent="0.35">
      <c r="A65" s="44">
        <f t="shared" si="18"/>
        <v>2031</v>
      </c>
      <c r="B65" s="44"/>
      <c r="C65" s="102">
        <f t="shared" si="19"/>
        <v>8364.2101670609736</v>
      </c>
      <c r="D65" s="102"/>
      <c r="E65" s="44">
        <f t="shared" si="20"/>
        <v>338397.81255159271</v>
      </c>
      <c r="F65" s="111">
        <f t="shared" si="17"/>
        <v>2.4717092891331123E-2</v>
      </c>
      <c r="G65" s="205"/>
      <c r="H65" s="20"/>
      <c r="I65" s="20"/>
      <c r="O65" s="200"/>
    </row>
    <row r="66" spans="1:15" x14ac:dyDescent="0.35">
      <c r="A66" s="44">
        <f t="shared" si="18"/>
        <v>2032</v>
      </c>
      <c r="B66" s="44"/>
      <c r="C66" s="102">
        <f t="shared" si="19"/>
        <v>8523.1301602351305</v>
      </c>
      <c r="D66" s="102"/>
      <c r="E66" s="44">
        <f t="shared" si="20"/>
        <v>341104.99505200546</v>
      </c>
      <c r="F66" s="111">
        <f t="shared" si="17"/>
        <v>2.4986823071692865E-2</v>
      </c>
      <c r="G66" s="205"/>
      <c r="H66" s="20"/>
      <c r="I66" s="20"/>
      <c r="O66" s="200"/>
    </row>
    <row r="67" spans="1:15" x14ac:dyDescent="0.35">
      <c r="A67" s="44">
        <f t="shared" si="18"/>
        <v>2033</v>
      </c>
      <c r="B67" s="44"/>
      <c r="C67" s="102">
        <f t="shared" si="19"/>
        <v>8685.0696332795978</v>
      </c>
      <c r="D67" s="102"/>
      <c r="E67" s="44">
        <f t="shared" si="20"/>
        <v>343833.83501242148</v>
      </c>
      <c r="F67" s="111">
        <f t="shared" si="17"/>
        <v>2.5259496736165704E-2</v>
      </c>
      <c r="G67" s="205"/>
      <c r="H67" s="20"/>
      <c r="I67" s="20"/>
      <c r="O67" s="200"/>
    </row>
    <row r="68" spans="1:15" x14ac:dyDescent="0.35">
      <c r="A68" s="44">
        <f t="shared" si="18"/>
        <v>2034</v>
      </c>
      <c r="B68" s="44"/>
      <c r="C68" s="102">
        <f t="shared" si="19"/>
        <v>8850.0859563119102</v>
      </c>
      <c r="D68" s="102"/>
      <c r="E68" s="44">
        <f t="shared" si="20"/>
        <v>346584.50569252088</v>
      </c>
      <c r="F68" s="111">
        <f t="shared" si="17"/>
        <v>2.5535146006104018E-2</v>
      </c>
      <c r="G68" s="205"/>
      <c r="H68" s="20"/>
      <c r="I68" s="20"/>
      <c r="O68" s="200"/>
    </row>
    <row r="69" spans="1:15" x14ac:dyDescent="0.35">
      <c r="A69" s="44">
        <f t="shared" si="18"/>
        <v>2035</v>
      </c>
      <c r="B69" s="44"/>
      <c r="C69" s="102">
        <f t="shared" si="19"/>
        <v>9018.237589481836</v>
      </c>
      <c r="D69" s="102"/>
      <c r="E69" s="44">
        <f t="shared" si="20"/>
        <v>349357.18173806107</v>
      </c>
      <c r="F69" s="111">
        <f t="shared" si="17"/>
        <v>2.5813803353392849E-2</v>
      </c>
      <c r="G69" s="205"/>
      <c r="H69" s="20"/>
      <c r="I69" s="20"/>
      <c r="O69" s="200"/>
    </row>
    <row r="70" spans="1:15" x14ac:dyDescent="0.35">
      <c r="A70" s="44">
        <f t="shared" si="18"/>
        <v>2036</v>
      </c>
      <c r="B70" s="44"/>
      <c r="C70" s="102">
        <f t="shared" si="19"/>
        <v>9189.5841036819893</v>
      </c>
      <c r="D70" s="102"/>
      <c r="E70" s="44">
        <f t="shared" si="20"/>
        <v>352152.03919196554</v>
      </c>
      <c r="F70" s="111">
        <f t="shared" si="17"/>
        <v>2.6095501604273125E-2</v>
      </c>
      <c r="G70" s="205"/>
      <c r="H70" s="20"/>
      <c r="I70" s="20"/>
      <c r="O70" s="200"/>
    </row>
    <row r="71" spans="1:15" x14ac:dyDescent="0.35">
      <c r="A71" s="44">
        <f t="shared" si="18"/>
        <v>2037</v>
      </c>
      <c r="B71" s="44"/>
      <c r="C71" s="102">
        <f t="shared" si="19"/>
        <v>9364.1862016519462</v>
      </c>
      <c r="D71" s="102"/>
      <c r="E71" s="44">
        <f t="shared" si="20"/>
        <v>354969.25550550129</v>
      </c>
      <c r="F71" s="111">
        <f t="shared" si="17"/>
        <v>2.6380273943208642E-2</v>
      </c>
      <c r="G71" s="205"/>
      <c r="H71" s="20"/>
      <c r="I71" s="20"/>
      <c r="O71" s="200"/>
    </row>
    <row r="72" spans="1:15" x14ac:dyDescent="0.35">
      <c r="A72" s="44">
        <f t="shared" si="18"/>
        <v>2038</v>
      </c>
      <c r="B72" s="44"/>
      <c r="C72" s="102">
        <f t="shared" si="19"/>
        <v>9542.1057394833315</v>
      </c>
      <c r="D72" s="102"/>
      <c r="E72" s="44">
        <f t="shared" si="20"/>
        <v>357809.0095495453</v>
      </c>
      <c r="F72" s="111">
        <f t="shared" si="17"/>
        <v>2.666815391679524E-2</v>
      </c>
      <c r="G72" s="205"/>
      <c r="H72" s="20"/>
      <c r="I72" s="20"/>
      <c r="O72" s="200"/>
    </row>
    <row r="73" spans="1:15" x14ac:dyDescent="0.35">
      <c r="A73" s="44">
        <f t="shared" si="18"/>
        <v>2039</v>
      </c>
      <c r="B73" s="44"/>
      <c r="C73" s="102">
        <f t="shared" si="19"/>
        <v>9723.4057485335143</v>
      </c>
      <c r="D73" s="102"/>
      <c r="E73" s="44">
        <f t="shared" si="20"/>
        <v>360671.48162594164</v>
      </c>
      <c r="F73" s="111">
        <f t="shared" si="17"/>
        <v>2.6959175437712646E-2</v>
      </c>
      <c r="G73" s="205"/>
      <c r="H73" s="20"/>
      <c r="I73" s="20"/>
      <c r="O73" s="200"/>
    </row>
    <row r="74" spans="1:15" x14ac:dyDescent="0.35">
      <c r="A74" s="44">
        <f t="shared" si="18"/>
        <v>2040</v>
      </c>
      <c r="B74" s="44"/>
      <c r="C74" s="102">
        <f t="shared" si="19"/>
        <v>9908.1504577556498</v>
      </c>
      <c r="D74" s="102"/>
      <c r="E74" s="44">
        <f t="shared" si="20"/>
        <v>363556.85347894917</v>
      </c>
      <c r="F74" s="111">
        <f t="shared" si="17"/>
        <v>2.7253372788719428E-2</v>
      </c>
      <c r="G74" s="205"/>
      <c r="H74" s="20"/>
      <c r="I74" s="20"/>
      <c r="O74" s="200"/>
    </row>
    <row r="75" spans="1:15" x14ac:dyDescent="0.35">
      <c r="A75" s="44">
        <f t="shared" si="18"/>
        <v>2041</v>
      </c>
      <c r="B75" s="44"/>
      <c r="C75" s="102">
        <f t="shared" si="19"/>
        <v>10096.405316453007</v>
      </c>
      <c r="D75" s="102"/>
      <c r="E75" s="44">
        <f t="shared" si="20"/>
        <v>366465.30830678076</v>
      </c>
      <c r="F75" s="111">
        <f t="shared" si="17"/>
        <v>2.7550780626691564E-2</v>
      </c>
      <c r="G75" s="205"/>
      <c r="H75" s="20"/>
      <c r="I75" s="20"/>
      <c r="O75" s="200"/>
    </row>
    <row r="76" spans="1:15" x14ac:dyDescent="0.35">
      <c r="A76" s="44">
        <f t="shared" si="18"/>
        <v>2042</v>
      </c>
      <c r="B76" s="44"/>
      <c r="C76" s="102">
        <f t="shared" si="19"/>
        <v>10288.237017465613</v>
      </c>
      <c r="D76" s="102"/>
      <c r="E76" s="44">
        <f t="shared" si="20"/>
        <v>369397.03077323502</v>
      </c>
      <c r="F76" s="111">
        <f t="shared" si="17"/>
        <v>2.7851433986705063E-2</v>
      </c>
      <c r="G76" s="205"/>
      <c r="H76" s="20"/>
      <c r="I76" s="20"/>
      <c r="O76" s="200"/>
    </row>
    <row r="77" spans="1:15" x14ac:dyDescent="0.35">
      <c r="A77" s="44">
        <f t="shared" si="18"/>
        <v>2043</v>
      </c>
      <c r="B77" s="44"/>
      <c r="C77" s="102">
        <f t="shared" si="19"/>
        <v>10483.713520797459</v>
      </c>
      <c r="D77" s="102"/>
      <c r="E77" s="44">
        <f t="shared" si="20"/>
        <v>372352.20701942092</v>
      </c>
      <c r="F77" s="111">
        <f t="shared" si="17"/>
        <v>2.8155368286163149E-2</v>
      </c>
      <c r="G77" s="205"/>
      <c r="H77" s="20"/>
      <c r="I77" s="20"/>
      <c r="O77" s="200"/>
    </row>
    <row r="78" spans="1:15" x14ac:dyDescent="0.35">
      <c r="A78" s="44">
        <f t="shared" si="18"/>
        <v>2044</v>
      </c>
      <c r="B78" s="44"/>
      <c r="C78" s="102">
        <f t="shared" si="19"/>
        <v>10682.90407769261</v>
      </c>
      <c r="D78" s="102"/>
      <c r="E78" s="44">
        <f t="shared" si="20"/>
        <v>375331.02467557631</v>
      </c>
      <c r="F78" s="111">
        <f t="shared" si="17"/>
        <v>2.8462619328968496E-2</v>
      </c>
      <c r="G78" s="205"/>
      <c r="H78" s="20"/>
      <c r="I78" s="20"/>
      <c r="O78" s="200"/>
    </row>
    <row r="79" spans="1:15" x14ac:dyDescent="0.35">
      <c r="A79" s="44">
        <f t="shared" si="18"/>
        <v>2045</v>
      </c>
      <c r="B79" s="44"/>
      <c r="C79" s="102">
        <f t="shared" si="19"/>
        <v>10885.879255168769</v>
      </c>
      <c r="D79" s="102"/>
      <c r="E79" s="44">
        <f t="shared" si="20"/>
        <v>378333.67287298094</v>
      </c>
      <c r="F79" s="111">
        <f t="shared" si="17"/>
        <v>2.877322330974097E-2</v>
      </c>
      <c r="G79" s="205"/>
      <c r="H79" s="20"/>
      <c r="I79" s="20"/>
      <c r="O79" s="200"/>
    </row>
    <row r="80" spans="1:15" x14ac:dyDescent="0.35">
      <c r="A80" s="44">
        <f t="shared" si="18"/>
        <v>2046</v>
      </c>
      <c r="B80" s="44"/>
      <c r="C80" s="102">
        <f t="shared" si="19"/>
        <v>11092.710961016975</v>
      </c>
      <c r="D80" s="102"/>
      <c r="E80" s="44">
        <f t="shared" si="20"/>
        <v>381360.34225596482</v>
      </c>
      <c r="F80" s="111">
        <f t="shared" si="17"/>
        <v>2.9087216818081393E-2</v>
      </c>
      <c r="G80" s="205"/>
      <c r="H80" s="20"/>
      <c r="I80" s="20"/>
      <c r="O80" s="200"/>
    </row>
    <row r="81" spans="1:15" x14ac:dyDescent="0.35">
      <c r="A81" s="44">
        <f t="shared" si="18"/>
        <v>2047</v>
      </c>
      <c r="B81" s="44"/>
      <c r="C81" s="102">
        <f t="shared" si="19"/>
        <v>11303.472469276297</v>
      </c>
      <c r="D81" s="102"/>
      <c r="E81" s="44">
        <f t="shared" si="20"/>
        <v>384411.22499401256</v>
      </c>
      <c r="F81" s="111">
        <f t="shared" si="17"/>
        <v>2.940463684288188E-2</v>
      </c>
      <c r="G81" s="205"/>
      <c r="H81" s="20"/>
      <c r="I81" s="20"/>
      <c r="O81" s="200"/>
    </row>
    <row r="82" spans="1:15" x14ac:dyDescent="0.35">
      <c r="A82" s="44">
        <f t="shared" si="18"/>
        <v>2048</v>
      </c>
      <c r="B82" s="44"/>
      <c r="C82" s="102">
        <f t="shared" si="19"/>
        <v>11518.238446192547</v>
      </c>
      <c r="D82" s="102"/>
      <c r="E82" s="44">
        <f t="shared" si="20"/>
        <v>387486.51479396468</v>
      </c>
      <c r="F82" s="111">
        <f t="shared" si="17"/>
        <v>2.9725520776683168E-2</v>
      </c>
      <c r="G82" s="205"/>
      <c r="H82" s="20"/>
      <c r="I82" s="20"/>
      <c r="O82" s="200"/>
    </row>
    <row r="83" spans="1:15" x14ac:dyDescent="0.35">
      <c r="A83" s="44">
        <f t="shared" si="18"/>
        <v>2049</v>
      </c>
      <c r="B83" s="44"/>
      <c r="C83" s="102">
        <f t="shared" si="19"/>
        <v>11737.084976670203</v>
      </c>
      <c r="D83" s="102"/>
      <c r="E83" s="44">
        <f t="shared" si="20"/>
        <v>390586.40691231639</v>
      </c>
      <c r="F83" s="111">
        <f t="shared" si="17"/>
        <v>3.0049906420079507E-2</v>
      </c>
      <c r="G83" s="205"/>
      <c r="H83" s="20"/>
      <c r="I83" s="20"/>
      <c r="O83" s="200"/>
    </row>
    <row r="84" spans="1:15" x14ac:dyDescent="0.35">
      <c r="A84" s="44">
        <f t="shared" si="18"/>
        <v>2050</v>
      </c>
      <c r="B84" s="44"/>
      <c r="C84" s="102">
        <f t="shared" si="19"/>
        <v>11960.089591226935</v>
      </c>
      <c r="D84" s="102"/>
      <c r="E84" s="44">
        <f t="shared" si="20"/>
        <v>393711.09816761495</v>
      </c>
      <c r="F84" s="111">
        <f t="shared" si="17"/>
        <v>3.0377831986171638E-2</v>
      </c>
      <c r="G84" s="207">
        <f>(F84-F54)/F54</f>
        <v>0.38487175231076592</v>
      </c>
      <c r="H84" s="20"/>
      <c r="I84" s="20"/>
      <c r="O84" s="200"/>
    </row>
    <row r="85" spans="1:15" x14ac:dyDescent="0.35">
      <c r="A85" s="79"/>
      <c r="B85" s="79"/>
      <c r="C85" s="79"/>
      <c r="D85" s="79"/>
      <c r="E85" s="79"/>
      <c r="F85" s="79"/>
      <c r="M85" s="200"/>
    </row>
    <row r="86" spans="1:15" x14ac:dyDescent="0.35">
      <c r="M86" s="200"/>
    </row>
  </sheetData>
  <mergeCells count="20">
    <mergeCell ref="A1:D1"/>
    <mergeCell ref="H1:J1"/>
    <mergeCell ref="F3:G3"/>
    <mergeCell ref="F4:G4"/>
    <mergeCell ref="F5:G5"/>
    <mergeCell ref="F6:G6"/>
    <mergeCell ref="S6:V6"/>
    <mergeCell ref="F7:G7"/>
    <mergeCell ref="I13:Q13"/>
    <mergeCell ref="I14:J14"/>
    <mergeCell ref="K14:L14"/>
    <mergeCell ref="N14:O14"/>
    <mergeCell ref="P14:Q14"/>
    <mergeCell ref="F8:G8"/>
    <mergeCell ref="C34:C45"/>
    <mergeCell ref="I31:Q31"/>
    <mergeCell ref="I32:J32"/>
    <mergeCell ref="K32:L32"/>
    <mergeCell ref="N32:O32"/>
    <mergeCell ref="P32:Q32"/>
  </mergeCells>
  <hyperlinks>
    <hyperlink ref="C16" r:id="rId1" xr:uid="{00000000-0004-0000-0400-000000000000}"/>
    <hyperlink ref="C34" r:id="rId2" xr:uid="{00000000-0004-0000-0400-000001000000}"/>
  </hyperlinks>
  <pageMargins left="0.70069444444444395" right="0.70069444444444395" top="0.75208333333333299" bottom="0.75208333333333299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7"/>
  <sheetViews>
    <sheetView zoomScale="80" workbookViewId="0">
      <selection activeCell="L26" sqref="L26"/>
    </sheetView>
  </sheetViews>
  <sheetFormatPr baseColWidth="10" defaultColWidth="8.7265625" defaultRowHeight="14.5" x14ac:dyDescent="0.35"/>
  <cols>
    <col min="1" max="1" width="9.08984375" bestFit="1" customWidth="1"/>
    <col min="2" max="2" width="22.7265625" bestFit="1" customWidth="1"/>
    <col min="3" max="3" width="13.1796875" bestFit="1" customWidth="1"/>
    <col min="4" max="4" width="20" bestFit="1" customWidth="1"/>
    <col min="5" max="5" width="21.453125" bestFit="1" customWidth="1"/>
    <col min="6" max="6" width="11.453125" bestFit="1"/>
    <col min="7" max="7" width="14" bestFit="1" customWidth="1"/>
    <col min="8" max="8" width="13.08984375" bestFit="1" customWidth="1"/>
    <col min="9" max="1025" width="9.08984375" bestFit="1" customWidth="1"/>
  </cols>
  <sheetData>
    <row r="1" spans="1:12" ht="14.9" customHeight="1" x14ac:dyDescent="0.35">
      <c r="A1" s="40"/>
      <c r="B1" s="40"/>
      <c r="C1" s="257" t="s">
        <v>139</v>
      </c>
      <c r="D1" s="257"/>
      <c r="E1" s="257" t="s">
        <v>140</v>
      </c>
      <c r="F1" s="257"/>
      <c r="G1" s="40"/>
      <c r="H1" s="40"/>
      <c r="I1" s="40"/>
      <c r="J1" s="40"/>
      <c r="K1" s="40"/>
      <c r="L1" s="40"/>
    </row>
    <row r="2" spans="1:12" ht="43.5" x14ac:dyDescent="0.35">
      <c r="A2" s="40"/>
      <c r="B2" s="208"/>
      <c r="C2" s="209" t="s">
        <v>141</v>
      </c>
      <c r="D2" s="209" t="s">
        <v>142</v>
      </c>
      <c r="E2" s="209" t="s">
        <v>143</v>
      </c>
      <c r="F2" s="209" t="s">
        <v>144</v>
      </c>
      <c r="G2" s="209" t="s">
        <v>16</v>
      </c>
      <c r="H2" s="40"/>
      <c r="I2" s="40"/>
      <c r="J2" s="40"/>
      <c r="K2" s="40"/>
      <c r="L2" s="40"/>
    </row>
    <row r="3" spans="1:12" ht="29" x14ac:dyDescent="0.35">
      <c r="A3" s="40"/>
      <c r="B3" s="210" t="s">
        <v>145</v>
      </c>
      <c r="C3" s="211">
        <v>5.6000000000000001E-2</v>
      </c>
      <c r="D3" s="211">
        <v>-0.127</v>
      </c>
      <c r="E3" s="212" t="e">
        <f>POWER((1+#REF!),12)-1</f>
        <v>#REF!</v>
      </c>
      <c r="F3" s="213" t="e">
        <f>POWER((1+#REF!),12)-1</f>
        <v>#REF!</v>
      </c>
      <c r="G3" s="214"/>
      <c r="H3" s="215"/>
      <c r="I3" s="216"/>
      <c r="J3" s="40"/>
      <c r="K3" s="40"/>
      <c r="L3" s="40"/>
    </row>
    <row r="4" spans="1:12" ht="29" x14ac:dyDescent="0.35">
      <c r="A4" s="40"/>
      <c r="B4" s="210" t="s">
        <v>146</v>
      </c>
      <c r="C4" s="211">
        <v>0.156</v>
      </c>
      <c r="D4" s="211">
        <v>0.254</v>
      </c>
      <c r="E4" s="212" t="e">
        <f>AVERAGE(#REF!)</f>
        <v>#REF!</v>
      </c>
      <c r="F4" s="212" t="e">
        <f>(#REF!*#REF!+#REF!*#REF!)/#REF!</f>
        <v>#REF!</v>
      </c>
      <c r="G4" s="212">
        <v>0</v>
      </c>
      <c r="H4" s="217"/>
      <c r="I4" s="40"/>
      <c r="J4" s="40"/>
      <c r="K4" s="40"/>
      <c r="L4" s="40"/>
    </row>
    <row r="5" spans="1:12" ht="29" x14ac:dyDescent="0.35">
      <c r="A5" s="40"/>
      <c r="B5" s="210" t="s">
        <v>147</v>
      </c>
      <c r="C5" s="211">
        <v>7.0999999999999994E-2</v>
      </c>
      <c r="D5" s="211">
        <v>-0.2</v>
      </c>
      <c r="E5" s="218" t="e">
        <f>POWER(POWER(AVERAGE(#REF!)/AVERAGE(#REF!),1/9),12)-1</f>
        <v>#REF!</v>
      </c>
      <c r="F5" s="213" t="e">
        <f>POWER((1+#REF!),12)-1</f>
        <v>#REF!</v>
      </c>
      <c r="G5" s="212" t="e">
        <f>((((#REF!/#REF!)*#REF!)-(#REF!/#REF!)*#REF!*(#REF!/#REF!))-#REF!)/#REF!</f>
        <v>#REF!</v>
      </c>
      <c r="H5" s="217"/>
      <c r="I5" s="40"/>
      <c r="J5" s="40"/>
      <c r="K5" s="40"/>
      <c r="L5" s="40"/>
    </row>
    <row r="6" spans="1:12" x14ac:dyDescent="0.35">
      <c r="A6" s="40"/>
      <c r="B6" s="40"/>
      <c r="C6" s="40"/>
      <c r="D6" s="40"/>
      <c r="E6" s="40"/>
      <c r="F6" s="40"/>
      <c r="G6" s="40"/>
      <c r="H6" s="217"/>
      <c r="I6" s="40"/>
      <c r="J6" s="40"/>
      <c r="K6" s="40"/>
      <c r="L6" s="40"/>
    </row>
    <row r="7" spans="1:12" x14ac:dyDescent="0.35">
      <c r="A7" s="40"/>
      <c r="B7" s="40"/>
      <c r="C7" s="40"/>
      <c r="D7" s="40"/>
      <c r="E7" s="40"/>
      <c r="F7" s="40"/>
      <c r="G7" s="40"/>
      <c r="H7" s="217"/>
      <c r="I7" s="40"/>
      <c r="J7" s="40"/>
      <c r="K7" s="40"/>
      <c r="L7" s="40"/>
    </row>
  </sheetData>
  <mergeCells count="2">
    <mergeCell ref="C1:D1"/>
    <mergeCell ref="E1:F1"/>
  </mergeCells>
  <pageMargins left="0.78750000000000009" right="0.78750000000000009" top="1.05277777777778" bottom="1.05277777777778" header="0.78750000000000009" footer="0.78750000000000009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base de données</vt:lpstr>
      <vt:lpstr>Listes</vt:lpstr>
      <vt:lpstr>Facteurs Kaya</vt:lpstr>
      <vt:lpstr>Trajectoires énergie-climat</vt:lpstr>
      <vt:lpstr>BEGES 2012 VS etat des lieux 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servant</dc:creator>
  <dc:description/>
  <cp:lastModifiedBy>nicolas servant</cp:lastModifiedBy>
  <cp:revision>25</cp:revision>
  <dcterms:created xsi:type="dcterms:W3CDTF">2021-05-26T18:50:15Z</dcterms:created>
  <dcterms:modified xsi:type="dcterms:W3CDTF">2021-05-28T19:31:16Z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