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dsea38-my.sharepoint.com/personal/fwilhelm_sauvegarde-isere_fr/Documents/Bureau/"/>
    </mc:Choice>
  </mc:AlternateContent>
  <xr:revisionPtr revIDLastSave="5" documentId="8_{9846326B-DDDA-4B13-9CF8-77CBE1B722A7}" xr6:coauthVersionLast="47" xr6:coauthVersionMax="47" xr10:uidLastSave="{5904A9AD-669F-48F6-87EE-C25CA268DD2D}"/>
  <bookViews>
    <workbookView xWindow="-120" yWindow="-120" windowWidth="29040" windowHeight="15720" activeTab="1" xr2:uid="{00000000-000D-0000-FFFF-FFFF00000000}"/>
  </bookViews>
  <sheets>
    <sheet name="Reconstitution 1" sheetId="1" r:id="rId1"/>
    <sheet name="Reconstitution 2" sheetId="5" r:id="rId2"/>
    <sheet name="Onglet vierge" sheetId="6" r:id="rId3"/>
    <sheet name="Tables" sheetId="4" state="hidden" r:id="rId4"/>
  </sheets>
  <definedNames>
    <definedName name="_sup2" hidden="1">{#N/A,#N/A,TRUE,"BCB1";#N/A,#N/A,TRUE,"BCB2";#N/A,#N/A,TRUE,"RECAP";#N/A,#N/A,TRUE,"BCP1-BCP2";#N/A,#N/A,TRUE,"Charges"}</definedName>
    <definedName name="a_virer" hidden="1">{#N/A,#N/A,TRUE,"BCB1";#N/A,#N/A,TRUE,"BCB2";#N/A,#N/A,TRUE,"RECAP";#N/A,#N/A,TRUE,"BCP1-BCP2";#N/A,#N/A,TRUE,"Charges"}</definedName>
    <definedName name="à_virer" hidden="1">{#N/A,#N/A,TRUE,"BCB1";#N/A,#N/A,TRUE,"BCB2";#N/A,#N/A,TRUE,"RECAP";#N/A,#N/A,TRUE,"BCP1-BCP2";#N/A,#N/A,TRUE,"Charges"}</definedName>
    <definedName name="a_virer2" hidden="1">{#N/A,#N/A,TRUE,"BCB1";#N/A,#N/A,TRUE,"BCB2";#N/A,#N/A,TRUE,"RECAP";#N/A,#N/A,TRUE,"BCP1-BCP2";#N/A,#N/A,TRUE,"Charges"}</definedName>
    <definedName name="AN" localSheetId="1">'Reconstitution 2'!#REF!</definedName>
    <definedName name="AN">'Reconstitution 1'!#REF!</definedName>
    <definedName name="anciennete_retenue" localSheetId="1">Carriere2[[#Totals],[Pris en compte au 2/3]]+Carriere2[[#Totals],[Pris en compte à 100%]]</definedName>
    <definedName name="anciennete_retenue">Carriere[[#Totals],[Pris en compte au 2/3]]+Carriere[[#Totals],[Pris en compte à 100%]]</definedName>
    <definedName name="Astreinte_mensualisee" localSheetId="1">'Reconstitution 2'!#REF!</definedName>
    <definedName name="Astreinte_mensualisee">'Reconstitution 1'!#REF!</definedName>
    <definedName name="Base_brute" localSheetId="1">'Reconstitution 2'!#REF!</definedName>
    <definedName name="Base_brute">'Reconstitution 1'!#REF!</definedName>
    <definedName name="CCN66_ou_51_?" localSheetId="1">CCN66_OU_51[CCN66 ou 51 ?]</definedName>
    <definedName name="CCN66_ou_51_?">CCN66_OU_51[CCN66 ou 51 ?]</definedName>
    <definedName name="Coefficient_calculé_avec_l_ancienneté" localSheetId="1">'Reconstitution 2'!$C$24</definedName>
    <definedName name="Coefficient_calculé_avec_l_ancienneté">'Reconstitution 1'!$C$24</definedName>
    <definedName name="Date_Debut_Anciennete" localSheetId="1">'Reconstitution 2'!$C$22</definedName>
    <definedName name="Date_Debut_Anciennete">'Reconstitution 1'!$C$22</definedName>
    <definedName name="Date_Entree_Sauvegarde" localSheetId="1">'Reconstitution 2'!$C$20</definedName>
    <definedName name="Date_Entree_Sauvegarde">'Reconstitution 1'!$C$20</definedName>
    <definedName name="Internat" localSheetId="1">'Reconstitution 2'!$C$10</definedName>
    <definedName name="Internat">'Reconstitution 1'!$C$10</definedName>
    <definedName name="ISCONV" localSheetId="1">'Reconstitution 2'!#REF!</definedName>
    <definedName name="ISCONV">'Reconstitution 1'!#REF!</definedName>
    <definedName name="ISP_SG" localSheetId="1">'Reconstitution 2'!#REF!</definedName>
    <definedName name="ISP_SG">'Reconstitution 1'!#REF!</definedName>
    <definedName name="ISSP_NON_CADRE" localSheetId="1">'Reconstitution 2'!#REF!</definedName>
    <definedName name="ISSP_NON_CADRE">'Reconstitution 1'!#REF!</definedName>
    <definedName name="ISSUPL" localSheetId="1">'Reconstitution 2'!#REF!</definedName>
    <definedName name="ISSUPL">'Reconstitution 1'!#REF!</definedName>
    <definedName name="Metier" localSheetId="1">'Reconstitution 2'!$C$9</definedName>
    <definedName name="Metier">'Reconstitution 1'!$C$9</definedName>
    <definedName name="Montant_Prime_CER_CEF" localSheetId="1">'Reconstitution 2'!#REF!</definedName>
    <definedName name="Montant_Prime_CER_CEF">'Reconstitution 1'!#REF!</definedName>
    <definedName name="nase" hidden="1">{#N/A,#N/A,TRUE,"BCB1";#N/A,#N/A,TRUE,"BCB2";#N/A,#N/A,TRUE,"RECAP";#N/A,#N/A,TRUE,"BCP1-BCP2";#N/A,#N/A,TRUE,"Charges"}</definedName>
    <definedName name="origine" hidden="1">{#N/A,#N/A,TRUE,"BCB1";#N/A,#N/A,TRUE,"BCB2";#N/A,#N/A,TRUE,"RECAP";#N/A,#N/A,TRUE,"BCP1-BCP2";#N/A,#N/A,TRUE,"Charges"}</definedName>
    <definedName name="préparatoire1" hidden="1">{#N/A,#N/A,TRUE,"BCB1";#N/A,#N/A,TRUE,"BCB2";#N/A,#N/A,TRUE,"RECAP";#N/A,#N/A,TRUE,"BCP1-BCP2";#N/A,#N/A,TRUE,"Charges"}</definedName>
    <definedName name="prime_CEF_CER" localSheetId="1">'Reconstitution 2'!#REF!</definedName>
    <definedName name="prime_CEF_CER">'Reconstitution 1'!#REF!</definedName>
    <definedName name="RP_COMP_Nuit" localSheetId="1">'Reconstitution 2'!#REF!</definedName>
    <definedName name="RP_COMP_Nuit">'Reconstitution 1'!#REF!</definedName>
    <definedName name="supprimer" hidden="1">{#N/A,#N/A,TRUE,"BCB1";#N/A,#N/A,TRUE,"BCB2";#N/A,#N/A,TRUE,"RECAP";#N/A,#N/A,TRUE,"BCP1-BCP2";#N/A,#N/A,TRUE,"Charges"}</definedName>
    <definedName name="supprimer2" hidden="1">{#N/A,#N/A,TRUE,"BCB1";#N/A,#N/A,TRUE,"BCB2";#N/A,#N/A,TRUE,"RECAP";#N/A,#N/A,TRUE,"BCP1-BCP2";#N/A,#N/A,TRUE,"Charges"}</definedName>
    <definedName name="Tableau_remuneration" localSheetId="1">'Reconstitution 2'!$A$29:$G$72</definedName>
    <definedName name="Tableau_remuneration">'Reconstitution 1'!$A$29:$G$72</definedName>
    <definedName name="Taux_ISSP">Tables!$T$3</definedName>
    <definedName name="Taux_Repos_compensateur_SDN">Tables!$T$4</definedName>
    <definedName name="Temps_travail_hebdo" localSheetId="1">'Reconstitution 2'!#REF!</definedName>
    <definedName name="Temps_travail_hebdo">'Reconstitution 1'!#REF!</definedName>
    <definedName name="travail1" hidden="1">{#N/A,#N/A,TRUE,"BCB1";#N/A,#N/A,TRUE,"BCB2";#N/A,#N/A,TRUE,"RECAP";#N/A,#N/A,TRUE,"BCP1-BCP2";#N/A,#N/A,TRUE,"Charges"}</definedName>
    <definedName name="Valeur_du_Point">Tables!$T$2</definedName>
    <definedName name="wrn.Budget." hidden="1">{#N/A,#N/A,TRUE,"BCB1";#N/A,#N/A,TRUE,"BCB2";#N/A,#N/A,TRUE,"RECAP";#N/A,#N/A,TRUE,"BCP1-BCP2";#N/A,#N/A,TRUE,"Charges"}</definedName>
    <definedName name="_xlnm.Print_Area" localSheetId="0">'Reconstitution 1'!$A$1:$K$47</definedName>
    <definedName name="_xlnm.Print_Area" localSheetId="1">'Reconstitution 2'!$A$1:$K$47</definedName>
    <definedName name="zzch_pdts_ehpad" hidden="1">{#N/A,#N/A,TRUE,"BCB1";#N/A,#N/A,TRUE,"BCB2";#N/A,#N/A,TRUE,"RECAP";#N/A,#N/A,TRUE,"BCP1-BCP2";#N/A,#N/A,TRUE,"Charges"}</definedName>
    <definedName name="zzdepend" hidden="1">{#N/A,#N/A,TRUE,"BCB1";#N/A,#N/A,TRUE,"BCB2";#N/A,#N/A,TRUE,"RECAP";#N/A,#N/A,TRUE,"BCP1-BCP2";#N/A,#N/A,TRUE,"Charges"}</definedName>
    <definedName name="zzdominic" hidden="1">{#N/A,#N/A,TRUE,"BCB1";#N/A,#N/A,TRUE,"BCB2";#N/A,#N/A,TRUE,"RECAP";#N/A,#N/A,TRUE,"BCP1-BCP2";#N/A,#N/A,TRUE,"Charges"}</definedName>
    <definedName name="zzehpad_ch_pdts" hidden="1">{#N/A,#N/A,TRUE,"BCB1";#N/A,#N/A,TRUE,"BCB2";#N/A,#N/A,TRUE,"RECAP";#N/A,#N/A,TRUE,"BCP1-BCP2";#N/A,#N/A,TRUE,"Charges"}</definedName>
    <definedName name="zzindic" hidden="1">{#N/A,#N/A,TRUE,"BCB1";#N/A,#N/A,TRUE,"BCB2";#N/A,#N/A,TRUE,"RECAP";#N/A,#N/A,TRUE,"BCP1-BCP2";#N/A,#N/A,TRUE,"Charges"}</definedName>
    <definedName name="zzres_ant" hidden="1">{#N/A,#N/A,TRUE,"BCB1";#N/A,#N/A,TRUE,"BCB2";#N/A,#N/A,TRUE,"RECAP";#N/A,#N/A,TRUE,"BCP1-BCP2";#N/A,#N/A,TRUE,"Charges"}</definedName>
    <definedName name="zztarif_jour" hidden="1">{#N/A,#N/A,TRUE,"BCB1";#N/A,#N/A,TRUE,"BCB2";#N/A,#N/A,TRUE,"RECAP";#N/A,#N/A,TRUE,"BCP1-BCP2";#N/A,#N/A,TRUE,"Charges"}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4" i="5" l="1"/>
  <c r="A54" i="5" s="1"/>
  <c r="B51" i="5"/>
  <c r="A51" i="5" s="1"/>
  <c r="B50" i="5"/>
  <c r="A50" i="5" s="1"/>
  <c r="B49" i="5"/>
  <c r="A49" i="5" s="1"/>
  <c r="B48" i="5"/>
  <c r="A48" i="5" s="1"/>
  <c r="B47" i="5"/>
  <c r="A47" i="5" s="1"/>
  <c r="B46" i="5"/>
  <c r="A46" i="5" s="1"/>
  <c r="C28" i="5"/>
  <c r="G15" i="5"/>
  <c r="F15" i="5"/>
  <c r="F16" i="5" s="1"/>
  <c r="C28" i="1"/>
  <c r="F15" i="1"/>
  <c r="H15" i="1" s="1"/>
  <c r="G16" i="5" l="1"/>
  <c r="H15" i="5"/>
  <c r="H16" i="5" s="1"/>
  <c r="C22" i="5" s="1"/>
  <c r="C27" i="5" s="1"/>
  <c r="G46" i="5"/>
  <c r="E46" i="5"/>
  <c r="F46" i="5" s="1"/>
  <c r="G48" i="5"/>
  <c r="E48" i="5"/>
  <c r="F48" i="5" s="1"/>
  <c r="G50" i="5"/>
  <c r="E50" i="5"/>
  <c r="F50" i="5" s="1"/>
  <c r="G54" i="5"/>
  <c r="E54" i="5"/>
  <c r="F54" i="5" s="1"/>
  <c r="G47" i="5"/>
  <c r="E47" i="5"/>
  <c r="F47" i="5" s="1"/>
  <c r="G49" i="5"/>
  <c r="E49" i="5"/>
  <c r="F49" i="5" s="1"/>
  <c r="G51" i="5"/>
  <c r="E51" i="5"/>
  <c r="F51" i="5" s="1"/>
  <c r="G15" i="1"/>
  <c r="O2" i="4" a="1"/>
  <c r="O2" i="4" s="1"/>
  <c r="X2" i="4" a="1"/>
  <c r="X2" i="4" s="1"/>
  <c r="T3" i="4"/>
  <c r="O3" i="4" l="1" a="1"/>
  <c r="O3" i="4" s="1"/>
  <c r="O4" i="4" l="1" a="1"/>
  <c r="O4" i="4" s="1"/>
  <c r="O5" i="4" l="1" a="1"/>
  <c r="O5" i="4" s="1"/>
  <c r="O6" i="4" s="1" a="1"/>
  <c r="O6" i="4" s="1"/>
  <c r="O7" i="4" s="1" a="1"/>
  <c r="O7" i="4" s="1"/>
  <c r="F16" i="1"/>
  <c r="O8" i="4" l="1" a="1"/>
  <c r="O8" i="4" s="1"/>
  <c r="O9" i="4" s="1" a="1"/>
  <c r="O9" i="4" s="1"/>
  <c r="G16" i="1"/>
  <c r="H16" i="1"/>
  <c r="C22" i="1" l="1"/>
  <c r="C27" i="1" s="1"/>
  <c r="O10" i="4" a="1"/>
  <c r="O10" i="4" s="1"/>
  <c r="O11" i="4" l="1" a="1"/>
  <c r="O11" i="4" s="1"/>
  <c r="O12" i="4" l="1" a="1"/>
  <c r="O12" i="4" s="1"/>
  <c r="O13" i="4" s="1" a="1"/>
  <c r="O13" i="4" s="1"/>
  <c r="O14" i="4" s="1" a="1"/>
  <c r="O14" i="4" s="1"/>
  <c r="O15" i="4" s="1" a="1"/>
  <c r="O15" i="4" s="1"/>
  <c r="O16" i="4" s="1" a="1"/>
  <c r="O16" i="4" s="1"/>
  <c r="O17" i="4" s="1" a="1"/>
  <c r="O17" i="4" s="1"/>
  <c r="O18" i="4" s="1" a="1"/>
  <c r="O18" i="4" s="1"/>
  <c r="O19" i="4" s="1" a="1"/>
  <c r="O19" i="4" s="1"/>
  <c r="O20" i="4" s="1" a="1"/>
  <c r="O20" i="4" s="1"/>
  <c r="O21" i="4" s="1" a="1"/>
  <c r="O21" i="4" s="1"/>
  <c r="O22" i="4" s="1" a="1"/>
  <c r="O22" i="4" s="1"/>
  <c r="O23" i="4" s="1" a="1"/>
  <c r="O23" i="4" s="1"/>
  <c r="O24" i="4" s="1" a="1"/>
  <c r="O24" i="4" s="1"/>
  <c r="O25" i="4" s="1" a="1"/>
  <c r="O25" i="4" s="1"/>
  <c r="O26" i="4" s="1" a="1"/>
  <c r="O26" i="4" s="1"/>
  <c r="O27" i="4" s="1" a="1"/>
  <c r="O27" i="4" s="1"/>
  <c r="O28" i="4" s="1" a="1"/>
  <c r="O28" i="4" s="1"/>
  <c r="O29" i="4" s="1" a="1"/>
  <c r="O29" i="4" s="1"/>
  <c r="O30" i="4" l="1" a="1"/>
  <c r="O30" i="4" s="1"/>
  <c r="O31" i="4" s="1" a="1"/>
  <c r="O31" i="4" s="1"/>
  <c r="O32" i="4" s="1" a="1"/>
  <c r="O32" i="4" s="1"/>
  <c r="O33" i="4" s="1" a="1"/>
  <c r="O33" i="4" s="1"/>
  <c r="O34" i="4" s="1" a="1"/>
  <c r="O34" i="4" s="1"/>
  <c r="O35" i="4" s="1" a="1"/>
  <c r="O35" i="4" s="1"/>
  <c r="O36" i="4" s="1" a="1"/>
  <c r="O36" i="4" s="1"/>
  <c r="O37" i="4" s="1" a="1"/>
  <c r="O37" i="4" s="1"/>
  <c r="O38" i="4" s="1" a="1"/>
  <c r="O38" i="4" s="1"/>
  <c r="O39" i="4" s="1" a="1"/>
  <c r="O39" i="4" s="1"/>
  <c r="O40" i="4" s="1" a="1"/>
  <c r="O40" i="4" s="1"/>
  <c r="O41" i="4" s="1" a="1"/>
  <c r="O41" i="4" s="1"/>
  <c r="O42" i="4" s="1" a="1"/>
  <c r="O42" i="4" s="1"/>
  <c r="O43" i="4" s="1" a="1"/>
  <c r="O43" i="4" s="1"/>
  <c r="O44" i="4" s="1" a="1"/>
  <c r="O44" i="4" s="1"/>
  <c r="O45" i="4" s="1" a="1"/>
  <c r="O45" i="4" s="1"/>
  <c r="O46" i="4" s="1" a="1"/>
  <c r="O46" i="4" s="1"/>
  <c r="O47" i="4" s="1" a="1"/>
  <c r="O47" i="4" s="1"/>
  <c r="O48" i="4" s="1" a="1"/>
  <c r="O48" i="4" s="1"/>
  <c r="O49" i="4" s="1" a="1"/>
  <c r="O49" i="4" s="1"/>
  <c r="O50" i="4" s="1" a="1"/>
  <c r="O50" i="4" s="1"/>
  <c r="O51" i="4" s="1" a="1"/>
  <c r="O51" i="4" s="1"/>
  <c r="O52" i="4" s="1" a="1"/>
  <c r="O52" i="4" s="1"/>
  <c r="O53" i="4" s="1" a="1"/>
  <c r="O53" i="4" s="1"/>
  <c r="O54" i="4" s="1" a="1"/>
  <c r="O54" i="4" s="1"/>
  <c r="O55" i="4" s="1" a="1"/>
  <c r="O55" i="4" s="1"/>
  <c r="O56" i="4" s="1" a="1"/>
  <c r="O56" i="4" s="1"/>
  <c r="O57" i="4" s="1" a="1"/>
  <c r="O57" i="4" s="1"/>
  <c r="O58" i="4" s="1" a="1"/>
  <c r="O58" i="4" s="1"/>
  <c r="O59" i="4" s="1" a="1"/>
  <c r="O59" i="4" s="1"/>
  <c r="O60" i="4" s="1" a="1"/>
  <c r="O60" i="4" s="1"/>
  <c r="O61" i="4" s="1" a="1"/>
  <c r="O61" i="4" s="1"/>
  <c r="O62" i="4" s="1" a="1"/>
  <c r="O62" i="4" s="1"/>
  <c r="O63" i="4" s="1" a="1"/>
  <c r="O63" i="4" s="1"/>
  <c r="O64" i="4" s="1" a="1"/>
  <c r="O64" i="4" s="1"/>
  <c r="O65" i="4" s="1" a="1"/>
  <c r="O65" i="4" s="1"/>
  <c r="O66" i="4" s="1" a="1"/>
  <c r="O66" i="4" s="1"/>
  <c r="O67" i="4" s="1" a="1"/>
  <c r="O67" i="4" s="1"/>
  <c r="O68" i="4" s="1" a="1"/>
  <c r="O68" i="4" s="1"/>
  <c r="O69" i="4" s="1" a="1"/>
  <c r="O69" i="4" s="1"/>
  <c r="O70" i="4" s="1" a="1"/>
  <c r="O70" i="4" s="1"/>
  <c r="O71" i="4" s="1" a="1"/>
  <c r="O71" i="4" s="1"/>
  <c r="O72" i="4" s="1" a="1"/>
  <c r="O72" i="4" s="1"/>
  <c r="O73" i="4" s="1" a="1"/>
  <c r="O73" i="4" s="1"/>
  <c r="O74" i="4" s="1" a="1"/>
  <c r="O74" i="4" s="1"/>
  <c r="O75" i="4" s="1" a="1"/>
  <c r="O75" i="4" s="1"/>
  <c r="O76" i="4" s="1" a="1"/>
  <c r="O76" i="4" s="1"/>
  <c r="O77" i="4" s="1" a="1"/>
  <c r="O77" i="4" s="1"/>
  <c r="O78" i="4" s="1" a="1"/>
  <c r="O78" i="4" s="1"/>
  <c r="O79" i="4" s="1" a="1"/>
  <c r="O79" i="4" s="1"/>
  <c r="O80" i="4" s="1" a="1"/>
  <c r="O80" i="4" s="1"/>
  <c r="O81" i="4" s="1" a="1"/>
  <c r="O81" i="4" s="1"/>
  <c r="O82" i="4" s="1" a="1"/>
  <c r="O82" i="4" s="1"/>
  <c r="O83" i="4" s="1" a="1"/>
  <c r="O83" i="4" s="1"/>
  <c r="O84" i="4" s="1" a="1"/>
  <c r="O84" i="4" s="1"/>
  <c r="O85" i="4" s="1" a="1"/>
  <c r="O85" i="4" s="1"/>
  <c r="O86" i="4" s="1" a="1"/>
  <c r="O86" i="4" s="1"/>
  <c r="O87" i="4" s="1" a="1"/>
  <c r="O87" i="4" s="1"/>
  <c r="O88" i="4" s="1" a="1"/>
  <c r="O88" i="4" s="1"/>
  <c r="O89" i="4" s="1" a="1"/>
  <c r="O89" i="4" s="1"/>
  <c r="O90" i="4" s="1" a="1"/>
  <c r="O90" i="4" s="1"/>
  <c r="O91" i="4" s="1" a="1"/>
  <c r="O91" i="4" s="1"/>
  <c r="O92" i="4" s="1" a="1"/>
  <c r="O92" i="4" s="1"/>
  <c r="O93" i="4" s="1" a="1"/>
  <c r="O93" i="4" s="1"/>
  <c r="O94" i="4" s="1" a="1"/>
  <c r="O94" i="4" s="1"/>
  <c r="O95" i="4" s="1" a="1"/>
  <c r="O95" i="4" s="1"/>
  <c r="O96" i="4" s="1" a="1"/>
  <c r="O96" i="4" s="1"/>
  <c r="O97" i="4" s="1" a="1"/>
  <c r="O97" i="4" s="1"/>
  <c r="O98" i="4" s="1" a="1"/>
  <c r="O98" i="4" s="1"/>
  <c r="O99" i="4" s="1" a="1"/>
  <c r="O99" i="4" s="1"/>
  <c r="O100" i="4" s="1" a="1"/>
  <c r="O100" i="4" s="1"/>
  <c r="O101" i="4" s="1" a="1"/>
  <c r="O101" i="4" s="1"/>
  <c r="O102" i="4" s="1" a="1"/>
  <c r="O102" i="4" s="1"/>
  <c r="O103" i="4" s="1" a="1"/>
  <c r="O103" i="4" s="1"/>
  <c r="O104" i="4" s="1" a="1"/>
  <c r="O104" i="4" s="1"/>
  <c r="O105" i="4" s="1" a="1"/>
  <c r="O105" i="4" s="1"/>
  <c r="O106" i="4" s="1" a="1"/>
  <c r="O106" i="4" s="1"/>
  <c r="O107" i="4" s="1" a="1"/>
  <c r="O107" i="4" s="1"/>
  <c r="O108" i="4" s="1" a="1"/>
  <c r="O108" i="4" s="1"/>
  <c r="O109" i="4" s="1" a="1"/>
  <c r="O109" i="4" s="1"/>
  <c r="O110" i="4" s="1" a="1"/>
  <c r="O110" i="4" s="1"/>
  <c r="O111" i="4" s="1" a="1"/>
  <c r="O111" i="4" s="1"/>
  <c r="O112" i="4" s="1" a="1"/>
  <c r="O112" i="4" s="1"/>
  <c r="O113" i="4" s="1" a="1"/>
  <c r="O113" i="4" s="1"/>
  <c r="O114" i="4" s="1" a="1"/>
  <c r="O114" i="4" s="1"/>
  <c r="O115" i="4" s="1" a="1"/>
  <c r="O115" i="4" s="1"/>
  <c r="O116" i="4" s="1" a="1"/>
  <c r="O116" i="4" s="1"/>
  <c r="O117" i="4" s="1" a="1"/>
  <c r="O117" i="4" s="1"/>
  <c r="O118" i="4" s="1" a="1"/>
  <c r="O118" i="4" s="1"/>
  <c r="O119" i="4" s="1" a="1"/>
  <c r="O119" i="4" s="1"/>
  <c r="O120" i="4" s="1" a="1"/>
  <c r="O120" i="4" s="1"/>
  <c r="O121" i="4" s="1" a="1"/>
  <c r="O121" i="4" s="1"/>
  <c r="O122" i="4" s="1" a="1"/>
  <c r="O122" i="4" s="1"/>
  <c r="O123" i="4" s="1" a="1"/>
  <c r="O123" i="4" s="1"/>
  <c r="O124" i="4" s="1" a="1"/>
  <c r="O124" i="4" s="1"/>
  <c r="O125" i="4" s="1" a="1"/>
  <c r="O125" i="4" s="1"/>
  <c r="O126" i="4" s="1" a="1"/>
  <c r="O126" i="4" s="1"/>
  <c r="O127" i="4" s="1" a="1"/>
  <c r="O127" i="4" s="1"/>
  <c r="O128" i="4" s="1" a="1"/>
  <c r="O128" i="4" s="1"/>
  <c r="O129" i="4" s="1" a="1"/>
  <c r="O129" i="4" s="1"/>
  <c r="O130" i="4" s="1" a="1"/>
  <c r="O130" i="4" s="1"/>
  <c r="O131" i="4" s="1" a="1"/>
  <c r="O131" i="4" s="1"/>
  <c r="O132" i="4" s="1" a="1"/>
  <c r="O132" i="4" s="1"/>
  <c r="O133" i="4" s="1" a="1"/>
  <c r="O133" i="4" s="1"/>
  <c r="O134" i="4" s="1" a="1"/>
  <c r="O134" i="4" s="1"/>
  <c r="O135" i="4" s="1" a="1"/>
  <c r="O135" i="4" s="1"/>
  <c r="O136" i="4" s="1" a="1"/>
  <c r="O136" i="4" s="1"/>
  <c r="O137" i="4" s="1" a="1"/>
  <c r="O137" i="4" s="1"/>
  <c r="O138" i="4" s="1" a="1"/>
  <c r="O138" i="4" s="1"/>
  <c r="O139" i="4" s="1" a="1"/>
  <c r="O139" i="4" s="1"/>
  <c r="O140" i="4" s="1" a="1"/>
  <c r="O140" i="4" s="1"/>
  <c r="O141" i="4" s="1" a="1"/>
  <c r="O141" i="4" s="1"/>
  <c r="O142" i="4" s="1" a="1"/>
  <c r="O142" i="4" s="1"/>
  <c r="O143" i="4" s="1" a="1"/>
  <c r="O143" i="4" s="1"/>
  <c r="O144" i="4" s="1" a="1"/>
  <c r="O144" i="4" s="1"/>
  <c r="O145" i="4" s="1" a="1"/>
  <c r="O145" i="4" s="1"/>
  <c r="O146" i="4" s="1" a="1"/>
  <c r="O146" i="4" s="1"/>
  <c r="O147" i="4" s="1" a="1"/>
  <c r="O147" i="4" s="1"/>
  <c r="O148" i="4" s="1" a="1"/>
  <c r="O148" i="4" s="1"/>
  <c r="O149" i="4" s="1" a="1"/>
  <c r="O149" i="4" s="1"/>
  <c r="O150" i="4" s="1" a="1"/>
  <c r="O150" i="4" s="1"/>
  <c r="O151" i="4" s="1" a="1"/>
  <c r="O151" i="4" s="1"/>
  <c r="O152" i="4" s="1" a="1"/>
  <c r="O152" i="4" s="1"/>
  <c r="O153" i="4" s="1" a="1"/>
  <c r="O153" i="4" s="1"/>
  <c r="O154" i="4" s="1" a="1"/>
  <c r="O154" i="4" s="1"/>
  <c r="O155" i="4" s="1" a="1"/>
  <c r="O155" i="4" s="1"/>
  <c r="O156" i="4" s="1" a="1"/>
  <c r="O156" i="4" s="1"/>
  <c r="O157" i="4" s="1" a="1"/>
  <c r="O157" i="4" s="1"/>
  <c r="O158" i="4" s="1" a="1"/>
  <c r="O158" i="4" s="1"/>
  <c r="O159" i="4" s="1" a="1"/>
  <c r="O159" i="4" s="1"/>
  <c r="O160" i="4" s="1" a="1"/>
  <c r="O160" i="4" s="1"/>
  <c r="O161" i="4" s="1" a="1"/>
  <c r="O161" i="4" s="1"/>
  <c r="O162" i="4" s="1" a="1"/>
  <c r="O162" i="4" s="1"/>
  <c r="O163" i="4" s="1" a="1"/>
  <c r="O163" i="4" s="1"/>
  <c r="O164" i="4" s="1" a="1"/>
  <c r="O164" i="4" s="1"/>
  <c r="O165" i="4" s="1" a="1"/>
  <c r="O165" i="4" s="1"/>
  <c r="O166" i="4" s="1" a="1"/>
  <c r="O166" i="4" s="1"/>
  <c r="O167" i="4" s="1" a="1"/>
  <c r="O167" i="4" s="1"/>
  <c r="O168" i="4" s="1" a="1"/>
  <c r="O168" i="4" s="1"/>
  <c r="O169" i="4" s="1" a="1"/>
  <c r="O169" i="4" s="1"/>
  <c r="O170" i="4" s="1" a="1"/>
  <c r="O170" i="4" s="1"/>
  <c r="O171" i="4" s="1" a="1"/>
  <c r="O171" i="4" s="1"/>
  <c r="O172" i="4" s="1" a="1"/>
  <c r="O172" i="4" s="1"/>
  <c r="O173" i="4" s="1" a="1"/>
  <c r="O173" i="4" s="1"/>
  <c r="O174" i="4" s="1" a="1"/>
  <c r="O174" i="4" s="1"/>
  <c r="O175" i="4" s="1" a="1"/>
  <c r="O175" i="4" s="1"/>
  <c r="O176" i="4" s="1" a="1"/>
  <c r="O176" i="4" s="1"/>
  <c r="O177" i="4" s="1" a="1"/>
  <c r="O177" i="4" s="1"/>
  <c r="O178" i="4" s="1" a="1"/>
  <c r="O178" i="4" s="1"/>
  <c r="O179" i="4" s="1" a="1"/>
  <c r="O179" i="4" s="1"/>
  <c r="O180" i="4" s="1" a="1"/>
  <c r="O180" i="4" s="1"/>
  <c r="O181" i="4" s="1" a="1"/>
  <c r="O181" i="4" s="1"/>
  <c r="O182" i="4" s="1" a="1"/>
  <c r="O182" i="4" s="1"/>
  <c r="O183" i="4" s="1" a="1"/>
  <c r="O183" i="4" s="1"/>
  <c r="O184" i="4" s="1" a="1"/>
  <c r="O184" i="4" s="1"/>
  <c r="O185" i="4" s="1" a="1"/>
  <c r="O185" i="4" s="1"/>
  <c r="O186" i="4" s="1" a="1"/>
  <c r="O186" i="4" s="1"/>
  <c r="O187" i="4" s="1" a="1"/>
  <c r="O187" i="4" s="1"/>
  <c r="O188" i="4" s="1" a="1"/>
  <c r="O188" i="4" s="1"/>
  <c r="O189" i="4" s="1" a="1"/>
  <c r="O189" i="4" s="1"/>
  <c r="O190" i="4" s="1" a="1"/>
  <c r="O190" i="4" s="1"/>
  <c r="O191" i="4" s="1" a="1"/>
  <c r="O191" i="4" s="1"/>
  <c r="O192" i="4" s="1" a="1"/>
  <c r="O192" i="4" s="1"/>
  <c r="O193" i="4" s="1" a="1"/>
  <c r="O193" i="4" s="1"/>
  <c r="O194" i="4" s="1" a="1"/>
  <c r="O194" i="4" s="1"/>
  <c r="O195" i="4" s="1" a="1"/>
  <c r="O195" i="4" s="1"/>
  <c r="O196" i="4" s="1" a="1"/>
  <c r="O196" i="4" s="1"/>
  <c r="O197" i="4" s="1" a="1"/>
  <c r="O197" i="4" s="1"/>
  <c r="O198" i="4" s="1" a="1"/>
  <c r="O198" i="4" s="1"/>
  <c r="O199" i="4" s="1" a="1"/>
  <c r="O199" i="4" s="1"/>
  <c r="O200" i="4" s="1" a="1"/>
  <c r="O200" i="4" s="1"/>
  <c r="O201" i="4" s="1" a="1"/>
  <c r="O201" i="4" s="1"/>
  <c r="O202" i="4" s="1" a="1"/>
  <c r="O202" i="4" s="1"/>
  <c r="O203" i="4" s="1" a="1"/>
  <c r="O203" i="4" s="1"/>
  <c r="O204" i="4" s="1" a="1"/>
  <c r="O204" i="4" s="1"/>
  <c r="O205" i="4" s="1" a="1"/>
  <c r="O205" i="4" s="1"/>
  <c r="O206" i="4" s="1" a="1"/>
  <c r="O206" i="4" s="1"/>
  <c r="O207" i="4" s="1" a="1"/>
  <c r="O207" i="4" s="1"/>
  <c r="O208" i="4" s="1" a="1"/>
  <c r="O208" i="4" s="1"/>
  <c r="O209" i="4" s="1" a="1"/>
  <c r="O209" i="4" s="1"/>
  <c r="O210" i="4" s="1" a="1"/>
  <c r="O210" i="4" s="1"/>
  <c r="O211" i="4" s="1" a="1"/>
  <c r="O211" i="4" s="1"/>
  <c r="O212" i="4" s="1" a="1"/>
  <c r="O212" i="4" s="1"/>
  <c r="O213" i="4" s="1" a="1"/>
  <c r="O213" i="4" s="1"/>
  <c r="O214" i="4" s="1" a="1"/>
  <c r="O214" i="4" s="1"/>
  <c r="O215" i="4" s="1" a="1"/>
  <c r="O215" i="4" s="1"/>
  <c r="O216" i="4" s="1" a="1"/>
  <c r="O216" i="4" s="1"/>
  <c r="O217" i="4" s="1" a="1"/>
  <c r="O217" i="4" s="1"/>
  <c r="O218" i="4" s="1" a="1"/>
  <c r="O218" i="4" s="1"/>
  <c r="O219" i="4" s="1" a="1"/>
  <c r="O219" i="4" s="1"/>
  <c r="O220" i="4" s="1" a="1"/>
  <c r="O220" i="4" s="1"/>
  <c r="O221" i="4" s="1" a="1"/>
  <c r="O221" i="4" s="1"/>
  <c r="O222" i="4" s="1" a="1"/>
  <c r="O222" i="4" s="1"/>
  <c r="O223" i="4" s="1" a="1"/>
  <c r="O223" i="4" s="1"/>
  <c r="O224" i="4" s="1" a="1"/>
  <c r="O224" i="4" s="1"/>
  <c r="O225" i="4" s="1" a="1"/>
  <c r="O225" i="4" s="1"/>
  <c r="O226" i="4" s="1" a="1"/>
  <c r="O226" i="4" s="1"/>
  <c r="O227" i="4" s="1" a="1"/>
  <c r="O227" i="4" s="1"/>
  <c r="O228" i="4" s="1" a="1"/>
  <c r="O228" i="4" s="1"/>
  <c r="O229" i="4" s="1" a="1"/>
  <c r="O229" i="4" s="1"/>
  <c r="O230" i="4" s="1" a="1"/>
  <c r="O230" i="4" s="1"/>
  <c r="O231" i="4" s="1" a="1"/>
  <c r="O231" i="4" s="1"/>
  <c r="O232" i="4" s="1" a="1"/>
  <c r="O232" i="4" s="1"/>
  <c r="O233" i="4" s="1" a="1"/>
  <c r="O233" i="4" s="1"/>
  <c r="O234" i="4" s="1" a="1"/>
  <c r="O234" i="4" s="1"/>
  <c r="O235" i="4" s="1" a="1"/>
  <c r="O235" i="4" s="1"/>
  <c r="O236" i="4" s="1" a="1"/>
  <c r="O236" i="4" s="1"/>
  <c r="O237" i="4" s="1" a="1"/>
  <c r="O237" i="4" s="1"/>
  <c r="O238" i="4" s="1" a="1"/>
  <c r="O238" i="4" s="1"/>
  <c r="O239" i="4" s="1" a="1"/>
  <c r="O239" i="4" s="1"/>
  <c r="O240" i="4" s="1" a="1"/>
  <c r="O240" i="4" s="1"/>
  <c r="O241" i="4" s="1" a="1"/>
  <c r="O241" i="4" s="1"/>
  <c r="O242" i="4" s="1" a="1"/>
  <c r="O242" i="4" s="1"/>
  <c r="O243" i="4" s="1" a="1"/>
  <c r="O243" i="4" s="1"/>
  <c r="O244" i="4" s="1" a="1"/>
  <c r="O244" i="4" s="1"/>
  <c r="O245" i="4" s="1" a="1"/>
  <c r="O245" i="4" s="1"/>
  <c r="O246" i="4" s="1" a="1"/>
  <c r="O246" i="4" s="1"/>
  <c r="O247" i="4" s="1" a="1"/>
  <c r="O247" i="4" s="1"/>
  <c r="O248" i="4" s="1" a="1"/>
  <c r="O248" i="4" s="1"/>
  <c r="O249" i="4" s="1" a="1"/>
  <c r="O249" i="4" s="1"/>
  <c r="B48" i="1"/>
  <c r="E48" i="1" s="1"/>
  <c r="B49" i="1"/>
  <c r="E49" i="1" s="1"/>
  <c r="B46" i="1"/>
  <c r="E46" i="1" s="1"/>
  <c r="B51" i="1"/>
  <c r="E51" i="1" s="1"/>
  <c r="B47" i="1"/>
  <c r="E47" i="1" s="1"/>
  <c r="B54" i="1"/>
  <c r="E54" i="1" s="1"/>
  <c r="B50" i="1"/>
  <c r="E50" i="1" s="1"/>
  <c r="B41" i="5" l="1"/>
  <c r="B69" i="5"/>
  <c r="B37" i="5"/>
  <c r="B36" i="5"/>
  <c r="B34" i="5"/>
  <c r="B43" i="5"/>
  <c r="B56" i="5"/>
  <c r="B68" i="5"/>
  <c r="B72" i="5"/>
  <c r="B64" i="5"/>
  <c r="B57" i="5"/>
  <c r="B33" i="5"/>
  <c r="B52" i="5"/>
  <c r="B31" i="5"/>
  <c r="C30" i="5"/>
  <c r="B30" i="5"/>
  <c r="B67" i="5"/>
  <c r="B42" i="5"/>
  <c r="C31" i="5"/>
  <c r="D32" i="5" s="1"/>
  <c r="B65" i="5"/>
  <c r="B63" i="5"/>
  <c r="B70" i="5"/>
  <c r="B66" i="5"/>
  <c r="B53" i="5"/>
  <c r="B32" i="5"/>
  <c r="B38" i="5"/>
  <c r="B35" i="5"/>
  <c r="B55" i="5"/>
  <c r="B60" i="5"/>
  <c r="B40" i="5"/>
  <c r="B62" i="5"/>
  <c r="B39" i="5"/>
  <c r="B61" i="5"/>
  <c r="B59" i="5"/>
  <c r="B45" i="5"/>
  <c r="B44" i="5"/>
  <c r="B71" i="5"/>
  <c r="B58" i="5"/>
  <c r="B41" i="1"/>
  <c r="B37" i="1"/>
  <c r="B38" i="1"/>
  <c r="B42" i="1"/>
  <c r="B39" i="1"/>
  <c r="B40" i="1"/>
  <c r="B45" i="1"/>
  <c r="B36" i="1"/>
  <c r="B69" i="1"/>
  <c r="E69" i="1" s="1"/>
  <c r="B61" i="1"/>
  <c r="E61" i="1" s="1"/>
  <c r="B53" i="1"/>
  <c r="E53" i="1" s="1"/>
  <c r="B43" i="1"/>
  <c r="B35" i="1"/>
  <c r="B68" i="1"/>
  <c r="E68" i="1" s="1"/>
  <c r="B44" i="1"/>
  <c r="B55" i="1"/>
  <c r="E55" i="1" s="1"/>
  <c r="B52" i="1"/>
  <c r="E52" i="1" s="1"/>
  <c r="B34" i="1"/>
  <c r="B31" i="1"/>
  <c r="B71" i="1"/>
  <c r="E71" i="1" s="1"/>
  <c r="B32" i="1"/>
  <c r="B67" i="1"/>
  <c r="E67" i="1" s="1"/>
  <c r="B58" i="1"/>
  <c r="E58" i="1" s="1"/>
  <c r="B64" i="1"/>
  <c r="E64" i="1" s="1"/>
  <c r="B59" i="1"/>
  <c r="E59" i="1" s="1"/>
  <c r="B60" i="1"/>
  <c r="E60" i="1" s="1"/>
  <c r="B62" i="1"/>
  <c r="E62" i="1" s="1"/>
  <c r="B56" i="1"/>
  <c r="E56" i="1" s="1"/>
  <c r="B63" i="1"/>
  <c r="E63" i="1" s="1"/>
  <c r="B65" i="1"/>
  <c r="E65" i="1" s="1"/>
  <c r="B57" i="1"/>
  <c r="E57" i="1" s="1"/>
  <c r="C30" i="1"/>
  <c r="D31" i="1" s="1"/>
  <c r="B70" i="1"/>
  <c r="E70" i="1" s="1"/>
  <c r="B66" i="1"/>
  <c r="E66" i="1" s="1"/>
  <c r="B33" i="1"/>
  <c r="B72" i="1"/>
  <c r="E72" i="1" s="1"/>
  <c r="B30" i="1"/>
  <c r="A30" i="1" s="1"/>
  <c r="D30" i="1" s="1"/>
  <c r="G49" i="1"/>
  <c r="G54" i="1"/>
  <c r="G46" i="1"/>
  <c r="G47" i="1"/>
  <c r="G50" i="1"/>
  <c r="G51" i="1"/>
  <c r="G48" i="1"/>
  <c r="A49" i="1"/>
  <c r="A48" i="1"/>
  <c r="A47" i="1"/>
  <c r="A51" i="1"/>
  <c r="A46" i="1"/>
  <c r="A54" i="1"/>
  <c r="A50" i="1"/>
  <c r="C32" i="5" l="1"/>
  <c r="D33" i="5" s="1"/>
  <c r="G71" i="5"/>
  <c r="E71" i="5"/>
  <c r="A71" i="5"/>
  <c r="G59" i="5"/>
  <c r="E59" i="5"/>
  <c r="F59" i="5" s="1"/>
  <c r="A59" i="5"/>
  <c r="G70" i="5"/>
  <c r="E70" i="5"/>
  <c r="A70" i="5"/>
  <c r="G42" i="5"/>
  <c r="E42" i="5"/>
  <c r="F42" i="5" s="1"/>
  <c r="A42" i="5"/>
  <c r="G57" i="5"/>
  <c r="E57" i="5"/>
  <c r="F57" i="5" s="1"/>
  <c r="A57" i="5"/>
  <c r="G56" i="5"/>
  <c r="E56" i="5"/>
  <c r="F56" i="5" s="1"/>
  <c r="A56" i="5"/>
  <c r="G44" i="5"/>
  <c r="E44" i="5"/>
  <c r="F44" i="5" s="1"/>
  <c r="A44" i="5"/>
  <c r="G61" i="5"/>
  <c r="E61" i="5"/>
  <c r="F61" i="5" s="1"/>
  <c r="A61" i="5"/>
  <c r="G60" i="5"/>
  <c r="E60" i="5"/>
  <c r="F60" i="5" s="1"/>
  <c r="A60" i="5"/>
  <c r="G63" i="5"/>
  <c r="E63" i="5"/>
  <c r="F63" i="5" s="1"/>
  <c r="A63" i="5"/>
  <c r="G67" i="5"/>
  <c r="E67" i="5"/>
  <c r="F67" i="5" s="1"/>
  <c r="A67" i="5"/>
  <c r="G52" i="5"/>
  <c r="E52" i="5"/>
  <c r="F52" i="5" s="1"/>
  <c r="A52" i="5"/>
  <c r="G64" i="5"/>
  <c r="E64" i="5"/>
  <c r="F64" i="5" s="1"/>
  <c r="A64" i="5"/>
  <c r="G43" i="5"/>
  <c r="E43" i="5"/>
  <c r="F43" i="5" s="1"/>
  <c r="A43" i="5"/>
  <c r="G45" i="5"/>
  <c r="E45" i="5"/>
  <c r="F45" i="5" s="1"/>
  <c r="A45" i="5"/>
  <c r="G55" i="5"/>
  <c r="E55" i="5"/>
  <c r="F55" i="5" s="1"/>
  <c r="A55" i="5"/>
  <c r="G53" i="5"/>
  <c r="E53" i="5"/>
  <c r="F53" i="5" s="1"/>
  <c r="A53" i="5"/>
  <c r="G65" i="5"/>
  <c r="E65" i="5"/>
  <c r="F65" i="5" s="1"/>
  <c r="A65" i="5"/>
  <c r="C23" i="5"/>
  <c r="A30" i="5"/>
  <c r="D30" i="5" s="1"/>
  <c r="G72" i="5"/>
  <c r="E72" i="5"/>
  <c r="A72" i="5"/>
  <c r="G69" i="5"/>
  <c r="E69" i="5"/>
  <c r="A69" i="5"/>
  <c r="G58" i="5"/>
  <c r="E58" i="5"/>
  <c r="F58" i="5" s="1"/>
  <c r="A58" i="5"/>
  <c r="C33" i="5"/>
  <c r="G62" i="5"/>
  <c r="E62" i="5"/>
  <c r="F62" i="5" s="1"/>
  <c r="A62" i="5"/>
  <c r="G66" i="5"/>
  <c r="E66" i="5"/>
  <c r="F66" i="5" s="1"/>
  <c r="A66" i="5"/>
  <c r="D31" i="5"/>
  <c r="G68" i="5"/>
  <c r="E68" i="5"/>
  <c r="F68" i="5" s="1"/>
  <c r="A68" i="5"/>
  <c r="E42" i="1"/>
  <c r="E45" i="1"/>
  <c r="A45" i="1"/>
  <c r="E44" i="1"/>
  <c r="A44" i="1"/>
  <c r="E43" i="1"/>
  <c r="G45" i="1"/>
  <c r="A53" i="1"/>
  <c r="G53" i="1"/>
  <c r="A52" i="1"/>
  <c r="G68" i="1"/>
  <c r="A71" i="1"/>
  <c r="A64" i="1"/>
  <c r="G52" i="1"/>
  <c r="G64" i="1"/>
  <c r="G72" i="1"/>
  <c r="G60" i="1"/>
  <c r="A68" i="1"/>
  <c r="A59" i="1"/>
  <c r="G63" i="1"/>
  <c r="A63" i="1"/>
  <c r="G69" i="1"/>
  <c r="A62" i="1"/>
  <c r="A57" i="1"/>
  <c r="A58" i="1"/>
  <c r="G71" i="1"/>
  <c r="A55" i="1"/>
  <c r="G62" i="1"/>
  <c r="C23" i="1"/>
  <c r="G57" i="1"/>
  <c r="G58" i="1"/>
  <c r="G55" i="1"/>
  <c r="A61" i="1"/>
  <c r="A72" i="1"/>
  <c r="G66" i="1"/>
  <c r="A66" i="1"/>
  <c r="G59" i="1"/>
  <c r="G44" i="1"/>
  <c r="G61" i="1"/>
  <c r="A31" i="1"/>
  <c r="A65" i="1"/>
  <c r="G67" i="1"/>
  <c r="C31" i="1"/>
  <c r="G70" i="1"/>
  <c r="A67" i="1"/>
  <c r="A60" i="1"/>
  <c r="G65" i="1"/>
  <c r="A56" i="1"/>
  <c r="A70" i="1"/>
  <c r="G56" i="1"/>
  <c r="A69" i="1"/>
  <c r="A31" i="5" l="1"/>
  <c r="A32" i="5" s="1"/>
  <c r="A33" i="5" s="1"/>
  <c r="A34" i="5" s="1"/>
  <c r="D34" i="5"/>
  <c r="C34" i="5"/>
  <c r="C35" i="5" s="1"/>
  <c r="D36" i="5" s="1"/>
  <c r="C32" i="1"/>
  <c r="D33" i="1" s="1"/>
  <c r="A32" i="1"/>
  <c r="D32" i="1"/>
  <c r="A35" i="5" l="1"/>
  <c r="A36" i="5" s="1"/>
  <c r="C36" i="5"/>
  <c r="D37" i="5" s="1"/>
  <c r="D35" i="5"/>
  <c r="C33" i="1"/>
  <c r="C34" i="1" s="1"/>
  <c r="C35" i="1" s="1"/>
  <c r="D36" i="1" s="1"/>
  <c r="A33" i="1"/>
  <c r="C37" i="5" l="1"/>
  <c r="D38" i="5" s="1"/>
  <c r="A37" i="5"/>
  <c r="A38" i="5" s="1"/>
  <c r="A34" i="1"/>
  <c r="A35" i="1" s="1"/>
  <c r="A36" i="1" s="1"/>
  <c r="D34" i="1"/>
  <c r="C36" i="1"/>
  <c r="D35" i="1"/>
  <c r="C38" i="5" l="1"/>
  <c r="D39" i="5" s="1"/>
  <c r="A39" i="5"/>
  <c r="D37" i="1"/>
  <c r="C37" i="1"/>
  <c r="D38" i="1" s="1"/>
  <c r="A37" i="1"/>
  <c r="F43" i="1"/>
  <c r="G43" i="1" s="1"/>
  <c r="F47" i="1"/>
  <c r="F51" i="1"/>
  <c r="F55" i="1"/>
  <c r="F59" i="1"/>
  <c r="F63" i="1"/>
  <c r="F67" i="1"/>
  <c r="F44" i="1"/>
  <c r="F48" i="1"/>
  <c r="F52" i="1"/>
  <c r="F56" i="1"/>
  <c r="F60" i="1"/>
  <c r="F64" i="1"/>
  <c r="F68" i="1"/>
  <c r="F45" i="1"/>
  <c r="F49" i="1"/>
  <c r="F53" i="1"/>
  <c r="F57" i="1"/>
  <c r="F61" i="1"/>
  <c r="F65" i="1"/>
  <c r="F42" i="1"/>
  <c r="G42" i="1" s="1"/>
  <c r="F46" i="1"/>
  <c r="F50" i="1"/>
  <c r="F54" i="1"/>
  <c r="F58" i="1"/>
  <c r="F62" i="1"/>
  <c r="F66" i="1"/>
  <c r="C39" i="5" l="1"/>
  <c r="D40" i="5" s="1"/>
  <c r="A40" i="5"/>
  <c r="A38" i="1"/>
  <c r="C38" i="1"/>
  <c r="C40" i="5" l="1"/>
  <c r="D41" i="5" s="1"/>
  <c r="A41" i="5"/>
  <c r="C24" i="5"/>
  <c r="D39" i="1"/>
  <c r="C39" i="1"/>
  <c r="A39" i="1"/>
  <c r="C41" i="5" l="1"/>
  <c r="H63" i="5"/>
  <c r="H57" i="5"/>
  <c r="H61" i="5"/>
  <c r="H53" i="5"/>
  <c r="E35" i="5"/>
  <c r="E38" i="5"/>
  <c r="H78" i="5"/>
  <c r="H64" i="5"/>
  <c r="H44" i="5"/>
  <c r="H68" i="5"/>
  <c r="H51" i="5"/>
  <c r="H77" i="5"/>
  <c r="H48" i="5"/>
  <c r="H72" i="5"/>
  <c r="H52" i="5"/>
  <c r="E40" i="5"/>
  <c r="E30" i="5"/>
  <c r="H46" i="5"/>
  <c r="C26" i="5"/>
  <c r="E31" i="5"/>
  <c r="E37" i="5"/>
  <c r="H59" i="5"/>
  <c r="H54" i="5"/>
  <c r="H60" i="5"/>
  <c r="H66" i="5"/>
  <c r="H65" i="5"/>
  <c r="H70" i="5"/>
  <c r="H56" i="5"/>
  <c r="E32" i="5"/>
  <c r="H75" i="5"/>
  <c r="H67" i="5"/>
  <c r="H45" i="5"/>
  <c r="H71" i="5"/>
  <c r="H76" i="5"/>
  <c r="H73" i="5"/>
  <c r="H43" i="5"/>
  <c r="E36" i="5"/>
  <c r="H74" i="5"/>
  <c r="H55" i="5"/>
  <c r="E39" i="5"/>
  <c r="E41" i="5"/>
  <c r="H50" i="5"/>
  <c r="H49" i="5"/>
  <c r="H47" i="5"/>
  <c r="H58" i="5"/>
  <c r="H69" i="5"/>
  <c r="E34" i="5"/>
  <c r="H62" i="5"/>
  <c r="H42" i="5"/>
  <c r="E33" i="5"/>
  <c r="A40" i="1"/>
  <c r="C40" i="1"/>
  <c r="D40" i="1"/>
  <c r="D42" i="5" l="1"/>
  <c r="C42" i="5"/>
  <c r="A41" i="1"/>
  <c r="D41" i="1"/>
  <c r="C41" i="1"/>
  <c r="D43" i="5" l="1"/>
  <c r="C43" i="5"/>
  <c r="D44" i="5" s="1"/>
  <c r="A42" i="1"/>
  <c r="D42" i="1"/>
  <c r="C42" i="1"/>
  <c r="C44" i="5" l="1"/>
  <c r="A43" i="1"/>
  <c r="H67" i="1" s="1"/>
  <c r="C43" i="1"/>
  <c r="D43" i="1"/>
  <c r="C45" i="5" l="1"/>
  <c r="C46" i="5" s="1"/>
  <c r="D47" i="5" s="1"/>
  <c r="D45" i="5"/>
  <c r="H48" i="1"/>
  <c r="H54" i="1"/>
  <c r="H73" i="1"/>
  <c r="C26" i="1"/>
  <c r="H61" i="1"/>
  <c r="H47" i="1"/>
  <c r="E35" i="1"/>
  <c r="E37" i="1"/>
  <c r="H51" i="1"/>
  <c r="H74" i="1"/>
  <c r="H63" i="1"/>
  <c r="H76" i="1"/>
  <c r="H64" i="1"/>
  <c r="H42" i="1"/>
  <c r="H77" i="1"/>
  <c r="H43" i="1"/>
  <c r="H50" i="1"/>
  <c r="H57" i="1"/>
  <c r="E34" i="1"/>
  <c r="H56" i="1"/>
  <c r="E41" i="1"/>
  <c r="H59" i="1"/>
  <c r="H75" i="1"/>
  <c r="E38" i="1"/>
  <c r="H58" i="1"/>
  <c r="H78" i="1"/>
  <c r="E39" i="1"/>
  <c r="H66" i="1"/>
  <c r="H55" i="1"/>
  <c r="H62" i="1"/>
  <c r="H72" i="1"/>
  <c r="H53" i="1"/>
  <c r="E31" i="1"/>
  <c r="C24" i="1"/>
  <c r="H44" i="1"/>
  <c r="E36" i="1"/>
  <c r="H69" i="1"/>
  <c r="H60" i="1"/>
  <c r="H45" i="1"/>
  <c r="H68" i="1"/>
  <c r="E30" i="1"/>
  <c r="H52" i="1"/>
  <c r="E32" i="1"/>
  <c r="H71" i="1"/>
  <c r="E33" i="1"/>
  <c r="H65" i="1"/>
  <c r="H49" i="1"/>
  <c r="H70" i="1"/>
  <c r="H46" i="1"/>
  <c r="E40" i="1"/>
  <c r="D44" i="1"/>
  <c r="C44" i="1"/>
  <c r="D46" i="5" l="1"/>
  <c r="C47" i="5"/>
  <c r="D45" i="1"/>
  <c r="C45" i="1"/>
  <c r="C48" i="5" l="1"/>
  <c r="D48" i="5"/>
  <c r="D46" i="1"/>
  <c r="C46" i="1"/>
  <c r="C49" i="5" l="1"/>
  <c r="D50" i="5" s="1"/>
  <c r="D49" i="5"/>
  <c r="D47" i="1"/>
  <c r="C47" i="1"/>
  <c r="C50" i="5" l="1"/>
  <c r="D48" i="1"/>
  <c r="C48" i="1"/>
  <c r="C49" i="1" s="1"/>
  <c r="D50" i="1" s="1"/>
  <c r="C51" i="5" l="1"/>
  <c r="D51" i="5"/>
  <c r="C50" i="1"/>
  <c r="C51" i="1" s="1"/>
  <c r="D49" i="1"/>
  <c r="D52" i="5" l="1"/>
  <c r="C52" i="5"/>
  <c r="D52" i="1"/>
  <c r="D51" i="1"/>
  <c r="C52" i="1"/>
  <c r="D53" i="1" s="1"/>
  <c r="C53" i="5" l="1"/>
  <c r="C54" i="5" s="1"/>
  <c r="D53" i="5"/>
  <c r="C53" i="1"/>
  <c r="C54" i="1" s="1"/>
  <c r="D55" i="1" s="1"/>
  <c r="C55" i="5" l="1"/>
  <c r="C56" i="5" s="1"/>
  <c r="D57" i="5" s="1"/>
  <c r="D55" i="5"/>
  <c r="D54" i="5"/>
  <c r="C55" i="1"/>
  <c r="D56" i="1" s="1"/>
  <c r="D54" i="1"/>
  <c r="C57" i="5" l="1"/>
  <c r="D56" i="5"/>
  <c r="C56" i="1"/>
  <c r="D57" i="1" s="1"/>
  <c r="C58" i="5" l="1"/>
  <c r="D59" i="5" s="1"/>
  <c r="D58" i="5"/>
  <c r="C57" i="1"/>
  <c r="C59" i="5" l="1"/>
  <c r="D60" i="5" s="1"/>
  <c r="D58" i="1"/>
  <c r="C58" i="1"/>
  <c r="D59" i="1" s="1"/>
  <c r="C60" i="5" l="1"/>
  <c r="C61" i="5" s="1"/>
  <c r="D62" i="5" s="1"/>
  <c r="C59" i="1"/>
  <c r="D60" i="1" s="1"/>
  <c r="D61" i="5" l="1"/>
  <c r="C62" i="5"/>
  <c r="D63" i="5" s="1"/>
  <c r="C60" i="1"/>
  <c r="D61" i="1" s="1"/>
  <c r="C63" i="5" l="1"/>
  <c r="D64" i="5" s="1"/>
  <c r="C61" i="1"/>
  <c r="D62" i="1" s="1"/>
  <c r="C64" i="5" l="1"/>
  <c r="D65" i="5" s="1"/>
  <c r="C62" i="1"/>
  <c r="C63" i="1" s="1"/>
  <c r="D64" i="1" s="1"/>
  <c r="C65" i="5" l="1"/>
  <c r="C66" i="5" s="1"/>
  <c r="D67" i="5" s="1"/>
  <c r="C64" i="1"/>
  <c r="D65" i="1" s="1"/>
  <c r="D63" i="1"/>
  <c r="D66" i="5" l="1"/>
  <c r="C67" i="5"/>
  <c r="D68" i="5" s="1"/>
  <c r="C65" i="1"/>
  <c r="D66" i="1" s="1"/>
  <c r="C68" i="5" l="1"/>
  <c r="C69" i="5" s="1"/>
  <c r="C70" i="5" s="1"/>
  <c r="C66" i="1"/>
  <c r="D67" i="1" s="1"/>
  <c r="D69" i="5" l="1"/>
  <c r="J74" i="5" s="1"/>
  <c r="C71" i="5"/>
  <c r="C72" i="5" s="1"/>
  <c r="F72" i="5" s="1"/>
  <c r="D71" i="5"/>
  <c r="J76" i="5" s="1"/>
  <c r="F70" i="5"/>
  <c r="F69" i="5"/>
  <c r="D70" i="5"/>
  <c r="J75" i="5" s="1"/>
  <c r="C67" i="1"/>
  <c r="D68" i="1" s="1"/>
  <c r="F71" i="5" l="1"/>
  <c r="D72" i="5"/>
  <c r="J77" i="5" s="1"/>
  <c r="C68" i="1"/>
  <c r="D69" i="1" s="1"/>
  <c r="J74" i="1" s="1"/>
  <c r="C69" i="1" l="1"/>
  <c r="F69" i="1" s="1"/>
  <c r="C70" i="1" l="1"/>
  <c r="F70" i="1" s="1"/>
  <c r="D70" i="1"/>
  <c r="J75" i="1" s="1"/>
  <c r="D71" i="1" l="1"/>
  <c r="J76" i="1" s="1"/>
  <c r="C71" i="1"/>
  <c r="C72" i="1" s="1"/>
  <c r="F72" i="1" s="1"/>
  <c r="D72" i="1" l="1"/>
  <c r="J77" i="1" s="1"/>
  <c r="F7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<sst xmlns="http://schemas.openxmlformats.org/spreadsheetml/2006/main" count="217" uniqueCount="120">
  <si>
    <t>RECONSTITUTION DE CARRIERE</t>
  </si>
  <si>
    <t xml:space="preserve">Informations </t>
  </si>
  <si>
    <t>Diplôme :</t>
  </si>
  <si>
    <t>Date d'obtention :</t>
  </si>
  <si>
    <t>Métier</t>
  </si>
  <si>
    <t>CHEF CUISINIER</t>
  </si>
  <si>
    <t>Internat</t>
  </si>
  <si>
    <t>Contrats de travail</t>
  </si>
  <si>
    <t>CCN 66 ou 51</t>
  </si>
  <si>
    <t>Lieu d'emploi</t>
  </si>
  <si>
    <t>Poste</t>
  </si>
  <si>
    <t>Date début</t>
  </si>
  <si>
    <t>Date fin</t>
  </si>
  <si>
    <t>Jours de travail</t>
  </si>
  <si>
    <t>Pris en compte au 2/3</t>
  </si>
  <si>
    <t>Pris en compte à 100%</t>
  </si>
  <si>
    <t>NON</t>
  </si>
  <si>
    <t>Total</t>
  </si>
  <si>
    <t>Coefficient</t>
  </si>
  <si>
    <t>Entrée à la Sauvegarde Isère le :</t>
  </si>
  <si>
    <t>Date début d'ancienneté calculée :</t>
  </si>
  <si>
    <t>Bonification ancienneté 1 an IDE : Annexe 4 Article 5 CCN 66</t>
  </si>
  <si>
    <t>coefficient de base :</t>
  </si>
  <si>
    <t>Coefficient calculé avec l'ancienneté :</t>
  </si>
  <si>
    <t>Prochain changement au :</t>
  </si>
  <si>
    <t>Soit une reprise de :</t>
  </si>
  <si>
    <t>Mois</t>
  </si>
  <si>
    <t xml:space="preserve">Coefficient </t>
  </si>
  <si>
    <t>Durée (années)</t>
  </si>
  <si>
    <t>Déroulement de carrière</t>
  </si>
  <si>
    <t>libellé poste</t>
  </si>
  <si>
    <t>INTERNAT</t>
  </si>
  <si>
    <t>CADRE</t>
  </si>
  <si>
    <t>NUMERO DE GRILLE</t>
  </si>
  <si>
    <t>LAFORCADE</t>
  </si>
  <si>
    <t>SEGUR 2</t>
  </si>
  <si>
    <t>MEDECIN</t>
  </si>
  <si>
    <t>SOCIO EDUCATIFS</t>
  </si>
  <si>
    <t>Repos Compensateur Surveillant de Nuit</t>
  </si>
  <si>
    <t>ISP Services généraux</t>
  </si>
  <si>
    <t>ANCIENNETE</t>
  </si>
  <si>
    <t>COEFFICIENT</t>
  </si>
  <si>
    <t>CORRESPONDANCE GRILLE METIER</t>
  </si>
  <si>
    <t>Prime d'internat ?</t>
  </si>
  <si>
    <t>Variables</t>
  </si>
  <si>
    <t>Valeur</t>
  </si>
  <si>
    <t>CCN66 ou 51 ?</t>
  </si>
  <si>
    <t>Sélectionner un métier</t>
  </si>
  <si>
    <t>Prime CER CEF</t>
  </si>
  <si>
    <t>ACCOMPAGNANT EDUCATIF ET SOCIAL</t>
  </si>
  <si>
    <t>Valeur du Point</t>
  </si>
  <si>
    <t>OUI</t>
  </si>
  <si>
    <t>Indemnité de sujétion spéciale</t>
  </si>
  <si>
    <t>ACCOMPAGNANT EDUCATIF ET SOCIAL ARS</t>
  </si>
  <si>
    <t>Repos compensateur SDN</t>
  </si>
  <si>
    <t>AGENT ADMINISTRATIF</t>
  </si>
  <si>
    <t>AGENT ADMINISTRATIF PRINCIPAL</t>
  </si>
  <si>
    <t>AGENT DE SERVICE INTERIEUR</t>
  </si>
  <si>
    <t>AGENT TECHNIQUE</t>
  </si>
  <si>
    <t>AGENT TECHNIQUE SUPERIEUR</t>
  </si>
  <si>
    <t>AIDE MEDICO PSYCHOLOGIQUE</t>
  </si>
  <si>
    <t>AIDE MEDICO PSYCHOLOGIQUE ARS</t>
  </si>
  <si>
    <t>ANIMATEUR</t>
  </si>
  <si>
    <t>ANIMATEUR SOCIO EDUCATIF</t>
  </si>
  <si>
    <t>ASSISTANT COMPTABLE</t>
  </si>
  <si>
    <t>ASSISTANT DG</t>
  </si>
  <si>
    <t>ASSISTANT GRH</t>
  </si>
  <si>
    <t>ASSISTANTE SOCIALE SPECIALISE</t>
  </si>
  <si>
    <t>CADRE C3N2</t>
  </si>
  <si>
    <t>CADRE C3N3</t>
  </si>
  <si>
    <t>CADRE TECHNIQUE RH C3N2</t>
  </si>
  <si>
    <t>CHEF DE SERVICE EDUCATIF C2N2</t>
  </si>
  <si>
    <t>CHEF DE SERVICE EDUCATIF C2N3</t>
  </si>
  <si>
    <t>COMPTABLE CLASSE 1</t>
  </si>
  <si>
    <t>COMPTABLE/RH</t>
  </si>
  <si>
    <t>CONSEILLERE EN ECONOMIE SOCIALE ET FAMILIALE</t>
  </si>
  <si>
    <t>COORDONATEUR</t>
  </si>
  <si>
    <t>DAF C1N1</t>
  </si>
  <si>
    <t>DIRECTEUR DE POLE ADJOINT C1N2</t>
  </si>
  <si>
    <t>DIRECTEUR DE POLE C1N1</t>
  </si>
  <si>
    <t>DIRECTEUR ETABLISSEMENT C1N1</t>
  </si>
  <si>
    <t>DIRECTEUR GENERAL CADRE HORS CLASSE</t>
  </si>
  <si>
    <t>DIRECTEUR SERVICE C1N2</t>
  </si>
  <si>
    <t>DIRECTEUR SERVICE C1N3</t>
  </si>
  <si>
    <t>DRH C1N1</t>
  </si>
  <si>
    <t>DRH C1N2</t>
  </si>
  <si>
    <t>EDUCATEUR JEUNES ENFANTS</t>
  </si>
  <si>
    <t>EDUCATEUR SCOLAIRE</t>
  </si>
  <si>
    <t>EDUCATEUR SPECIALISE</t>
  </si>
  <si>
    <t>EDUCATEUR SPORTIF NIVEAU 3</t>
  </si>
  <si>
    <t>EDUCATEUR SPORTIF NIVEAU 4</t>
  </si>
  <si>
    <t>EDUCATEUR TECHNIQUE SPECIALISE</t>
  </si>
  <si>
    <t>ERGOTHERAPEUTE</t>
  </si>
  <si>
    <t>ERGOTHERAPEUTE ARS</t>
  </si>
  <si>
    <t>GESTIONNAIRE COMPTABLE</t>
  </si>
  <si>
    <t>GESTIONNAIRE LOGISTIQUE</t>
  </si>
  <si>
    <t>GESTIONNAIRE RH</t>
  </si>
  <si>
    <t>INFIRMIER</t>
  </si>
  <si>
    <t>INFIRMIER ARS</t>
  </si>
  <si>
    <t>JURISTE</t>
  </si>
  <si>
    <t>MAITRESSE DE MAISON</t>
  </si>
  <si>
    <t>MAITRESSE DE MAISON NON QUALIFIEE</t>
  </si>
  <si>
    <t>MONITEUR ADJOINT D'ANIMATION</t>
  </si>
  <si>
    <t>MONITEUR EDUCATEUR</t>
  </si>
  <si>
    <t>ORTHOPHONISTE</t>
  </si>
  <si>
    <t>ORTHOPHONISTE ARS</t>
  </si>
  <si>
    <t xml:space="preserve">OUVRIER QUALIFIE </t>
  </si>
  <si>
    <t>PROFESSEUR EPS</t>
  </si>
  <si>
    <t>PSYCHIATRE Ø</t>
  </si>
  <si>
    <t>PSYCHOLOGUE C3N1</t>
  </si>
  <si>
    <t>PSYCHOMOTRICIEN</t>
  </si>
  <si>
    <t>PSYCHOMOTRICIEN ARS</t>
  </si>
  <si>
    <t>RESPONSABLE LOGISTIQUE C3N3</t>
  </si>
  <si>
    <t>RESPONSABLE SIRH C3N1</t>
  </si>
  <si>
    <t>SECRETAIRE DE DIRECTION NIVEAU 2</t>
  </si>
  <si>
    <t>SURVEILLANT DE NUIT</t>
  </si>
  <si>
    <t>SURVEILLANT DE NUIT QUALIFIE</t>
  </si>
  <si>
    <t>TECHNICIEN QUALIFIE</t>
  </si>
  <si>
    <t>TECHNICIEN SUPERIEUR</t>
  </si>
  <si>
    <t>TECHNICIEN DE L'INTERVENTION SOCIALE ET FAMILIALE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</si>
</sst>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0"/>
    <numFmt numFmtId="165" formatCode="_-* #,##0_-;\-* #,##0_-;_-* &quot;-&quot;??_-;_-@_-"/>
    <numFmt numFmtId="166" formatCode="[&lt;=1]&quot;après &quot;0&quot; an&quot;;[&gt;1]&quot;après &quot;0&quot; ans&quot;"/>
  </numFmts>
  <fonts count="2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8"/>
      <name val="Arial"/>
      <family val="2"/>
    </font>
    <font>
      <b/>
      <sz val="10"/>
      <color theme="1"/>
      <name val="Century Gothic"/>
      <family val="2"/>
    </font>
    <font>
      <b/>
      <sz val="14"/>
      <name val="Gabriola"/>
      <family val="5"/>
    </font>
    <font>
      <b/>
      <sz val="10"/>
      <color theme="0"/>
      <name val="Century Gothic"/>
      <family val="2"/>
    </font>
    <font>
      <b/>
      <sz val="12"/>
      <name val="Century Gothic"/>
      <family val="2"/>
    </font>
    <font>
      <b/>
      <sz val="18"/>
      <name val="Gabriola"/>
      <family val="5"/>
    </font>
    <font>
      <b/>
      <sz val="1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sz val="10"/>
      <color theme="0"/>
      <name val="Century Gothic"/>
      <family val="2"/>
    </font>
    <font>
      <b/>
      <sz val="12"/>
      <color theme="0"/>
      <name val="Gabriola"/>
      <family val="5"/>
    </font>
    <font>
      <b/>
      <sz val="14"/>
      <color theme="0"/>
      <name val="Century Gothic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35B3CE"/>
        <bgColor indexed="64"/>
      </patternFill>
    </fill>
    <fill>
      <patternFill patternType="solid">
        <fgColor rgb="FFFCC100"/>
        <bgColor indexed="64"/>
      </patternFill>
    </fill>
    <fill>
      <patternFill patternType="solid">
        <fgColor rgb="FF0C549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" fillId="0" borderId="0"/>
    <xf numFmtId="0" fontId="8" fillId="0" borderId="0"/>
    <xf numFmtId="0" fontId="2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14" fontId="0" fillId="0" borderId="0" xfId="0" applyNumberFormat="1" applyAlignment="1">
      <alignment vertical="center"/>
    </xf>
    <xf numFmtId="0" fontId="4" fillId="0" borderId="0" xfId="0" applyFont="1"/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/>
    </xf>
    <xf numFmtId="2" fontId="6" fillId="0" borderId="0" xfId="0" applyNumberFormat="1" applyFont="1" applyAlignment="1">
      <alignment vertical="center"/>
    </xf>
    <xf numFmtId="2" fontId="7" fillId="0" borderId="0" xfId="0" applyNumberFormat="1" applyFont="1" applyAlignment="1">
      <alignment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3" fontId="0" fillId="0" borderId="0" xfId="1" applyFont="1" applyBorder="1"/>
    <xf numFmtId="10" fontId="0" fillId="0" borderId="0" xfId="2" applyNumberFormat="1" applyFont="1"/>
    <xf numFmtId="0" fontId="2" fillId="0" borderId="0" xfId="5" applyAlignment="1">
      <alignment horizontal="center"/>
    </xf>
    <xf numFmtId="0" fontId="2" fillId="0" borderId="0" xfId="5"/>
    <xf numFmtId="0" fontId="2" fillId="0" borderId="2" xfId="5" applyBorder="1" applyAlignment="1">
      <alignment horizontal="center" vertical="center"/>
    </xf>
    <xf numFmtId="0" fontId="2" fillId="0" borderId="2" xfId="5" applyBorder="1" applyAlignment="1">
      <alignment horizontal="center"/>
    </xf>
    <xf numFmtId="0" fontId="2" fillId="0" borderId="3" xfId="5" applyBorder="1" applyAlignment="1">
      <alignment horizontal="center"/>
    </xf>
    <xf numFmtId="0" fontId="2" fillId="0" borderId="4" xfId="5" applyBorder="1" applyAlignment="1">
      <alignment horizontal="center"/>
    </xf>
    <xf numFmtId="0" fontId="9" fillId="2" borderId="0" xfId="5" applyFont="1" applyFill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0" fontId="2" fillId="0" borderId="0" xfId="5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43" fontId="8" fillId="0" borderId="0" xfId="1" applyFont="1" applyBorder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/>
    <xf numFmtId="1" fontId="17" fillId="0" borderId="0" xfId="0" applyNumberFormat="1" applyFont="1" applyAlignment="1">
      <alignment horizontal="center" vertic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14" fontId="18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1" fillId="3" borderId="1" xfId="0" applyFont="1" applyFill="1" applyBorder="1" applyAlignment="1">
      <alignment horizontal="center" vertical="center" wrapText="1"/>
    </xf>
    <xf numFmtId="164" fontId="18" fillId="0" borderId="8" xfId="0" applyNumberFormat="1" applyFont="1" applyBorder="1"/>
    <xf numFmtId="2" fontId="16" fillId="0" borderId="8" xfId="0" applyNumberFormat="1" applyFont="1" applyBorder="1" applyAlignment="1">
      <alignment vertical="center"/>
    </xf>
    <xf numFmtId="0" fontId="20" fillId="3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vertical="center"/>
    </xf>
    <xf numFmtId="14" fontId="17" fillId="4" borderId="0" xfId="0" applyNumberFormat="1" applyFont="1" applyFill="1" applyAlignment="1" applyProtection="1">
      <alignment vertical="center"/>
      <protection locked="0"/>
    </xf>
    <xf numFmtId="165" fontId="18" fillId="4" borderId="0" xfId="1" applyNumberFormat="1" applyFont="1" applyFill="1" applyBorder="1" applyAlignment="1">
      <alignment vertical="center"/>
    </xf>
    <xf numFmtId="0" fontId="20" fillId="3" borderId="7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vertical="center"/>
    </xf>
    <xf numFmtId="0" fontId="17" fillId="3" borderId="7" xfId="0" applyFont="1" applyFill="1" applyBorder="1" applyAlignment="1">
      <alignment vertical="center"/>
    </xf>
    <xf numFmtId="165" fontId="18" fillId="3" borderId="7" xfId="0" applyNumberFormat="1" applyFont="1" applyFill="1" applyBorder="1" applyAlignment="1">
      <alignment vertical="center"/>
    </xf>
    <xf numFmtId="165" fontId="18" fillId="3" borderId="0" xfId="0" applyNumberFormat="1" applyFont="1" applyFill="1" applyAlignment="1">
      <alignment vertical="center"/>
    </xf>
    <xf numFmtId="165" fontId="18" fillId="3" borderId="9" xfId="0" applyNumberFormat="1" applyFont="1" applyFill="1" applyBorder="1" applyAlignment="1">
      <alignment vertical="center"/>
    </xf>
    <xf numFmtId="0" fontId="19" fillId="5" borderId="0" xfId="0" applyFont="1" applyFill="1" applyAlignment="1" applyProtection="1">
      <alignment vertical="center"/>
      <protection locked="0"/>
    </xf>
    <xf numFmtId="14" fontId="13" fillId="5" borderId="0" xfId="0" applyNumberFormat="1" applyFont="1" applyFill="1" applyAlignment="1" applyProtection="1">
      <alignment horizontal="center" vertical="center"/>
      <protection locked="0"/>
    </xf>
    <xf numFmtId="14" fontId="18" fillId="4" borderId="6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vertical="center"/>
    </xf>
    <xf numFmtId="14" fontId="11" fillId="4" borderId="6" xfId="0" applyNumberFormat="1" applyFont="1" applyFill="1" applyBorder="1" applyAlignment="1" applyProtection="1">
      <alignment horizontal="center" vertical="center"/>
      <protection locked="0"/>
    </xf>
    <xf numFmtId="14" fontId="18" fillId="4" borderId="0" xfId="0" applyNumberFormat="1" applyFont="1" applyFill="1" applyAlignment="1" applyProtection="1">
      <alignment vertical="center"/>
      <protection locked="0"/>
    </xf>
    <xf numFmtId="43" fontId="18" fillId="4" borderId="0" xfId="1" applyFont="1" applyFill="1" applyBorder="1" applyAlignment="1">
      <alignment vertical="center"/>
    </xf>
    <xf numFmtId="0" fontId="20" fillId="3" borderId="10" xfId="0" applyFont="1" applyFill="1" applyBorder="1" applyAlignment="1">
      <alignment horizontal="center" vertical="center" wrapText="1"/>
    </xf>
    <xf numFmtId="14" fontId="20" fillId="3" borderId="10" xfId="0" applyNumberFormat="1" applyFont="1" applyFill="1" applyBorder="1" applyAlignment="1">
      <alignment horizontal="center" vertical="center" wrapText="1"/>
    </xf>
    <xf numFmtId="0" fontId="0" fillId="4" borderId="0" xfId="0" applyFill="1" applyAlignment="1" applyProtection="1">
      <alignment vertical="center"/>
      <protection locked="0"/>
    </xf>
    <xf numFmtId="14" fontId="23" fillId="0" borderId="0" xfId="0" applyNumberFormat="1" applyFont="1" applyAlignment="1">
      <alignment vertical="center"/>
    </xf>
    <xf numFmtId="166" fontId="18" fillId="0" borderId="0" xfId="0" applyNumberFormat="1" applyFont="1" applyAlignment="1">
      <alignment horizontal="center"/>
    </xf>
    <xf numFmtId="0" fontId="23" fillId="0" borderId="0" xfId="0" applyFont="1" applyAlignment="1">
      <alignment vertical="center"/>
    </xf>
    <xf numFmtId="14" fontId="0" fillId="0" borderId="0" xfId="0" applyNumberFormat="1" applyProtection="1">
      <protection locked="0"/>
    </xf>
    <xf numFmtId="0" fontId="1" fillId="0" borderId="0" xfId="5" applyFont="1"/>
    <xf numFmtId="0" fontId="1" fillId="0" borderId="2" xfId="5" applyFont="1" applyBorder="1" applyAlignment="1">
      <alignment horizontal="center"/>
    </xf>
    <xf numFmtId="0" fontId="12" fillId="3" borderId="0" xfId="0" applyFont="1" applyFill="1" applyAlignment="1">
      <alignment horizontal="center" vertical="center"/>
    </xf>
    <xf numFmtId="0" fontId="22" fillId="5" borderId="0" xfId="0" applyFont="1" applyFill="1" applyAlignment="1" applyProtection="1">
      <alignment horizontal="center" vertical="center"/>
      <protection locked="0"/>
    </xf>
    <xf numFmtId="0" fontId="15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</cellXfs>
  <cellStyles count="6">
    <cellStyle name="Milliers" xfId="1" builtinId="3"/>
    <cellStyle name="Normal" xfId="0" builtinId="0"/>
    <cellStyle name="Normal 2" xfId="4" xr:uid="{A6DDD6C8-05C9-4B0D-9267-270409494059}"/>
    <cellStyle name="Normal 3" xfId="3" xr:uid="{BB586E4F-B8A2-4DA4-91C1-48E65E75E21C}"/>
    <cellStyle name="Normal 4" xfId="5" xr:uid="{549D2D4B-8B22-46AE-953C-BFCA564316BD}"/>
    <cellStyle name="Pourcentage" xfId="2" builtinId="5"/>
  </cellStyles>
  <dxfs count="63"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>
          <bgColor rgb="FFFCC100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>
          <bgColor rgb="FFFCC100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0C5498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rgb="FF000000"/>
          <bgColor rgb="FF35B3CE"/>
        </patternFill>
      </fill>
    </dxf>
    <dxf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rgb="FF000000"/>
          <bgColor rgb="FFFCC100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0C5498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35B3CE"/>
        </patternFill>
      </fill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CC100"/>
      <color rgb="FF0C5498"/>
      <color rgb="FF35B3CE"/>
      <color rgb="FFA4BB4A"/>
      <color rgb="FFC34945"/>
      <color rgb="FFF4973E"/>
      <color rgb="FF2A84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15</xdr:row>
          <xdr:rowOff>19050</xdr:rowOff>
        </xdr:from>
        <xdr:to>
          <xdr:col>9</xdr:col>
          <xdr:colOff>95250</xdr:colOff>
          <xdr:row>16</xdr:row>
          <xdr:rowOff>266700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15</xdr:row>
          <xdr:rowOff>9525</xdr:rowOff>
        </xdr:from>
        <xdr:to>
          <xdr:col>11</xdr:col>
          <xdr:colOff>0</xdr:colOff>
          <xdr:row>17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15</xdr:row>
          <xdr:rowOff>19050</xdr:rowOff>
        </xdr:from>
        <xdr:to>
          <xdr:col>9</xdr:col>
          <xdr:colOff>95250</xdr:colOff>
          <xdr:row>16</xdr:row>
          <xdr:rowOff>266700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15</xdr:row>
          <xdr:rowOff>9525</xdr:rowOff>
        </xdr:from>
        <xdr:to>
          <xdr:col>11</xdr:col>
          <xdr:colOff>0</xdr:colOff>
          <xdr:row>17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436418</xdr:colOff>
      <xdr:row>12</xdr:row>
      <xdr:rowOff>27709</xdr:rowOff>
    </xdr:from>
    <xdr:to>
      <xdr:col>18</xdr:col>
      <xdr:colOff>1191491</xdr:colOff>
      <xdr:row>15</xdr:row>
      <xdr:rowOff>20782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734309" y="2743200"/>
          <a:ext cx="755073" cy="533400"/>
        </a:xfrm>
        <a:prstGeom prst="roundRect">
          <a:avLst/>
        </a:prstGeom>
        <a:solidFill>
          <a:srgbClr val="0C54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#0C5498</a:t>
          </a:r>
        </a:p>
      </xdr:txBody>
    </xdr:sp>
    <xdr:clientData/>
  </xdr:twoCellAnchor>
  <xdr:twoCellAnchor>
    <xdr:from>
      <xdr:col>18</xdr:col>
      <xdr:colOff>0</xdr:colOff>
      <xdr:row>9</xdr:row>
      <xdr:rowOff>0</xdr:rowOff>
    </xdr:from>
    <xdr:to>
      <xdr:col>18</xdr:col>
      <xdr:colOff>762000</xdr:colOff>
      <xdr:row>11</xdr:row>
      <xdr:rowOff>160020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18</xdr:col>
      <xdr:colOff>0</xdr:colOff>
      <xdr:row>9</xdr:row>
      <xdr:rowOff>0</xdr:rowOff>
    </xdr:from>
    <xdr:to>
      <xdr:col>18</xdr:col>
      <xdr:colOff>762000</xdr:colOff>
      <xdr:row>11</xdr:row>
      <xdr:rowOff>160020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18</xdr:col>
      <xdr:colOff>429491</xdr:colOff>
      <xdr:row>15</xdr:row>
      <xdr:rowOff>96983</xdr:rowOff>
    </xdr:from>
    <xdr:to>
      <xdr:col>18</xdr:col>
      <xdr:colOff>1184564</xdr:colOff>
      <xdr:row>18</xdr:row>
      <xdr:rowOff>90056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727382" y="3352801"/>
          <a:ext cx="755073" cy="533400"/>
        </a:xfrm>
        <a:prstGeom prst="roundRect">
          <a:avLst/>
        </a:prstGeom>
        <a:solidFill>
          <a:srgbClr val="35B3C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#35B3CE</a:t>
          </a:r>
          <a:endParaRPr lang="fr-FR" sz="1100"/>
        </a:p>
      </xdr:txBody>
    </xdr:sp>
    <xdr:clientData/>
  </xdr:twoCellAnchor>
  <xdr:twoCellAnchor>
    <xdr:from>
      <xdr:col>18</xdr:col>
      <xdr:colOff>387926</xdr:colOff>
      <xdr:row>36</xdr:row>
      <xdr:rowOff>76201</xdr:rowOff>
    </xdr:from>
    <xdr:to>
      <xdr:col>18</xdr:col>
      <xdr:colOff>1142999</xdr:colOff>
      <xdr:row>39</xdr:row>
      <xdr:rowOff>69274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4685817" y="7114310"/>
          <a:ext cx="755073" cy="533400"/>
        </a:xfrm>
        <a:prstGeom prst="roundRect">
          <a:avLst/>
        </a:prstGeom>
        <a:solidFill>
          <a:srgbClr val="FCC1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FCC100</a:t>
          </a:r>
          <a:endParaRPr lang="fr-FR" sz="1100"/>
        </a:p>
      </xdr:txBody>
    </xdr:sp>
    <xdr:clientData/>
  </xdr:twoCellAnchor>
  <xdr:twoCellAnchor>
    <xdr:from>
      <xdr:col>18</xdr:col>
      <xdr:colOff>318654</xdr:colOff>
      <xdr:row>29</xdr:row>
      <xdr:rowOff>166257</xdr:rowOff>
    </xdr:from>
    <xdr:to>
      <xdr:col>18</xdr:col>
      <xdr:colOff>1073727</xdr:colOff>
      <xdr:row>32</xdr:row>
      <xdr:rowOff>159329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4616545" y="5943602"/>
          <a:ext cx="755073" cy="533400"/>
        </a:xfrm>
        <a:prstGeom prst="roundRect">
          <a:avLst/>
        </a:prstGeom>
        <a:solidFill>
          <a:srgbClr val="F4973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F4973E</a:t>
          </a:r>
          <a:endParaRPr lang="fr-FR" sz="1100"/>
        </a:p>
      </xdr:txBody>
    </xdr:sp>
    <xdr:clientData/>
  </xdr:twoCellAnchor>
  <xdr:twoCellAnchor>
    <xdr:from>
      <xdr:col>18</xdr:col>
      <xdr:colOff>401781</xdr:colOff>
      <xdr:row>18</xdr:row>
      <xdr:rowOff>166255</xdr:rowOff>
    </xdr:from>
    <xdr:to>
      <xdr:col>18</xdr:col>
      <xdr:colOff>1156854</xdr:colOff>
      <xdr:row>21</xdr:row>
      <xdr:rowOff>159327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4699672" y="3962400"/>
          <a:ext cx="755073" cy="533400"/>
        </a:xfrm>
        <a:prstGeom prst="roundRect">
          <a:avLst/>
        </a:prstGeom>
        <a:solidFill>
          <a:srgbClr val="2A849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2A849D</a:t>
          </a:r>
          <a:endParaRPr lang="fr-FR" sz="1100"/>
        </a:p>
      </xdr:txBody>
    </xdr:sp>
    <xdr:clientData/>
  </xdr:twoCellAnchor>
  <xdr:twoCellAnchor>
    <xdr:from>
      <xdr:col>18</xdr:col>
      <xdr:colOff>360218</xdr:colOff>
      <xdr:row>22</xdr:row>
      <xdr:rowOff>69273</xdr:rowOff>
    </xdr:from>
    <xdr:to>
      <xdr:col>18</xdr:col>
      <xdr:colOff>1115291</xdr:colOff>
      <xdr:row>25</xdr:row>
      <xdr:rowOff>62346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4658109" y="4585855"/>
          <a:ext cx="755073" cy="533400"/>
        </a:xfrm>
        <a:prstGeom prst="roundRect">
          <a:avLst/>
        </a:prstGeom>
        <a:solidFill>
          <a:srgbClr val="C3494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C34945</a:t>
          </a:r>
          <a:endParaRPr lang="fr-FR" sz="1100"/>
        </a:p>
      </xdr:txBody>
    </xdr:sp>
    <xdr:clientData/>
  </xdr:twoCellAnchor>
  <xdr:twoCellAnchor>
    <xdr:from>
      <xdr:col>18</xdr:col>
      <xdr:colOff>353291</xdr:colOff>
      <xdr:row>26</xdr:row>
      <xdr:rowOff>6929</xdr:rowOff>
    </xdr:from>
    <xdr:to>
      <xdr:col>18</xdr:col>
      <xdr:colOff>1108364</xdr:colOff>
      <xdr:row>29</xdr:row>
      <xdr:rowOff>2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4651182" y="5243947"/>
          <a:ext cx="755073" cy="533400"/>
        </a:xfrm>
        <a:prstGeom prst="roundRect">
          <a:avLst/>
        </a:prstGeom>
        <a:solidFill>
          <a:srgbClr val="A4BB4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A4BB4A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3FB0166-BF16-4479-90C8-E01BAAFC95FF}" name="Carriere" displayName="Carriere" ref="A14:H16" totalsRowCount="1" headerRowDxfId="62" dataDxfId="61" totalsRowDxfId="59" tableBorderDxfId="60">
  <autoFilter ref="A14:H15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B11E76C-1358-4D8E-9062-388C1245AE71}" name="CCN 66 ou 51" totalsRowLabel="Total" dataDxfId="58" totalsRowDxfId="21"/>
    <tableColumn id="2" xr3:uid="{8EDB74EE-3976-4FA1-B04D-941BE8C6B8C7}" name="Lieu d'emploi" dataDxfId="57" totalsRowDxfId="20"/>
    <tableColumn id="3" xr3:uid="{4AD2F048-680E-4447-B82D-D6E0A1D14BB1}" name="Poste" totalsRowDxfId="19"/>
    <tableColumn id="4" xr3:uid="{BCB813ED-9608-4ED1-9C2F-1A10D886AD3D}" name="Date début" dataDxfId="56" totalsRowDxfId="18"/>
    <tableColumn id="5" xr3:uid="{463FA0C8-0292-4637-8AF7-FDAC7237C6DC}" name="Date fin" dataDxfId="55" totalsRowDxfId="17"/>
    <tableColumn id="6" xr3:uid="{6F6FFD26-F9BC-4AF2-8FB1-F3479F281C23}" name="Jours de travail" totalsRowFunction="sum" dataDxfId="54" totalsRowDxfId="16">
      <calculatedColumnFormula>IF(OR(ISBLANK(Carriere[[#This Row],[Date début]]),ISBLANK(Carriere[[#This Row],[Date fin]])),"",(Carriere[[#This Row],[Date fin]]-Carriere[[#This Row],[Date début]]+1))</calculatedColumnFormula>
    </tableColumn>
    <tableColumn id="7" xr3:uid="{711CC4BD-3955-4D45-95C0-2706ACDDC4BC}" name="Pris en compte au 2/3" totalsRowFunction="sum" dataDxfId="53" totalsRowDxfId="15">
      <calculatedColumnFormula>IFERROR(IF($A15="non",$F15/3*2,""),"")</calculatedColumnFormula>
    </tableColumn>
    <tableColumn id="8" xr3:uid="{BA859742-E2AF-4E64-B213-92132F8947C7}" name="Pris en compte à 100%" totalsRowFunction="sum" dataDxfId="52" totalsRowDxfId="14">
      <calculatedColumnFormula>IF($A15="oui",$F15,"")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A40E99-6C11-4122-85E3-453B9E5875D5}" name="Carriere2" displayName="Carriere2" ref="A14:H16" totalsRowCount="1" headerRowDxfId="51" dataDxfId="50" totalsRowDxfId="48" tableBorderDxfId="49">
  <autoFilter ref="A14:H15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CD4739B-61AA-484A-AEC6-E9EFF3F9C264}" name="CCN 66 ou 51" totalsRowLabel="Total" dataDxfId="47" totalsRowDxfId="13"/>
    <tableColumn id="2" xr3:uid="{21BB779F-9C6F-4300-A8A1-18247F0542CC}" name="Lieu d'emploi" dataDxfId="46" totalsRowDxfId="12"/>
    <tableColumn id="3" xr3:uid="{3C9F0C61-4A51-43EE-890F-5E3F3FFFE354}" name="Poste" dataDxfId="45" totalsRowDxfId="11"/>
    <tableColumn id="4" xr3:uid="{46336651-0064-4FB0-94FC-74532245F02F}" name="Date début" dataDxfId="44" totalsRowDxfId="10"/>
    <tableColumn id="5" xr3:uid="{94CFD42D-3ADB-4229-AA32-4F5A1FF4B479}" name="Date fin" dataDxfId="43" totalsRowDxfId="9"/>
    <tableColumn id="6" xr3:uid="{735B75DD-4CA9-490C-A49C-FF46E29AF9FB}" name="Jours de travail" totalsRowFunction="sum" dataDxfId="42" totalsRowDxfId="8">
      <calculatedColumnFormula>IF(OR(ISBLANK(Carriere2[[#This Row],[Date début]]),ISBLANK(Carriere2[[#This Row],[Date fin]])),"",(Carriere2[[#This Row],[Date fin]]-Carriere2[[#This Row],[Date début]]+1))</calculatedColumnFormula>
    </tableColumn>
    <tableColumn id="7" xr3:uid="{89E9FE4C-4361-427A-AF0A-5F21B145B135}" name="Pris en compte au 2/3" totalsRowFunction="sum" dataDxfId="41" totalsRowDxfId="7">
      <calculatedColumnFormula>IFERROR(IF($A15="non",$F15/3*2,""),"")</calculatedColumnFormula>
    </tableColumn>
    <tableColumn id="8" xr3:uid="{FBC2BBC8-0942-481C-9074-61BF221625C4}" name="Pris en compte à 100%" totalsRowFunction="sum" dataDxfId="40" totalsRowDxfId="6">
      <calculatedColumnFormula>IF($A15="oui",$F15,"")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014887-007F-4F80-A871-5917D3045413}" name="Postes" displayName="Postes" ref="A1:J133" totalsRowShown="0" headerRowDxfId="39" dataDxfId="37" headerRowBorderDxfId="38" headerRowCellStyle="Normal 4">
  <autoFilter ref="A1:J133" xr:uid="{230288E1-5B2B-4DDA-BA46-7046905C5295}"/>
  <tableColumns count="10">
    <tableColumn id="1" xr3:uid="{040C2C2B-EF3B-4007-A9EC-7C03BCD99323}" name="libellé poste" dataDxfId="36" dataCellStyle="Normal 4"/>
    <tableColumn id="7" xr3:uid="{FACC1372-BE8B-4905-B207-B4B3C06EB0A7}" name="INTERNAT" dataCellStyle="Normal 4"/>
    <tableColumn id="9" xr3:uid="{81799AEA-0A63-4814-9736-C842849AFF1D}" name="CADRE" dataCellStyle="Normal 4"/>
    <tableColumn id="8" xr3:uid="{2F4D9839-50DC-4898-AB53-50340708B99B}" name="NUMERO DE GRILLE" dataCellStyle="Normal 4"/>
    <tableColumn id="2" xr3:uid="{CE2CAEDC-33FA-4AB8-B797-FAAE1982BF1C}" name="LAFORCADE" dataDxfId="35"/>
    <tableColumn id="3" xr3:uid="{D28B27DB-75A8-49DC-82F5-A9776822F09B}" name="SEGUR 2" dataDxfId="34"/>
    <tableColumn id="10" xr3:uid="{A654DBD3-6454-4DA9-B054-E5DE127CD5AD}" name="MEDECIN" dataDxfId="33" dataCellStyle="Normal 4"/>
    <tableColumn id="4" xr3:uid="{A225ADB0-036C-4B5C-A5A0-2D9308ABDE4B}" name="SOCIO EDUCATIFS" dataDxfId="32"/>
    <tableColumn id="5" xr3:uid="{F9B0CE6B-8CFE-42CE-B105-1F7D54D2751D}" name="Repos Compensateur Surveillant de Nuit" dataDxfId="31"/>
    <tableColumn id="6" xr3:uid="{9CC16B53-176C-403B-ADAA-DB7FC0D0CAC7}" name="ISP Services généraux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DBA0B30-299B-4ABA-B1BB-39A11C03D599}" name="Grille" displayName="Grille" ref="L1:O249" totalsRowShown="0" dataDxfId="29" tableBorderDxfId="28">
  <autoFilter ref="L1:O249" xr:uid="{2D457707-2D56-4A81-A364-05D4B49FF0B8}"/>
  <tableColumns count="4">
    <tableColumn id="1" xr3:uid="{93F98A2F-9CE2-4071-9F7F-8C5990C60C49}" name="NUMERO DE GRILLE" dataDxfId="27"/>
    <tableColumn id="2" xr3:uid="{91005ABE-A87C-49FA-BD89-06E43661B654}" name="ANCIENNETE" dataDxfId="26"/>
    <tableColumn id="3" xr3:uid="{0547F2E5-24E7-404F-9A41-5FD7039562FA}" name="COEFFICIENT" dataDxfId="25"/>
    <tableColumn id="4" xr3:uid="{6D98693D-6C14-40A9-A5EC-333BFD6DD9F5}" name="CORRESPONDANCE GRILLE METIER" dataDxfId="24">
      <calculatedColumnFormula array="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GRILLE]],MAX($O$1:O1)+1)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9350B97-6843-44A6-88E5-608CF3F1D26B}" name="Prime_Internat" displayName="Prime_Internat" ref="Q1:Q3" totalsRowShown="0">
  <autoFilter ref="Q1:Q3" xr:uid="{FA7D3E93-D1E8-4295-9425-8C9C30A89461}"/>
  <tableColumns count="1">
    <tableColumn id="1" xr3:uid="{5419EDE4-A127-4C40-A127-60E0C906ECC6}" name="Prime d'internat ?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9F58CA2-C1FD-49F8-897C-E6E56E2D0FBE}" name="Variables" displayName="Variables" ref="S1:T4" totalsRowShown="0" headerRowDxfId="23" headerRowCellStyle="Normal 4">
  <autoFilter ref="S1:T4" xr:uid="{99F58CA2-C1FD-49F8-897C-E6E56E2D0FBE}"/>
  <tableColumns count="2">
    <tableColumn id="1" xr3:uid="{48C4B431-3BDF-47A2-941A-FF9B1787453A}" name="Variables"/>
    <tableColumn id="2" xr3:uid="{83F97647-E5DF-4A53-ABE0-A049FF9EE7CB}" name="Valeur">
      <calculatedColumnFormula>9.21/100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7D4958-CB69-4187-85FA-C424E8A20B03}" name="Prime_CER" displayName="Prime_CER" ref="Z1:Z3" totalsRowShown="0">
  <autoFilter ref="Z1:Z3" xr:uid="{7B7D4958-CB69-4187-85FA-C424E8A20B03}"/>
  <tableColumns count="1">
    <tableColumn id="1" xr3:uid="{E1360247-52D3-4A0F-9DA6-D2F3F74FD445}" name="Prime CER CEF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19183E3-DB79-4B88-8E96-85218FEB21D6}" name="CCN66_OU_51" displayName="CCN66_OU_51" ref="V1:V3" totalsRowShown="0" headerRowDxfId="22" headerRowCellStyle="Normal 4">
  <autoFilter ref="V1:V3" xr:uid="{719183E3-DB79-4B88-8E96-85218FEB21D6}"/>
  <tableColumns count="1">
    <tableColumn id="1" xr3:uid="{47BB4178-EFBE-400C-AD5E-11CE51B842DB}" name="CCN66 ou 51 ?"/>
  </tableColumns>
  <tableStyleInfo name="TableStyleMedium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Texture grunge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67000"/>
                <a:shade val="65000"/>
              </a:schemeClr>
              <a:schemeClr val="phClr">
                <a:tint val="10000"/>
                <a:satMod val="130000"/>
              </a:schemeClr>
            </a:duotone>
          </a:blip>
          <a:tile tx="0" ty="0" sx="60000" sy="59000" flip="none" algn="b"/>
        </a:blipFill>
        <a:blipFill rotWithShape="1">
          <a:blip xmlns:r="http://schemas.openxmlformats.org/officeDocument/2006/relationships" r:embed="rId1">
            <a:duotone>
              <a:schemeClr val="phClr">
                <a:shade val="30000"/>
                <a:satMod val="115000"/>
              </a:schemeClr>
              <a:schemeClr val="phClr">
                <a:tint val="34000"/>
              </a:schemeClr>
            </a:duotone>
          </a:blip>
          <a:tile tx="0" ty="0" sx="60000" sy="59000" flip="none" algn="b"/>
        </a:blipFill>
      </a:fillStyleLst>
      <a:lnStyleLst>
        <a:ln w="6350" cap="flat" cmpd="sng" algn="ctr">
          <a:solidFill>
            <a:schemeClr val="phClr">
              <a:tint val="7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softEdge rad="12700"/>
          </a:effectLst>
        </a:effectStyle>
        <a:effectStyle>
          <a:effectLst>
            <a:outerShdw blurRad="50800" dist="19050" dir="5400000" algn="tl" rotWithShape="0">
              <a:srgbClr val="000000">
                <a:alpha val="60000"/>
              </a:srgbClr>
            </a:outerShdw>
            <a:softEdge rad="12700"/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tabColor rgb="FFFF0000"/>
    <pageSetUpPr fitToPage="1"/>
  </sheetPr>
  <dimension ref="A1:K78"/>
  <sheetViews>
    <sheetView showGridLines="0" showZeros="0" zoomScaleNormal="100" workbookViewId="0">
      <selection activeCell="A16" sqref="A16"/>
    </sheetView>
  </sheetViews>
  <sheetFormatPr baseColWidth="10" defaultColWidth="11.42578125" defaultRowHeight="12.75" x14ac:dyDescent="0.2"/>
  <cols>
    <col min="1" max="1" width="11.28515625" customWidth="1"/>
    <col min="2" max="2" width="36.42578125" customWidth="1"/>
    <col min="3" max="3" width="50.28515625" customWidth="1"/>
    <col min="4" max="4" width="13" customWidth="1"/>
    <col min="5" max="5" width="14.5703125" customWidth="1"/>
    <col min="6" max="6" width="21.28515625" customWidth="1"/>
    <col min="7" max="7" width="13.7109375" customWidth="1"/>
    <col min="8" max="8" width="14" customWidth="1"/>
    <col min="10" max="10" width="12.5703125" customWidth="1"/>
    <col min="11" max="11" width="10.7109375" customWidth="1"/>
  </cols>
  <sheetData>
    <row r="1" spans="1:8" ht="30" x14ac:dyDescent="0.2">
      <c r="A1" s="70" t="s">
        <v>0</v>
      </c>
      <c r="B1" s="70"/>
      <c r="C1" s="70"/>
      <c r="D1" s="70"/>
      <c r="E1" s="70"/>
      <c r="F1" s="70"/>
      <c r="G1" s="70"/>
      <c r="H1" s="70"/>
    </row>
    <row r="2" spans="1:8" x14ac:dyDescent="0.2">
      <c r="B2" s="1"/>
      <c r="C2" s="1"/>
      <c r="D2" s="1"/>
      <c r="E2" s="1"/>
      <c r="F2" s="1"/>
      <c r="G2" s="1"/>
    </row>
    <row r="3" spans="1:8" ht="18" x14ac:dyDescent="0.2">
      <c r="A3" s="71"/>
      <c r="B3" s="71"/>
      <c r="C3" s="71"/>
      <c r="D3" s="71"/>
      <c r="E3" s="71"/>
      <c r="F3" s="71"/>
      <c r="G3" s="71"/>
      <c r="H3" s="71"/>
    </row>
    <row r="4" spans="1:8" x14ac:dyDescent="0.2">
      <c r="B4" s="1"/>
      <c r="C4" s="1"/>
      <c r="D4" s="1"/>
      <c r="E4" s="1"/>
      <c r="F4" s="1"/>
      <c r="G4" s="1"/>
    </row>
    <row r="5" spans="1:8" ht="18.75" customHeight="1" x14ac:dyDescent="0.2">
      <c r="A5" s="72" t="s">
        <v>1</v>
      </c>
      <c r="B5" s="72"/>
      <c r="C5" s="72"/>
      <c r="D5" s="72"/>
      <c r="E5" s="72"/>
      <c r="F5" s="72"/>
      <c r="G5" s="72"/>
      <c r="H5" s="72"/>
    </row>
    <row r="6" spans="1:8" x14ac:dyDescent="0.2">
      <c r="B6" s="2"/>
      <c r="C6" s="2"/>
      <c r="D6" s="2"/>
      <c r="E6" s="2"/>
      <c r="F6" s="2"/>
      <c r="G6" s="1"/>
    </row>
    <row r="7" spans="1:8" ht="13.5" x14ac:dyDescent="0.2">
      <c r="B7" s="29" t="s">
        <v>2</v>
      </c>
      <c r="C7" s="58"/>
    </row>
    <row r="8" spans="1:8" ht="13.5" x14ac:dyDescent="0.2">
      <c r="B8" s="29" t="s">
        <v>3</v>
      </c>
      <c r="C8" s="67"/>
    </row>
    <row r="9" spans="1:8" ht="27" customHeight="1" x14ac:dyDescent="0.2">
      <c r="B9" s="29" t="s">
        <v>4</v>
      </c>
      <c r="C9" s="55" t="s">
        <v>47</v>
      </c>
    </row>
    <row r="10" spans="1:8" ht="13.5" x14ac:dyDescent="0.2">
      <c r="B10" s="29" t="s">
        <v>6</v>
      </c>
      <c r="C10" s="55" t="s">
        <v>43</v>
      </c>
    </row>
    <row r="11" spans="1:8" x14ac:dyDescent="0.2">
      <c r="B11" s="3"/>
      <c r="C11" s="3"/>
      <c r="D11" s="1"/>
      <c r="E11" s="5"/>
      <c r="F11" s="1"/>
      <c r="G11" s="1"/>
    </row>
    <row r="12" spans="1:8" ht="15" x14ac:dyDescent="0.2">
      <c r="A12" s="73" t="s">
        <v>7</v>
      </c>
      <c r="B12" s="73"/>
      <c r="C12" s="73"/>
      <c r="D12" s="73"/>
      <c r="E12" s="73"/>
      <c r="F12" s="73"/>
      <c r="G12" s="73"/>
      <c r="H12" s="73"/>
    </row>
    <row r="13" spans="1:8" x14ac:dyDescent="0.2">
      <c r="B13" s="1"/>
      <c r="C13" s="1"/>
      <c r="D13" s="1"/>
      <c r="E13" s="1"/>
      <c r="F13" s="1"/>
      <c r="G13" s="1"/>
    </row>
    <row r="14" spans="1:8" ht="38.25" x14ac:dyDescent="0.2">
      <c r="A14" s="43" t="s">
        <v>8</v>
      </c>
      <c r="B14" s="47" t="s">
        <v>9</v>
      </c>
      <c r="C14" s="47" t="s">
        <v>10</v>
      </c>
      <c r="D14" s="47" t="s">
        <v>11</v>
      </c>
      <c r="E14" s="43" t="s">
        <v>12</v>
      </c>
      <c r="F14" s="47" t="s">
        <v>13</v>
      </c>
      <c r="G14" s="43" t="s">
        <v>14</v>
      </c>
      <c r="H14" s="48" t="s">
        <v>15</v>
      </c>
    </row>
    <row r="15" spans="1:8" ht="21" customHeight="1" x14ac:dyDescent="0.2">
      <c r="A15" s="54"/>
      <c r="B15" s="63"/>
      <c r="C15" s="63"/>
      <c r="D15" s="45"/>
      <c r="E15" s="59"/>
      <c r="F15" s="46" t="str">
        <f>IF(OR(ISBLANK(Carriere[[#This Row],[Date début]]),ISBLANK(Carriere[[#This Row],[Date fin]])),"",(Carriere[[#This Row],[Date fin]]-Carriere[[#This Row],[Date début]]+1))</f>
        <v/>
      </c>
      <c r="G15" s="60" t="str">
        <f t="shared" ref="G15" si="0">IFERROR(IF($A15="non",$F15/3*2,""),"")</f>
        <v/>
      </c>
      <c r="H15" s="60" t="str">
        <f t="shared" ref="H15" si="1">IF($A15="oui",$F15,"")</f>
        <v/>
      </c>
    </row>
    <row r="16" spans="1:8" ht="21" customHeight="1" x14ac:dyDescent="0.2">
      <c r="A16" s="44" t="s">
        <v>17</v>
      </c>
      <c r="B16" s="49"/>
      <c r="C16" s="50"/>
      <c r="D16" s="50"/>
      <c r="E16" s="44"/>
      <c r="F16" s="51">
        <f>SUBTOTAL(109,Carriere[Jours de travail])</f>
        <v>0</v>
      </c>
      <c r="G16" s="52">
        <f>SUBTOTAL(109,Carriere[Pris en compte au 2/3])</f>
        <v>0</v>
      </c>
      <c r="H16" s="53">
        <f>SUBTOTAL(109,Carriere[Pris en compte à 100%])</f>
        <v>0</v>
      </c>
    </row>
    <row r="17" spans="1:11" ht="21" customHeight="1" x14ac:dyDescent="0.25">
      <c r="A17" s="31"/>
      <c r="B17" s="30"/>
      <c r="C17" s="30"/>
      <c r="D17" s="30"/>
      <c r="E17" s="30"/>
      <c r="F17" s="42"/>
      <c r="G17" s="32"/>
      <c r="H17" s="41"/>
    </row>
    <row r="18" spans="1:11" ht="21" customHeight="1" x14ac:dyDescent="0.2">
      <c r="A18" s="73" t="s">
        <v>18</v>
      </c>
      <c r="B18" s="73"/>
      <c r="C18" s="73"/>
      <c r="D18" s="73"/>
      <c r="E18" s="73"/>
      <c r="F18" s="73"/>
      <c r="G18" s="73"/>
      <c r="H18" s="73"/>
    </row>
    <row r="19" spans="1:11" x14ac:dyDescent="0.2">
      <c r="A19" s="1"/>
      <c r="B19" s="1"/>
      <c r="C19" s="1"/>
      <c r="D19" s="1"/>
      <c r="E19" s="1"/>
      <c r="F19" s="1"/>
      <c r="G19" s="1"/>
      <c r="H19" s="1"/>
    </row>
    <row r="20" spans="1:11" s="1" customFormat="1" ht="13.5" x14ac:dyDescent="0.2">
      <c r="B20" s="35" t="s">
        <v>19</v>
      </c>
      <c r="C20" s="56"/>
      <c r="E20" s="7"/>
      <c r="G20" s="7"/>
      <c r="I20"/>
      <c r="J20"/>
      <c r="K20"/>
    </row>
    <row r="21" spans="1:11" s="1" customFormat="1" ht="13.5" x14ac:dyDescent="0.2">
      <c r="B21" s="35"/>
      <c r="C21" s="38"/>
      <c r="E21" s="7"/>
      <c r="I21"/>
      <c r="J21"/>
      <c r="K21"/>
    </row>
    <row r="22" spans="1:11" s="1" customFormat="1" ht="14.25" thickBot="1" x14ac:dyDescent="0.25">
      <c r="B22" s="35" t="s">
        <v>20</v>
      </c>
      <c r="C22" s="62">
        <f>Date_Entree_Sauvegarde-Carriere[[#Totals],[Pris en compte au 2/3]]-Carriere[[#Totals],[Pris en compte à 100%]]-IFERROR(IF(SEARCH("INFIRMIER",Metier,1),365,0),0)</f>
        <v>0</v>
      </c>
      <c r="D22" s="64" t="s">
        <v>21</v>
      </c>
      <c r="E22" s="7"/>
      <c r="I22" s="6"/>
      <c r="J22"/>
      <c r="K22"/>
    </row>
    <row r="23" spans="1:11" s="1" customFormat="1" ht="15" thickTop="1" thickBot="1" x14ac:dyDescent="0.25">
      <c r="B23" s="35" t="s">
        <v>22</v>
      </c>
      <c r="C23" s="61" t="str">
        <f>IF(ISBLANK(B30),"",B30)</f>
        <v/>
      </c>
      <c r="G23" s="57"/>
      <c r="I23"/>
      <c r="J23"/>
      <c r="K23"/>
    </row>
    <row r="24" spans="1:11" s="1" customFormat="1" ht="15" thickTop="1" thickBot="1" x14ac:dyDescent="0.25">
      <c r="B24" s="35" t="s">
        <v>23</v>
      </c>
      <c r="C24" s="61" t="str">
        <f>IFERROR(INDEX(Tableau_remuneration,MATCH(Date_Debut_Anciennete+Carriere[[#Totals],[Pris en compte au 2/3]]+Carriere[[#Totals],[Pris en compte à 100%]]+IFERROR(IF(SEARCH("INFIRMIER",Metier,1),365,0),0),A29:A52,1),2),"")</f>
        <v/>
      </c>
      <c r="D24" s="8"/>
      <c r="F24" s="9"/>
    </row>
    <row r="25" spans="1:11" s="1" customFormat="1" ht="14.25" thickTop="1" x14ac:dyDescent="0.2">
      <c r="B25" s="35"/>
      <c r="C25" s="39"/>
      <c r="F25" s="10"/>
    </row>
    <row r="26" spans="1:11" s="1" customFormat="1" ht="14.25" thickBot="1" x14ac:dyDescent="0.25">
      <c r="B26" s="36" t="s">
        <v>24</v>
      </c>
      <c r="C26" s="62" t="str">
        <f>IFERROR(DATE(YEAR(INDEX($A$30:$C$52,MATCH(Date_Debut_Anciennete+Carriere[[#Totals],[Pris en compte au 2/3]]+Carriere[[#Totals],[Pris en compte à 100%]]+IFERROR(IF(SEARCH("INFIRMIER",Metier,1),365,0),0),$A$30:$A$52,1),1))+INDEX($A$30:$C$52,MATCH(INDEX($A$30:$C$52,MATCH(Date_Debut_Anciennete+Carriere[[#Totals],[Pris en compte au 2/3]]+Carriere[[#Totals],[Pris en compte à 100%]]+IFERROR(IF(SEARCH("INFIRMIER",Metier,1),365,0),0),$A$30:$A$52,1),1),$A$30:$A$39,0),3),MONTH(INDEX($A$30:$C$52,MATCH(Date_Debut_Anciennete+Carriere[[#Totals],[Pris en compte au 2/3]]+Carriere[[#Totals],[Pris en compte à 100%]]+IFERROR(IF(SEARCH("INFIRMIER",Metier,1),365,0),0),$A$30:$A$52,1),1)),DAY(INDEX($A$30:$C$52,MATCH(Date_Debut_Anciennete+Carriere[[#Totals],[Pris en compte au 2/3]]+Carriere[[#Totals],[Pris en compte à 100%]],$A$30:$A$52,1),1))),"")</f>
        <v/>
      </c>
    </row>
    <row r="27" spans="1:11" s="1" customFormat="1" ht="15" thickTop="1" thickBot="1" x14ac:dyDescent="0.25">
      <c r="B27" s="37" t="s">
        <v>25</v>
      </c>
      <c r="C27" s="61" t="str">
        <f>DATEDIF(Date_Debut_Anciennete,Date_Entree_Sauvegarde,"y")&amp;" ans, "&amp;DATEDIF(Date_Debut_Anciennete,Date_Entree_Sauvegarde,"ym")&amp;" mois et "&amp;DATEDIF(Date_Debut_Anciennete,Date_Entree_Sauvegarde,"md")&amp;" jours"</f>
        <v>0 ans, 0 mois et 0 jours</v>
      </c>
    </row>
    <row r="28" spans="1:11" s="1" customFormat="1" ht="13.5" thickTop="1" x14ac:dyDescent="0.2">
      <c r="C28" s="66" t="str">
        <f>"de début"</f>
        <v>de début</v>
      </c>
    </row>
    <row r="29" spans="1:11" s="1" customFormat="1" ht="49.5" x14ac:dyDescent="0.2">
      <c r="A29" s="40" t="s">
        <v>26</v>
      </c>
      <c r="B29" s="40" t="s">
        <v>27</v>
      </c>
      <c r="C29" s="40" t="s">
        <v>28</v>
      </c>
      <c r="D29" s="40" t="s">
        <v>29</v>
      </c>
      <c r="E29"/>
    </row>
    <row r="30" spans="1:11" ht="13.5" x14ac:dyDescent="0.25">
      <c r="A30" s="33" t="str">
        <f>IF(ISNUMBER(B30),DATE(YEAR(C22),MONTH($C$22),1),"")</f>
        <v/>
      </c>
      <c r="B30" s="34" t="str">
        <f>IFERROR(INDEX(Grille[],MATCH(ROW(A1),Grille[CORRESPONDANCE GRILLE METIER],0),3),"")</f>
        <v/>
      </c>
      <c r="C30" s="34" t="str">
        <f>IFERROR(INDEX(Grille[],MATCH(ROW(A2),Grille[CORRESPONDANCE GRILLE METIER],0),2),"")</f>
        <v/>
      </c>
      <c r="D30" s="34" t="str">
        <f>IF(ISNUMBER($A$30),"de début","")</f>
        <v/>
      </c>
      <c r="E30" s="9" t="str">
        <f>IFERROR(IF(INDEX($A$30:$C$52,MATCH(Date_Debut_Anciennete+Carriere[[#Totals],[Pris en compte au 2/3]]+Carriere[[#Totals],[Pris en compte à 100%]]+IFERROR(IF(SEARCH("INFIRMIER",Metier,1),365,0),0),$A$30:$A$52,1),1)=$A30,"SALAIRE ET COEFFICIENT RETENU",""),"")</f>
        <v/>
      </c>
      <c r="F30" s="57"/>
      <c r="G30" s="1"/>
      <c r="H30" s="1"/>
    </row>
    <row r="31" spans="1:11" ht="13.5" x14ac:dyDescent="0.25">
      <c r="A31" s="33" t="str">
        <f t="shared" ref="A31:A72" si="2">IF(ISNUMBER(B31),DATE(YEAR(A30)+C30,MONTH($C$22),1),"")</f>
        <v/>
      </c>
      <c r="B31" s="34" t="str">
        <f>IFERROR(INDEX(Grille[],MATCH(ROW(A2),Grille[CORRESPONDANCE GRILLE METIER],0),3),"")</f>
        <v/>
      </c>
      <c r="C31" s="34" t="str">
        <f>IFERROR(INDEX(Grille[],MATCH(ROW(A3),Grille[CORRESPONDANCE GRILLE METIER],0),2)-SUM($C$30:C30),"")</f>
        <v/>
      </c>
      <c r="D31" s="65" t="str">
        <f>C30</f>
        <v/>
      </c>
      <c r="E31" s="9" t="str">
        <f>IFERROR(IF(INDEX($A$30:$C$52,MATCH(Date_Debut_Anciennete+Carriere[[#Totals],[Pris en compte au 2/3]]+Carriere[[#Totals],[Pris en compte à 100%]]+IFERROR(IF(SEARCH("INFIRMIER",Metier,1),365,0),0),$A$30:$A$52,1),1)=$A31,"SALAIRE ET COEFFICIENT RETENU",""),"")</f>
        <v/>
      </c>
      <c r="F31" s="1"/>
      <c r="G31" s="1"/>
      <c r="H31" s="1"/>
    </row>
    <row r="32" spans="1:11" ht="13.5" x14ac:dyDescent="0.25">
      <c r="A32" s="33" t="str">
        <f t="shared" si="2"/>
        <v/>
      </c>
      <c r="B32" s="34" t="str">
        <f>IFERROR(INDEX(Grille[],MATCH(ROW(A3),Grille[CORRESPONDANCE GRILLE METIER],0),3),"")</f>
        <v/>
      </c>
      <c r="C32" s="34" t="str">
        <f>IFERROR(INDEX(Grille[],MATCH(ROW(A4),Grille[CORRESPONDANCE GRILLE METIER],0),2)-SUM($C$30:C31),"")</f>
        <v/>
      </c>
      <c r="D32" s="65" t="str">
        <f>IF(C31="","",(SUM($C$30:C31)))</f>
        <v/>
      </c>
      <c r="E32" s="9" t="str">
        <f>IFERROR(IF(INDEX($A$30:$C$52,MATCH(Date_Debut_Anciennete+Carriere[[#Totals],[Pris en compte au 2/3]]+Carriere[[#Totals],[Pris en compte à 100%]]+IFERROR(IF(SEARCH("INFIRMIER",Metier,1),365,0),0),$A$30:$A$52,1),1)=$A32,"SALAIRE ET COEFFICIENT RETENU",""),"")</f>
        <v/>
      </c>
      <c r="F32" s="1"/>
      <c r="G32" s="1"/>
      <c r="H32" s="1"/>
    </row>
    <row r="33" spans="1:9" ht="13.5" x14ac:dyDescent="0.25">
      <c r="A33" s="33" t="str">
        <f t="shared" si="2"/>
        <v/>
      </c>
      <c r="B33" s="34" t="str">
        <f>IFERROR(INDEX(Grille[],MATCH(ROW(A4),Grille[CORRESPONDANCE GRILLE METIER],0),3),"")</f>
        <v/>
      </c>
      <c r="C33" s="34" t="str">
        <f>IFERROR(INDEX(Grille[],MATCH(ROW(A5),Grille[CORRESPONDANCE GRILLE METIER],0),2)-SUM($C$30:C32),"")</f>
        <v/>
      </c>
      <c r="D33" s="65" t="str">
        <f>IF(C32="","",(SUM($C$30:C32)))</f>
        <v/>
      </c>
      <c r="E33" s="9" t="str">
        <f>IFERROR(IF(INDEX($A$30:$C$52,MATCH(Date_Debut_Anciennete+Carriere[[#Totals],[Pris en compte au 2/3]]+Carriere[[#Totals],[Pris en compte à 100%]]+IFERROR(IF(SEARCH("INFIRMIER",Metier,1),365,0),0),$A$30:$A$52,1),1)=$A33,"SALAIRE ET COEFFICIENT RETENU",""),"")</f>
        <v/>
      </c>
      <c r="F33" s="1"/>
      <c r="G33" s="1"/>
      <c r="H33" s="1"/>
    </row>
    <row r="34" spans="1:9" ht="13.5" x14ac:dyDescent="0.25">
      <c r="A34" s="33" t="str">
        <f t="shared" si="2"/>
        <v/>
      </c>
      <c r="B34" s="34" t="str">
        <f>IFERROR(INDEX(Grille[],MATCH(ROW(A5),Grille[CORRESPONDANCE GRILLE METIER],0),3),"")</f>
        <v/>
      </c>
      <c r="C34" s="34" t="str">
        <f>IFERROR(INDEX(Grille[],MATCH(ROW(A6),Grille[CORRESPONDANCE GRILLE METIER],0),2)-SUM($C$30:C33),"")</f>
        <v/>
      </c>
      <c r="D34" s="65" t="str">
        <f>IF(C33="","",(SUM($C$30:C33)))</f>
        <v/>
      </c>
      <c r="E34" s="9" t="str">
        <f>IFERROR(IF(INDEX($A$30:$C$52,MATCH(Date_Debut_Anciennete+Carriere[[#Totals],[Pris en compte au 2/3]]+Carriere[[#Totals],[Pris en compte à 100%]]+IFERROR(IF(SEARCH("INFIRMIER",Metier,1),365,0),0),$A$30:$A$52,1),1)=$A34,"SALAIRE ET COEFFICIENT RETENU",""),"")</f>
        <v/>
      </c>
      <c r="F34" s="57"/>
      <c r="G34" s="1"/>
    </row>
    <row r="35" spans="1:9" ht="13.5" x14ac:dyDescent="0.25">
      <c r="A35" s="33" t="str">
        <f t="shared" si="2"/>
        <v/>
      </c>
      <c r="B35" s="34" t="str">
        <f>IFERROR(INDEX(Grille[],MATCH(ROW(A6),Grille[CORRESPONDANCE GRILLE METIER],0),3),"")</f>
        <v/>
      </c>
      <c r="C35" s="34" t="str">
        <f>IFERROR(INDEX(Grille[],MATCH(ROW(A7),Grille[CORRESPONDANCE GRILLE METIER],0),2)-SUM($C$30:C34),"")</f>
        <v/>
      </c>
      <c r="D35" s="65" t="str">
        <f>IF(C34="","",(SUM($C$30:C34)))</f>
        <v/>
      </c>
      <c r="E35" s="9" t="str">
        <f>IFERROR(IF(INDEX($A$30:$C$52,MATCH(Date_Debut_Anciennete+Carriere[[#Totals],[Pris en compte au 2/3]]+Carriere[[#Totals],[Pris en compte à 100%]]+IFERROR(IF(SEARCH("INFIRMIER",Metier,1),365,0),0),$A$30:$A$52,1),1)=$A35,"SALAIRE ET COEFFICIENT RETENU",""),"")</f>
        <v/>
      </c>
      <c r="F35" s="1"/>
      <c r="G35" s="1"/>
    </row>
    <row r="36" spans="1:9" ht="13.5" x14ac:dyDescent="0.25">
      <c r="A36" s="33" t="str">
        <f t="shared" si="2"/>
        <v/>
      </c>
      <c r="B36" s="34" t="str">
        <f>IFERROR(INDEX(Grille[],MATCH(ROW(A7),Grille[CORRESPONDANCE GRILLE METIER],0),3),"")</f>
        <v/>
      </c>
      <c r="C36" s="34" t="str">
        <f>IFERROR(INDEX(Grille[],MATCH(ROW(A8),Grille[CORRESPONDANCE GRILLE METIER],0),2)-SUM($C$30:C35),"")</f>
        <v/>
      </c>
      <c r="D36" s="65" t="str">
        <f>IF(C35="","",(SUM($C$30:C35)))</f>
        <v/>
      </c>
      <c r="E36" s="9" t="str">
        <f>IFERROR(IF(INDEX($A$30:$C$52,MATCH(Date_Debut_Anciennete+Carriere[[#Totals],[Pris en compte au 2/3]]+Carriere[[#Totals],[Pris en compte à 100%]]+IFERROR(IF(SEARCH("INFIRMIER",Metier,1),365,0),0),$A$30:$A$52,1),1)=$A36,"SALAIRE ET COEFFICIENT RETENU",""),"")</f>
        <v/>
      </c>
      <c r="F36" s="1"/>
      <c r="G36" s="1"/>
    </row>
    <row r="37" spans="1:9" ht="13.5" x14ac:dyDescent="0.25">
      <c r="A37" s="33" t="str">
        <f t="shared" si="2"/>
        <v/>
      </c>
      <c r="B37" s="34" t="str">
        <f>IFERROR(INDEX(Grille[],MATCH(ROW(A8),Grille[CORRESPONDANCE GRILLE METIER],0),3),"")</f>
        <v/>
      </c>
      <c r="C37" s="34" t="str">
        <f>IFERROR(INDEX(Grille[],MATCH(ROW(A9),Grille[CORRESPONDANCE GRILLE METIER],0),2)-SUM($C$30:C36),"")</f>
        <v/>
      </c>
      <c r="D37" s="65" t="str">
        <f>IF(C36="","",(SUM($C$30:C36)))</f>
        <v/>
      </c>
      <c r="E37" s="9" t="str">
        <f>IFERROR(IF(INDEX($A$30:$C$52,MATCH(Date_Debut_Anciennete+Carriere[[#Totals],[Pris en compte au 2/3]]+Carriere[[#Totals],[Pris en compte à 100%]]+IFERROR(IF(SEARCH("INFIRMIER",Metier,1),365,0),0),$A$30:$A$52,1),1)=$A37,"SALAIRE ET COEFFICIENT RETENU",""),"")</f>
        <v/>
      </c>
      <c r="F37" s="1"/>
      <c r="G37" s="1"/>
    </row>
    <row r="38" spans="1:9" ht="13.5" x14ac:dyDescent="0.25">
      <c r="A38" s="33" t="str">
        <f t="shared" si="2"/>
        <v/>
      </c>
      <c r="B38" s="34" t="str">
        <f>IFERROR(INDEX(Grille[],MATCH(ROW(A9),Grille[CORRESPONDANCE GRILLE METIER],0),3),"")</f>
        <v/>
      </c>
      <c r="C38" s="34" t="str">
        <f>IFERROR(INDEX(Grille[],MATCH(ROW(A10),Grille[CORRESPONDANCE GRILLE METIER],0),2)-SUM($C$30:C37),"")</f>
        <v/>
      </c>
      <c r="D38" s="65" t="str">
        <f>IF(C37="","",(SUM($C$30:C37)))</f>
        <v/>
      </c>
      <c r="E38" s="9" t="str">
        <f>IFERROR(IF(INDEX($A$30:$C$52,MATCH(Date_Debut_Anciennete+Carriere[[#Totals],[Pris en compte au 2/3]]+Carriere[[#Totals],[Pris en compte à 100%]]+IFERROR(IF(SEARCH("INFIRMIER",Metier,1),365,0),0),$A$30:$A$52,1),1)=$A38,"SALAIRE ET COEFFICIENT RETENU",""),"")</f>
        <v/>
      </c>
      <c r="F38" s="57"/>
      <c r="G38" s="1"/>
    </row>
    <row r="39" spans="1:9" ht="13.5" x14ac:dyDescent="0.25">
      <c r="A39" s="33" t="str">
        <f t="shared" si="2"/>
        <v/>
      </c>
      <c r="B39" s="34" t="str">
        <f>IFERROR(INDEX(Grille[],MATCH(ROW(A10),Grille[CORRESPONDANCE GRILLE METIER],0),3),"")</f>
        <v/>
      </c>
      <c r="C39" s="34" t="str">
        <f>IFERROR(INDEX(Grille[],MATCH(ROW(A11),Grille[CORRESPONDANCE GRILLE METIER],0),2)-SUM($C$30:C38),"")</f>
        <v/>
      </c>
      <c r="D39" s="65" t="str">
        <f>IF(C38="","",(SUM($C$30:C38)))</f>
        <v/>
      </c>
      <c r="E39" s="9" t="str">
        <f>IFERROR(IF(INDEX($A$30:$C$52,MATCH(Date_Debut_Anciennete+Carriere[[#Totals],[Pris en compte au 2/3]]+Carriere[[#Totals],[Pris en compte à 100%]]+IFERROR(IF(SEARCH("INFIRMIER",Metier,1),365,0),0),$A$30:$A$52,1),1)=$A39,"SALAIRE ET COEFFICIENT RETENU",""),"")</f>
        <v/>
      </c>
      <c r="F39" s="1"/>
      <c r="G39" s="1"/>
    </row>
    <row r="40" spans="1:9" ht="13.5" x14ac:dyDescent="0.25">
      <c r="A40" s="33" t="str">
        <f t="shared" si="2"/>
        <v/>
      </c>
      <c r="B40" s="34" t="str">
        <f>IFERROR(INDEX(Grille[],MATCH(ROW(A11),Grille[CORRESPONDANCE GRILLE METIER],0),3),"")</f>
        <v/>
      </c>
      <c r="C40" s="34" t="str">
        <f>IFERROR(INDEX(Grille[],MATCH(ROW(A12),Grille[CORRESPONDANCE GRILLE METIER],0),2)-SUM($C$30:C39),"")</f>
        <v/>
      </c>
      <c r="D40" s="65" t="str">
        <f>IF(C39="","",(SUM($C$30:C39)))</f>
        <v/>
      </c>
      <c r="E40" s="9" t="str">
        <f>IFERROR(IF(INDEX($A$30:$C$52,MATCH(Date_Debut_Anciennete+Carriere[[#Totals],[Pris en compte au 2/3]]+Carriere[[#Totals],[Pris en compte à 100%]]+IFERROR(IF(SEARCH("INFIRMIER",Metier,1),365,0),0),$A$30:$A$52,1),1)=$A40,"SALAIRE ET COEFFICIENT RETENU",""),"")</f>
        <v/>
      </c>
      <c r="F40" s="1"/>
      <c r="G40" s="1"/>
    </row>
    <row r="41" spans="1:9" ht="13.5" x14ac:dyDescent="0.25">
      <c r="A41" s="33" t="str">
        <f t="shared" si="2"/>
        <v/>
      </c>
      <c r="B41" s="34" t="str">
        <f>IFERROR(INDEX(Grille[],MATCH(ROW(A12),Grille[CORRESPONDANCE GRILLE METIER],0),3),"")</f>
        <v/>
      </c>
      <c r="C41" s="34" t="str">
        <f>IFERROR(INDEX(Grille[],MATCH(ROW(A13),Grille[CORRESPONDANCE GRILLE METIER],0),2)-SUM($C$30:C40),"")</f>
        <v/>
      </c>
      <c r="D41" s="65" t="str">
        <f>IF(C40="","",(SUM($C$30:C40)))</f>
        <v/>
      </c>
      <c r="E41" s="9" t="str">
        <f>IFERROR(IF(INDEX($A$30:$C$52,MATCH(Date_Debut_Anciennete+Carriere[[#Totals],[Pris en compte au 2/3]]+Carriere[[#Totals],[Pris en compte à 100%]]+IFERROR(IF(SEARCH("INFIRMIER",Metier,1),365,0),0),$A$30:$A$52,1),1)=$A41,"SALAIRE ET COEFFICIENT RETENU",""),"")</f>
        <v/>
      </c>
      <c r="F41" s="1"/>
      <c r="G41" s="1"/>
    </row>
    <row r="42" spans="1:9" ht="13.5" x14ac:dyDescent="0.25">
      <c r="A42" s="33" t="str">
        <f t="shared" si="2"/>
        <v/>
      </c>
      <c r="B42" s="34" t="str">
        <f>IFERROR(INDEX(Grille[],MATCH(ROW(A13),Grille[CORRESPONDANCE GRILLE METIER],0),3),"")</f>
        <v/>
      </c>
      <c r="C42" s="34" t="str">
        <f>IFERROR(INDEX(Grille[],MATCH(ROW(A14),Grille[CORRESPONDANCE GRILLE METIER],0),2)-SUM($C$30:C41),"")</f>
        <v/>
      </c>
      <c r="D42" s="65" t="str">
        <f>IF(C41="","",(SUM($C$30:C41)))</f>
        <v/>
      </c>
      <c r="E42" s="9" t="str">
        <f>IF(ISNUMBER(B42),(B42*Valeur_du_Point*Temps_travail_hebdo/35+IF(INDEX(Postes[CADRE],MATCH(Metier,Postes[libellé poste],0),1)=TRUE,0,B42*Valeur_du_Point*Taux_ISSP*Temps_travail_hebdo/35)+ISSUPL*Valeur_du_Point+IF(INDEX(Postes[ISP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2" s="28" t="str">
        <f t="shared" ref="F42:F68" si="3">IF(ISNUMBER(E42),E42/12,"")</f>
        <v/>
      </c>
      <c r="G42" s="28" t="str">
        <f t="shared" ref="G42:G72" si="4">IF(ISNUMBER(B42),(F42-AN)*0.77,"")</f>
        <v/>
      </c>
      <c r="H42" s="4" t="str">
        <f>IFERROR(IF(INDEX($A$30:$C$52,MATCH(Date_Debut_Anciennete+Carriere[[#Totals],[Pris en compte au 2/3]]+Carriere[[#Totals],[Pris en compte à 100%]]+IFERROR(IF(SEARCH("INFIRMIER",Metier,1),365,0),0),$A$30:$A$52,1),1)=$A42,"SALAIRE ET COEFFICIENT RETENU",""),"")</f>
        <v/>
      </c>
    </row>
    <row r="43" spans="1:9" ht="13.5" x14ac:dyDescent="0.25">
      <c r="A43" s="33" t="str">
        <f t="shared" si="2"/>
        <v/>
      </c>
      <c r="B43" s="12" t="str">
        <f>IFERROR(INDEX(Grille[],MATCH(ROW(A13),Grille[CORRESPONDANCE GRILLE METIER],0),3),"")</f>
        <v/>
      </c>
      <c r="C43" s="34" t="str">
        <f>IFERROR(INDEX(Grille[],MATCH(ROW(A15),Grille[CORRESPONDANCE GRILLE METIER],0),2)-SUM($C$30:C42),"")</f>
        <v/>
      </c>
      <c r="D43" s="65" t="str">
        <f>IF(C42="","",(SUM($C$30:C42)))</f>
        <v/>
      </c>
      <c r="E43" s="9" t="str">
        <f>IF(ISNUMBER(B43),(B43*Valeur_du_Point*Temps_travail_hebdo/35+IF(INDEX(Postes[CADRE],MATCH(Metier,Postes[libellé poste],0),1)=TRUE,0,B43*Valeur_du_Point*Taux_ISSP*Temps_travail_hebdo/35)+ISSUPL*Valeur_du_Point+IF(INDEX(Postes[ISP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3" s="28" t="str">
        <f t="shared" si="3"/>
        <v/>
      </c>
      <c r="G43" s="28" t="str">
        <f t="shared" si="4"/>
        <v/>
      </c>
      <c r="H43" s="4" t="str">
        <f>IFERROR(IF(INDEX($A$30:$C$52,MATCH(Date_Debut_Anciennete+Carriere[[#Totals],[Pris en compte au 2/3]]+Carriere[[#Totals],[Pris en compte à 100%]]+IFERROR(IF(SEARCH("INFIRMIER",Metier,1),365,0),0),$A$30:$A$52,1),1)=$A43,"SALAIRE ET COEFFICIENT RETENU",""),"")</f>
        <v/>
      </c>
    </row>
    <row r="44" spans="1:9" ht="13.5" x14ac:dyDescent="0.25">
      <c r="A44" s="33" t="str">
        <f t="shared" si="2"/>
        <v/>
      </c>
      <c r="B44" s="12" t="str">
        <f>IFERROR(INDEX(Grille[],MATCH(ROW(A14),Grille[CORRESPONDANCE GRILLE METIER],0),3),"")</f>
        <v/>
      </c>
      <c r="C44" s="34" t="str">
        <f>IFERROR(INDEX(Grille[],MATCH(ROW(#REF!),Grille[CORRESPONDANCE GRILLE METIER],0),2)-SUM($C$30:C43),"")</f>
        <v/>
      </c>
      <c r="D44" s="65" t="str">
        <f>IF(C43="","",(SUM($C$30:C43)))</f>
        <v/>
      </c>
      <c r="E44" s="9" t="str">
        <f>IF(ISNUMBER(B44),(B44*Valeur_du_Point*Temps_travail_hebdo/35+IF(INDEX(Postes[CADRE],MATCH(Metier,Postes[libellé poste],0),1)=TRUE,0,B44*Valeur_du_Point*Taux_ISSP*Temps_travail_hebdo/35)+ISSUPL*Valeur_du_Point+IF(INDEX(Postes[ISP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4" s="28" t="str">
        <f t="shared" si="3"/>
        <v/>
      </c>
      <c r="G44" s="28" t="str">
        <f t="shared" si="4"/>
        <v/>
      </c>
      <c r="H44" s="4" t="str">
        <f>IFERROR(IF(INDEX($A$30:$C$52,MATCH(Date_Debut_Anciennete+Carriere[[#Totals],[Pris en compte au 2/3]]+Carriere[[#Totals],[Pris en compte à 100%]]+IFERROR(IF(SEARCH("INFIRMIER",Metier,1),365,0),0),$A$30:$A$52,1),1)=$A44,"SALAIRE ET COEFFICIENT RETENU",""),"")</f>
        <v/>
      </c>
    </row>
    <row r="45" spans="1:9" ht="13.5" x14ac:dyDescent="0.25">
      <c r="A45" s="33" t="str">
        <f t="shared" si="2"/>
        <v/>
      </c>
      <c r="B45" s="12" t="str">
        <f>IFERROR(INDEX(Grille[],MATCH(ROW(A15),Grille[CORRESPONDANCE GRILLE METIER],0),3),"")</f>
        <v/>
      </c>
      <c r="C45" s="34" t="str">
        <f>IFERROR(INDEX(Grille[],MATCH(ROW(#REF!),Grille[CORRESPONDANCE GRILLE METIER],0),2)-SUM($C$30:C44),"")</f>
        <v/>
      </c>
      <c r="D45" s="65" t="str">
        <f>IF(C44="","",(SUM($C$30:C44)))</f>
        <v/>
      </c>
      <c r="E45" s="9" t="str">
        <f>IF(ISNUMBER(B45),(B45*Valeur_du_Point*Temps_travail_hebdo/35+IF(INDEX(Postes[CADRE],MATCH(Metier,Postes[libellé poste],0),1)=TRUE,0,B45*Valeur_du_Point*Taux_ISSP*Temps_travail_hebdo/35)+ISSUPL*Valeur_du_Point+IF(INDEX(Postes[ISP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5" s="28" t="str">
        <f t="shared" si="3"/>
        <v/>
      </c>
      <c r="G45" s="28" t="str">
        <f t="shared" si="4"/>
        <v/>
      </c>
      <c r="H45" s="4" t="str">
        <f>IFERROR(IF(INDEX($A$30:$C$52,MATCH(Date_Debut_Anciennete+Carriere[[#Totals],[Pris en compte au 2/3]]+Carriere[[#Totals],[Pris en compte à 100%]]+IFERROR(IF(SEARCH("INFIRMIER",Metier,1),365,0),0),$A$30:$A$52,1),1)=$A45,"SALAIRE ET COEFFICIENT RETENU",""),"")</f>
        <v/>
      </c>
      <c r="I45" s="13"/>
    </row>
    <row r="46" spans="1:9" ht="13.5" x14ac:dyDescent="0.25">
      <c r="A46" s="11" t="str">
        <f t="shared" si="2"/>
        <v/>
      </c>
      <c r="B46" s="12" t="str">
        <f>IFERROR(INDEX(Grille[],MATCH(ROW(#REF!),Grille[CORRESPONDANCE GRILLE METIER],0),3),"")</f>
        <v/>
      </c>
      <c r="C46" s="34" t="str">
        <f>IFERROR(INDEX(Grille[],MATCH(ROW(#REF!),Grille[CORRESPONDANCE GRILLE METIER],0),2)-SUM($C$30:C45),"")</f>
        <v/>
      </c>
      <c r="D46" s="65" t="str">
        <f>IF(C45="","",(SUM($C$30:C45)))</f>
        <v/>
      </c>
      <c r="E46" s="9" t="str">
        <f>IF(ISNUMBER(B46),(B46*Valeur_du_Point*Temps_travail_hebdo/35+IF(INDEX(Postes[CADRE],MATCH(Metier,Postes[libellé poste],0),1)=TRUE,0,B46*Valeur_du_Point*Taux_ISSP*Temps_travail_hebdo/35)+ISSUPL*Valeur_du_Point+IF(INDEX(Postes[ISP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6" s="28" t="str">
        <f t="shared" si="3"/>
        <v/>
      </c>
      <c r="G46" s="28" t="str">
        <f t="shared" si="4"/>
        <v/>
      </c>
      <c r="H46" s="4" t="str">
        <f>IFERROR(IF(INDEX($A$30:$C$52,MATCH(Date_Debut_Anciennete+Carriere[[#Totals],[Pris en compte au 2/3]]+Carriere[[#Totals],[Pris en compte à 100%]]+IFERROR(IF(SEARCH("INFIRMIER",Metier,1),365,0),0),$A$30:$A$52,1),1)=$A46,"SALAIRE ET COEFFICIENT RETENU",""),"")</f>
        <v/>
      </c>
      <c r="I46" s="13"/>
    </row>
    <row r="47" spans="1:9" ht="13.5" x14ac:dyDescent="0.25">
      <c r="A47" s="11" t="str">
        <f t="shared" si="2"/>
        <v/>
      </c>
      <c r="B47" s="12" t="str">
        <f>IFERROR(INDEX(Grille[],MATCH(ROW(#REF!),Grille[CORRESPONDANCE GRILLE METIER],0),3),"")</f>
        <v/>
      </c>
      <c r="C47" s="34" t="str">
        <f>IFERROR(INDEX(Grille[],MATCH(ROW(A18),Grille[CORRESPONDANCE GRILLE METIER],0),2)-SUM($C$30:C46),"")</f>
        <v/>
      </c>
      <c r="D47" s="65" t="str">
        <f>IF(C46="","",(SUM($C$30:C46)))</f>
        <v/>
      </c>
      <c r="E47" s="9" t="str">
        <f>IF(ISNUMBER(B47),(B47*Valeur_du_Point*Temps_travail_hebdo/35+IF(INDEX(Postes[CADRE],MATCH(Metier,Postes[libellé poste],0),1)=TRUE,0,B47*Valeur_du_Point*Taux_ISSP*Temps_travail_hebdo/35)+ISSUPL*Valeur_du_Point+IF(INDEX(Postes[ISP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7" s="28" t="str">
        <f t="shared" si="3"/>
        <v/>
      </c>
      <c r="G47" s="28" t="str">
        <f t="shared" si="4"/>
        <v/>
      </c>
      <c r="H47" s="4" t="str">
        <f>IFERROR(IF(INDEX($A$30:$C$52,MATCH(Date_Debut_Anciennete+Carriere[[#Totals],[Pris en compte au 2/3]]+Carriere[[#Totals],[Pris en compte à 100%]]+IFERROR(IF(SEARCH("INFIRMIER",Metier,1),365,0),0),$A$30:$A$52,1),1)=$A47,"SALAIRE ET COEFFICIENT RETENU",""),"")</f>
        <v/>
      </c>
      <c r="I47" s="13"/>
    </row>
    <row r="48" spans="1:9" ht="13.5" x14ac:dyDescent="0.25">
      <c r="A48" s="11" t="str">
        <f t="shared" si="2"/>
        <v/>
      </c>
      <c r="B48" s="12" t="str">
        <f>IFERROR(INDEX(Grille[],MATCH(ROW(#REF!),Grille[CORRESPONDANCE GRILLE METIER],0),3),"")</f>
        <v/>
      </c>
      <c r="C48" s="34" t="str">
        <f>IFERROR(INDEX(Grille[],MATCH(ROW(A19),Grille[CORRESPONDANCE GRILLE METIER],0),2)-SUM($C$30:C47),"")</f>
        <v/>
      </c>
      <c r="D48" s="65" t="str">
        <f>IF(C47="","",(SUM($C$30:C47)))</f>
        <v/>
      </c>
      <c r="E48" s="9" t="str">
        <f>IF(ISNUMBER(B48),(B48*Valeur_du_Point*Temps_travail_hebdo/35+IF(INDEX(Postes[CADRE],MATCH(Metier,Postes[libellé poste],0),1)=TRUE,0,B48*Valeur_du_Point*Taux_ISSP*Temps_travail_hebdo/35)+ISSUPL*Valeur_du_Point+IF(INDEX(Postes[ISP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8" s="28" t="str">
        <f t="shared" si="3"/>
        <v/>
      </c>
      <c r="G48" s="28" t="str">
        <f t="shared" si="4"/>
        <v/>
      </c>
      <c r="H48" s="4" t="str">
        <f>IFERROR(IF(INDEX($A$30:$C$52,MATCH(Date_Debut_Anciennete+Carriere[[#Totals],[Pris en compte au 2/3]]+Carriere[[#Totals],[Pris en compte à 100%]]+IFERROR(IF(SEARCH("INFIRMIER",Metier,1),365,0),0),$A$30:$A$52,1),1)=$A48,"SALAIRE ET COEFFICIENT RETENU",""),"")</f>
        <v/>
      </c>
      <c r="I48" s="13"/>
    </row>
    <row r="49" spans="1:9" ht="13.5" x14ac:dyDescent="0.25">
      <c r="A49" s="11" t="str">
        <f t="shared" si="2"/>
        <v/>
      </c>
      <c r="B49" s="12" t="str">
        <f>IFERROR(INDEX(Grille[],MATCH(ROW(#REF!),Grille[CORRESPONDANCE GRILLE METIER],0),3),"")</f>
        <v/>
      </c>
      <c r="C49" s="34" t="str">
        <f>IFERROR(INDEX(Grille[],MATCH(ROW(A20),Grille[CORRESPONDANCE GRILLE METIER],0),2)-SUM($C$30:C48),"")</f>
        <v/>
      </c>
      <c r="D49" s="65" t="str">
        <f>IF(C48="","",(SUM($C$30:C48)))</f>
        <v/>
      </c>
      <c r="E49" s="9" t="str">
        <f>IF(ISNUMBER(B49),(B49*Valeur_du_Point*Temps_travail_hebdo/35+IF(INDEX(Postes[CADRE],MATCH(Metier,Postes[libellé poste],0),1)=TRUE,0,B49*Valeur_du_Point*Taux_ISSP*Temps_travail_hebdo/35)+ISSUPL*Valeur_du_Point+IF(INDEX(Postes[ISP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9" s="28" t="str">
        <f t="shared" si="3"/>
        <v/>
      </c>
      <c r="G49" s="28" t="str">
        <f t="shared" si="4"/>
        <v/>
      </c>
      <c r="H49" s="4" t="str">
        <f>IFERROR(IF(INDEX($A$30:$C$52,MATCH(Date_Debut_Anciennete+Carriere[[#Totals],[Pris en compte au 2/3]]+Carriere[[#Totals],[Pris en compte à 100%]]+IFERROR(IF(SEARCH("INFIRMIER",Metier,1),365,0),0),$A$30:$A$52,1),1)=$A49,"SALAIRE ET COEFFICIENT RETENU",""),"")</f>
        <v/>
      </c>
      <c r="I49" s="13"/>
    </row>
    <row r="50" spans="1:9" ht="13.5" x14ac:dyDescent="0.25">
      <c r="A50" s="11" t="str">
        <f t="shared" si="2"/>
        <v/>
      </c>
      <c r="B50" s="12" t="str">
        <f>IFERROR(INDEX(Grille[],MATCH(ROW(#REF!),Grille[CORRESPONDANCE GRILLE METIER],0),3),"")</f>
        <v/>
      </c>
      <c r="C50" s="34" t="str">
        <f>IFERROR(INDEX(Grille[],MATCH(ROW(A21),Grille[CORRESPONDANCE GRILLE METIER],0),2)-SUM($C$30:C49),"")</f>
        <v/>
      </c>
      <c r="D50" s="65" t="str">
        <f>IF(C49="","",(SUM($C$30:C49)))</f>
        <v/>
      </c>
      <c r="E50" s="9" t="str">
        <f>IF(ISNUMBER(B50),(B50*Valeur_du_Point*Temps_travail_hebdo/35+IF(INDEX(Postes[CADRE],MATCH(Metier,Postes[libellé poste],0),1)=TRUE,0,B50*Valeur_du_Point*Taux_ISSP*Temps_travail_hebdo/35)+ISSUPL*Valeur_du_Point+IF(INDEX(Postes[ISP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0" s="28" t="str">
        <f t="shared" si="3"/>
        <v/>
      </c>
      <c r="G50" s="28" t="str">
        <f t="shared" si="4"/>
        <v/>
      </c>
      <c r="H50" s="4" t="str">
        <f>IFERROR(IF(INDEX($A$30:$C$52,MATCH(Date_Debut_Anciennete+Carriere[[#Totals],[Pris en compte au 2/3]]+Carriere[[#Totals],[Pris en compte à 100%]]+IFERROR(IF(SEARCH("INFIRMIER",Metier,1),365,0),0),$A$30:$A$52,1),1)=$A50,"SALAIRE ET COEFFICIENT RETENU",""),"")</f>
        <v/>
      </c>
      <c r="I50" s="13"/>
    </row>
    <row r="51" spans="1:9" ht="13.5" x14ac:dyDescent="0.25">
      <c r="A51" s="11" t="str">
        <f t="shared" si="2"/>
        <v/>
      </c>
      <c r="B51" s="12" t="str">
        <f>IFERROR(INDEX(Grille[],MATCH(ROW(#REF!),Grille[CORRESPONDANCE GRILLE METIER],0),3),"")</f>
        <v/>
      </c>
      <c r="C51" s="34" t="str">
        <f>IFERROR(INDEX(Grille[],MATCH(ROW(A22),Grille[CORRESPONDANCE GRILLE METIER],0),2)-SUM($C$30:C50),"")</f>
        <v/>
      </c>
      <c r="D51" s="65" t="str">
        <f>IF(C50="","",(SUM($C$30:C50)))</f>
        <v/>
      </c>
      <c r="E51" s="9" t="str">
        <f>IF(ISNUMBER(B51),(B51*Valeur_du_Point*Temps_travail_hebdo/35+IF(INDEX(Postes[CADRE],MATCH(Metier,Postes[libellé poste],0),1)=TRUE,0,B51*Valeur_du_Point*Taux_ISSP*Temps_travail_hebdo/35)+ISSUPL*Valeur_du_Point+IF(INDEX(Postes[ISP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1" s="28" t="str">
        <f t="shared" si="3"/>
        <v/>
      </c>
      <c r="G51" s="28" t="str">
        <f t="shared" si="4"/>
        <v/>
      </c>
      <c r="H51" s="4" t="str">
        <f>IFERROR(IF(INDEX($A$30:$C$52,MATCH(Date_Debut_Anciennete+Carriere[[#Totals],[Pris en compte au 2/3]]+Carriere[[#Totals],[Pris en compte à 100%]]+IFERROR(IF(SEARCH("INFIRMIER",Metier,1),365,0),0),$A$30:$A$52,1),1)=$A51,"SALAIRE ET COEFFICIENT RETENU",""),"")</f>
        <v/>
      </c>
      <c r="I51" s="13"/>
    </row>
    <row r="52" spans="1:9" ht="13.5" x14ac:dyDescent="0.25">
      <c r="A52" s="11" t="str">
        <f t="shared" si="2"/>
        <v/>
      </c>
      <c r="B52" s="12" t="str">
        <f>IFERROR(INDEX(Grille[],MATCH(ROW(A16),Grille[CORRESPONDANCE GRILLE METIER],0),3),"")</f>
        <v/>
      </c>
      <c r="C52" s="34" t="str">
        <f>IFERROR(INDEX(Grille[],MATCH(ROW(A23),Grille[CORRESPONDANCE GRILLE METIER],0),2)-SUM($C$30:C51),"")</f>
        <v/>
      </c>
      <c r="D52" s="65" t="str">
        <f>IF(C51="","",(SUM($C$30:C51)))</f>
        <v/>
      </c>
      <c r="E52" s="9" t="str">
        <f>IF(ISNUMBER(B52),(B52*Valeur_du_Point*Temps_travail_hebdo/35+IF(INDEX(Postes[CADRE],MATCH(Metier,Postes[libellé poste],0),1)=TRUE,0,B52*Valeur_du_Point*Taux_ISSP*Temps_travail_hebdo/35)+ISSUPL*Valeur_du_Point+IF(INDEX(Postes[ISP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2" s="28" t="str">
        <f t="shared" si="3"/>
        <v/>
      </c>
      <c r="G52" s="28" t="str">
        <f t="shared" si="4"/>
        <v/>
      </c>
      <c r="H52" s="4" t="str">
        <f>IFERROR(IF(INDEX($A$30:$C$52,MATCH(Date_Debut_Anciennete+Carriere[[#Totals],[Pris en compte au 2/3]]+Carriere[[#Totals],[Pris en compte à 100%]]+IFERROR(IF(SEARCH("INFIRMIER",Metier,1),365,0),0),$A$30:$A$52,1),1)=$A52,"SALAIRE ET COEFFICIENT RETENU",""),"")</f>
        <v/>
      </c>
      <c r="I52" s="13"/>
    </row>
    <row r="53" spans="1:9" ht="13.5" x14ac:dyDescent="0.25">
      <c r="A53" s="11" t="str">
        <f t="shared" si="2"/>
        <v/>
      </c>
      <c r="B53" s="12" t="str">
        <f>IFERROR(INDEX(Grille[],MATCH(ROW(A17),Grille[CORRESPONDANCE GRILLE METIER],0),3),"")</f>
        <v/>
      </c>
      <c r="C53" s="34" t="str">
        <f>IFERROR(INDEX(Grille[],MATCH(ROW(A24),Grille[CORRESPONDANCE GRILLE METIER],0),2)-SUM($C$30:C52),"")</f>
        <v/>
      </c>
      <c r="D53" s="65" t="str">
        <f>IF(C52="","",(SUM($C$30:C52)))</f>
        <v/>
      </c>
      <c r="E53" s="9" t="str">
        <f>IF(ISNUMBER(B53),(B53*Valeur_du_Point*Temps_travail_hebdo/35+IF(INDEX(Postes[CADRE],MATCH(Metier,Postes[libellé poste],0),1)=TRUE,0,B53*Valeur_du_Point*Taux_ISSP*Temps_travail_hebdo/35)+ISSUPL*Valeur_du_Point+IF(INDEX(Postes[ISP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3" s="28" t="str">
        <f t="shared" si="3"/>
        <v/>
      </c>
      <c r="G53" s="28" t="str">
        <f t="shared" si="4"/>
        <v/>
      </c>
      <c r="H53" s="4" t="str">
        <f>IFERROR(IF(INDEX($A$30:$C$52,MATCH(Date_Debut_Anciennete+Carriere[[#Totals],[Pris en compte au 2/3]]+Carriere[[#Totals],[Pris en compte à 100%]]+IFERROR(IF(SEARCH("INFIRMIER",Metier,1),365,0),0),$A$30:$A$52,1),1)=$A53,"SALAIRE ET COEFFICIENT RETENU",""),"")</f>
        <v/>
      </c>
      <c r="I53" s="13"/>
    </row>
    <row r="54" spans="1:9" ht="13.5" x14ac:dyDescent="0.25">
      <c r="A54" s="11" t="str">
        <f t="shared" si="2"/>
        <v/>
      </c>
      <c r="B54" s="12" t="str">
        <f>IFERROR(INDEX(Grille[],MATCH(ROW(#REF!),Grille[CORRESPONDANCE GRILLE METIER],0),3),"")</f>
        <v/>
      </c>
      <c r="C54" s="34" t="str">
        <f>IFERROR(INDEX(Grille[],MATCH(ROW(A25),Grille[CORRESPONDANCE GRILLE METIER],0),2)-SUM($C$30:C53),"")</f>
        <v/>
      </c>
      <c r="D54" s="65" t="str">
        <f>IF(C53="","",(SUM($C$30:C53)))</f>
        <v/>
      </c>
      <c r="E54" s="9" t="str">
        <f>IF(ISNUMBER(B54),(B54*Valeur_du_Point*Temps_travail_hebdo/35+IF(INDEX(Postes[CADRE],MATCH(Metier,Postes[libellé poste],0),1)=TRUE,0,B54*Valeur_du_Point*Taux_ISSP*Temps_travail_hebdo/35)+ISSUPL*Valeur_du_Point+IF(INDEX(Postes[ISP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4" s="28" t="str">
        <f t="shared" si="3"/>
        <v/>
      </c>
      <c r="G54" s="28" t="str">
        <f t="shared" si="4"/>
        <v/>
      </c>
      <c r="H54" s="4" t="str">
        <f>IFERROR(IF(INDEX($A$30:$C$52,MATCH(Date_Debut_Anciennete+Carriere[[#Totals],[Pris en compte au 2/3]]+Carriere[[#Totals],[Pris en compte à 100%]]+IFERROR(IF(SEARCH("INFIRMIER",Metier,1),365,0),0),$A$30:$A$52,1),1)=$A54,"SALAIRE ET COEFFICIENT RETENU",""),"")</f>
        <v/>
      </c>
      <c r="I54" s="13"/>
    </row>
    <row r="55" spans="1:9" ht="13.5" x14ac:dyDescent="0.25">
      <c r="A55" s="11" t="str">
        <f t="shared" si="2"/>
        <v/>
      </c>
      <c r="B55" s="12" t="str">
        <f>IFERROR(INDEX(Grille[],MATCH(ROW(A18),Grille[CORRESPONDANCE GRILLE METIER],0),3),"")</f>
        <v/>
      </c>
      <c r="C55" s="34" t="str">
        <f>IFERROR(INDEX(Grille[],MATCH(ROW(A26),Grille[CORRESPONDANCE GRILLE METIER],0),2)-SUM($C$30:C54),"")</f>
        <v/>
      </c>
      <c r="D55" s="65" t="str">
        <f>IF(C54="","",(SUM($C$30:C54)))</f>
        <v/>
      </c>
      <c r="E55" s="28" t="str">
        <f>IF(ISNUMBER(B55),(B55*Valeur_du_Point*Temps_travail_hebdo/35+IF(INDEX(Postes[CADRE],MATCH(Metier,Postes[libellé poste],0),1)=TRUE,0,B55*Valeur_du_Point*Taux_ISSP*Temps_travail_hebdo/35)+ISSUPL*Valeur_du_Point+IF(INDEX(Postes[ISP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5" s="28" t="str">
        <f t="shared" si="3"/>
        <v/>
      </c>
      <c r="G55" s="28" t="str">
        <f t="shared" si="4"/>
        <v/>
      </c>
      <c r="H55" s="4" t="str">
        <f>IFERROR(IF(INDEX($A$30:$C$52,MATCH(Date_Debut_Anciennete+Carriere[[#Totals],[Pris en compte au 2/3]]+Carriere[[#Totals],[Pris en compte à 100%]]+IFERROR(IF(SEARCH("INFIRMIER",Metier,1),365,0),0),$A$30:$A$52,1),1)=$A55,"SALAIRE ET COEFFICIENT RETENU",""),"")</f>
        <v/>
      </c>
      <c r="I55" s="13"/>
    </row>
    <row r="56" spans="1:9" ht="13.5" x14ac:dyDescent="0.25">
      <c r="A56" s="11" t="str">
        <f t="shared" si="2"/>
        <v/>
      </c>
      <c r="B56" s="12" t="str">
        <f>IFERROR(INDEX(Grille[],MATCH(ROW(A19),Grille[CORRESPONDANCE GRILLE METIER],0),3),"")</f>
        <v/>
      </c>
      <c r="C56" s="34" t="str">
        <f>IFERROR(INDEX(Grille[],MATCH(ROW(A27),Grille[CORRESPONDANCE GRILLE METIER],0),2)-SUM($C$30:C55),"")</f>
        <v/>
      </c>
      <c r="D56" s="65" t="str">
        <f>IF(C55="","",(SUM($C$30:C55)))</f>
        <v/>
      </c>
      <c r="E56" s="28" t="str">
        <f>IF(ISNUMBER(B56),(B56*Valeur_du_Point*Temps_travail_hebdo/35+IF(INDEX(Postes[CADRE],MATCH(Metier,Postes[libellé poste],0),1)=TRUE,0,B56*Valeur_du_Point*Taux_ISSP*Temps_travail_hebdo/35)+ISSUPL*Valeur_du_Point+IF(INDEX(Postes[ISP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6" s="28" t="str">
        <f t="shared" si="3"/>
        <v/>
      </c>
      <c r="G56" s="28" t="str">
        <f t="shared" si="4"/>
        <v/>
      </c>
      <c r="H56" s="4" t="str">
        <f>IFERROR(IF(INDEX($A$30:$C$52,MATCH(Date_Debut_Anciennete+Carriere[[#Totals],[Pris en compte au 2/3]]+Carriere[[#Totals],[Pris en compte à 100%]]+IFERROR(IF(SEARCH("INFIRMIER",Metier,1),365,0),0),$A$30:$A$52,1),1)=$A56,"SALAIRE ET COEFFICIENT RETENU",""),"")</f>
        <v/>
      </c>
      <c r="I56" s="13"/>
    </row>
    <row r="57" spans="1:9" ht="13.5" x14ac:dyDescent="0.25">
      <c r="A57" s="11" t="str">
        <f t="shared" si="2"/>
        <v/>
      </c>
      <c r="B57" s="12" t="str">
        <f>IFERROR(INDEX(Grille[],MATCH(ROW(A20),Grille[CORRESPONDANCE GRILLE METIER],0),3),"")</f>
        <v/>
      </c>
      <c r="C57" s="34" t="str">
        <f>IFERROR(INDEX(Grille[],MATCH(ROW(A28),Grille[CORRESPONDANCE GRILLE METIER],0),2)-SUM($C$30:C56),"")</f>
        <v/>
      </c>
      <c r="D57" s="65" t="str">
        <f>IF(C56="","",(SUM($C$30:C56)))</f>
        <v/>
      </c>
      <c r="E57" s="28" t="str">
        <f>IF(ISNUMBER(B57),(B57*Valeur_du_Point*Temps_travail_hebdo/35+IF(INDEX(Postes[CADRE],MATCH(Metier,Postes[libellé poste],0),1)=TRUE,0,B57*Valeur_du_Point*Taux_ISSP*Temps_travail_hebdo/35)+ISSUPL*Valeur_du_Point+IF(INDEX(Postes[ISP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7" s="28" t="str">
        <f t="shared" si="3"/>
        <v/>
      </c>
      <c r="G57" s="28" t="str">
        <f t="shared" si="4"/>
        <v/>
      </c>
      <c r="H57" s="4" t="str">
        <f>IFERROR(IF(INDEX($A$30:$C$52,MATCH(Date_Debut_Anciennete+Carriere[[#Totals],[Pris en compte au 2/3]]+Carriere[[#Totals],[Pris en compte à 100%]]+IFERROR(IF(SEARCH("INFIRMIER",Metier,1),365,0),0),$A$30:$A$52,1),1)=$A57,"SALAIRE ET COEFFICIENT RETENU",""),"")</f>
        <v/>
      </c>
      <c r="I57" s="13"/>
    </row>
    <row r="58" spans="1:9" ht="13.5" x14ac:dyDescent="0.25">
      <c r="A58" s="11" t="str">
        <f t="shared" si="2"/>
        <v/>
      </c>
      <c r="B58" s="12" t="str">
        <f>IFERROR(INDEX(Grille[],MATCH(ROW(A21),Grille[CORRESPONDANCE GRILLE METIER],0),3),"")</f>
        <v/>
      </c>
      <c r="C58" s="34" t="str">
        <f>IFERROR(INDEX(Grille[],MATCH(ROW(A29),Grille[CORRESPONDANCE GRILLE METIER],0),2)-SUM($C$30:C57),"")</f>
        <v/>
      </c>
      <c r="D58" s="65" t="str">
        <f>IF(C57="","",(SUM($C$30:C57)))</f>
        <v/>
      </c>
      <c r="E58" s="28" t="str">
        <f>IF(ISNUMBER(B58),(B58*Valeur_du_Point*Temps_travail_hebdo/35+IF(INDEX(Postes[CADRE],MATCH(Metier,Postes[libellé poste],0),1)=TRUE,0,B58*Valeur_du_Point*Taux_ISSP*Temps_travail_hebdo/35)+ISSUPL*Valeur_du_Point+IF(INDEX(Postes[ISP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8" s="28" t="str">
        <f t="shared" si="3"/>
        <v/>
      </c>
      <c r="G58" s="28" t="str">
        <f t="shared" si="4"/>
        <v/>
      </c>
      <c r="H58" s="4" t="str">
        <f>IFERROR(IF(INDEX($A$30:$C$52,MATCH(Date_Debut_Anciennete+Carriere[[#Totals],[Pris en compte au 2/3]]+Carriere[[#Totals],[Pris en compte à 100%]]+IFERROR(IF(SEARCH("INFIRMIER",Metier,1),365,0),0),$A$30:$A$52,1),1)=$A58,"SALAIRE ET COEFFICIENT RETENU",""),"")</f>
        <v/>
      </c>
      <c r="I58" s="13"/>
    </row>
    <row r="59" spans="1:9" ht="13.5" x14ac:dyDescent="0.25">
      <c r="A59" s="11" t="str">
        <f t="shared" si="2"/>
        <v/>
      </c>
      <c r="B59" s="12" t="str">
        <f>IFERROR(INDEX(Grille[],MATCH(ROW(A22),Grille[CORRESPONDANCE GRILLE METIER],0),3),"")</f>
        <v/>
      </c>
      <c r="C59" s="34" t="str">
        <f>IFERROR(INDEX(Grille[],MATCH(ROW(A30),Grille[CORRESPONDANCE GRILLE METIER],0),2)-SUM($C$30:C58),"")</f>
        <v/>
      </c>
      <c r="D59" s="65" t="str">
        <f>IF(C58="","",(SUM($C$30:C58)))</f>
        <v/>
      </c>
      <c r="E59" s="28" t="str">
        <f>IF(ISNUMBER(B59),(B59*Valeur_du_Point*Temps_travail_hebdo/35+IF(INDEX(Postes[CADRE],MATCH(Metier,Postes[libellé poste],0),1)=TRUE,0,B59*Valeur_du_Point*Taux_ISSP*Temps_travail_hebdo/35)+ISSUPL*Valeur_du_Point+IF(INDEX(Postes[ISP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9" s="28" t="str">
        <f t="shared" si="3"/>
        <v/>
      </c>
      <c r="G59" s="28" t="str">
        <f t="shared" si="4"/>
        <v/>
      </c>
      <c r="H59" s="4" t="str">
        <f>IFERROR(IF(INDEX($A$30:$C$52,MATCH(Date_Debut_Anciennete+Carriere[[#Totals],[Pris en compte au 2/3]]+Carriere[[#Totals],[Pris en compte à 100%]]+IFERROR(IF(SEARCH("INFIRMIER",Metier,1),365,0),0),$A$30:$A$52,1),1)=$A59,"SALAIRE ET COEFFICIENT RETENU",""),"")</f>
        <v/>
      </c>
      <c r="I59" s="13"/>
    </row>
    <row r="60" spans="1:9" ht="13.5" x14ac:dyDescent="0.25">
      <c r="A60" s="11" t="str">
        <f t="shared" si="2"/>
        <v/>
      </c>
      <c r="B60" s="12" t="str">
        <f>IFERROR(INDEX(Grille[],MATCH(ROW(A23),Grille[CORRESPONDANCE GRILLE METIER],0),3),"")</f>
        <v/>
      </c>
      <c r="C60" s="34" t="str">
        <f>IFERROR(INDEX(Grille[],MATCH(ROW(A31),Grille[CORRESPONDANCE GRILLE METIER],0),2)-SUM($C$30:C59),"")</f>
        <v/>
      </c>
      <c r="D60" s="65" t="str">
        <f>IF(C59="","",(SUM($C$30:C59)))</f>
        <v/>
      </c>
      <c r="E60" s="28" t="str">
        <f>IF(ISNUMBER(B60),(B60*Valeur_du_Point*Temps_travail_hebdo/35+IF(INDEX(Postes[CADRE],MATCH(Metier,Postes[libellé poste],0),1)=TRUE,0,B60*Valeur_du_Point*Taux_ISSP*Temps_travail_hebdo/35)+ISSUPL*Valeur_du_Point+IF(INDEX(Postes[ISP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0" s="28" t="str">
        <f t="shared" si="3"/>
        <v/>
      </c>
      <c r="G60" s="28" t="str">
        <f t="shared" si="4"/>
        <v/>
      </c>
      <c r="H60" s="4" t="str">
        <f>IFERROR(IF(INDEX($A$30:$C$52,MATCH(Date_Debut_Anciennete+Carriere[[#Totals],[Pris en compte au 2/3]]+Carriere[[#Totals],[Pris en compte à 100%]]+IFERROR(IF(SEARCH("INFIRMIER",Metier,1),365,0),0),$A$30:$A$52,1),1)=$A60,"SALAIRE ET COEFFICIENT RETENU",""),"")</f>
        <v/>
      </c>
      <c r="I60" s="13"/>
    </row>
    <row r="61" spans="1:9" ht="13.5" x14ac:dyDescent="0.25">
      <c r="A61" s="11" t="str">
        <f t="shared" si="2"/>
        <v/>
      </c>
      <c r="B61" s="12" t="str">
        <f>IFERROR(INDEX(Grille[],MATCH(ROW(A24),Grille[CORRESPONDANCE GRILLE METIER],0),3),"")</f>
        <v/>
      </c>
      <c r="C61" s="34" t="str">
        <f>IFERROR(INDEX(Grille[],MATCH(ROW(A32),Grille[CORRESPONDANCE GRILLE METIER],0),2)-SUM($C$30:C60),"")</f>
        <v/>
      </c>
      <c r="D61" s="65" t="str">
        <f>IF(C60="","",(SUM($C$30:C60)))</f>
        <v/>
      </c>
      <c r="E61" s="28" t="str">
        <f>IF(ISNUMBER(B61),(B61*Valeur_du_Point*Temps_travail_hebdo/35+IF(INDEX(Postes[CADRE],MATCH(Metier,Postes[libellé poste],0),1)=TRUE,0,B61*Valeur_du_Point*Taux_ISSP*Temps_travail_hebdo/35)+ISSUPL*Valeur_du_Point+IF(INDEX(Postes[ISP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1" s="28" t="str">
        <f t="shared" si="3"/>
        <v/>
      </c>
      <c r="G61" s="28" t="str">
        <f t="shared" si="4"/>
        <v/>
      </c>
      <c r="H61" s="4" t="str">
        <f>IFERROR(IF(INDEX($A$30:$C$52,MATCH(Date_Debut_Anciennete+Carriere[[#Totals],[Pris en compte au 2/3]]+Carriere[[#Totals],[Pris en compte à 100%]]+IFERROR(IF(SEARCH("INFIRMIER",Metier,1),365,0),0),$A$30:$A$52,1),1)=$A61,"SALAIRE ET COEFFICIENT RETENU",""),"")</f>
        <v/>
      </c>
      <c r="I61" s="13"/>
    </row>
    <row r="62" spans="1:9" ht="13.5" x14ac:dyDescent="0.25">
      <c r="A62" s="11" t="str">
        <f t="shared" si="2"/>
        <v/>
      </c>
      <c r="B62" s="12" t="str">
        <f>IFERROR(INDEX(Grille[],MATCH(ROW(A25),Grille[CORRESPONDANCE GRILLE METIER],0),3),"")</f>
        <v/>
      </c>
      <c r="C62" s="34" t="str">
        <f>IFERROR(INDEX(Grille[],MATCH(ROW(A33),Grille[CORRESPONDANCE GRILLE METIER],0),2)-SUM($C$30:C61),"")</f>
        <v/>
      </c>
      <c r="D62" s="65" t="str">
        <f>IF(C61="","",(SUM($C$30:C61)))</f>
        <v/>
      </c>
      <c r="E62" s="28" t="str">
        <f>IF(ISNUMBER(B62),(B62*Valeur_du_Point*Temps_travail_hebdo/35+IF(INDEX(Postes[CADRE],MATCH(Metier,Postes[libellé poste],0),1)=TRUE,0,B62*Valeur_du_Point*Taux_ISSP*Temps_travail_hebdo/35)+ISSUPL*Valeur_du_Point+IF(INDEX(Postes[ISP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2" s="28" t="str">
        <f t="shared" si="3"/>
        <v/>
      </c>
      <c r="G62" s="28" t="str">
        <f t="shared" si="4"/>
        <v/>
      </c>
      <c r="H62" s="4" t="str">
        <f>IFERROR(IF(INDEX($A$30:$C$52,MATCH(Date_Debut_Anciennete+Carriere[[#Totals],[Pris en compte au 2/3]]+Carriere[[#Totals],[Pris en compte à 100%]]+IFERROR(IF(SEARCH("INFIRMIER",Metier,1),365,0),0),$A$30:$A$52,1),1)=$A62,"SALAIRE ET COEFFICIENT RETENU",""),"")</f>
        <v/>
      </c>
      <c r="I62" s="13"/>
    </row>
    <row r="63" spans="1:9" ht="13.5" x14ac:dyDescent="0.25">
      <c r="A63" s="11" t="str">
        <f t="shared" si="2"/>
        <v/>
      </c>
      <c r="B63" s="12" t="str">
        <f>IFERROR(INDEX(Grille[],MATCH(ROW(A26),Grille[CORRESPONDANCE GRILLE METIER],0),3),"")</f>
        <v/>
      </c>
      <c r="C63" s="34" t="str">
        <f>IFERROR(INDEX(Grille[],MATCH(ROW(A34),Grille[CORRESPONDANCE GRILLE METIER],0),2)-SUM($C$30:C62),"")</f>
        <v/>
      </c>
      <c r="D63" s="34" t="str">
        <f>IF(C62="","",(SUM($C$30:C62)))</f>
        <v/>
      </c>
      <c r="E63" s="28" t="str">
        <f>IF(ISNUMBER(B63),(B63*Valeur_du_Point*Temps_travail_hebdo/35+IF(INDEX(Postes[CADRE],MATCH(Metier,Postes[libellé poste],0),1)=TRUE,0,B63*Valeur_du_Point*Taux_ISSP*Temps_travail_hebdo/35)+ISSUPL*Valeur_du_Point+IF(INDEX(Postes[ISP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3" s="28" t="str">
        <f t="shared" si="3"/>
        <v/>
      </c>
      <c r="G63" s="28" t="str">
        <f t="shared" si="4"/>
        <v/>
      </c>
      <c r="H63" s="4" t="str">
        <f>IFERROR(IF(INDEX($A$30:$C$52,MATCH(Date_Debut_Anciennete+Carriere[[#Totals],[Pris en compte au 2/3]]+Carriere[[#Totals],[Pris en compte à 100%]]+IFERROR(IF(SEARCH("INFIRMIER",Metier,1),365,0),0),$A$30:$A$52,1),1)=$A63,"SALAIRE ET COEFFICIENT RETENU",""),"")</f>
        <v/>
      </c>
      <c r="I63" s="13"/>
    </row>
    <row r="64" spans="1:9" ht="13.5" x14ac:dyDescent="0.25">
      <c r="A64" s="11" t="str">
        <f t="shared" si="2"/>
        <v/>
      </c>
      <c r="B64" s="12" t="str">
        <f>IFERROR(INDEX(Grille[],MATCH(ROW(A27),Grille[CORRESPONDANCE GRILLE METIER],0),3),"")</f>
        <v/>
      </c>
      <c r="C64" s="34" t="str">
        <f>IFERROR(INDEX(Grille[],MATCH(ROW(A35),Grille[CORRESPONDANCE GRILLE METIER],0),2)-SUM($C$30:C63),"")</f>
        <v/>
      </c>
      <c r="D64" s="34" t="str">
        <f>IF(C63="","",(SUM($C$30:C63)))</f>
        <v/>
      </c>
      <c r="E64" s="28" t="str">
        <f>IF(ISNUMBER(B64),(B64*Valeur_du_Point*Temps_travail_hebdo/35+IF(INDEX(Postes[CADRE],MATCH(Metier,Postes[libellé poste],0),1)=TRUE,0,B64*Valeur_du_Point*Taux_ISSP*Temps_travail_hebdo/35)+ISSUPL*Valeur_du_Point+IF(INDEX(Postes[ISP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4" s="28" t="str">
        <f t="shared" si="3"/>
        <v/>
      </c>
      <c r="G64" s="28" t="str">
        <f t="shared" si="4"/>
        <v/>
      </c>
      <c r="H64" s="4" t="str">
        <f>IFERROR(IF(INDEX($A$30:$C$52,MATCH(Date_Debut_Anciennete+Carriere[[#Totals],[Pris en compte au 2/3]]+Carriere[[#Totals],[Pris en compte à 100%]]+IFERROR(IF(SEARCH("INFIRMIER",Metier,1),365,0),0),$A$30:$A$52,1),1)=$A64,"SALAIRE ET COEFFICIENT RETENU",""),"")</f>
        <v/>
      </c>
      <c r="I64" s="13"/>
    </row>
    <row r="65" spans="1:10" ht="13.5" x14ac:dyDescent="0.25">
      <c r="A65" s="11" t="str">
        <f t="shared" si="2"/>
        <v/>
      </c>
      <c r="B65" s="12" t="str">
        <f>IFERROR(INDEX(Grille[],MATCH(ROW(A28),Grille[CORRESPONDANCE GRILLE METIER],0),3),"")</f>
        <v/>
      </c>
      <c r="C65" s="34" t="str">
        <f>IFERROR(INDEX(Grille[],MATCH(ROW(A36),Grille[CORRESPONDANCE GRILLE METIER],0),2)-SUM($C$30:C64),"")</f>
        <v/>
      </c>
      <c r="D65" s="34" t="str">
        <f>IF(C64="","",(SUM($C$30:C64)))</f>
        <v/>
      </c>
      <c r="E65" s="28" t="str">
        <f>IF(ISNUMBER(B65),(B65*Valeur_du_Point*Temps_travail_hebdo/35+IF(INDEX(Postes[CADRE],MATCH(Metier,Postes[libellé poste],0),1)=TRUE,0,B65*Valeur_du_Point*Taux_ISSP*Temps_travail_hebdo/35)+ISSUPL*Valeur_du_Point+IF(INDEX(Postes[ISP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5" s="28" t="str">
        <f t="shared" si="3"/>
        <v/>
      </c>
      <c r="G65" s="28" t="str">
        <f t="shared" si="4"/>
        <v/>
      </c>
      <c r="H65" s="4" t="str">
        <f>IFERROR(IF(INDEX($A$30:$C$52,MATCH(Date_Debut_Anciennete+Carriere[[#Totals],[Pris en compte au 2/3]]+Carriere[[#Totals],[Pris en compte à 100%]]+IFERROR(IF(SEARCH("INFIRMIER",Metier,1),365,0),0),$A$30:$A$52,1),1)=$A65,"SALAIRE ET COEFFICIENT RETENU",""),"")</f>
        <v/>
      </c>
      <c r="I65" s="13"/>
    </row>
    <row r="66" spans="1:10" ht="13.5" x14ac:dyDescent="0.25">
      <c r="A66" s="11" t="str">
        <f t="shared" si="2"/>
        <v/>
      </c>
      <c r="B66" s="12" t="str">
        <f>IFERROR(INDEX(Grille[],MATCH(ROW(A29),Grille[CORRESPONDANCE GRILLE METIER],0),3),"")</f>
        <v/>
      </c>
      <c r="C66" s="34" t="str">
        <f>IFERROR(INDEX(Grille[],MATCH(ROW(A37),Grille[CORRESPONDANCE GRILLE METIER],0),2)-SUM($C$30:C65),"")</f>
        <v/>
      </c>
      <c r="D66" s="34" t="str">
        <f>IF(C65="","",(SUM($C$30:C65)))</f>
        <v/>
      </c>
      <c r="E66" s="28" t="str">
        <f>IF(ISNUMBER(B66),(B66*Valeur_du_Point*Temps_travail_hebdo/35+IF(INDEX(Postes[CADRE],MATCH(Metier,Postes[libellé poste],0),1)=TRUE,0,B66*Valeur_du_Point*Taux_ISSP*Temps_travail_hebdo/35)+ISSUPL*Valeur_du_Point+IF(INDEX(Postes[ISP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6" s="28" t="str">
        <f t="shared" si="3"/>
        <v/>
      </c>
      <c r="G66" s="28" t="str">
        <f t="shared" si="4"/>
        <v/>
      </c>
      <c r="H66" s="4" t="str">
        <f>IFERROR(IF(INDEX($A$30:$C$52,MATCH(Date_Debut_Anciennete+Carriere[[#Totals],[Pris en compte au 2/3]]+Carriere[[#Totals],[Pris en compte à 100%]]+IFERROR(IF(SEARCH("INFIRMIER",Metier,1),365,0),0),$A$30:$A$52,1),1)=$A66,"SALAIRE ET COEFFICIENT RETENU",""),"")</f>
        <v/>
      </c>
      <c r="I66" s="13"/>
    </row>
    <row r="67" spans="1:10" ht="13.5" x14ac:dyDescent="0.25">
      <c r="A67" s="11" t="str">
        <f t="shared" si="2"/>
        <v/>
      </c>
      <c r="B67" s="12" t="str">
        <f>IFERROR(INDEX(Grille[],MATCH(ROW(A30),Grille[CORRESPONDANCE GRILLE METIER],0),3),"")</f>
        <v/>
      </c>
      <c r="C67" s="34" t="str">
        <f>IFERROR(INDEX(Grille[],MATCH(ROW(A38),Grille[CORRESPONDANCE GRILLE METIER],0),2)-SUM($C$30:C66),"")</f>
        <v/>
      </c>
      <c r="D67" s="34" t="str">
        <f>IF(C66="","",(SUM($C$30:C66)))</f>
        <v/>
      </c>
      <c r="E67" s="28" t="str">
        <f>IF(ISNUMBER(B67),(B67*Valeur_du_Point*Temps_travail_hebdo/35+IF(INDEX(Postes[CADRE],MATCH(Metier,Postes[libellé poste],0),1)=TRUE,0,B67*Valeur_du_Point*Taux_ISSP*Temps_travail_hebdo/35)+ISSUPL*Valeur_du_Point+IF(INDEX(Postes[ISP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7" s="28" t="str">
        <f t="shared" si="3"/>
        <v/>
      </c>
      <c r="G67" s="28" t="str">
        <f t="shared" si="4"/>
        <v/>
      </c>
      <c r="H67" s="4" t="str">
        <f>IFERROR(IF(INDEX($A$30:$C$52,MATCH(Date_Debut_Anciennete+Carriere[[#Totals],[Pris en compte au 2/3]]+Carriere[[#Totals],[Pris en compte à 100%]],$A$30:$A$52,1),1)=$A67,"SALAIRE ET COEFFICIENT RETENU",""),"")</f>
        <v/>
      </c>
      <c r="I67" s="13"/>
    </row>
    <row r="68" spans="1:10" ht="13.5" x14ac:dyDescent="0.25">
      <c r="A68" s="11" t="str">
        <f t="shared" si="2"/>
        <v/>
      </c>
      <c r="B68" s="12" t="str">
        <f>IFERROR(INDEX(Grille[],MATCH(ROW(A31),Grille[CORRESPONDANCE GRILLE METIER],0),3),"")</f>
        <v/>
      </c>
      <c r="C68" s="34" t="str">
        <f>IFERROR(INDEX(Grille[],MATCH(ROW(A39),Grille[CORRESPONDANCE GRILLE METIER],0),2)-SUM($C$30:C67),"")</f>
        <v/>
      </c>
      <c r="D68" s="34" t="str">
        <f>IF(C67="","",(SUM($C$30:C67)))</f>
        <v/>
      </c>
      <c r="E68" s="28" t="str">
        <f>IF(ISNUMBER(B68),(B68*Valeur_du_Point*Temps_travail_hebdo/35+IF(INDEX(Postes[CADRE],MATCH(Metier,Postes[libellé poste],0),1)=TRUE,0,B68*Valeur_du_Point*Taux_ISSP*Temps_travail_hebdo/35)+ISSUPL*Valeur_du_Point+IF(INDEX(Postes[ISP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8" s="28" t="str">
        <f t="shared" si="3"/>
        <v/>
      </c>
      <c r="G68" s="28" t="str">
        <f t="shared" si="4"/>
        <v/>
      </c>
      <c r="H68" s="4" t="str">
        <f>IFERROR(IF(INDEX($A$30:$C$52,MATCH(Date_Debut_Anciennete+Carriere[[#Totals],[Pris en compte au 2/3]]+Carriere[[#Totals],[Pris en compte à 100%]],$A$30:$A$52,1),1)=$A68,"SALAIRE ET COEFFICIENT RETENU",""),"")</f>
        <v/>
      </c>
      <c r="I68" s="13"/>
    </row>
    <row r="69" spans="1:10" ht="13.5" x14ac:dyDescent="0.25">
      <c r="A69" s="11" t="str">
        <f t="shared" si="2"/>
        <v/>
      </c>
      <c r="B69" s="12" t="str">
        <f>IFERROR(INDEX(Grille[],MATCH(ROW(A32),Grille[CORRESPONDANCE GRILLE METIER],0),3),"")</f>
        <v/>
      </c>
      <c r="C69" s="34" t="str">
        <f>IFERROR(INDEX(Grille[],MATCH(ROW(A40),Grille[CORRESPONDANCE GRILLE METIER],0),2)-SUM($C$30:C68),"")</f>
        <v/>
      </c>
      <c r="D69" s="34" t="str">
        <f>IF(C68="","",(SUM($C$30:C68)))</f>
        <v/>
      </c>
      <c r="E69" s="28" t="str">
        <f>IF(ISNUMBER(B69),(B69*Valeur_du_Point*Temps_travail_hebdo/35+IF(INDEX(Postes[CADRE],MATCH(Metier,Postes[libellé poste],0),1)=TRUE,0,B69*Valeur_du_Point*Taux_ISSP*Temps_travail_hebdo/35)+ISSUPL*Valeur_du_Point+IF(INDEX(Postes[ISP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9" s="13" t="str">
        <f>IF(ISNUMBER(C69),(C69*#REF!)*12+#REF!*#REF!*12,"")</f>
        <v/>
      </c>
      <c r="G69" s="28" t="str">
        <f t="shared" si="4"/>
        <v/>
      </c>
      <c r="H69" s="4" t="str">
        <f>IFERROR(IF(INDEX($A$30:$C$52,MATCH(Date_Debut_Anciennete+Carriere[[#Totals],[Pris en compte au 2/3]]+Carriere[[#Totals],[Pris en compte à 100%]],$A$30:$A$52,1),1)=$A69,"SALAIRE ET COEFFICIENT RETENU",""),"")</f>
        <v/>
      </c>
      <c r="I69" s="13"/>
    </row>
    <row r="70" spans="1:10" ht="13.5" x14ac:dyDescent="0.25">
      <c r="A70" s="11" t="str">
        <f t="shared" si="2"/>
        <v/>
      </c>
      <c r="B70" s="12" t="str">
        <f>IFERROR(INDEX(Grille[],MATCH(ROW(A33),Grille[CORRESPONDANCE GRILLE METIER],0),3),"")</f>
        <v/>
      </c>
      <c r="C70" s="34" t="str">
        <f>IFERROR(INDEX(Grille[],MATCH(ROW(A41),Grille[CORRESPONDANCE GRILLE METIER],0),2)-SUM($C$30:C69),"")</f>
        <v/>
      </c>
      <c r="D70" s="34" t="str">
        <f>IF(C69="","",(SUM($C$30:C69)))</f>
        <v/>
      </c>
      <c r="E70" s="28" t="str">
        <f>IF(ISNUMBER(B70),(B70*Valeur_du_Point*Temps_travail_hebdo/35+IF(INDEX(Postes[CADRE],MATCH(Metier,Postes[libellé poste],0),1)=TRUE,0,B70*Valeur_du_Point*Taux_ISSP*Temps_travail_hebdo/35)+ISSUPL*Valeur_du_Point+IF(INDEX(Postes[ISP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0" s="13" t="str">
        <f>IF(ISNUMBER(C70),(C70*#REF!)*12+#REF!*#REF!*12,"")</f>
        <v/>
      </c>
      <c r="G70" s="28" t="str">
        <f t="shared" si="4"/>
        <v/>
      </c>
      <c r="H70" s="4" t="str">
        <f>IFERROR(IF(INDEX($A$30:$C$52,MATCH(Date_Debut_Anciennete+Carriere[[#Totals],[Pris en compte au 2/3]]+Carriere[[#Totals],[Pris en compte à 100%]],$A$30:$A$52,1),1)=$A70,"SALAIRE ET COEFFICIENT RETENU",""),"")</f>
        <v/>
      </c>
      <c r="I70" s="13"/>
    </row>
    <row r="71" spans="1:10" ht="13.5" x14ac:dyDescent="0.25">
      <c r="A71" s="11" t="str">
        <f t="shared" si="2"/>
        <v/>
      </c>
      <c r="B71" s="12" t="str">
        <f>IFERROR(INDEX(Grille[],MATCH(ROW(A34),Grille[CORRESPONDANCE GRILLE METIER],0),3),"")</f>
        <v/>
      </c>
      <c r="C71" s="34" t="str">
        <f>IFERROR(INDEX(Grille[],MATCH(ROW(A42),Grille[CORRESPONDANCE GRILLE METIER],0),2)-SUM($C$30:C70),"")</f>
        <v/>
      </c>
      <c r="D71" s="34" t="str">
        <f>IF(C70="","",(SUM($C$30:C70)))</f>
        <v/>
      </c>
      <c r="E71" s="28" t="str">
        <f>IF(ISNUMBER(B71),(B71*Valeur_du_Point*Temps_travail_hebdo/35+IF(INDEX(Postes[CADRE],MATCH(Metier,Postes[libellé poste],0),1)=TRUE,0,B71*Valeur_du_Point*Taux_ISSP*Temps_travail_hebdo/35)+ISSUPL*Valeur_du_Point+IF(INDEX(Postes[ISP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1" s="13" t="str">
        <f>IF(ISNUMBER(C71),(C71*#REF!)*12+#REF!*#REF!*12,"")</f>
        <v/>
      </c>
      <c r="G71" s="28" t="str">
        <f t="shared" si="4"/>
        <v/>
      </c>
      <c r="H71" s="4" t="str">
        <f>IFERROR(IF(INDEX($A$30:$C$52,MATCH(Date_Debut_Anciennete+Carriere[[#Totals],[Pris en compte au 2/3]]+Carriere[[#Totals],[Pris en compte à 100%]],$A$30:$A$52,1),1)=$A71,"SALAIRE ET COEFFICIENT RETENU",""),"")</f>
        <v/>
      </c>
      <c r="I71" s="13"/>
    </row>
    <row r="72" spans="1:10" ht="13.5" x14ac:dyDescent="0.25">
      <c r="A72" s="11" t="str">
        <f t="shared" si="2"/>
        <v/>
      </c>
      <c r="B72" s="12" t="str">
        <f>IFERROR(INDEX(Grille[],MATCH(ROW(A35),Grille[CORRESPONDANCE GRILLE METIER],0),3),"")</f>
        <v/>
      </c>
      <c r="C72" s="34" t="str">
        <f>IFERROR(INDEX(Grille[],MATCH(ROW(A43),Grille[CORRESPONDANCE GRILLE METIER],0),2)-SUM($C$30:C71),"")</f>
        <v/>
      </c>
      <c r="D72" s="34" t="str">
        <f>IF(C71="","",(SUM($C$30:C71)))</f>
        <v/>
      </c>
      <c r="E72" s="28" t="str">
        <f>IF(ISNUMBER(B72),(B72*Valeur_du_Point*Temps_travail_hebdo/35+IF(INDEX(Postes[CADRE],MATCH(Metier,Postes[libellé poste],0),1)=TRUE,0,B72*Valeur_du_Point*Taux_ISSP*Temps_travail_hebdo/35)+ISSUPL*Valeur_du_Point+IF(INDEX(Postes[ISP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2" s="13" t="str">
        <f>IF(ISNUMBER(C72),(C72*#REF!)*12+#REF!*#REF!*12,"")</f>
        <v/>
      </c>
      <c r="G72" s="28" t="str">
        <f t="shared" si="4"/>
        <v/>
      </c>
      <c r="H72" s="4" t="str">
        <f>IFERROR(IF(INDEX($A$30:$C$52,MATCH(Date_Debut_Anciennete+Carriere[[#Totals],[Pris en compte au 2/3]]+Carriere[[#Totals],[Pris en compte à 100%]],$A$30:$A$52,1),1)=$A72,"SALAIRE ET COEFFICIENT RETENU",""),"")</f>
        <v/>
      </c>
      <c r="I72" s="13"/>
    </row>
    <row r="73" spans="1:10" x14ac:dyDescent="0.2">
      <c r="E73" s="28"/>
      <c r="H73" s="4" t="str">
        <f>IFERROR(IF(INDEX($A$30:$C$52,MATCH(Date_Debut_Anciennete+Carriere[[#Totals],[Pris en compte au 2/3]]+Carriere[[#Totals],[Pris en compte à 100%]],$A$30:$A$52,1),1)=$A73,"SALAIRE ET COEFFICIENT RETENU",""),"")</f>
        <v/>
      </c>
      <c r="I73" s="13"/>
    </row>
    <row r="74" spans="1:10" x14ac:dyDescent="0.2">
      <c r="H74" s="4" t="str">
        <f>IFERROR(IF(INDEX($A$30:$C$52,MATCH(Date_Debut_Anciennete+Carriere[[#Totals],[Pris en compte au 2/3]]+Carriere[[#Totals],[Pris en compte à 100%]],$A$30:$A$52,1),1)=$A74,"SALAIRE ET COEFFICIENT RETENU",""),"")</f>
        <v/>
      </c>
      <c r="J74" s="13" t="str">
        <f>IF(ISNUMBER(D69),I74*0.77,"")</f>
        <v/>
      </c>
    </row>
    <row r="75" spans="1:10" x14ac:dyDescent="0.2">
      <c r="H75" s="4" t="str">
        <f>IFERROR(IF(INDEX($A$30:$C$52,MATCH(Date_Debut_Anciennete+Carriere[[#Totals],[Pris en compte au 2/3]]+Carriere[[#Totals],[Pris en compte à 100%]],$A$30:$A$52,1),1)=$A75,"SALAIRE ET COEFFICIENT RETENU",""),"")</f>
        <v/>
      </c>
      <c r="J75" s="13" t="str">
        <f>IF(ISNUMBER(D70),I75*0.77,"")</f>
        <v/>
      </c>
    </row>
    <row r="76" spans="1:10" x14ac:dyDescent="0.2">
      <c r="H76" s="4" t="str">
        <f>IFERROR(IF(INDEX($A$30:$C$52,MATCH(Date_Debut_Anciennete+Carriere[[#Totals],[Pris en compte au 2/3]]+Carriere[[#Totals],[Pris en compte à 100%]],$A$30:$A$52,1),1)=$A76,"SALAIRE ET COEFFICIENT RETENU",""),"")</f>
        <v/>
      </c>
      <c r="J76" s="13" t="str">
        <f>IF(ISNUMBER(D71),I76*0.77,"")</f>
        <v/>
      </c>
    </row>
    <row r="77" spans="1:10" x14ac:dyDescent="0.2">
      <c r="H77" s="4" t="str">
        <f>IFERROR(IF(INDEX($A$30:$C$52,MATCH(Date_Debut_Anciennete+Carriere[[#Totals],[Pris en compte au 2/3]]+Carriere[[#Totals],[Pris en compte à 100%]],$A$30:$A$52,1),1)=$A77,"SALAIRE ET COEFFICIENT RETENU",""),"")</f>
        <v/>
      </c>
      <c r="J77" s="13" t="str">
        <f>IF(ISNUMBER(D72),I77*0.77,"")</f>
        <v/>
      </c>
    </row>
    <row r="78" spans="1:10" x14ac:dyDescent="0.2">
      <c r="H78" s="4" t="str">
        <f>IFERROR(IF(INDEX($A$30:$C$52,MATCH(Date_Debut_Anciennete+Carriere[[#Totals],[Pris en compte au 2/3]]+Carriere[[#Totals],[Pris en compte à 100%]],$A$30:$A$52,1),1)=$A78,"SALAIRE ET COEFFICIENT RETENU",""),"")</f>
        <v/>
      </c>
    </row>
  </sheetData>
  <mergeCells count="5">
    <mergeCell ref="A1:H1"/>
    <mergeCell ref="A3:H3"/>
    <mergeCell ref="A5:H5"/>
    <mergeCell ref="A12:H12"/>
    <mergeCell ref="A18:H18"/>
  </mergeCells>
  <conditionalFormatting sqref="A51:G78 E42:G50 A30:D50">
    <cfRule type="expression" dxfId="5" priority="18">
      <formula>ISNUMBER($A30)</formula>
    </cfRule>
    <cfRule type="expression" dxfId="4" priority="25">
      <formula>INDEX($A$30:$C$52,MATCH($C$22+anciennete_retenue+IFERROR(IF(SEARCH("INFIRMIER",Metier,1),365,0),0),$A$30:$A$52,1),1)=$A30</formula>
    </cfRule>
  </conditionalFormatting>
  <conditionalFormatting sqref="D22">
    <cfRule type="expression" dxfId="3" priority="1">
      <formula>SEARCH("INFIRMIER",Metier,1)</formula>
    </cfRule>
  </conditionalFormatting>
  <dataValidations count="3">
    <dataValidation type="list" allowBlank="1" showInputMessage="1" showErrorMessage="1" sqref="A15" xr:uid="{75249258-FD09-4399-9502-04F86EFC0693}">
      <formula1>CCN66_ou_51_?</formula1>
    </dataValidation>
    <dataValidation type="date" operator="lessThanOrEqual" allowBlank="1" showInputMessage="1" showErrorMessage="1" errorTitle="date non cohérente" error="La date de début doit être inférieure ou égale à la date de fin." sqref="D15" xr:uid="{7D85E095-397F-4495-9BFC-819FA518F2D6}">
      <formula1>$E15</formula1>
    </dataValidation>
    <dataValidation type="date" operator="greaterThanOrEqual" allowBlank="1" showInputMessage="1" showErrorMessage="1" errorTitle="Date non cohérente" error="La date de fin doit être supérieure ou égale à la date de début" sqref="E15" xr:uid="{F2E7E1FE-E97F-438B-BEF1-681FCDD63850}">
      <formula1>$D15</formula1>
    </dataValidation>
  </dataValidations>
  <pageMargins left="0.7" right="0.7" top="0.75" bottom="0.75" header="0.3" footer="0.3"/>
  <pageSetup paperSize="9" scale="59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Ligne">
                <anchor moveWithCells="1" sizeWithCells="1">
                  <from>
                    <xdr:col>8</xdr:col>
                    <xdr:colOff>19050</xdr:colOff>
                    <xdr:row>15</xdr:row>
                    <xdr:rowOff>19050</xdr:rowOff>
                  </from>
                  <to>
                    <xdr:col>9</xdr:col>
                    <xdr:colOff>95250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Supprimer_Ligne">
                <anchor moveWithCells="1" sizeWithCells="1">
                  <from>
                    <xdr:col>9</xdr:col>
                    <xdr:colOff>533400</xdr:colOff>
                    <xdr:row>15</xdr:row>
                    <xdr:rowOff>9525</xdr:rowOff>
                  </from>
                  <to>
                    <xdr:col>11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A00E60-D80F-4FBD-8C78-BD64A38D2C53}">
          <x14:formula1>
            <xm:f>OFFSET(Tables!$X$1,0,0,COUNTA(Tables!$X:$X))</xm:f>
          </x14:formula1>
          <xm:sqref>C9</xm:sqref>
        </x14:dataValidation>
        <x14:dataValidation type="list" allowBlank="1" showInputMessage="1" showErrorMessage="1" xr:uid="{9F1BC46C-EAC5-4BF0-9CCB-4D3C379F551C}">
          <x14:formula1>
            <xm:f>OFFSET(Tables!$Q$1,0,0,COUNTA(Tables!$Q:$Q))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03182-AFAD-4DE2-BCD3-AC2D67C9D182}">
  <sheetPr codeName="Feuil12">
    <tabColor rgb="FFFFFF00"/>
    <pageSetUpPr fitToPage="1"/>
  </sheetPr>
  <dimension ref="A1:K78"/>
  <sheetViews>
    <sheetView showGridLines="0" showZeros="0" tabSelected="1" zoomScaleNormal="100" workbookViewId="0">
      <selection activeCell="A16" sqref="A16"/>
    </sheetView>
  </sheetViews>
  <sheetFormatPr baseColWidth="10" defaultColWidth="11.42578125" defaultRowHeight="12.75" x14ac:dyDescent="0.2"/>
  <cols>
    <col min="1" max="1" width="11.28515625" customWidth="1"/>
    <col min="2" max="2" width="36.42578125" customWidth="1"/>
    <col min="3" max="3" width="50.28515625" customWidth="1"/>
    <col min="4" max="4" width="13" customWidth="1"/>
    <col min="5" max="5" width="14.5703125" customWidth="1"/>
    <col min="6" max="6" width="21.28515625" customWidth="1"/>
    <col min="7" max="7" width="13.7109375" customWidth="1"/>
    <col min="8" max="8" width="14" customWidth="1"/>
    <col min="10" max="10" width="12.5703125" customWidth="1"/>
    <col min="11" max="11" width="10.7109375" customWidth="1"/>
  </cols>
  <sheetData>
    <row r="1" spans="1:8" ht="30" x14ac:dyDescent="0.2">
      <c r="A1" s="70" t="s">
        <v>0</v>
      </c>
      <c r="B1" s="70"/>
      <c r="C1" s="70"/>
      <c r="D1" s="70"/>
      <c r="E1" s="70"/>
      <c r="F1" s="70"/>
      <c r="G1" s="70"/>
      <c r="H1" s="70"/>
    </row>
    <row r="2" spans="1:8" x14ac:dyDescent="0.2">
      <c r="B2" s="1"/>
      <c r="C2" s="1"/>
      <c r="D2" s="1"/>
      <c r="E2" s="1"/>
      <c r="F2" s="1"/>
      <c r="G2" s="1"/>
    </row>
    <row r="3" spans="1:8" ht="18" x14ac:dyDescent="0.2">
      <c r="A3" s="71"/>
      <c r="B3" s="71"/>
      <c r="C3" s="71"/>
      <c r="D3" s="71"/>
      <c r="E3" s="71"/>
      <c r="F3" s="71"/>
      <c r="G3" s="71"/>
      <c r="H3" s="71"/>
    </row>
    <row r="4" spans="1:8" x14ac:dyDescent="0.2">
      <c r="B4" s="1"/>
      <c r="C4" s="1"/>
      <c r="D4" s="1"/>
      <c r="E4" s="1"/>
      <c r="F4" s="1"/>
      <c r="G4" s="1"/>
    </row>
    <row r="5" spans="1:8" ht="18.75" customHeight="1" x14ac:dyDescent="0.2">
      <c r="A5" s="72" t="s">
        <v>1</v>
      </c>
      <c r="B5" s="72"/>
      <c r="C5" s="72"/>
      <c r="D5" s="72"/>
      <c r="E5" s="72"/>
      <c r="F5" s="72"/>
      <c r="G5" s="72"/>
      <c r="H5" s="72"/>
    </row>
    <row r="6" spans="1:8" x14ac:dyDescent="0.2">
      <c r="B6" s="2"/>
      <c r="C6" s="2"/>
      <c r="D6" s="2"/>
      <c r="E6" s="2"/>
      <c r="F6" s="2"/>
      <c r="G6" s="1"/>
    </row>
    <row r="7" spans="1:8" ht="13.5" x14ac:dyDescent="0.2">
      <c r="B7" s="29" t="s">
        <v>2</v>
      </c>
      <c r="C7" s="58"/>
    </row>
    <row r="8" spans="1:8" ht="13.5" x14ac:dyDescent="0.2">
      <c r="B8" s="29" t="s">
        <v>3</v>
      </c>
      <c r="C8" s="67"/>
    </row>
    <row r="9" spans="1:8" ht="27" customHeight="1" x14ac:dyDescent="0.2">
      <c r="B9" s="29" t="s">
        <v>4</v>
      </c>
      <c r="C9" s="55" t="s">
        <v>47</v>
      </c>
    </row>
    <row r="10" spans="1:8" ht="13.5" x14ac:dyDescent="0.2">
      <c r="B10" s="29" t="s">
        <v>6</v>
      </c>
      <c r="C10" s="55" t="s">
        <v>43</v>
      </c>
    </row>
    <row r="11" spans="1:8" x14ac:dyDescent="0.2">
      <c r="B11" s="3"/>
      <c r="C11" s="3"/>
      <c r="D11" s="1"/>
      <c r="E11" s="5"/>
      <c r="F11" s="1"/>
      <c r="G11" s="1"/>
    </row>
    <row r="12" spans="1:8" ht="15" x14ac:dyDescent="0.2">
      <c r="A12" s="73" t="s">
        <v>7</v>
      </c>
      <c r="B12" s="73"/>
      <c r="C12" s="73"/>
      <c r="D12" s="73"/>
      <c r="E12" s="73"/>
      <c r="F12" s="73"/>
      <c r="G12" s="73"/>
      <c r="H12" s="73"/>
    </row>
    <row r="13" spans="1:8" x14ac:dyDescent="0.2">
      <c r="B13" s="1"/>
      <c r="C13" s="1"/>
      <c r="D13" s="1"/>
      <c r="E13" s="1"/>
      <c r="F13" s="1"/>
      <c r="G13" s="1"/>
    </row>
    <row r="14" spans="1:8" ht="38.25" x14ac:dyDescent="0.2">
      <c r="A14" s="43" t="s">
        <v>8</v>
      </c>
      <c r="B14" s="47" t="s">
        <v>9</v>
      </c>
      <c r="C14" s="47" t="s">
        <v>10</v>
      </c>
      <c r="D14" s="47" t="s">
        <v>11</v>
      </c>
      <c r="E14" s="43" t="s">
        <v>12</v>
      </c>
      <c r="F14" s="47" t="s">
        <v>13</v>
      </c>
      <c r="G14" s="43" t="s">
        <v>14</v>
      </c>
      <c r="H14" s="48" t="s">
        <v>15</v>
      </c>
    </row>
    <row r="15" spans="1:8" ht="21" customHeight="1" x14ac:dyDescent="0.2">
      <c r="A15" s="54"/>
      <c r="B15" s="63"/>
      <c r="C15" s="63"/>
      <c r="D15" s="45"/>
      <c r="E15" s="59"/>
      <c r="F15" s="46" t="str">
        <f>IF(OR(ISBLANK(Carriere2[[#This Row],[Date début]]),ISBLANK(Carriere2[[#This Row],[Date fin]])),"",(Carriere2[[#This Row],[Date fin]]-Carriere2[[#This Row],[Date début]]+1))</f>
        <v/>
      </c>
      <c r="G15" s="60" t="str">
        <f t="shared" ref="G15" si="0">IFERROR(IF($A15="non",$F15/3*2,""),"")</f>
        <v/>
      </c>
      <c r="H15" s="60" t="str">
        <f t="shared" ref="H15" si="1">IF($A15="oui",$F15,"")</f>
        <v/>
      </c>
    </row>
    <row r="16" spans="1:8" ht="21" customHeight="1" x14ac:dyDescent="0.2">
      <c r="A16" s="44" t="s">
        <v>17</v>
      </c>
      <c r="B16" s="49"/>
      <c r="C16" s="50"/>
      <c r="D16" s="50"/>
      <c r="E16" s="44"/>
      <c r="F16" s="51">
        <f>SUBTOTAL(109,Carriere2[Jours de travail])</f>
        <v>0</v>
      </c>
      <c r="G16" s="52">
        <f>SUBTOTAL(109,Carriere2[Pris en compte au 2/3])</f>
        <v>0</v>
      </c>
      <c r="H16" s="53">
        <f>SUBTOTAL(109,Carriere2[Pris en compte à 100%])</f>
        <v>0</v>
      </c>
    </row>
    <row r="17" spans="1:11" ht="21" customHeight="1" x14ac:dyDescent="0.25">
      <c r="A17" s="31"/>
      <c r="B17" s="30"/>
      <c r="C17" s="30"/>
      <c r="D17" s="30"/>
      <c r="E17" s="30"/>
      <c r="F17" s="42"/>
      <c r="G17" s="32"/>
      <c r="H17" s="41"/>
    </row>
    <row r="18" spans="1:11" ht="21" customHeight="1" x14ac:dyDescent="0.2">
      <c r="A18" s="73" t="s">
        <v>18</v>
      </c>
      <c r="B18" s="73"/>
      <c r="C18" s="73"/>
      <c r="D18" s="73"/>
      <c r="E18" s="73"/>
      <c r="F18" s="73"/>
      <c r="G18" s="73"/>
      <c r="H18" s="73"/>
    </row>
    <row r="19" spans="1:11" x14ac:dyDescent="0.2">
      <c r="A19" s="1"/>
      <c r="B19" s="1"/>
      <c r="C19" s="1"/>
      <c r="D19" s="1"/>
      <c r="E19" s="1"/>
      <c r="F19" s="1"/>
      <c r="G19" s="1"/>
      <c r="H19" s="1"/>
    </row>
    <row r="20" spans="1:11" s="1" customFormat="1" ht="13.5" x14ac:dyDescent="0.2">
      <c r="B20" s="35" t="s">
        <v>19</v>
      </c>
      <c r="C20" s="56"/>
      <c r="E20" s="7"/>
      <c r="G20" s="7"/>
      <c r="I20"/>
      <c r="J20"/>
      <c r="K20"/>
    </row>
    <row r="21" spans="1:11" s="1" customFormat="1" ht="13.5" x14ac:dyDescent="0.2">
      <c r="B21" s="35"/>
      <c r="C21" s="38"/>
      <c r="E21" s="7"/>
      <c r="I21"/>
      <c r="J21"/>
      <c r="K21"/>
    </row>
    <row r="22" spans="1:11" s="1" customFormat="1" ht="14.25" thickBot="1" x14ac:dyDescent="0.25">
      <c r="B22" s="35" t="s">
        <v>20</v>
      </c>
      <c r="C22" s="62">
        <f>Date_Entree_Sauvegarde-Carriere2[[#Totals],[Pris en compte au 2/3]]-Carriere2[[#Totals],[Pris en compte à 100%]]-IFERROR(IF(SEARCH("INFIRMIER",Metier,1),365,0),0)</f>
        <v>0</v>
      </c>
      <c r="D22" s="64" t="s">
        <v>21</v>
      </c>
      <c r="E22" s="7"/>
      <c r="I22" s="6"/>
      <c r="J22"/>
      <c r="K22"/>
    </row>
    <row r="23" spans="1:11" s="1" customFormat="1" ht="15" thickTop="1" thickBot="1" x14ac:dyDescent="0.25">
      <c r="B23" s="35" t="s">
        <v>22</v>
      </c>
      <c r="C23" s="61" t="str">
        <f>IF(ISBLANK(B30),"",B30)</f>
        <v/>
      </c>
      <c r="G23" s="57"/>
      <c r="I23"/>
      <c r="J23"/>
      <c r="K23"/>
    </row>
    <row r="24" spans="1:11" s="1" customFormat="1" ht="15" thickTop="1" thickBot="1" x14ac:dyDescent="0.25">
      <c r="B24" s="35" t="s">
        <v>23</v>
      </c>
      <c r="C24" s="61" t="str">
        <f>IFERROR(INDEX(Tableau_remuneration,MATCH(Date_Debut_Anciennete+Carriere2[[#Totals],[Pris en compte au 2/3]]+Carriere2[[#Totals],[Pris en compte à 100%]]+IFERROR(IF(SEARCH("INFIRMIER",Metier,1),365,0),0),A29:A52,1),2),"")</f>
        <v/>
      </c>
      <c r="D24" s="8"/>
      <c r="F24" s="9"/>
    </row>
    <row r="25" spans="1:11" s="1" customFormat="1" ht="14.25" thickTop="1" x14ac:dyDescent="0.2">
      <c r="B25" s="35"/>
      <c r="C25" s="39"/>
      <c r="F25" s="10"/>
    </row>
    <row r="26" spans="1:11" s="1" customFormat="1" ht="14.25" thickBot="1" x14ac:dyDescent="0.25">
      <c r="B26" s="36" t="s">
        <v>24</v>
      </c>
      <c r="C26" s="62" t="str">
        <f>IFERROR(DATE(YEAR(INDEX($A$30:$C$52,MATCH(Date_Debut_Anciennete+Carriere2[[#Totals],[Pris en compte au 2/3]]+Carriere2[[#Totals],[Pris en compte à 100%]]+IFERROR(IF(SEARCH("INFIRMIER",Metier,1),365,0),0),$A$30:$A$52,1),1))+INDEX($A$30:$C$52,MATCH(INDEX($A$30:$C$52,MATCH(Date_Debut_Anciennete+Carriere2[[#Totals],[Pris en compte au 2/3]]+Carriere2[[#Totals],[Pris en compte à 100%]]+IFERROR(IF(SEARCH("INFIRMIER",Metier,1),365,0),0),$A$30:$A$52,1),1),$A$30:$A$39,0),3),MONTH(INDEX($A$30:$C$52,MATCH(Date_Debut_Anciennete+Carriere2[[#Totals],[Pris en compte au 2/3]]+Carriere2[[#Totals],[Pris en compte à 100%]]+IFERROR(IF(SEARCH("INFIRMIER",Metier,1),365,0),0),$A$30:$A$52,1),1)),DAY(INDEX($A$30:$C$52,MATCH(Date_Debut_Anciennete+Carriere2[[#Totals],[Pris en compte au 2/3]]+Carriere2[[#Totals],[Pris en compte à 100%]],$A$30:$A$52,1),1))),"")</f>
        <v/>
      </c>
    </row>
    <row r="27" spans="1:11" s="1" customFormat="1" ht="15" thickTop="1" thickBot="1" x14ac:dyDescent="0.25">
      <c r="B27" s="37" t="s">
        <v>25</v>
      </c>
      <c r="C27" s="61" t="str">
        <f>DATEDIF(Date_Debut_Anciennete,Date_Entree_Sauvegarde,"y")&amp;" ans, "&amp;DATEDIF(Date_Debut_Anciennete,Date_Entree_Sauvegarde,"ym")&amp;" mois et "&amp;DATEDIF(Date_Debut_Anciennete,Date_Entree_Sauvegarde,"md")&amp;" jours"</f>
        <v>0 ans, 0 mois et 0 jours</v>
      </c>
    </row>
    <row r="28" spans="1:11" s="1" customFormat="1" ht="13.5" thickTop="1" x14ac:dyDescent="0.2">
      <c r="C28" s="66" t="str">
        <f>"de début"</f>
        <v>de début</v>
      </c>
    </row>
    <row r="29" spans="1:11" s="1" customFormat="1" ht="49.5" x14ac:dyDescent="0.2">
      <c r="A29" s="40" t="s">
        <v>26</v>
      </c>
      <c r="B29" s="40" t="s">
        <v>27</v>
      </c>
      <c r="C29" s="40" t="s">
        <v>28</v>
      </c>
      <c r="D29" s="40" t="s">
        <v>29</v>
      </c>
      <c r="E29"/>
    </row>
    <row r="30" spans="1:11" ht="13.5" x14ac:dyDescent="0.25">
      <c r="A30" s="33" t="str">
        <f>IF(ISNUMBER(B30),DATE(YEAR(C22),MONTH($C$22),1),"")</f>
        <v/>
      </c>
      <c r="B30" s="34" t="str">
        <f>IFERROR(INDEX(Grille[],MATCH(ROW(A1),Grille[CORRESPONDANCE GRILLE METIER],0),3),"")</f>
        <v/>
      </c>
      <c r="C30" s="34" t="str">
        <f>IFERROR(INDEX(Grille[],MATCH(ROW(A2),Grille[CORRESPONDANCE GRILLE METIER],0),2),"")</f>
        <v/>
      </c>
      <c r="D30" s="34" t="str">
        <f>IF(ISNUMBER($A$30),"de début","")</f>
        <v/>
      </c>
      <c r="E30" s="9" t="str">
        <f>IFERROR(IF(INDEX($A$30:$C$52,MATCH(Date_Debut_Anciennete+Carriere2[[#Totals],[Pris en compte au 2/3]]+Carriere2[[#Totals],[Pris en compte à 100%]]+IFERROR(IF(SEARCH("INFIRMIER",Metier,1),365,0),0),$A$30:$A$52,1),1)=$A30,"SALAIRE ET COEFFICIENT RETENU",""),"")</f>
        <v/>
      </c>
      <c r="F30" s="57"/>
      <c r="G30" s="1"/>
      <c r="H30" s="1"/>
    </row>
    <row r="31" spans="1:11" ht="13.5" x14ac:dyDescent="0.25">
      <c r="A31" s="33" t="str">
        <f t="shared" ref="A31:A72" si="2">IF(ISNUMBER(B31),DATE(YEAR(A30)+C30,MONTH($C$22),1),"")</f>
        <v/>
      </c>
      <c r="B31" s="34" t="str">
        <f>IFERROR(INDEX(Grille[],MATCH(ROW(A2),Grille[CORRESPONDANCE GRILLE METIER],0),3),"")</f>
        <v/>
      </c>
      <c r="C31" s="34" t="str">
        <f>IFERROR(INDEX(Grille[],MATCH(ROW(A3),Grille[CORRESPONDANCE GRILLE METIER],0),2)-SUM($C$30:C30),"")</f>
        <v/>
      </c>
      <c r="D31" s="65" t="str">
        <f>C30</f>
        <v/>
      </c>
      <c r="E31" s="9" t="str">
        <f>IFERROR(IF(INDEX($A$30:$C$52,MATCH(Date_Debut_Anciennete+Carriere2[[#Totals],[Pris en compte au 2/3]]+Carriere2[[#Totals],[Pris en compte à 100%]]+IFERROR(IF(SEARCH("INFIRMIER",Metier,1),365,0),0),$A$30:$A$52,1),1)=$A31,"SALAIRE ET COEFFICIENT RETENU",""),"")</f>
        <v/>
      </c>
      <c r="F31" s="1"/>
      <c r="G31" s="1"/>
      <c r="H31" s="1"/>
    </row>
    <row r="32" spans="1:11" ht="13.5" x14ac:dyDescent="0.25">
      <c r="A32" s="33" t="str">
        <f t="shared" si="2"/>
        <v/>
      </c>
      <c r="B32" s="34" t="str">
        <f>IFERROR(INDEX(Grille[],MATCH(ROW(A3),Grille[CORRESPONDANCE GRILLE METIER],0),3),"")</f>
        <v/>
      </c>
      <c r="C32" s="34" t="str">
        <f>IFERROR(INDEX(Grille[],MATCH(ROW(A4),Grille[CORRESPONDANCE GRILLE METIER],0),2)-SUM($C$30:C31),"")</f>
        <v/>
      </c>
      <c r="D32" s="65" t="str">
        <f>IF(C31="","",(SUM($C$30:C31)))</f>
        <v/>
      </c>
      <c r="E32" s="9" t="str">
        <f>IFERROR(IF(INDEX($A$30:$C$52,MATCH(Date_Debut_Anciennete+Carriere2[[#Totals],[Pris en compte au 2/3]]+Carriere2[[#Totals],[Pris en compte à 100%]]+IFERROR(IF(SEARCH("INFIRMIER",Metier,1),365,0),0),$A$30:$A$52,1),1)=$A32,"SALAIRE ET COEFFICIENT RETENU",""),"")</f>
        <v/>
      </c>
      <c r="F32" s="1"/>
      <c r="G32" s="1"/>
      <c r="H32" s="1"/>
    </row>
    <row r="33" spans="1:9" ht="13.5" x14ac:dyDescent="0.25">
      <c r="A33" s="33" t="str">
        <f t="shared" si="2"/>
        <v/>
      </c>
      <c r="B33" s="34" t="str">
        <f>IFERROR(INDEX(Grille[],MATCH(ROW(A4),Grille[CORRESPONDANCE GRILLE METIER],0),3),"")</f>
        <v/>
      </c>
      <c r="C33" s="34" t="str">
        <f>IFERROR(INDEX(Grille[],MATCH(ROW(A5),Grille[CORRESPONDANCE GRILLE METIER],0),2)-SUM($C$30:C32),"")</f>
        <v/>
      </c>
      <c r="D33" s="65" t="str">
        <f>IF(C32="","",(SUM($C$30:C32)))</f>
        <v/>
      </c>
      <c r="E33" s="9" t="str">
        <f>IFERROR(IF(INDEX($A$30:$C$52,MATCH(Date_Debut_Anciennete+Carriere2[[#Totals],[Pris en compte au 2/3]]+Carriere2[[#Totals],[Pris en compte à 100%]]+IFERROR(IF(SEARCH("INFIRMIER",Metier,1),365,0),0),$A$30:$A$52,1),1)=$A33,"SALAIRE ET COEFFICIENT RETENU",""),"")</f>
        <v/>
      </c>
      <c r="F33" s="1"/>
      <c r="G33" s="1"/>
      <c r="H33" s="1"/>
    </row>
    <row r="34" spans="1:9" ht="13.5" x14ac:dyDescent="0.25">
      <c r="A34" s="33" t="str">
        <f t="shared" si="2"/>
        <v/>
      </c>
      <c r="B34" s="34" t="str">
        <f>IFERROR(INDEX(Grille[],MATCH(ROW(A5),Grille[CORRESPONDANCE GRILLE METIER],0),3),"")</f>
        <v/>
      </c>
      <c r="C34" s="34" t="str">
        <f>IFERROR(INDEX(Grille[],MATCH(ROW(A6),Grille[CORRESPONDANCE GRILLE METIER],0),2)-SUM($C$30:C33),"")</f>
        <v/>
      </c>
      <c r="D34" s="65" t="str">
        <f>IF(C33="","",(SUM($C$30:C33)))</f>
        <v/>
      </c>
      <c r="E34" s="9" t="str">
        <f>IFERROR(IF(INDEX($A$30:$C$52,MATCH(Date_Debut_Anciennete+Carriere2[[#Totals],[Pris en compte au 2/3]]+Carriere2[[#Totals],[Pris en compte à 100%]]+IFERROR(IF(SEARCH("INFIRMIER",Metier,1),365,0),0),$A$30:$A$52,1),1)=$A34,"SALAIRE ET COEFFICIENT RETENU",""),"")</f>
        <v/>
      </c>
      <c r="F34" s="57"/>
      <c r="G34" s="1"/>
    </row>
    <row r="35" spans="1:9" ht="13.5" x14ac:dyDescent="0.25">
      <c r="A35" s="33" t="str">
        <f t="shared" si="2"/>
        <v/>
      </c>
      <c r="B35" s="34" t="str">
        <f>IFERROR(INDEX(Grille[],MATCH(ROW(A6),Grille[CORRESPONDANCE GRILLE METIER],0),3),"")</f>
        <v/>
      </c>
      <c r="C35" s="34" t="str">
        <f>IFERROR(INDEX(Grille[],MATCH(ROW(A7),Grille[CORRESPONDANCE GRILLE METIER],0),2)-SUM($C$30:C34),"")</f>
        <v/>
      </c>
      <c r="D35" s="65" t="str">
        <f>IF(C34="","",(SUM($C$30:C34)))</f>
        <v/>
      </c>
      <c r="E35" s="9" t="str">
        <f>IFERROR(IF(INDEX($A$30:$C$52,MATCH(Date_Debut_Anciennete+Carriere2[[#Totals],[Pris en compte au 2/3]]+Carriere2[[#Totals],[Pris en compte à 100%]]+IFERROR(IF(SEARCH("INFIRMIER",Metier,1),365,0),0),$A$30:$A$52,1),1)=$A35,"SALAIRE ET COEFFICIENT RETENU",""),"")</f>
        <v/>
      </c>
      <c r="F35" s="1"/>
      <c r="G35" s="1"/>
    </row>
    <row r="36" spans="1:9" ht="13.5" x14ac:dyDescent="0.25">
      <c r="A36" s="33" t="str">
        <f t="shared" si="2"/>
        <v/>
      </c>
      <c r="B36" s="34" t="str">
        <f>IFERROR(INDEX(Grille[],MATCH(ROW(A7),Grille[CORRESPONDANCE GRILLE METIER],0),3),"")</f>
        <v/>
      </c>
      <c r="C36" s="34" t="str">
        <f>IFERROR(INDEX(Grille[],MATCH(ROW(A8),Grille[CORRESPONDANCE GRILLE METIER],0),2)-SUM($C$30:C35),"")</f>
        <v/>
      </c>
      <c r="D36" s="65" t="str">
        <f>IF(C35="","",(SUM($C$30:C35)))</f>
        <v/>
      </c>
      <c r="E36" s="9" t="str">
        <f>IFERROR(IF(INDEX($A$30:$C$52,MATCH(Date_Debut_Anciennete+Carriere2[[#Totals],[Pris en compte au 2/3]]+Carriere2[[#Totals],[Pris en compte à 100%]]+IFERROR(IF(SEARCH("INFIRMIER",Metier,1),365,0),0),$A$30:$A$52,1),1)=$A36,"SALAIRE ET COEFFICIENT RETENU",""),"")</f>
        <v/>
      </c>
      <c r="F36" s="1"/>
      <c r="G36" s="1"/>
    </row>
    <row r="37" spans="1:9" ht="13.5" x14ac:dyDescent="0.25">
      <c r="A37" s="33" t="str">
        <f t="shared" si="2"/>
        <v/>
      </c>
      <c r="B37" s="34" t="str">
        <f>IFERROR(INDEX(Grille[],MATCH(ROW(A8),Grille[CORRESPONDANCE GRILLE METIER],0),3),"")</f>
        <v/>
      </c>
      <c r="C37" s="34" t="str">
        <f>IFERROR(INDEX(Grille[],MATCH(ROW(A9),Grille[CORRESPONDANCE GRILLE METIER],0),2)-SUM($C$30:C36),"")</f>
        <v/>
      </c>
      <c r="D37" s="65" t="str">
        <f>IF(C36="","",(SUM($C$30:C36)))</f>
        <v/>
      </c>
      <c r="E37" s="9" t="str">
        <f>IFERROR(IF(INDEX($A$30:$C$52,MATCH(Date_Debut_Anciennete+Carriere2[[#Totals],[Pris en compte au 2/3]]+Carriere2[[#Totals],[Pris en compte à 100%]]+IFERROR(IF(SEARCH("INFIRMIER",Metier,1),365,0),0),$A$30:$A$52,1),1)=$A37,"SALAIRE ET COEFFICIENT RETENU",""),"")</f>
        <v/>
      </c>
      <c r="F37" s="1"/>
      <c r="G37" s="1"/>
    </row>
    <row r="38" spans="1:9" ht="13.5" x14ac:dyDescent="0.25">
      <c r="A38" s="33" t="str">
        <f t="shared" si="2"/>
        <v/>
      </c>
      <c r="B38" s="34" t="str">
        <f>IFERROR(INDEX(Grille[],MATCH(ROW(A9),Grille[CORRESPONDANCE GRILLE METIER],0),3),"")</f>
        <v/>
      </c>
      <c r="C38" s="34" t="str">
        <f>IFERROR(INDEX(Grille[],MATCH(ROW(A10),Grille[CORRESPONDANCE GRILLE METIER],0),2)-SUM($C$30:C37),"")</f>
        <v/>
      </c>
      <c r="D38" s="65" t="str">
        <f>IF(C37="","",(SUM($C$30:C37)))</f>
        <v/>
      </c>
      <c r="E38" s="9" t="str">
        <f>IFERROR(IF(INDEX($A$30:$C$52,MATCH(Date_Debut_Anciennete+Carriere2[[#Totals],[Pris en compte au 2/3]]+Carriere2[[#Totals],[Pris en compte à 100%]]+IFERROR(IF(SEARCH("INFIRMIER",Metier,1),365,0),0),$A$30:$A$52,1),1)=$A38,"SALAIRE ET COEFFICIENT RETENU",""),"")</f>
        <v/>
      </c>
      <c r="F38" s="57"/>
      <c r="G38" s="1"/>
    </row>
    <row r="39" spans="1:9" ht="13.5" x14ac:dyDescent="0.25">
      <c r="A39" s="33" t="str">
        <f t="shared" si="2"/>
        <v/>
      </c>
      <c r="B39" s="34" t="str">
        <f>IFERROR(INDEX(Grille[],MATCH(ROW(A10),Grille[CORRESPONDANCE GRILLE METIER],0),3),"")</f>
        <v/>
      </c>
      <c r="C39" s="34" t="str">
        <f>IFERROR(INDEX(Grille[],MATCH(ROW(A11),Grille[CORRESPONDANCE GRILLE METIER],0),2)-SUM($C$30:C38),"")</f>
        <v/>
      </c>
      <c r="D39" s="65" t="str">
        <f>IF(C38="","",(SUM($C$30:C38)))</f>
        <v/>
      </c>
      <c r="E39" s="9" t="str">
        <f>IFERROR(IF(INDEX($A$30:$C$52,MATCH(Date_Debut_Anciennete+Carriere2[[#Totals],[Pris en compte au 2/3]]+Carriere2[[#Totals],[Pris en compte à 100%]]+IFERROR(IF(SEARCH("INFIRMIER",Metier,1),365,0),0),$A$30:$A$52,1),1)=$A39,"SALAIRE ET COEFFICIENT RETENU",""),"")</f>
        <v/>
      </c>
      <c r="F39" s="1"/>
      <c r="G39" s="1"/>
    </row>
    <row r="40" spans="1:9" ht="13.5" x14ac:dyDescent="0.25">
      <c r="A40" s="33" t="str">
        <f t="shared" si="2"/>
        <v/>
      </c>
      <c r="B40" s="34" t="str">
        <f>IFERROR(INDEX(Grille[],MATCH(ROW(A11),Grille[CORRESPONDANCE GRILLE METIER],0),3),"")</f>
        <v/>
      </c>
      <c r="C40" s="34" t="str">
        <f>IFERROR(INDEX(Grille[],MATCH(ROW(A12),Grille[CORRESPONDANCE GRILLE METIER],0),2)-SUM($C$30:C39),"")</f>
        <v/>
      </c>
      <c r="D40" s="65" t="str">
        <f>IF(C39="","",(SUM($C$30:C39)))</f>
        <v/>
      </c>
      <c r="E40" s="9" t="str">
        <f>IFERROR(IF(INDEX($A$30:$C$52,MATCH(Date_Debut_Anciennete+Carriere2[[#Totals],[Pris en compte au 2/3]]+Carriere2[[#Totals],[Pris en compte à 100%]]+IFERROR(IF(SEARCH("INFIRMIER",Metier,1),365,0),0),$A$30:$A$52,1),1)=$A40,"SALAIRE ET COEFFICIENT RETENU",""),"")</f>
        <v/>
      </c>
      <c r="F40" s="1"/>
      <c r="G40" s="1"/>
    </row>
    <row r="41" spans="1:9" ht="13.5" x14ac:dyDescent="0.25">
      <c r="A41" s="33" t="str">
        <f t="shared" si="2"/>
        <v/>
      </c>
      <c r="B41" s="34" t="str">
        <f>IFERROR(INDEX(Grille[],MATCH(ROW(A12),Grille[CORRESPONDANCE GRILLE METIER],0),3),"")</f>
        <v/>
      </c>
      <c r="C41" s="34" t="str">
        <f>IFERROR(INDEX(Grille[],MATCH(ROW(A13),Grille[CORRESPONDANCE GRILLE METIER],0),2)-SUM($C$30:C40),"")</f>
        <v/>
      </c>
      <c r="D41" s="65" t="str">
        <f>IF(C40="","",(SUM($C$30:C40)))</f>
        <v/>
      </c>
      <c r="E41" s="9" t="str">
        <f>IFERROR(IF(INDEX($A$30:$C$52,MATCH(Date_Debut_Anciennete+Carriere2[[#Totals],[Pris en compte au 2/3]]+Carriere2[[#Totals],[Pris en compte à 100%]]+IFERROR(IF(SEARCH("INFIRMIER",Metier,1),365,0),0),$A$30:$A$52,1),1)=$A41,"SALAIRE ET COEFFICIENT RETENU",""),"")</f>
        <v/>
      </c>
      <c r="F41" s="1"/>
      <c r="G41" s="1"/>
    </row>
    <row r="42" spans="1:9" ht="13.5" x14ac:dyDescent="0.25">
      <c r="A42" s="33" t="str">
        <f t="shared" si="2"/>
        <v/>
      </c>
      <c r="B42" s="34" t="str">
        <f>IFERROR(INDEX(Grille[],MATCH(ROW(A13),Grille[CORRESPONDANCE GRILLE METIER],0),3),"")</f>
        <v/>
      </c>
      <c r="C42" s="34" t="str">
        <f>IFERROR(INDEX(Grille[],MATCH(ROW(A14),Grille[CORRESPONDANCE GRILLE METIER],0),2)-SUM($C$30:C41),"")</f>
        <v/>
      </c>
      <c r="D42" s="65" t="str">
        <f>IF(C41="","",(SUM($C$30:C41)))</f>
        <v/>
      </c>
      <c r="E42" s="9" t="str">
        <f>IF(ISNUMBER(B42),(B42*Valeur_du_Point*Temps_travail_hebdo/35+IF(INDEX(Postes[CADRE],MATCH(Metier,Postes[libellé poste],0),1)=TRUE,0,B42*Valeur_du_Point*Taux_ISSP*Temps_travail_hebdo/35)+ISSUPL*Valeur_du_Point+IF(INDEX(Postes[ISP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2" s="28" t="str">
        <f t="shared" ref="F42:F68" si="3">IF(ISNUMBER(E42),E42/12,"")</f>
        <v/>
      </c>
      <c r="G42" s="28" t="str">
        <f t="shared" ref="G42:G72" si="4">IF(ISNUMBER(B42),(F42-AN)*0.77,"")</f>
        <v/>
      </c>
      <c r="H42" s="4" t="str">
        <f>IFERROR(IF(INDEX($A$30:$C$52,MATCH(Date_Debut_Anciennete+Carriere2[[#Totals],[Pris en compte au 2/3]]+Carriere2[[#Totals],[Pris en compte à 100%]]+IFERROR(IF(SEARCH("INFIRMIER",Metier,1),365,0),0),$A$30:$A$52,1),1)=$A42,"SALAIRE ET COEFFICIENT RETENU",""),"")</f>
        <v/>
      </c>
    </row>
    <row r="43" spans="1:9" ht="13.5" x14ac:dyDescent="0.25">
      <c r="A43" s="33" t="str">
        <f t="shared" si="2"/>
        <v/>
      </c>
      <c r="B43" s="12" t="str">
        <f>IFERROR(INDEX(Grille[],MATCH(ROW(A13),Grille[CORRESPONDANCE GRILLE METIER],0),3),"")</f>
        <v/>
      </c>
      <c r="C43" s="34" t="str">
        <f>IFERROR(INDEX(Grille[],MATCH(ROW(A15),Grille[CORRESPONDANCE GRILLE METIER],0),2)-SUM($C$30:C42),"")</f>
        <v/>
      </c>
      <c r="D43" s="65" t="str">
        <f>IF(C42="","",(SUM($C$30:C42)))</f>
        <v/>
      </c>
      <c r="E43" s="9" t="str">
        <f>IF(ISNUMBER(B43),(B43*Valeur_du_Point*Temps_travail_hebdo/35+IF(INDEX(Postes[CADRE],MATCH(Metier,Postes[libellé poste],0),1)=TRUE,0,B43*Valeur_du_Point*Taux_ISSP*Temps_travail_hebdo/35)+ISSUPL*Valeur_du_Point+IF(INDEX(Postes[ISP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3" s="28" t="str">
        <f t="shared" si="3"/>
        <v/>
      </c>
      <c r="G43" s="28" t="str">
        <f t="shared" si="4"/>
        <v/>
      </c>
      <c r="H43" s="4" t="str">
        <f>IFERROR(IF(INDEX($A$30:$C$52,MATCH(Date_Debut_Anciennete+Carriere2[[#Totals],[Pris en compte au 2/3]]+Carriere2[[#Totals],[Pris en compte à 100%]]+IFERROR(IF(SEARCH("INFIRMIER",Metier,1),365,0),0),$A$30:$A$52,1),1)=$A43,"SALAIRE ET COEFFICIENT RETENU",""),"")</f>
        <v/>
      </c>
    </row>
    <row r="44" spans="1:9" ht="13.5" x14ac:dyDescent="0.25">
      <c r="A44" s="33" t="str">
        <f t="shared" si="2"/>
        <v/>
      </c>
      <c r="B44" s="12" t="str">
        <f>IFERROR(INDEX(Grille[],MATCH(ROW(A14),Grille[CORRESPONDANCE GRILLE METIER],0),3),"")</f>
        <v/>
      </c>
      <c r="C44" s="34" t="str">
        <f>IFERROR(INDEX(Grille[],MATCH(ROW(#REF!),Grille[CORRESPONDANCE GRILLE METIER],0),2)-SUM($C$30:C43),"")</f>
        <v/>
      </c>
      <c r="D44" s="65" t="str">
        <f>IF(C43="","",(SUM($C$30:C43)))</f>
        <v/>
      </c>
      <c r="E44" s="9" t="str">
        <f>IF(ISNUMBER(B44),(B44*Valeur_du_Point*Temps_travail_hebdo/35+IF(INDEX(Postes[CADRE],MATCH(Metier,Postes[libellé poste],0),1)=TRUE,0,B44*Valeur_du_Point*Taux_ISSP*Temps_travail_hebdo/35)+ISSUPL*Valeur_du_Point+IF(INDEX(Postes[ISP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4" s="28" t="str">
        <f t="shared" si="3"/>
        <v/>
      </c>
      <c r="G44" s="28" t="str">
        <f t="shared" si="4"/>
        <v/>
      </c>
      <c r="H44" s="4" t="str">
        <f>IFERROR(IF(INDEX($A$30:$C$52,MATCH(Date_Debut_Anciennete+Carriere2[[#Totals],[Pris en compte au 2/3]]+Carriere2[[#Totals],[Pris en compte à 100%]]+IFERROR(IF(SEARCH("INFIRMIER",Metier,1),365,0),0),$A$30:$A$52,1),1)=$A44,"SALAIRE ET COEFFICIENT RETENU",""),"")</f>
        <v/>
      </c>
    </row>
    <row r="45" spans="1:9" ht="13.5" x14ac:dyDescent="0.25">
      <c r="A45" s="33" t="str">
        <f t="shared" si="2"/>
        <v/>
      </c>
      <c r="B45" s="12" t="str">
        <f>IFERROR(INDEX(Grille[],MATCH(ROW(A15),Grille[CORRESPONDANCE GRILLE METIER],0),3),"")</f>
        <v/>
      </c>
      <c r="C45" s="34" t="str">
        <f>IFERROR(INDEX(Grille[],MATCH(ROW(#REF!),Grille[CORRESPONDANCE GRILLE METIER],0),2)-SUM($C$30:C44),"")</f>
        <v/>
      </c>
      <c r="D45" s="65" t="str">
        <f>IF(C44="","",(SUM($C$30:C44)))</f>
        <v/>
      </c>
      <c r="E45" s="9" t="str">
        <f>IF(ISNUMBER(B45),(B45*Valeur_du_Point*Temps_travail_hebdo/35+IF(INDEX(Postes[CADRE],MATCH(Metier,Postes[libellé poste],0),1)=TRUE,0,B45*Valeur_du_Point*Taux_ISSP*Temps_travail_hebdo/35)+ISSUPL*Valeur_du_Point+IF(INDEX(Postes[ISP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5" s="28" t="str">
        <f t="shared" si="3"/>
        <v/>
      </c>
      <c r="G45" s="28" t="str">
        <f t="shared" si="4"/>
        <v/>
      </c>
      <c r="H45" s="4" t="str">
        <f>IFERROR(IF(INDEX($A$30:$C$52,MATCH(Date_Debut_Anciennete+Carriere2[[#Totals],[Pris en compte au 2/3]]+Carriere2[[#Totals],[Pris en compte à 100%]]+IFERROR(IF(SEARCH("INFIRMIER",Metier,1),365,0),0),$A$30:$A$52,1),1)=$A45,"SALAIRE ET COEFFICIENT RETENU",""),"")</f>
        <v/>
      </c>
      <c r="I45" s="13"/>
    </row>
    <row r="46" spans="1:9" ht="13.5" x14ac:dyDescent="0.25">
      <c r="A46" s="11" t="str">
        <f t="shared" si="2"/>
        <v/>
      </c>
      <c r="B46" s="12" t="str">
        <f>IFERROR(INDEX(Grille[],MATCH(ROW(#REF!),Grille[CORRESPONDANCE GRILLE METIER],0),3),"")</f>
        <v/>
      </c>
      <c r="C46" s="34" t="str">
        <f>IFERROR(INDEX(Grille[],MATCH(ROW(#REF!),Grille[CORRESPONDANCE GRILLE METIER],0),2)-SUM($C$30:C45),"")</f>
        <v/>
      </c>
      <c r="D46" s="65" t="str">
        <f>IF(C45="","",(SUM($C$30:C45)))</f>
        <v/>
      </c>
      <c r="E46" s="9" t="str">
        <f>IF(ISNUMBER(B46),(B46*Valeur_du_Point*Temps_travail_hebdo/35+IF(INDEX(Postes[CADRE],MATCH(Metier,Postes[libellé poste],0),1)=TRUE,0,B46*Valeur_du_Point*Taux_ISSP*Temps_travail_hebdo/35)+ISSUPL*Valeur_du_Point+IF(INDEX(Postes[ISP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6" s="28" t="str">
        <f t="shared" si="3"/>
        <v/>
      </c>
      <c r="G46" s="28" t="str">
        <f t="shared" si="4"/>
        <v/>
      </c>
      <c r="H46" s="4" t="str">
        <f>IFERROR(IF(INDEX($A$30:$C$52,MATCH(Date_Debut_Anciennete+Carriere2[[#Totals],[Pris en compte au 2/3]]+Carriere2[[#Totals],[Pris en compte à 100%]]+IFERROR(IF(SEARCH("INFIRMIER",Metier,1),365,0),0),$A$30:$A$52,1),1)=$A46,"SALAIRE ET COEFFICIENT RETENU",""),"")</f>
        <v/>
      </c>
      <c r="I46" s="13"/>
    </row>
    <row r="47" spans="1:9" ht="13.5" x14ac:dyDescent="0.25">
      <c r="A47" s="11" t="str">
        <f t="shared" si="2"/>
        <v/>
      </c>
      <c r="B47" s="12" t="str">
        <f>IFERROR(INDEX(Grille[],MATCH(ROW(#REF!),Grille[CORRESPONDANCE GRILLE METIER],0),3),"")</f>
        <v/>
      </c>
      <c r="C47" s="34" t="str">
        <f>IFERROR(INDEX(Grille[],MATCH(ROW(A18),Grille[CORRESPONDANCE GRILLE METIER],0),2)-SUM($C$30:C46),"")</f>
        <v/>
      </c>
      <c r="D47" s="65" t="str">
        <f>IF(C46="","",(SUM($C$30:C46)))</f>
        <v/>
      </c>
      <c r="E47" s="9" t="str">
        <f>IF(ISNUMBER(B47),(B47*Valeur_du_Point*Temps_travail_hebdo/35+IF(INDEX(Postes[CADRE],MATCH(Metier,Postes[libellé poste],0),1)=TRUE,0,B47*Valeur_du_Point*Taux_ISSP*Temps_travail_hebdo/35)+ISSUPL*Valeur_du_Point+IF(INDEX(Postes[ISP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7" s="28" t="str">
        <f t="shared" si="3"/>
        <v/>
      </c>
      <c r="G47" s="28" t="str">
        <f t="shared" si="4"/>
        <v/>
      </c>
      <c r="H47" s="4" t="str">
        <f>IFERROR(IF(INDEX($A$30:$C$52,MATCH(Date_Debut_Anciennete+Carriere2[[#Totals],[Pris en compte au 2/3]]+Carriere2[[#Totals],[Pris en compte à 100%]]+IFERROR(IF(SEARCH("INFIRMIER",Metier,1),365,0),0),$A$30:$A$52,1),1)=$A47,"SALAIRE ET COEFFICIENT RETENU",""),"")</f>
        <v/>
      </c>
      <c r="I47" s="13"/>
    </row>
    <row r="48" spans="1:9" ht="13.5" x14ac:dyDescent="0.25">
      <c r="A48" s="11" t="str">
        <f t="shared" si="2"/>
        <v/>
      </c>
      <c r="B48" s="12" t="str">
        <f>IFERROR(INDEX(Grille[],MATCH(ROW(#REF!),Grille[CORRESPONDANCE GRILLE METIER],0),3),"")</f>
        <v/>
      </c>
      <c r="C48" s="34" t="str">
        <f>IFERROR(INDEX(Grille[],MATCH(ROW(A19),Grille[CORRESPONDANCE GRILLE METIER],0),2)-SUM($C$30:C47),"")</f>
        <v/>
      </c>
      <c r="D48" s="65" t="str">
        <f>IF(C47="","",(SUM($C$30:C47)))</f>
        <v/>
      </c>
      <c r="E48" s="9" t="str">
        <f>IF(ISNUMBER(B48),(B48*Valeur_du_Point*Temps_travail_hebdo/35+IF(INDEX(Postes[CADRE],MATCH(Metier,Postes[libellé poste],0),1)=TRUE,0,B48*Valeur_du_Point*Taux_ISSP*Temps_travail_hebdo/35)+ISSUPL*Valeur_du_Point+IF(INDEX(Postes[ISP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8" s="28" t="str">
        <f t="shared" si="3"/>
        <v/>
      </c>
      <c r="G48" s="28" t="str">
        <f t="shared" si="4"/>
        <v/>
      </c>
      <c r="H48" s="4" t="str">
        <f>IFERROR(IF(INDEX($A$30:$C$52,MATCH(Date_Debut_Anciennete+Carriere2[[#Totals],[Pris en compte au 2/3]]+Carriere2[[#Totals],[Pris en compte à 100%]]+IFERROR(IF(SEARCH("INFIRMIER",Metier,1),365,0),0),$A$30:$A$52,1),1)=$A48,"SALAIRE ET COEFFICIENT RETENU",""),"")</f>
        <v/>
      </c>
      <c r="I48" s="13"/>
    </row>
    <row r="49" spans="1:9" ht="13.5" x14ac:dyDescent="0.25">
      <c r="A49" s="11" t="str">
        <f t="shared" si="2"/>
        <v/>
      </c>
      <c r="B49" s="12" t="str">
        <f>IFERROR(INDEX(Grille[],MATCH(ROW(#REF!),Grille[CORRESPONDANCE GRILLE METIER],0),3),"")</f>
        <v/>
      </c>
      <c r="C49" s="34" t="str">
        <f>IFERROR(INDEX(Grille[],MATCH(ROW(A20),Grille[CORRESPONDANCE GRILLE METIER],0),2)-SUM($C$30:C48),"")</f>
        <v/>
      </c>
      <c r="D49" s="65" t="str">
        <f>IF(C48="","",(SUM($C$30:C48)))</f>
        <v/>
      </c>
      <c r="E49" s="9" t="str">
        <f>IF(ISNUMBER(B49),(B49*Valeur_du_Point*Temps_travail_hebdo/35+IF(INDEX(Postes[CADRE],MATCH(Metier,Postes[libellé poste],0),1)=TRUE,0,B49*Valeur_du_Point*Taux_ISSP*Temps_travail_hebdo/35)+ISSUPL*Valeur_du_Point+IF(INDEX(Postes[ISP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49" s="28" t="str">
        <f t="shared" si="3"/>
        <v/>
      </c>
      <c r="G49" s="28" t="str">
        <f t="shared" si="4"/>
        <v/>
      </c>
      <c r="H49" s="4" t="str">
        <f>IFERROR(IF(INDEX($A$30:$C$52,MATCH(Date_Debut_Anciennete+Carriere2[[#Totals],[Pris en compte au 2/3]]+Carriere2[[#Totals],[Pris en compte à 100%]]+IFERROR(IF(SEARCH("INFIRMIER",Metier,1),365,0),0),$A$30:$A$52,1),1)=$A49,"SALAIRE ET COEFFICIENT RETENU",""),"")</f>
        <v/>
      </c>
      <c r="I49" s="13"/>
    </row>
    <row r="50" spans="1:9" ht="13.5" x14ac:dyDescent="0.25">
      <c r="A50" s="11" t="str">
        <f t="shared" si="2"/>
        <v/>
      </c>
      <c r="B50" s="12" t="str">
        <f>IFERROR(INDEX(Grille[],MATCH(ROW(#REF!),Grille[CORRESPONDANCE GRILLE METIER],0),3),"")</f>
        <v/>
      </c>
      <c r="C50" s="34" t="str">
        <f>IFERROR(INDEX(Grille[],MATCH(ROW(A21),Grille[CORRESPONDANCE GRILLE METIER],0),2)-SUM($C$30:C49),"")</f>
        <v/>
      </c>
      <c r="D50" s="65" t="str">
        <f>IF(C49="","",(SUM($C$30:C49)))</f>
        <v/>
      </c>
      <c r="E50" s="9" t="str">
        <f>IF(ISNUMBER(B50),(B50*Valeur_du_Point*Temps_travail_hebdo/35+IF(INDEX(Postes[CADRE],MATCH(Metier,Postes[libellé poste],0),1)=TRUE,0,B50*Valeur_du_Point*Taux_ISSP*Temps_travail_hebdo/35)+ISSUPL*Valeur_du_Point+IF(INDEX(Postes[ISP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0" s="28" t="str">
        <f t="shared" si="3"/>
        <v/>
      </c>
      <c r="G50" s="28" t="str">
        <f t="shared" si="4"/>
        <v/>
      </c>
      <c r="H50" s="4" t="str">
        <f>IFERROR(IF(INDEX($A$30:$C$52,MATCH(Date_Debut_Anciennete+Carriere2[[#Totals],[Pris en compte au 2/3]]+Carriere2[[#Totals],[Pris en compte à 100%]]+IFERROR(IF(SEARCH("INFIRMIER",Metier,1),365,0),0),$A$30:$A$52,1),1)=$A50,"SALAIRE ET COEFFICIENT RETENU",""),"")</f>
        <v/>
      </c>
      <c r="I50" s="13"/>
    </row>
    <row r="51" spans="1:9" ht="13.5" x14ac:dyDescent="0.25">
      <c r="A51" s="11" t="str">
        <f t="shared" si="2"/>
        <v/>
      </c>
      <c r="B51" s="12" t="str">
        <f>IFERROR(INDEX(Grille[],MATCH(ROW(#REF!),Grille[CORRESPONDANCE GRILLE METIER],0),3),"")</f>
        <v/>
      </c>
      <c r="C51" s="34" t="str">
        <f>IFERROR(INDEX(Grille[],MATCH(ROW(A22),Grille[CORRESPONDANCE GRILLE METIER],0),2)-SUM($C$30:C50),"")</f>
        <v/>
      </c>
      <c r="D51" s="65" t="str">
        <f>IF(C50="","",(SUM($C$30:C50)))</f>
        <v/>
      </c>
      <c r="E51" s="9" t="str">
        <f>IF(ISNUMBER(B51),(B51*Valeur_du_Point*Temps_travail_hebdo/35+IF(INDEX(Postes[CADRE],MATCH(Metier,Postes[libellé poste],0),1)=TRUE,0,B51*Valeur_du_Point*Taux_ISSP*Temps_travail_hebdo/35)+ISSUPL*Valeur_du_Point+IF(INDEX(Postes[ISP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1" s="28" t="str">
        <f t="shared" si="3"/>
        <v/>
      </c>
      <c r="G51" s="28" t="str">
        <f t="shared" si="4"/>
        <v/>
      </c>
      <c r="H51" s="4" t="str">
        <f>IFERROR(IF(INDEX($A$30:$C$52,MATCH(Date_Debut_Anciennete+Carriere2[[#Totals],[Pris en compte au 2/3]]+Carriere2[[#Totals],[Pris en compte à 100%]]+IFERROR(IF(SEARCH("INFIRMIER",Metier,1),365,0),0),$A$30:$A$52,1),1)=$A51,"SALAIRE ET COEFFICIENT RETENU",""),"")</f>
        <v/>
      </c>
      <c r="I51" s="13"/>
    </row>
    <row r="52" spans="1:9" ht="13.5" x14ac:dyDescent="0.25">
      <c r="A52" s="11" t="str">
        <f t="shared" si="2"/>
        <v/>
      </c>
      <c r="B52" s="12" t="str">
        <f>IFERROR(INDEX(Grille[],MATCH(ROW(A16),Grille[CORRESPONDANCE GRILLE METIER],0),3),"")</f>
        <v/>
      </c>
      <c r="C52" s="34" t="str">
        <f>IFERROR(INDEX(Grille[],MATCH(ROW(A23),Grille[CORRESPONDANCE GRILLE METIER],0),2)-SUM($C$30:C51),"")</f>
        <v/>
      </c>
      <c r="D52" s="65" t="str">
        <f>IF(C51="","",(SUM($C$30:C51)))</f>
        <v/>
      </c>
      <c r="E52" s="9" t="str">
        <f>IF(ISNUMBER(B52),(B52*Valeur_du_Point*Temps_travail_hebdo/35+IF(INDEX(Postes[CADRE],MATCH(Metier,Postes[libellé poste],0),1)=TRUE,0,B52*Valeur_du_Point*Taux_ISSP*Temps_travail_hebdo/35)+ISSUPL*Valeur_du_Point+IF(INDEX(Postes[ISP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2" s="28" t="str">
        <f t="shared" si="3"/>
        <v/>
      </c>
      <c r="G52" s="28" t="str">
        <f t="shared" si="4"/>
        <v/>
      </c>
      <c r="H52" s="4" t="str">
        <f>IFERROR(IF(INDEX($A$30:$C$52,MATCH(Date_Debut_Anciennete+Carriere2[[#Totals],[Pris en compte au 2/3]]+Carriere2[[#Totals],[Pris en compte à 100%]]+IFERROR(IF(SEARCH("INFIRMIER",Metier,1),365,0),0),$A$30:$A$52,1),1)=$A52,"SALAIRE ET COEFFICIENT RETENU",""),"")</f>
        <v/>
      </c>
      <c r="I52" s="13"/>
    </row>
    <row r="53" spans="1:9" ht="13.5" x14ac:dyDescent="0.25">
      <c r="A53" s="11" t="str">
        <f t="shared" si="2"/>
        <v/>
      </c>
      <c r="B53" s="12" t="str">
        <f>IFERROR(INDEX(Grille[],MATCH(ROW(A17),Grille[CORRESPONDANCE GRILLE METIER],0),3),"")</f>
        <v/>
      </c>
      <c r="C53" s="34" t="str">
        <f>IFERROR(INDEX(Grille[],MATCH(ROW(A24),Grille[CORRESPONDANCE GRILLE METIER],0),2)-SUM($C$30:C52),"")</f>
        <v/>
      </c>
      <c r="D53" s="65" t="str">
        <f>IF(C52="","",(SUM($C$30:C52)))</f>
        <v/>
      </c>
      <c r="E53" s="9" t="str">
        <f>IF(ISNUMBER(B53),(B53*Valeur_du_Point*Temps_travail_hebdo/35+IF(INDEX(Postes[CADRE],MATCH(Metier,Postes[libellé poste],0),1)=TRUE,0,B53*Valeur_du_Point*Taux_ISSP*Temps_travail_hebdo/35)+ISSUPL*Valeur_du_Point+IF(INDEX(Postes[ISP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3" s="28" t="str">
        <f t="shared" si="3"/>
        <v/>
      </c>
      <c r="G53" s="28" t="str">
        <f t="shared" si="4"/>
        <v/>
      </c>
      <c r="H53" s="4" t="str">
        <f>IFERROR(IF(INDEX($A$30:$C$52,MATCH(Date_Debut_Anciennete+Carriere2[[#Totals],[Pris en compte au 2/3]]+Carriere2[[#Totals],[Pris en compte à 100%]]+IFERROR(IF(SEARCH("INFIRMIER",Metier,1),365,0),0),$A$30:$A$52,1),1)=$A53,"SALAIRE ET COEFFICIENT RETENU",""),"")</f>
        <v/>
      </c>
      <c r="I53" s="13"/>
    </row>
    <row r="54" spans="1:9" ht="13.5" x14ac:dyDescent="0.25">
      <c r="A54" s="11" t="str">
        <f t="shared" si="2"/>
        <v/>
      </c>
      <c r="B54" s="12" t="str">
        <f>IFERROR(INDEX(Grille[],MATCH(ROW(#REF!),Grille[CORRESPONDANCE GRILLE METIER],0),3),"")</f>
        <v/>
      </c>
      <c r="C54" s="34" t="str">
        <f>IFERROR(INDEX(Grille[],MATCH(ROW(A25),Grille[CORRESPONDANCE GRILLE METIER],0),2)-SUM($C$30:C53),"")</f>
        <v/>
      </c>
      <c r="D54" s="65" t="str">
        <f>IF(C53="","",(SUM($C$30:C53)))</f>
        <v/>
      </c>
      <c r="E54" s="9" t="str">
        <f>IF(ISNUMBER(B54),(B54*Valeur_du_Point*Temps_travail_hebdo/35+IF(INDEX(Postes[CADRE],MATCH(Metier,Postes[libellé poste],0),1)=TRUE,0,B54*Valeur_du_Point*Taux_ISSP*Temps_travail_hebdo/35)+ISSUPL*Valeur_du_Point+IF(INDEX(Postes[ISP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4" s="28" t="str">
        <f t="shared" si="3"/>
        <v/>
      </c>
      <c r="G54" s="28" t="str">
        <f t="shared" si="4"/>
        <v/>
      </c>
      <c r="H54" s="4" t="str">
        <f>IFERROR(IF(INDEX($A$30:$C$52,MATCH(Date_Debut_Anciennete+Carriere2[[#Totals],[Pris en compte au 2/3]]+Carriere2[[#Totals],[Pris en compte à 100%]]+IFERROR(IF(SEARCH("INFIRMIER",Metier,1),365,0),0),$A$30:$A$52,1),1)=$A54,"SALAIRE ET COEFFICIENT RETENU",""),"")</f>
        <v/>
      </c>
      <c r="I54" s="13"/>
    </row>
    <row r="55" spans="1:9" ht="13.5" x14ac:dyDescent="0.25">
      <c r="A55" s="11" t="str">
        <f t="shared" si="2"/>
        <v/>
      </c>
      <c r="B55" s="12" t="str">
        <f>IFERROR(INDEX(Grille[],MATCH(ROW(A18),Grille[CORRESPONDANCE GRILLE METIER],0),3),"")</f>
        <v/>
      </c>
      <c r="C55" s="34" t="str">
        <f>IFERROR(INDEX(Grille[],MATCH(ROW(A26),Grille[CORRESPONDANCE GRILLE METIER],0),2)-SUM($C$30:C54),"")</f>
        <v/>
      </c>
      <c r="D55" s="65" t="str">
        <f>IF(C54="","",(SUM($C$30:C54)))</f>
        <v/>
      </c>
      <c r="E55" s="28" t="str">
        <f>IF(ISNUMBER(B55),(B55*Valeur_du_Point*Temps_travail_hebdo/35+IF(INDEX(Postes[CADRE],MATCH(Metier,Postes[libellé poste],0),1)=TRUE,0,B55*Valeur_du_Point*Taux_ISSP*Temps_travail_hebdo/35)+ISSUPL*Valeur_du_Point+IF(INDEX(Postes[ISP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5" s="28" t="str">
        <f t="shared" si="3"/>
        <v/>
      </c>
      <c r="G55" s="28" t="str">
        <f t="shared" si="4"/>
        <v/>
      </c>
      <c r="H55" s="4" t="str">
        <f>IFERROR(IF(INDEX($A$30:$C$52,MATCH(Date_Debut_Anciennete+Carriere2[[#Totals],[Pris en compte au 2/3]]+Carriere2[[#Totals],[Pris en compte à 100%]]+IFERROR(IF(SEARCH("INFIRMIER",Metier,1),365,0),0),$A$30:$A$52,1),1)=$A55,"SALAIRE ET COEFFICIENT RETENU",""),"")</f>
        <v/>
      </c>
      <c r="I55" s="13"/>
    </row>
    <row r="56" spans="1:9" ht="13.5" x14ac:dyDescent="0.25">
      <c r="A56" s="11" t="str">
        <f t="shared" si="2"/>
        <v/>
      </c>
      <c r="B56" s="12" t="str">
        <f>IFERROR(INDEX(Grille[],MATCH(ROW(A19),Grille[CORRESPONDANCE GRILLE METIER],0),3),"")</f>
        <v/>
      </c>
      <c r="C56" s="34" t="str">
        <f>IFERROR(INDEX(Grille[],MATCH(ROW(A27),Grille[CORRESPONDANCE GRILLE METIER],0),2)-SUM($C$30:C55),"")</f>
        <v/>
      </c>
      <c r="D56" s="65" t="str">
        <f>IF(C55="","",(SUM($C$30:C55)))</f>
        <v/>
      </c>
      <c r="E56" s="28" t="str">
        <f>IF(ISNUMBER(B56),(B56*Valeur_du_Point*Temps_travail_hebdo/35+IF(INDEX(Postes[CADRE],MATCH(Metier,Postes[libellé poste],0),1)=TRUE,0,B56*Valeur_du_Point*Taux_ISSP*Temps_travail_hebdo/35)+ISSUPL*Valeur_du_Point+IF(INDEX(Postes[ISP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6" s="28" t="str">
        <f t="shared" si="3"/>
        <v/>
      </c>
      <c r="G56" s="28" t="str">
        <f t="shared" si="4"/>
        <v/>
      </c>
      <c r="H56" s="4" t="str">
        <f>IFERROR(IF(INDEX($A$30:$C$52,MATCH(Date_Debut_Anciennete+Carriere2[[#Totals],[Pris en compte au 2/3]]+Carriere2[[#Totals],[Pris en compte à 100%]]+IFERROR(IF(SEARCH("INFIRMIER",Metier,1),365,0),0),$A$30:$A$52,1),1)=$A56,"SALAIRE ET COEFFICIENT RETENU",""),"")</f>
        <v/>
      </c>
      <c r="I56" s="13"/>
    </row>
    <row r="57" spans="1:9" ht="13.5" x14ac:dyDescent="0.25">
      <c r="A57" s="11" t="str">
        <f t="shared" si="2"/>
        <v/>
      </c>
      <c r="B57" s="12" t="str">
        <f>IFERROR(INDEX(Grille[],MATCH(ROW(A20),Grille[CORRESPONDANCE GRILLE METIER],0),3),"")</f>
        <v/>
      </c>
      <c r="C57" s="34" t="str">
        <f>IFERROR(INDEX(Grille[],MATCH(ROW(A28),Grille[CORRESPONDANCE GRILLE METIER],0),2)-SUM($C$30:C56),"")</f>
        <v/>
      </c>
      <c r="D57" s="65" t="str">
        <f>IF(C56="","",(SUM($C$30:C56)))</f>
        <v/>
      </c>
      <c r="E57" s="28" t="str">
        <f>IF(ISNUMBER(B57),(B57*Valeur_du_Point*Temps_travail_hebdo/35+IF(INDEX(Postes[CADRE],MATCH(Metier,Postes[libellé poste],0),1)=TRUE,0,B57*Valeur_du_Point*Taux_ISSP*Temps_travail_hebdo/35)+ISSUPL*Valeur_du_Point+IF(INDEX(Postes[ISP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7" s="28" t="str">
        <f t="shared" si="3"/>
        <v/>
      </c>
      <c r="G57" s="28" t="str">
        <f t="shared" si="4"/>
        <v/>
      </c>
      <c r="H57" s="4" t="str">
        <f>IFERROR(IF(INDEX($A$30:$C$52,MATCH(Date_Debut_Anciennete+Carriere2[[#Totals],[Pris en compte au 2/3]]+Carriere2[[#Totals],[Pris en compte à 100%]]+IFERROR(IF(SEARCH("INFIRMIER",Metier,1),365,0),0),$A$30:$A$52,1),1)=$A57,"SALAIRE ET COEFFICIENT RETENU",""),"")</f>
        <v/>
      </c>
      <c r="I57" s="13"/>
    </row>
    <row r="58" spans="1:9" ht="13.5" x14ac:dyDescent="0.25">
      <c r="A58" s="11" t="str">
        <f t="shared" si="2"/>
        <v/>
      </c>
      <c r="B58" s="12" t="str">
        <f>IFERROR(INDEX(Grille[],MATCH(ROW(A21),Grille[CORRESPONDANCE GRILLE METIER],0),3),"")</f>
        <v/>
      </c>
      <c r="C58" s="34" t="str">
        <f>IFERROR(INDEX(Grille[],MATCH(ROW(A29),Grille[CORRESPONDANCE GRILLE METIER],0),2)-SUM($C$30:C57),"")</f>
        <v/>
      </c>
      <c r="D58" s="65" t="str">
        <f>IF(C57="","",(SUM($C$30:C57)))</f>
        <v/>
      </c>
      <c r="E58" s="28" t="str">
        <f>IF(ISNUMBER(B58),(B58*Valeur_du_Point*Temps_travail_hebdo/35+IF(INDEX(Postes[CADRE],MATCH(Metier,Postes[libellé poste],0),1)=TRUE,0,B58*Valeur_du_Point*Taux_ISSP*Temps_travail_hebdo/35)+ISSUPL*Valeur_du_Point+IF(INDEX(Postes[ISP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8" s="28" t="str">
        <f t="shared" si="3"/>
        <v/>
      </c>
      <c r="G58" s="28" t="str">
        <f t="shared" si="4"/>
        <v/>
      </c>
      <c r="H58" s="4" t="str">
        <f>IFERROR(IF(INDEX($A$30:$C$52,MATCH(Date_Debut_Anciennete+Carriere2[[#Totals],[Pris en compte au 2/3]]+Carriere2[[#Totals],[Pris en compte à 100%]]+IFERROR(IF(SEARCH("INFIRMIER",Metier,1),365,0),0),$A$30:$A$52,1),1)=$A58,"SALAIRE ET COEFFICIENT RETENU",""),"")</f>
        <v/>
      </c>
      <c r="I58" s="13"/>
    </row>
    <row r="59" spans="1:9" ht="13.5" x14ac:dyDescent="0.25">
      <c r="A59" s="11" t="str">
        <f t="shared" si="2"/>
        <v/>
      </c>
      <c r="B59" s="12" t="str">
        <f>IFERROR(INDEX(Grille[],MATCH(ROW(A22),Grille[CORRESPONDANCE GRILLE METIER],0),3),"")</f>
        <v/>
      </c>
      <c r="C59" s="34" t="str">
        <f>IFERROR(INDEX(Grille[],MATCH(ROW(A30),Grille[CORRESPONDANCE GRILLE METIER],0),2)-SUM($C$30:C58),"")</f>
        <v/>
      </c>
      <c r="D59" s="65" t="str">
        <f>IF(C58="","",(SUM($C$30:C58)))</f>
        <v/>
      </c>
      <c r="E59" s="28" t="str">
        <f>IF(ISNUMBER(B59),(B59*Valeur_du_Point*Temps_travail_hebdo/35+IF(INDEX(Postes[CADRE],MATCH(Metier,Postes[libellé poste],0),1)=TRUE,0,B59*Valeur_du_Point*Taux_ISSP*Temps_travail_hebdo/35)+ISSUPL*Valeur_du_Point+IF(INDEX(Postes[ISP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9" s="28" t="str">
        <f t="shared" si="3"/>
        <v/>
      </c>
      <c r="G59" s="28" t="str">
        <f t="shared" si="4"/>
        <v/>
      </c>
      <c r="H59" s="4" t="str">
        <f>IFERROR(IF(INDEX($A$30:$C$52,MATCH(Date_Debut_Anciennete+Carriere2[[#Totals],[Pris en compte au 2/3]]+Carriere2[[#Totals],[Pris en compte à 100%]]+IFERROR(IF(SEARCH("INFIRMIER",Metier,1),365,0),0),$A$30:$A$52,1),1)=$A59,"SALAIRE ET COEFFICIENT RETENU",""),"")</f>
        <v/>
      </c>
      <c r="I59" s="13"/>
    </row>
    <row r="60" spans="1:9" ht="13.5" x14ac:dyDescent="0.25">
      <c r="A60" s="11" t="str">
        <f t="shared" si="2"/>
        <v/>
      </c>
      <c r="B60" s="12" t="str">
        <f>IFERROR(INDEX(Grille[],MATCH(ROW(A23),Grille[CORRESPONDANCE GRILLE METIER],0),3),"")</f>
        <v/>
      </c>
      <c r="C60" s="34" t="str">
        <f>IFERROR(INDEX(Grille[],MATCH(ROW(A31),Grille[CORRESPONDANCE GRILLE METIER],0),2)-SUM($C$30:C59),"")</f>
        <v/>
      </c>
      <c r="D60" s="65" t="str">
        <f>IF(C59="","",(SUM($C$30:C59)))</f>
        <v/>
      </c>
      <c r="E60" s="28" t="str">
        <f>IF(ISNUMBER(B60),(B60*Valeur_du_Point*Temps_travail_hebdo/35+IF(INDEX(Postes[CADRE],MATCH(Metier,Postes[libellé poste],0),1)=TRUE,0,B60*Valeur_du_Point*Taux_ISSP*Temps_travail_hebdo/35)+ISSUPL*Valeur_du_Point+IF(INDEX(Postes[ISP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0" s="28" t="str">
        <f t="shared" si="3"/>
        <v/>
      </c>
      <c r="G60" s="28" t="str">
        <f t="shared" si="4"/>
        <v/>
      </c>
      <c r="H60" s="4" t="str">
        <f>IFERROR(IF(INDEX($A$30:$C$52,MATCH(Date_Debut_Anciennete+Carriere2[[#Totals],[Pris en compte au 2/3]]+Carriere2[[#Totals],[Pris en compte à 100%]]+IFERROR(IF(SEARCH("INFIRMIER",Metier,1),365,0),0),$A$30:$A$52,1),1)=$A60,"SALAIRE ET COEFFICIENT RETENU",""),"")</f>
        <v/>
      </c>
      <c r="I60" s="13"/>
    </row>
    <row r="61" spans="1:9" ht="13.5" x14ac:dyDescent="0.25">
      <c r="A61" s="11" t="str">
        <f t="shared" si="2"/>
        <v/>
      </c>
      <c r="B61" s="12" t="str">
        <f>IFERROR(INDEX(Grille[],MATCH(ROW(A24),Grille[CORRESPONDANCE GRILLE METIER],0),3),"")</f>
        <v/>
      </c>
      <c r="C61" s="34" t="str">
        <f>IFERROR(INDEX(Grille[],MATCH(ROW(A32),Grille[CORRESPONDANCE GRILLE METIER],0),2)-SUM($C$30:C60),"")</f>
        <v/>
      </c>
      <c r="D61" s="65" t="str">
        <f>IF(C60="","",(SUM($C$30:C60)))</f>
        <v/>
      </c>
      <c r="E61" s="28" t="str">
        <f>IF(ISNUMBER(B61),(B61*Valeur_du_Point*Temps_travail_hebdo/35+IF(INDEX(Postes[CADRE],MATCH(Metier,Postes[libellé poste],0),1)=TRUE,0,B61*Valeur_du_Point*Taux_ISSP*Temps_travail_hebdo/35)+ISSUPL*Valeur_du_Point+IF(INDEX(Postes[ISP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1" s="28" t="str">
        <f t="shared" si="3"/>
        <v/>
      </c>
      <c r="G61" s="28" t="str">
        <f t="shared" si="4"/>
        <v/>
      </c>
      <c r="H61" s="4" t="str">
        <f>IFERROR(IF(INDEX($A$30:$C$52,MATCH(Date_Debut_Anciennete+Carriere2[[#Totals],[Pris en compte au 2/3]]+Carriere2[[#Totals],[Pris en compte à 100%]]+IFERROR(IF(SEARCH("INFIRMIER",Metier,1),365,0),0),$A$30:$A$52,1),1)=$A61,"SALAIRE ET COEFFICIENT RETENU",""),"")</f>
        <v/>
      </c>
      <c r="I61" s="13"/>
    </row>
    <row r="62" spans="1:9" ht="13.5" x14ac:dyDescent="0.25">
      <c r="A62" s="11" t="str">
        <f t="shared" si="2"/>
        <v/>
      </c>
      <c r="B62" s="12" t="str">
        <f>IFERROR(INDEX(Grille[],MATCH(ROW(A25),Grille[CORRESPONDANCE GRILLE METIER],0),3),"")</f>
        <v/>
      </c>
      <c r="C62" s="34" t="str">
        <f>IFERROR(INDEX(Grille[],MATCH(ROW(A33),Grille[CORRESPONDANCE GRILLE METIER],0),2)-SUM($C$30:C61),"")</f>
        <v/>
      </c>
      <c r="D62" s="65" t="str">
        <f>IF(C61="","",(SUM($C$30:C61)))</f>
        <v/>
      </c>
      <c r="E62" s="28" t="str">
        <f>IF(ISNUMBER(B62),(B62*Valeur_du_Point*Temps_travail_hebdo/35+IF(INDEX(Postes[CADRE],MATCH(Metier,Postes[libellé poste],0),1)=TRUE,0,B62*Valeur_du_Point*Taux_ISSP*Temps_travail_hebdo/35)+ISSUPL*Valeur_du_Point+IF(INDEX(Postes[ISP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2" s="28" t="str">
        <f t="shared" si="3"/>
        <v/>
      </c>
      <c r="G62" s="28" t="str">
        <f t="shared" si="4"/>
        <v/>
      </c>
      <c r="H62" s="4" t="str">
        <f>IFERROR(IF(INDEX($A$30:$C$52,MATCH(Date_Debut_Anciennete+Carriere2[[#Totals],[Pris en compte au 2/3]]+Carriere2[[#Totals],[Pris en compte à 100%]]+IFERROR(IF(SEARCH("INFIRMIER",Metier,1),365,0),0),$A$30:$A$52,1),1)=$A62,"SALAIRE ET COEFFICIENT RETENU",""),"")</f>
        <v/>
      </c>
      <c r="I62" s="13"/>
    </row>
    <row r="63" spans="1:9" ht="13.5" x14ac:dyDescent="0.25">
      <c r="A63" s="11" t="str">
        <f t="shared" si="2"/>
        <v/>
      </c>
      <c r="B63" s="12" t="str">
        <f>IFERROR(INDEX(Grille[],MATCH(ROW(A26),Grille[CORRESPONDANCE GRILLE METIER],0),3),"")</f>
        <v/>
      </c>
      <c r="C63" s="34" t="str">
        <f>IFERROR(INDEX(Grille[],MATCH(ROW(A34),Grille[CORRESPONDANCE GRILLE METIER],0),2)-SUM($C$30:C62),"")</f>
        <v/>
      </c>
      <c r="D63" s="34" t="str">
        <f>IF(C62="","",(SUM($C$30:C62)))</f>
        <v/>
      </c>
      <c r="E63" s="28" t="str">
        <f>IF(ISNUMBER(B63),(B63*Valeur_du_Point*Temps_travail_hebdo/35+IF(INDEX(Postes[CADRE],MATCH(Metier,Postes[libellé poste],0),1)=TRUE,0,B63*Valeur_du_Point*Taux_ISSP*Temps_travail_hebdo/35)+ISSUPL*Valeur_du_Point+IF(INDEX(Postes[ISP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3" s="28" t="str">
        <f t="shared" si="3"/>
        <v/>
      </c>
      <c r="G63" s="28" t="str">
        <f t="shared" si="4"/>
        <v/>
      </c>
      <c r="H63" s="4" t="str">
        <f>IFERROR(IF(INDEX($A$30:$C$52,MATCH(Date_Debut_Anciennete+Carriere2[[#Totals],[Pris en compte au 2/3]]+Carriere2[[#Totals],[Pris en compte à 100%]]+IFERROR(IF(SEARCH("INFIRMIER",Metier,1),365,0),0),$A$30:$A$52,1),1)=$A63,"SALAIRE ET COEFFICIENT RETENU",""),"")</f>
        <v/>
      </c>
      <c r="I63" s="13"/>
    </row>
    <row r="64" spans="1:9" ht="13.5" x14ac:dyDescent="0.25">
      <c r="A64" s="11" t="str">
        <f t="shared" si="2"/>
        <v/>
      </c>
      <c r="B64" s="12" t="str">
        <f>IFERROR(INDEX(Grille[],MATCH(ROW(A27),Grille[CORRESPONDANCE GRILLE METIER],0),3),"")</f>
        <v/>
      </c>
      <c r="C64" s="34" t="str">
        <f>IFERROR(INDEX(Grille[],MATCH(ROW(A35),Grille[CORRESPONDANCE GRILLE METIER],0),2)-SUM($C$30:C63),"")</f>
        <v/>
      </c>
      <c r="D64" s="34" t="str">
        <f>IF(C63="","",(SUM($C$30:C63)))</f>
        <v/>
      </c>
      <c r="E64" s="28" t="str">
        <f>IF(ISNUMBER(B64),(B64*Valeur_du_Point*Temps_travail_hebdo/35+IF(INDEX(Postes[CADRE],MATCH(Metier,Postes[libellé poste],0),1)=TRUE,0,B64*Valeur_du_Point*Taux_ISSP*Temps_travail_hebdo/35)+ISSUPL*Valeur_du_Point+IF(INDEX(Postes[ISP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4" s="28" t="str">
        <f t="shared" si="3"/>
        <v/>
      </c>
      <c r="G64" s="28" t="str">
        <f t="shared" si="4"/>
        <v/>
      </c>
      <c r="H64" s="4" t="str">
        <f>IFERROR(IF(INDEX($A$30:$C$52,MATCH(Date_Debut_Anciennete+Carriere2[[#Totals],[Pris en compte au 2/3]]+Carriere2[[#Totals],[Pris en compte à 100%]]+IFERROR(IF(SEARCH("INFIRMIER",Metier,1),365,0),0),$A$30:$A$52,1),1)=$A64,"SALAIRE ET COEFFICIENT RETENU",""),"")</f>
        <v/>
      </c>
      <c r="I64" s="13"/>
    </row>
    <row r="65" spans="1:10" ht="13.5" x14ac:dyDescent="0.25">
      <c r="A65" s="11" t="str">
        <f t="shared" si="2"/>
        <v/>
      </c>
      <c r="B65" s="12" t="str">
        <f>IFERROR(INDEX(Grille[],MATCH(ROW(A28),Grille[CORRESPONDANCE GRILLE METIER],0),3),"")</f>
        <v/>
      </c>
      <c r="C65" s="34" t="str">
        <f>IFERROR(INDEX(Grille[],MATCH(ROW(A36),Grille[CORRESPONDANCE GRILLE METIER],0),2)-SUM($C$30:C64),"")</f>
        <v/>
      </c>
      <c r="D65" s="34" t="str">
        <f>IF(C64="","",(SUM($C$30:C64)))</f>
        <v/>
      </c>
      <c r="E65" s="28" t="str">
        <f>IF(ISNUMBER(B65),(B65*Valeur_du_Point*Temps_travail_hebdo/35+IF(INDEX(Postes[CADRE],MATCH(Metier,Postes[libellé poste],0),1)=TRUE,0,B65*Valeur_du_Point*Taux_ISSP*Temps_travail_hebdo/35)+ISSUPL*Valeur_du_Point+IF(INDEX(Postes[ISP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5" s="28" t="str">
        <f t="shared" si="3"/>
        <v/>
      </c>
      <c r="G65" s="28" t="str">
        <f t="shared" si="4"/>
        <v/>
      </c>
      <c r="H65" s="4" t="str">
        <f>IFERROR(IF(INDEX($A$30:$C$52,MATCH(Date_Debut_Anciennete+Carriere2[[#Totals],[Pris en compte au 2/3]]+Carriere2[[#Totals],[Pris en compte à 100%]]+IFERROR(IF(SEARCH("INFIRMIER",Metier,1),365,0),0),$A$30:$A$52,1),1)=$A65,"SALAIRE ET COEFFICIENT RETENU",""),"")</f>
        <v/>
      </c>
      <c r="I65" s="13"/>
    </row>
    <row r="66" spans="1:10" ht="13.5" x14ac:dyDescent="0.25">
      <c r="A66" s="11" t="str">
        <f t="shared" si="2"/>
        <v/>
      </c>
      <c r="B66" s="12" t="str">
        <f>IFERROR(INDEX(Grille[],MATCH(ROW(A29),Grille[CORRESPONDANCE GRILLE METIER],0),3),"")</f>
        <v/>
      </c>
      <c r="C66" s="34" t="str">
        <f>IFERROR(INDEX(Grille[],MATCH(ROW(A37),Grille[CORRESPONDANCE GRILLE METIER],0),2)-SUM($C$30:C65),"")</f>
        <v/>
      </c>
      <c r="D66" s="34" t="str">
        <f>IF(C65="","",(SUM($C$30:C65)))</f>
        <v/>
      </c>
      <c r="E66" s="28" t="str">
        <f>IF(ISNUMBER(B66),(B66*Valeur_du_Point*Temps_travail_hebdo/35+IF(INDEX(Postes[CADRE],MATCH(Metier,Postes[libellé poste],0),1)=TRUE,0,B66*Valeur_du_Point*Taux_ISSP*Temps_travail_hebdo/35)+ISSUPL*Valeur_du_Point+IF(INDEX(Postes[ISP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6" s="28" t="str">
        <f t="shared" si="3"/>
        <v/>
      </c>
      <c r="G66" s="28" t="str">
        <f t="shared" si="4"/>
        <v/>
      </c>
      <c r="H66" s="4" t="str">
        <f>IFERROR(IF(INDEX($A$30:$C$52,MATCH(Date_Debut_Anciennete+Carriere2[[#Totals],[Pris en compte au 2/3]]+Carriere2[[#Totals],[Pris en compte à 100%]]+IFERROR(IF(SEARCH("INFIRMIER",Metier,1),365,0),0),$A$30:$A$52,1),1)=$A66,"SALAIRE ET COEFFICIENT RETENU",""),"")</f>
        <v/>
      </c>
      <c r="I66" s="13"/>
    </row>
    <row r="67" spans="1:10" ht="13.5" x14ac:dyDescent="0.25">
      <c r="A67" s="11" t="str">
        <f t="shared" si="2"/>
        <v/>
      </c>
      <c r="B67" s="12" t="str">
        <f>IFERROR(INDEX(Grille[],MATCH(ROW(A30),Grille[CORRESPONDANCE GRILLE METIER],0),3),"")</f>
        <v/>
      </c>
      <c r="C67" s="34" t="str">
        <f>IFERROR(INDEX(Grille[],MATCH(ROW(A38),Grille[CORRESPONDANCE GRILLE METIER],0),2)-SUM($C$30:C66),"")</f>
        <v/>
      </c>
      <c r="D67" s="34" t="str">
        <f>IF(C66="","",(SUM($C$30:C66)))</f>
        <v/>
      </c>
      <c r="E67" s="28" t="str">
        <f>IF(ISNUMBER(B67),(B67*Valeur_du_Point*Temps_travail_hebdo/35+IF(INDEX(Postes[CADRE],MATCH(Metier,Postes[libellé poste],0),1)=TRUE,0,B67*Valeur_du_Point*Taux_ISSP*Temps_travail_hebdo/35)+ISSUPL*Valeur_du_Point+IF(INDEX(Postes[ISP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7" s="28" t="str">
        <f t="shared" si="3"/>
        <v/>
      </c>
      <c r="G67" s="28" t="str">
        <f t="shared" si="4"/>
        <v/>
      </c>
      <c r="H67" s="4" t="str">
        <f>IFERROR(IF(INDEX($A$30:$C$52,MATCH(Date_Debut_Anciennete+Carriere2[[#Totals],[Pris en compte au 2/3]]+Carriere2[[#Totals],[Pris en compte à 100%]],$A$30:$A$52,1),1)=$A67,"SALAIRE ET COEFFICIENT RETENU",""),"")</f>
        <v/>
      </c>
      <c r="I67" s="13"/>
    </row>
    <row r="68" spans="1:10" ht="13.5" x14ac:dyDescent="0.25">
      <c r="A68" s="11" t="str">
        <f t="shared" si="2"/>
        <v/>
      </c>
      <c r="B68" s="12" t="str">
        <f>IFERROR(INDEX(Grille[],MATCH(ROW(A31),Grille[CORRESPONDANCE GRILLE METIER],0),3),"")</f>
        <v/>
      </c>
      <c r="C68" s="34" t="str">
        <f>IFERROR(INDEX(Grille[],MATCH(ROW(A39),Grille[CORRESPONDANCE GRILLE METIER],0),2)-SUM($C$30:C67),"")</f>
        <v/>
      </c>
      <c r="D68" s="34" t="str">
        <f>IF(C67="","",(SUM($C$30:C67)))</f>
        <v/>
      </c>
      <c r="E68" s="28" t="str">
        <f>IF(ISNUMBER(B68),(B68*Valeur_du_Point*Temps_travail_hebdo/35+IF(INDEX(Postes[CADRE],MATCH(Metier,Postes[libellé poste],0),1)=TRUE,0,B68*Valeur_du_Point*Taux_ISSP*Temps_travail_hebdo/35)+ISSUPL*Valeur_du_Point+IF(INDEX(Postes[ISP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8" s="28" t="str">
        <f t="shared" si="3"/>
        <v/>
      </c>
      <c r="G68" s="28" t="str">
        <f t="shared" si="4"/>
        <v/>
      </c>
      <c r="H68" s="4" t="str">
        <f>IFERROR(IF(INDEX($A$30:$C$52,MATCH(Date_Debut_Anciennete+Carriere2[[#Totals],[Pris en compte au 2/3]]+Carriere2[[#Totals],[Pris en compte à 100%]],$A$30:$A$52,1),1)=$A68,"SALAIRE ET COEFFICIENT RETENU",""),"")</f>
        <v/>
      </c>
      <c r="I68" s="13"/>
    </row>
    <row r="69" spans="1:10" ht="13.5" x14ac:dyDescent="0.25">
      <c r="A69" s="11" t="str">
        <f t="shared" si="2"/>
        <v/>
      </c>
      <c r="B69" s="12" t="str">
        <f>IFERROR(INDEX(Grille[],MATCH(ROW(A32),Grille[CORRESPONDANCE GRILLE METIER],0),3),"")</f>
        <v/>
      </c>
      <c r="C69" s="34" t="str">
        <f>IFERROR(INDEX(Grille[],MATCH(ROW(A40),Grille[CORRESPONDANCE GRILLE METIER],0),2)-SUM($C$30:C68),"")</f>
        <v/>
      </c>
      <c r="D69" s="34" t="str">
        <f>IF(C68="","",(SUM($C$30:C68)))</f>
        <v/>
      </c>
      <c r="E69" s="28" t="str">
        <f>IF(ISNUMBER(B69),(B69*Valeur_du_Point*Temps_travail_hebdo/35+IF(INDEX(Postes[CADRE],MATCH(Metier,Postes[libellé poste],0),1)=TRUE,0,B69*Valeur_du_Point*Taux_ISSP*Temps_travail_hebdo/35)+ISSUPL*Valeur_du_Point+IF(INDEX(Postes[ISP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9" s="13" t="str">
        <f>IF(ISNUMBER(C69),(C69*#REF!)*12+#REF!*#REF!*12,"")</f>
        <v/>
      </c>
      <c r="G69" s="28" t="str">
        <f t="shared" si="4"/>
        <v/>
      </c>
      <c r="H69" s="4" t="str">
        <f>IFERROR(IF(INDEX($A$30:$C$52,MATCH(Date_Debut_Anciennete+Carriere2[[#Totals],[Pris en compte au 2/3]]+Carriere2[[#Totals],[Pris en compte à 100%]],$A$30:$A$52,1),1)=$A69,"SALAIRE ET COEFFICIENT RETENU",""),"")</f>
        <v/>
      </c>
      <c r="I69" s="13"/>
    </row>
    <row r="70" spans="1:10" ht="13.5" x14ac:dyDescent="0.25">
      <c r="A70" s="11" t="str">
        <f t="shared" si="2"/>
        <v/>
      </c>
      <c r="B70" s="12" t="str">
        <f>IFERROR(INDEX(Grille[],MATCH(ROW(A33),Grille[CORRESPONDANCE GRILLE METIER],0),3),"")</f>
        <v/>
      </c>
      <c r="C70" s="34" t="str">
        <f>IFERROR(INDEX(Grille[],MATCH(ROW(A41),Grille[CORRESPONDANCE GRILLE METIER],0),2)-SUM($C$30:C69),"")</f>
        <v/>
      </c>
      <c r="D70" s="34" t="str">
        <f>IF(C69="","",(SUM($C$30:C69)))</f>
        <v/>
      </c>
      <c r="E70" s="28" t="str">
        <f>IF(ISNUMBER(B70),(B70*Valeur_du_Point*Temps_travail_hebdo/35+IF(INDEX(Postes[CADRE],MATCH(Metier,Postes[libellé poste],0),1)=TRUE,0,B70*Valeur_du_Point*Taux_ISSP*Temps_travail_hebdo/35)+ISSUPL*Valeur_du_Point+IF(INDEX(Postes[ISP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0" s="13" t="str">
        <f>IF(ISNUMBER(C70),(C70*#REF!)*12+#REF!*#REF!*12,"")</f>
        <v/>
      </c>
      <c r="G70" s="28" t="str">
        <f t="shared" si="4"/>
        <v/>
      </c>
      <c r="H70" s="4" t="str">
        <f>IFERROR(IF(INDEX($A$30:$C$52,MATCH(Date_Debut_Anciennete+Carriere2[[#Totals],[Pris en compte au 2/3]]+Carriere2[[#Totals],[Pris en compte à 100%]],$A$30:$A$52,1),1)=$A70,"SALAIRE ET COEFFICIENT RETENU",""),"")</f>
        <v/>
      </c>
      <c r="I70" s="13"/>
    </row>
    <row r="71" spans="1:10" ht="13.5" x14ac:dyDescent="0.25">
      <c r="A71" s="11" t="str">
        <f t="shared" si="2"/>
        <v/>
      </c>
      <c r="B71" s="12" t="str">
        <f>IFERROR(INDEX(Grille[],MATCH(ROW(A34),Grille[CORRESPONDANCE GRILLE METIER],0),3),"")</f>
        <v/>
      </c>
      <c r="C71" s="34" t="str">
        <f>IFERROR(INDEX(Grille[],MATCH(ROW(A42),Grille[CORRESPONDANCE GRILLE METIER],0),2)-SUM($C$30:C70),"")</f>
        <v/>
      </c>
      <c r="D71" s="34" t="str">
        <f>IF(C70="","",(SUM($C$30:C70)))</f>
        <v/>
      </c>
      <c r="E71" s="28" t="str">
        <f>IF(ISNUMBER(B71),(B71*Valeur_du_Point*Temps_travail_hebdo/35+IF(INDEX(Postes[CADRE],MATCH(Metier,Postes[libellé poste],0),1)=TRUE,0,B71*Valeur_du_Point*Taux_ISSP*Temps_travail_hebdo/35)+ISSUPL*Valeur_du_Point+IF(INDEX(Postes[ISP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1" s="13" t="str">
        <f>IF(ISNUMBER(C71),(C71*#REF!)*12+#REF!*#REF!*12,"")</f>
        <v/>
      </c>
      <c r="G71" s="28" t="str">
        <f t="shared" si="4"/>
        <v/>
      </c>
      <c r="H71" s="4" t="str">
        <f>IFERROR(IF(INDEX($A$30:$C$52,MATCH(Date_Debut_Anciennete+Carriere2[[#Totals],[Pris en compte au 2/3]]+Carriere2[[#Totals],[Pris en compte à 100%]],$A$30:$A$52,1),1)=$A71,"SALAIRE ET COEFFICIENT RETENU",""),"")</f>
        <v/>
      </c>
      <c r="I71" s="13"/>
    </row>
    <row r="72" spans="1:10" ht="13.5" x14ac:dyDescent="0.25">
      <c r="A72" s="11" t="str">
        <f t="shared" si="2"/>
        <v/>
      </c>
      <c r="B72" s="12" t="str">
        <f>IFERROR(INDEX(Grille[],MATCH(ROW(A35),Grille[CORRESPONDANCE GRILLE METIER],0),3),"")</f>
        <v/>
      </c>
      <c r="C72" s="34" t="str">
        <f>IFERROR(INDEX(Grille[],MATCH(ROW(A43),Grille[CORRESPONDANCE GRILLE METIER],0),2)-SUM($C$30:C71),"")</f>
        <v/>
      </c>
      <c r="D72" s="34" t="str">
        <f>IF(C71="","",(SUM($C$30:C71)))</f>
        <v/>
      </c>
      <c r="E72" s="28" t="str">
        <f>IF(ISNUMBER(B72),(B72*Valeur_du_Point*Temps_travail_hebdo/35+IF(INDEX(Postes[CADRE],MATCH(Metier,Postes[libellé poste],0),1)=TRUE,0,B72*Valeur_du_Point*Taux_ISSP*Temps_travail_hebdo/35)+ISSUPL*Valeur_du_Point+IF(INDEX(Postes[ISP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2" s="13" t="str">
        <f>IF(ISNUMBER(C72),(C72*#REF!)*12+#REF!*#REF!*12,"")</f>
        <v/>
      </c>
      <c r="G72" s="28" t="str">
        <f t="shared" si="4"/>
        <v/>
      </c>
      <c r="H72" s="4" t="str">
        <f>IFERROR(IF(INDEX($A$30:$C$52,MATCH(Date_Debut_Anciennete+Carriere2[[#Totals],[Pris en compte au 2/3]]+Carriere2[[#Totals],[Pris en compte à 100%]],$A$30:$A$52,1),1)=$A72,"SALAIRE ET COEFFICIENT RETENU",""),"")</f>
        <v/>
      </c>
      <c r="I72" s="13"/>
    </row>
    <row r="73" spans="1:10" x14ac:dyDescent="0.2">
      <c r="E73" s="28"/>
      <c r="H73" s="4" t="str">
        <f>IFERROR(IF(INDEX($A$30:$C$52,MATCH(Date_Debut_Anciennete+Carriere2[[#Totals],[Pris en compte au 2/3]]+Carriere2[[#Totals],[Pris en compte à 100%]],$A$30:$A$52,1),1)=$A73,"SALAIRE ET COEFFICIENT RETENU",""),"")</f>
        <v/>
      </c>
      <c r="I73" s="13"/>
    </row>
    <row r="74" spans="1:10" x14ac:dyDescent="0.2">
      <c r="H74" s="4" t="str">
        <f>IFERROR(IF(INDEX($A$30:$C$52,MATCH(Date_Debut_Anciennete+Carriere2[[#Totals],[Pris en compte au 2/3]]+Carriere2[[#Totals],[Pris en compte à 100%]],$A$30:$A$52,1),1)=$A74,"SALAIRE ET COEFFICIENT RETENU",""),"")</f>
        <v/>
      </c>
      <c r="J74" s="13" t="str">
        <f>IF(ISNUMBER(D69),I74*0.77,"")</f>
        <v/>
      </c>
    </row>
    <row r="75" spans="1:10" x14ac:dyDescent="0.2">
      <c r="H75" s="4" t="str">
        <f>IFERROR(IF(INDEX($A$30:$C$52,MATCH(Date_Debut_Anciennete+Carriere2[[#Totals],[Pris en compte au 2/3]]+Carriere2[[#Totals],[Pris en compte à 100%]],$A$30:$A$52,1),1)=$A75,"SALAIRE ET COEFFICIENT RETENU",""),"")</f>
        <v/>
      </c>
      <c r="J75" s="13" t="str">
        <f>IF(ISNUMBER(D70),I75*0.77,"")</f>
        <v/>
      </c>
    </row>
    <row r="76" spans="1:10" x14ac:dyDescent="0.2">
      <c r="H76" s="4" t="str">
        <f>IFERROR(IF(INDEX($A$30:$C$52,MATCH(Date_Debut_Anciennete+Carriere2[[#Totals],[Pris en compte au 2/3]]+Carriere2[[#Totals],[Pris en compte à 100%]],$A$30:$A$52,1),1)=$A76,"SALAIRE ET COEFFICIENT RETENU",""),"")</f>
        <v/>
      </c>
      <c r="J76" s="13" t="str">
        <f>IF(ISNUMBER(D71),I76*0.77,"")</f>
        <v/>
      </c>
    </row>
    <row r="77" spans="1:10" x14ac:dyDescent="0.2">
      <c r="H77" s="4" t="str">
        <f>IFERROR(IF(INDEX($A$30:$C$52,MATCH(Date_Debut_Anciennete+Carriere2[[#Totals],[Pris en compte au 2/3]]+Carriere2[[#Totals],[Pris en compte à 100%]],$A$30:$A$52,1),1)=$A77,"SALAIRE ET COEFFICIENT RETENU",""),"")</f>
        <v/>
      </c>
      <c r="J77" s="13" t="str">
        <f>IF(ISNUMBER(D72),I77*0.77,"")</f>
        <v/>
      </c>
    </row>
    <row r="78" spans="1:10" x14ac:dyDescent="0.2">
      <c r="H78" s="4" t="str">
        <f>IFERROR(IF(INDEX($A$30:$C$52,MATCH(Date_Debut_Anciennete+Carriere2[[#Totals],[Pris en compte au 2/3]]+Carriere2[[#Totals],[Pris en compte à 100%]],$A$30:$A$52,1),1)=$A78,"SALAIRE ET COEFFICIENT RETENU",""),"")</f>
        <v/>
      </c>
    </row>
  </sheetData>
  <sheetProtection algorithmName="SHA-512" hashValue="nci5yRQ7K3lDy5FmHdTRhVw+ErJSOjD0WwkwlnlP7ayBozErDLYnU3IMgXEZhqqEENxCwZ+iFHnuSkTHINDa3g==" saltValue="DcPnZw1wWcMguovMocfBmQ==" spinCount="100000" sheet="1" objects="1" scenarios="1"/>
  <mergeCells count="5">
    <mergeCell ref="A1:H1"/>
    <mergeCell ref="A3:H3"/>
    <mergeCell ref="A5:H5"/>
    <mergeCell ref="A12:H12"/>
    <mergeCell ref="A18:H18"/>
  </mergeCells>
  <conditionalFormatting sqref="A51:G78 E42:G50 A30:D50">
    <cfRule type="expression" dxfId="2" priority="2">
      <formula>ISNUMBER($A30)</formula>
    </cfRule>
    <cfRule type="expression" dxfId="1" priority="3">
      <formula>INDEX($A$30:$C$52,MATCH($C$22+anciennete_retenue+IFERROR(IF(SEARCH("INFIRMIER",Metier,1),365,0),0),$A$30:$A$52,1),1)=$A30</formula>
    </cfRule>
  </conditionalFormatting>
  <conditionalFormatting sqref="D22">
    <cfRule type="expression" dxfId="0" priority="1">
      <formula>SEARCH("INFIRMIER",Metier,1)</formula>
    </cfRule>
  </conditionalFormatting>
  <dataValidations count="3">
    <dataValidation type="list" allowBlank="1" showInputMessage="1" showErrorMessage="1" sqref="A15" xr:uid="{878B835D-131C-4CE3-866E-FBE1FAF23E97}">
      <formula1>CCN66_ou_51_?</formula1>
    </dataValidation>
    <dataValidation type="date" operator="greaterThanOrEqual" allowBlank="1" showInputMessage="1" showErrorMessage="1" errorTitle="Date non cohérente" error="La date de fin doit être supérieure ou égale à la date de début" sqref="E15" xr:uid="{897AFF0D-29D4-4887-B503-7B3E9F6F6272}">
      <formula1>$D15</formula1>
    </dataValidation>
    <dataValidation type="date" operator="lessThanOrEqual" allowBlank="1" showInputMessage="1" showErrorMessage="1" errorTitle="date non cohérente" error="La date de début doit être inférieure ou égale à la date de fin." sqref="D15" xr:uid="{34E1C74B-82FC-483E-9133-09D51379D76C}">
      <formula1>$E15</formula1>
    </dataValidation>
  </dataValidations>
  <pageMargins left="0.7" right="0.7" top="0.75" bottom="0.75" header="0.3" footer="0.3"/>
  <pageSetup paperSize="9" scale="59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er_Ligne">
                <anchor moveWithCells="1" sizeWithCells="1">
                  <from>
                    <xdr:col>8</xdr:col>
                    <xdr:colOff>19050</xdr:colOff>
                    <xdr:row>15</xdr:row>
                    <xdr:rowOff>19050</xdr:rowOff>
                  </from>
                  <to>
                    <xdr:col>9</xdr:col>
                    <xdr:colOff>95250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Supprimer_Ligne">
                <anchor moveWithCells="1" sizeWithCells="1">
                  <from>
                    <xdr:col>9</xdr:col>
                    <xdr:colOff>533400</xdr:colOff>
                    <xdr:row>15</xdr:row>
                    <xdr:rowOff>9525</xdr:rowOff>
                  </from>
                  <to>
                    <xdr:col>11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4A77A8E-78CB-4AC4-9F85-8A1076382E7F}">
          <x14:formula1>
            <xm:f>OFFSET(Tables!$Q$1,0,0,COUNTA(Tables!$Q:$Q))</xm:f>
          </x14:formula1>
          <xm:sqref>C10</xm:sqref>
        </x14:dataValidation>
        <x14:dataValidation type="list" allowBlank="1" showInputMessage="1" showErrorMessage="1" xr:uid="{D5CB202A-FA44-4F81-9CBE-10551A96AB82}">
          <x14:formula1>
            <xm:f>OFFSET(Tables!$X$1,0,0,COUNTA(Tables!$X:$X))</xm:f>
          </x14:formula1>
          <xm:sqref>C9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5214-204D-45B8-B2AB-AEB53F768398}">
  <sheetPr codeName="Feuil2">
    <tabColor rgb="FF00B050"/>
  </sheetPr>
  <dimension ref="A1"/>
  <sheetViews>
    <sheetView workbookViewId="0">
      <selection activeCell="H16" sqref="H16"/>
    </sheetView>
  </sheetViews>
  <sheetFormatPr baseColWidth="10" defaultRowHeight="12.75" x14ac:dyDescent="0.2"/>
  <cols>
    <col min="8" max="8" width="12.425781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6670-8D69-4E6B-85B1-526E917C0813}">
  <sheetPr codeName="Feuil1"/>
  <dimension ref="A1:Z249"/>
  <sheetViews>
    <sheetView zoomScale="110" zoomScaleNormal="110" workbookViewId="0">
      <selection activeCell="I1" sqref="I1:I1048576"/>
    </sheetView>
  </sheetViews>
  <sheetFormatPr baseColWidth="10" defaultColWidth="11.5703125" defaultRowHeight="15" x14ac:dyDescent="0.25"/>
  <cols>
    <col min="1" max="1" width="48" style="16" bestFit="1" customWidth="1"/>
    <col min="2" max="2" width="9.7109375" style="16" customWidth="1"/>
    <col min="3" max="3" width="6.5703125" style="16" customWidth="1"/>
    <col min="4" max="4" width="9" style="16" customWidth="1"/>
    <col min="5" max="5" width="11.42578125" style="16" customWidth="1"/>
    <col min="6" max="7" width="9" style="16" customWidth="1"/>
    <col min="8" max="8" width="15.5703125" style="16" customWidth="1"/>
    <col min="9" max="9" width="13.5703125" style="16" customWidth="1"/>
    <col min="10" max="10" width="9" style="16" customWidth="1"/>
    <col min="11" max="11" width="3" style="16" customWidth="1"/>
    <col min="12" max="12" width="8.7109375" style="25" customWidth="1"/>
    <col min="13" max="13" width="12.140625" style="16" customWidth="1"/>
    <col min="14" max="14" width="12.28515625" style="16" customWidth="1"/>
    <col min="15" max="15" width="17.5703125" style="16" customWidth="1"/>
    <col min="16" max="16" width="3.5703125" style="16" customWidth="1"/>
    <col min="17" max="17" width="16.28515625" style="16" customWidth="1"/>
    <col min="18" max="18" width="3" style="16" customWidth="1"/>
    <col min="19" max="19" width="25.5703125" style="16" bestFit="1" customWidth="1"/>
    <col min="20" max="20" width="11.5703125" style="16"/>
    <col min="21" max="21" width="4.28515625" style="16" customWidth="1"/>
    <col min="22" max="22" width="14.85546875" style="16" customWidth="1"/>
    <col min="23" max="23" width="4.28515625" style="16" customWidth="1"/>
    <col min="24" max="24" width="48" style="16" bestFit="1" customWidth="1"/>
    <col min="25" max="25" width="3.140625" style="16" customWidth="1"/>
    <col min="26" max="26" width="15.28515625" style="16" bestFit="1" customWidth="1"/>
    <col min="27" max="16384" width="11.5703125" style="16"/>
  </cols>
  <sheetData>
    <row r="1" spans="1:26" ht="60" x14ac:dyDescent="0.25">
      <c r="A1" s="22" t="s">
        <v>30</v>
      </c>
      <c r="B1" s="21" t="s">
        <v>31</v>
      </c>
      <c r="C1" s="21" t="s">
        <v>32</v>
      </c>
      <c r="D1" s="21" t="s">
        <v>33</v>
      </c>
      <c r="E1" s="22" t="s">
        <v>34</v>
      </c>
      <c r="F1" s="22" t="s">
        <v>35</v>
      </c>
      <c r="G1" s="22" t="s">
        <v>36</v>
      </c>
      <c r="H1" s="22" t="s">
        <v>37</v>
      </c>
      <c r="I1" s="26" t="s">
        <v>38</v>
      </c>
      <c r="J1" s="26" t="s">
        <v>39</v>
      </c>
      <c r="K1" s="15"/>
      <c r="L1" s="22" t="s">
        <v>33</v>
      </c>
      <c r="M1" s="22" t="s">
        <v>40</v>
      </c>
      <c r="N1" s="22" t="s">
        <v>41</v>
      </c>
      <c r="O1" s="22" t="s">
        <v>42</v>
      </c>
      <c r="Q1" s="68" t="s">
        <v>43</v>
      </c>
      <c r="S1" s="68" t="s">
        <v>44</v>
      </c>
      <c r="T1" s="68" t="s">
        <v>45</v>
      </c>
      <c r="U1" s="68"/>
      <c r="V1" s="68" t="s">
        <v>46</v>
      </c>
      <c r="W1" s="68"/>
      <c r="X1" s="27" t="s">
        <v>47</v>
      </c>
      <c r="Z1" s="68" t="s">
        <v>48</v>
      </c>
    </row>
    <row r="2" spans="1:26" x14ac:dyDescent="0.25">
      <c r="A2" s="16" t="s">
        <v>49</v>
      </c>
      <c r="B2" s="16" t="b">
        <v>0</v>
      </c>
      <c r="C2" s="16" t="b">
        <v>0</v>
      </c>
      <c r="D2" s="16">
        <v>2</v>
      </c>
      <c r="E2" s="17" t="b">
        <v>0</v>
      </c>
      <c r="F2" s="17" t="b">
        <v>0</v>
      </c>
      <c r="G2" s="17" t="b">
        <v>0</v>
      </c>
      <c r="H2" s="17" t="b">
        <v>1</v>
      </c>
      <c r="I2" s="17" t="b">
        <v>0</v>
      </c>
      <c r="J2" s="20" t="b">
        <v>0</v>
      </c>
      <c r="K2" s="15"/>
      <c r="L2" s="23">
        <v>1</v>
      </c>
      <c r="M2" s="17">
        <v>0</v>
      </c>
      <c r="N2" s="17">
        <v>446</v>
      </c>
      <c r="O2" s="20" t="str" cm="1">
        <f t="array" ref="O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GRILLE]],MAX($O$1:O1)+1)</f>
        <v/>
      </c>
      <c r="Q2" s="16" t="b">
        <v>1</v>
      </c>
      <c r="S2" t="s">
        <v>50</v>
      </c>
      <c r="T2">
        <v>3.93</v>
      </c>
      <c r="U2"/>
      <c r="V2" t="s">
        <v>51</v>
      </c>
      <c r="W2"/>
      <c r="X2" s="16" t="str" cm="1">
        <f t="array" ref="X2:X69">_xlfn.UNIQUE(Postes[libellé poste])</f>
        <v>ACCOMPAGNANT EDUCATIF ET SOCIAL</v>
      </c>
      <c r="Z2" s="16" t="b">
        <v>1</v>
      </c>
    </row>
    <row r="3" spans="1:26" x14ac:dyDescent="0.25">
      <c r="A3" s="16" t="s">
        <v>49</v>
      </c>
      <c r="B3" s="16" t="b">
        <v>1</v>
      </c>
      <c r="C3" s="16" t="b">
        <v>0</v>
      </c>
      <c r="D3" s="16">
        <v>17</v>
      </c>
      <c r="E3" s="18" t="b">
        <v>0</v>
      </c>
      <c r="F3" s="18" t="b">
        <v>0</v>
      </c>
      <c r="G3" s="17" t="b">
        <v>0</v>
      </c>
      <c r="H3" s="18" t="b">
        <v>1</v>
      </c>
      <c r="I3" s="17" t="b">
        <v>0</v>
      </c>
      <c r="J3" s="20" t="b">
        <v>0</v>
      </c>
      <c r="K3" s="15"/>
      <c r="L3" s="23">
        <v>1</v>
      </c>
      <c r="M3" s="18">
        <v>1</v>
      </c>
      <c r="N3" s="18">
        <v>459</v>
      </c>
      <c r="O3" s="18" t="str" cm="1">
        <f t="array" ref="O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GRILLE]],MAX($O$1:O2)+1)</f>
        <v/>
      </c>
      <c r="Q3" s="16" t="b">
        <v>0</v>
      </c>
      <c r="S3" t="s">
        <v>52</v>
      </c>
      <c r="T3" s="14">
        <f>9.21/100</f>
        <v>9.2100000000000015E-2</v>
      </c>
      <c r="U3"/>
      <c r="V3" t="s">
        <v>16</v>
      </c>
      <c r="W3"/>
      <c r="X3" s="16" t="str">
        <v>ACCOMPAGNANT EDUCATIF ET SOCIAL ARS</v>
      </c>
      <c r="Z3" s="16" t="b">
        <v>0</v>
      </c>
    </row>
    <row r="4" spans="1:26" x14ac:dyDescent="0.25">
      <c r="A4" s="68" t="s">
        <v>53</v>
      </c>
      <c r="B4" s="16" t="b">
        <v>0</v>
      </c>
      <c r="C4" s="16" t="b">
        <v>0</v>
      </c>
      <c r="D4" s="16">
        <v>2</v>
      </c>
      <c r="E4" s="17" t="b">
        <v>1</v>
      </c>
      <c r="F4" s="17" t="b">
        <v>0</v>
      </c>
      <c r="G4" s="17" t="b">
        <v>0</v>
      </c>
      <c r="H4" s="18" t="b">
        <v>0</v>
      </c>
      <c r="I4" s="17" t="b">
        <v>0</v>
      </c>
      <c r="J4" s="20" t="b">
        <v>0</v>
      </c>
      <c r="K4" s="15"/>
      <c r="L4" s="23">
        <v>1</v>
      </c>
      <c r="M4" s="18">
        <v>3</v>
      </c>
      <c r="N4" s="18">
        <v>491</v>
      </c>
      <c r="O4" s="18" t="str" cm="1">
        <f t="array" ref="O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GRILLE]],MAX($O$1:O3)+1)</f>
        <v/>
      </c>
      <c r="S4" t="s">
        <v>54</v>
      </c>
      <c r="T4" s="14">
        <v>3.5000000000000003E-2</v>
      </c>
      <c r="X4" s="16" t="str">
        <v>AGENT ADMINISTRATIF</v>
      </c>
    </row>
    <row r="5" spans="1:26" x14ac:dyDescent="0.25">
      <c r="A5" s="68" t="s">
        <v>53</v>
      </c>
      <c r="B5" s="16" t="b">
        <v>1</v>
      </c>
      <c r="C5" s="16" t="b">
        <v>0</v>
      </c>
      <c r="D5" s="16">
        <v>17</v>
      </c>
      <c r="E5" s="18" t="b">
        <v>1</v>
      </c>
      <c r="F5" s="18" t="b">
        <v>0</v>
      </c>
      <c r="G5" s="17" t="b">
        <v>0</v>
      </c>
      <c r="H5" s="18" t="b">
        <v>0</v>
      </c>
      <c r="I5" s="17" t="b">
        <v>0</v>
      </c>
      <c r="J5" s="20" t="b">
        <v>0</v>
      </c>
      <c r="K5" s="15"/>
      <c r="L5" s="23">
        <v>1</v>
      </c>
      <c r="M5" s="18">
        <v>5</v>
      </c>
      <c r="N5" s="18">
        <v>517</v>
      </c>
      <c r="O5" s="18" t="str" cm="1">
        <f t="array" ref="O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GRILLE]],MAX($O$1:O4)+1)</f>
        <v/>
      </c>
      <c r="X5" s="16" t="str">
        <v>AGENT ADMINISTRATIF PRINCIPAL</v>
      </c>
    </row>
    <row r="6" spans="1:26" x14ac:dyDescent="0.25">
      <c r="A6" s="16" t="s">
        <v>55</v>
      </c>
      <c r="B6" s="16" t="b">
        <v>0</v>
      </c>
      <c r="C6" s="16" t="b">
        <v>0</v>
      </c>
      <c r="D6" s="16">
        <v>5</v>
      </c>
      <c r="E6" s="18" t="b">
        <v>0</v>
      </c>
      <c r="F6" s="18" t="b">
        <v>0</v>
      </c>
      <c r="G6" s="17" t="b">
        <v>0</v>
      </c>
      <c r="H6" s="18" t="b">
        <v>1</v>
      </c>
      <c r="I6" s="17" t="b">
        <v>0</v>
      </c>
      <c r="J6" s="20" t="b">
        <v>0</v>
      </c>
      <c r="K6" s="15"/>
      <c r="L6" s="23">
        <v>1</v>
      </c>
      <c r="M6" s="18">
        <v>7</v>
      </c>
      <c r="N6" s="18">
        <v>552</v>
      </c>
      <c r="O6" s="18" t="str" cm="1">
        <f t="array" ref="O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GRILLE]],MAX($O$1:O5)+1)</f>
        <v/>
      </c>
      <c r="X6" s="16" t="str">
        <v>AGENT DE SERVICE INTERIEUR</v>
      </c>
    </row>
    <row r="7" spans="1:26" x14ac:dyDescent="0.25">
      <c r="A7" s="16" t="s">
        <v>55</v>
      </c>
      <c r="B7" s="16" t="b">
        <v>1</v>
      </c>
      <c r="C7" s="16" t="b">
        <v>0</v>
      </c>
      <c r="D7" s="16">
        <v>5</v>
      </c>
      <c r="E7" s="18" t="b">
        <v>0</v>
      </c>
      <c r="F7" s="18" t="b">
        <v>0</v>
      </c>
      <c r="G7" s="17" t="b">
        <v>0</v>
      </c>
      <c r="H7" s="18" t="b">
        <v>1</v>
      </c>
      <c r="I7" s="17" t="b">
        <v>0</v>
      </c>
      <c r="J7" s="20" t="b">
        <v>0</v>
      </c>
      <c r="K7" s="15"/>
      <c r="L7" s="23">
        <v>1</v>
      </c>
      <c r="M7" s="18">
        <v>9</v>
      </c>
      <c r="N7" s="18">
        <v>586</v>
      </c>
      <c r="O7" s="18" t="str" cm="1">
        <f t="array" ref="O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GRILLE]],MAX($O$1:O6)+1)</f>
        <v/>
      </c>
      <c r="X7" s="16" t="str">
        <v>AGENT TECHNIQUE</v>
      </c>
    </row>
    <row r="8" spans="1:26" x14ac:dyDescent="0.25">
      <c r="A8" s="16" t="s">
        <v>56</v>
      </c>
      <c r="B8" s="16" t="b">
        <v>1</v>
      </c>
      <c r="C8" s="16" t="b">
        <v>0</v>
      </c>
      <c r="D8" s="16">
        <v>2</v>
      </c>
      <c r="E8" s="18" t="b">
        <v>0</v>
      </c>
      <c r="F8" s="18" t="b">
        <v>0</v>
      </c>
      <c r="G8" s="17" t="b">
        <v>0</v>
      </c>
      <c r="H8" s="18" t="b">
        <v>1</v>
      </c>
      <c r="I8" s="17" t="b">
        <v>0</v>
      </c>
      <c r="J8" s="20" t="b">
        <v>0</v>
      </c>
      <c r="K8" s="15"/>
      <c r="L8" s="23">
        <v>1</v>
      </c>
      <c r="M8" s="18">
        <v>11</v>
      </c>
      <c r="N8" s="18">
        <v>597</v>
      </c>
      <c r="O8" s="18" t="str" cm="1">
        <f t="array" ref="O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GRILLE]],MAX($O$1:O7)+1)</f>
        <v/>
      </c>
      <c r="X8" s="16" t="str">
        <v>AGENT TECHNIQUE SUPERIEUR</v>
      </c>
    </row>
    <row r="9" spans="1:26" x14ac:dyDescent="0.25">
      <c r="A9" s="16" t="s">
        <v>56</v>
      </c>
      <c r="B9" s="16" t="b">
        <v>0</v>
      </c>
      <c r="C9" s="16" t="b">
        <v>0</v>
      </c>
      <c r="D9" s="16">
        <v>2</v>
      </c>
      <c r="E9" s="18" t="b">
        <v>0</v>
      </c>
      <c r="F9" s="18" t="b">
        <v>0</v>
      </c>
      <c r="G9" s="17" t="b">
        <v>0</v>
      </c>
      <c r="H9" s="18" t="b">
        <v>1</v>
      </c>
      <c r="I9" s="17" t="b">
        <v>0</v>
      </c>
      <c r="J9" s="20" t="b">
        <v>0</v>
      </c>
      <c r="K9" s="15"/>
      <c r="L9" s="23">
        <v>1</v>
      </c>
      <c r="M9" s="17">
        <v>14</v>
      </c>
      <c r="N9" s="17">
        <v>632</v>
      </c>
      <c r="O9" s="18" t="str" cm="1">
        <f t="array" ref="O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GRILLE]],MAX($O$1:O8)+1)</f>
        <v/>
      </c>
      <c r="X9" s="16" t="str">
        <v>AIDE MEDICO PSYCHOLOGIQUE</v>
      </c>
    </row>
    <row r="10" spans="1:26" x14ac:dyDescent="0.25">
      <c r="A10" s="16" t="s">
        <v>57</v>
      </c>
      <c r="B10" s="16" t="b">
        <v>0</v>
      </c>
      <c r="C10" s="16" t="b">
        <v>0</v>
      </c>
      <c r="D10" s="16">
        <v>15</v>
      </c>
      <c r="E10" s="18" t="b">
        <v>0</v>
      </c>
      <c r="F10" s="18" t="b">
        <v>0</v>
      </c>
      <c r="G10" s="17" t="b">
        <v>0</v>
      </c>
      <c r="H10" s="18" t="b">
        <v>1</v>
      </c>
      <c r="I10" s="17" t="b">
        <v>0</v>
      </c>
      <c r="J10" s="18" t="b">
        <v>1</v>
      </c>
      <c r="K10" s="15"/>
      <c r="L10" s="23">
        <v>1</v>
      </c>
      <c r="M10" s="18">
        <v>17</v>
      </c>
      <c r="N10" s="18">
        <v>665</v>
      </c>
      <c r="O10" s="18" t="str" cm="1">
        <f t="array" ref="O1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GRILLE]],MAX($O$1:O9)+1)</f>
        <v/>
      </c>
      <c r="X10" s="16" t="str">
        <v>AIDE MEDICO PSYCHOLOGIQUE ARS</v>
      </c>
    </row>
    <row r="11" spans="1:26" x14ac:dyDescent="0.25">
      <c r="A11" s="16" t="s">
        <v>57</v>
      </c>
      <c r="B11" s="16" t="b">
        <v>1</v>
      </c>
      <c r="C11" s="16" t="b">
        <v>0</v>
      </c>
      <c r="D11" s="16">
        <v>16</v>
      </c>
      <c r="E11" s="18" t="b">
        <v>0</v>
      </c>
      <c r="F11" s="18" t="b">
        <v>0</v>
      </c>
      <c r="G11" s="17" t="b">
        <v>0</v>
      </c>
      <c r="H11" s="18" t="b">
        <v>1</v>
      </c>
      <c r="I11" s="17" t="b">
        <v>0</v>
      </c>
      <c r="J11" s="18" t="b">
        <v>1</v>
      </c>
      <c r="K11" s="15"/>
      <c r="L11" s="23">
        <v>1</v>
      </c>
      <c r="M11" s="17">
        <v>20</v>
      </c>
      <c r="N11" s="17">
        <v>698</v>
      </c>
      <c r="O11" s="18" t="str" cm="1">
        <f t="array" ref="O1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GRILLE]],MAX($O$1:O10)+1)</f>
        <v/>
      </c>
      <c r="X11" s="16" t="str">
        <v>ANIMATEUR</v>
      </c>
    </row>
    <row r="12" spans="1:26" x14ac:dyDescent="0.25">
      <c r="A12" s="16" t="s">
        <v>58</v>
      </c>
      <c r="B12" s="16" t="b">
        <v>0</v>
      </c>
      <c r="C12" s="16" t="b">
        <v>0</v>
      </c>
      <c r="D12" s="16">
        <v>2</v>
      </c>
      <c r="E12" s="18" t="b">
        <v>0</v>
      </c>
      <c r="F12" s="18" t="b">
        <v>0</v>
      </c>
      <c r="G12" s="17" t="b">
        <v>0</v>
      </c>
      <c r="H12" s="18" t="b">
        <v>1</v>
      </c>
      <c r="I12" s="17" t="b">
        <v>0</v>
      </c>
      <c r="J12" s="18" t="b">
        <v>1</v>
      </c>
      <c r="K12" s="15"/>
      <c r="L12" s="23">
        <v>1</v>
      </c>
      <c r="M12" s="17">
        <v>24</v>
      </c>
      <c r="N12" s="17">
        <v>735</v>
      </c>
      <c r="O12" s="18" t="str" cm="1">
        <f t="array" ref="O1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GRILLE]],MAX($O$1:O11)+1)</f>
        <v/>
      </c>
      <c r="X12" s="16" t="str">
        <v>ANIMATEUR SOCIO EDUCATIF</v>
      </c>
    </row>
    <row r="13" spans="1:26" x14ac:dyDescent="0.25">
      <c r="A13" s="16" t="s">
        <v>58</v>
      </c>
      <c r="B13" s="16" t="b">
        <v>1</v>
      </c>
      <c r="C13" s="16" t="b">
        <v>0</v>
      </c>
      <c r="D13" s="16">
        <v>18</v>
      </c>
      <c r="E13" s="18" t="b">
        <v>0</v>
      </c>
      <c r="F13" s="18" t="b">
        <v>0</v>
      </c>
      <c r="G13" s="17" t="b">
        <v>0</v>
      </c>
      <c r="H13" s="18" t="b">
        <v>1</v>
      </c>
      <c r="I13" s="17" t="b">
        <v>0</v>
      </c>
      <c r="J13" s="18" t="b">
        <v>1</v>
      </c>
      <c r="K13" s="15"/>
      <c r="L13" s="23">
        <v>1</v>
      </c>
      <c r="M13" s="17">
        <v>28</v>
      </c>
      <c r="N13" s="17">
        <v>783</v>
      </c>
      <c r="O13" s="18" t="str" cm="1">
        <f t="array" ref="O1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GRILLE]],MAX($O$1:O12)+1)</f>
        <v/>
      </c>
      <c r="X13" s="16" t="str">
        <v>ASSISTANT COMPTABLE</v>
      </c>
    </row>
    <row r="14" spans="1:26" x14ac:dyDescent="0.25">
      <c r="A14" s="16" t="s">
        <v>59</v>
      </c>
      <c r="B14" s="16" t="b">
        <v>0</v>
      </c>
      <c r="C14" s="16" t="b">
        <v>0</v>
      </c>
      <c r="D14" s="16">
        <v>6</v>
      </c>
      <c r="E14" s="18" t="b">
        <v>0</v>
      </c>
      <c r="F14" s="18" t="b">
        <v>0</v>
      </c>
      <c r="G14" s="17" t="b">
        <v>0</v>
      </c>
      <c r="H14" s="18" t="b">
        <v>1</v>
      </c>
      <c r="I14" s="17" t="b">
        <v>0</v>
      </c>
      <c r="J14" s="18" t="b">
        <v>1</v>
      </c>
      <c r="K14" s="15"/>
      <c r="L14" s="23">
        <v>2</v>
      </c>
      <c r="M14" s="18">
        <v>0</v>
      </c>
      <c r="N14" s="18">
        <v>403</v>
      </c>
      <c r="O14" s="18" t="str" cm="1">
        <f t="array" ref="O1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GRILLE]],MAX($O$1:O13)+1)</f>
        <v/>
      </c>
      <c r="X14" s="16" t="str">
        <v>ASSISTANT DG</v>
      </c>
    </row>
    <row r="15" spans="1:26" x14ac:dyDescent="0.25">
      <c r="A15" s="16" t="s">
        <v>59</v>
      </c>
      <c r="B15" s="16" t="b">
        <v>1</v>
      </c>
      <c r="C15" s="16" t="b">
        <v>0</v>
      </c>
      <c r="D15" s="16">
        <v>7</v>
      </c>
      <c r="E15" s="19" t="b">
        <v>0</v>
      </c>
      <c r="F15" s="19" t="b">
        <v>0</v>
      </c>
      <c r="G15" s="17" t="b">
        <v>0</v>
      </c>
      <c r="H15" s="18" t="b">
        <v>1</v>
      </c>
      <c r="I15" s="17" t="b">
        <v>0</v>
      </c>
      <c r="J15" s="18" t="b">
        <v>1</v>
      </c>
      <c r="K15" s="15"/>
      <c r="L15" s="23">
        <v>2</v>
      </c>
      <c r="M15" s="17">
        <v>1</v>
      </c>
      <c r="N15" s="17">
        <v>405</v>
      </c>
      <c r="O15" s="18" t="str" cm="1">
        <f t="array" ref="O1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GRILLE]],MAX($O$1:O14)+1)</f>
        <v/>
      </c>
      <c r="X15" s="16" t="str">
        <v>ASSISTANT GRH</v>
      </c>
    </row>
    <row r="16" spans="1:26" x14ac:dyDescent="0.25">
      <c r="A16" s="16" t="s">
        <v>60</v>
      </c>
      <c r="B16" s="16" t="b">
        <v>0</v>
      </c>
      <c r="C16" s="16" t="b">
        <v>0</v>
      </c>
      <c r="D16" s="16">
        <v>2</v>
      </c>
      <c r="E16" s="19" t="b">
        <v>0</v>
      </c>
      <c r="F16" s="19" t="b">
        <v>0</v>
      </c>
      <c r="G16" s="17" t="b">
        <v>0</v>
      </c>
      <c r="H16" s="19" t="b">
        <v>1</v>
      </c>
      <c r="I16" s="17" t="b">
        <v>0</v>
      </c>
      <c r="J16" s="20" t="b">
        <v>0</v>
      </c>
      <c r="K16" s="15"/>
      <c r="L16" s="23">
        <v>2</v>
      </c>
      <c r="M16" s="17">
        <v>3</v>
      </c>
      <c r="N16" s="17">
        <v>418</v>
      </c>
      <c r="O16" s="18" t="str" cm="1">
        <f t="array" ref="O1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GRILLE]],MAX($O$1:O15)+1)</f>
        <v/>
      </c>
      <c r="X16" s="16" t="str">
        <v>ASSISTANTE SOCIALE SPECIALISE</v>
      </c>
    </row>
    <row r="17" spans="1:24" x14ac:dyDescent="0.25">
      <c r="A17" s="16" t="s">
        <v>60</v>
      </c>
      <c r="B17" s="16" t="b">
        <v>1</v>
      </c>
      <c r="C17" s="16" t="b">
        <v>0</v>
      </c>
      <c r="D17" s="16">
        <v>17</v>
      </c>
      <c r="E17" s="19" t="b">
        <v>0</v>
      </c>
      <c r="F17" s="19" t="b">
        <v>0</v>
      </c>
      <c r="G17" s="17" t="b">
        <v>0</v>
      </c>
      <c r="H17" s="18" t="b">
        <v>1</v>
      </c>
      <c r="I17" s="17" t="b">
        <v>0</v>
      </c>
      <c r="J17" s="20" t="b">
        <v>0</v>
      </c>
      <c r="K17" s="15"/>
      <c r="L17" s="23">
        <v>2</v>
      </c>
      <c r="M17" s="17">
        <v>5</v>
      </c>
      <c r="N17" s="17">
        <v>432</v>
      </c>
      <c r="O17" s="18" t="str" cm="1">
        <f t="array" ref="O1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GRILLE]],MAX($O$1:O16)+1)</f>
        <v/>
      </c>
      <c r="X17" s="16" t="str">
        <v>CADRE C3N2</v>
      </c>
    </row>
    <row r="18" spans="1:24" x14ac:dyDescent="0.25">
      <c r="A18" s="68" t="s">
        <v>61</v>
      </c>
      <c r="B18" s="16" t="b">
        <v>0</v>
      </c>
      <c r="C18" s="16" t="b">
        <v>0</v>
      </c>
      <c r="D18" s="16">
        <v>2</v>
      </c>
      <c r="E18" s="19" t="b">
        <v>1</v>
      </c>
      <c r="F18" s="19" t="b">
        <v>0</v>
      </c>
      <c r="G18" s="17" t="b">
        <v>0</v>
      </c>
      <c r="H18" s="69" t="b">
        <v>0</v>
      </c>
      <c r="I18" s="17" t="b">
        <v>0</v>
      </c>
      <c r="J18" s="20" t="b">
        <v>0</v>
      </c>
      <c r="L18" s="23">
        <v>2</v>
      </c>
      <c r="M18" s="17">
        <v>7</v>
      </c>
      <c r="N18" s="17">
        <v>448</v>
      </c>
      <c r="O18" s="18" t="str" cm="1">
        <f t="array" ref="O1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GRILLE]],MAX($O$1:O17)+1)</f>
        <v/>
      </c>
      <c r="X18" s="16" t="str">
        <v>CADRE C3N3</v>
      </c>
    </row>
    <row r="19" spans="1:24" x14ac:dyDescent="0.25">
      <c r="A19" s="68" t="s">
        <v>61</v>
      </c>
      <c r="B19" s="16" t="b">
        <v>1</v>
      </c>
      <c r="C19" s="16" t="b">
        <v>0</v>
      </c>
      <c r="D19" s="16">
        <v>17</v>
      </c>
      <c r="E19" s="19" t="b">
        <v>1</v>
      </c>
      <c r="F19" s="19" t="b">
        <v>0</v>
      </c>
      <c r="G19" s="17" t="b">
        <v>0</v>
      </c>
      <c r="H19" s="69" t="b">
        <v>0</v>
      </c>
      <c r="I19" s="17" t="b">
        <v>0</v>
      </c>
      <c r="J19" s="20" t="b">
        <v>0</v>
      </c>
      <c r="L19" s="23">
        <v>2</v>
      </c>
      <c r="M19" s="18">
        <v>10</v>
      </c>
      <c r="N19" s="18">
        <v>461</v>
      </c>
      <c r="O19" s="18" t="str" cm="1">
        <f t="array" ref="O1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GRILLE]],MAX($O$1:O18)+1)</f>
        <v/>
      </c>
      <c r="X19" s="16" t="str">
        <v>CADRE TECHNIQUE RH C3N2</v>
      </c>
    </row>
    <row r="20" spans="1:24" x14ac:dyDescent="0.25">
      <c r="A20" s="16" t="s">
        <v>62</v>
      </c>
      <c r="B20" s="16" t="b">
        <v>0</v>
      </c>
      <c r="C20" s="16" t="b">
        <v>0</v>
      </c>
      <c r="D20" s="16">
        <v>6</v>
      </c>
      <c r="E20" s="18" t="b">
        <v>0</v>
      </c>
      <c r="F20" s="18" t="b">
        <v>0</v>
      </c>
      <c r="G20" s="17" t="b">
        <v>0</v>
      </c>
      <c r="H20" s="18" t="b">
        <v>1</v>
      </c>
      <c r="I20" s="17" t="b">
        <v>0</v>
      </c>
      <c r="J20" s="20" t="b">
        <v>0</v>
      </c>
      <c r="L20" s="23">
        <v>2</v>
      </c>
      <c r="M20" s="17">
        <v>13</v>
      </c>
      <c r="N20" s="17">
        <v>474</v>
      </c>
      <c r="O20" s="18" t="str" cm="1">
        <f t="array" ref="O2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GRILLE]],MAX($O$1:O19)+1)</f>
        <v/>
      </c>
      <c r="X20" s="16" t="str">
        <v>CHEF CUISINIER</v>
      </c>
    </row>
    <row r="21" spans="1:24" x14ac:dyDescent="0.25">
      <c r="A21" s="16" t="s">
        <v>62</v>
      </c>
      <c r="B21" s="16" t="b">
        <v>1</v>
      </c>
      <c r="C21" s="16" t="b">
        <v>0</v>
      </c>
      <c r="D21" s="16">
        <v>7</v>
      </c>
      <c r="E21" s="18" t="b">
        <v>0</v>
      </c>
      <c r="F21" s="18" t="b">
        <v>0</v>
      </c>
      <c r="G21" s="17" t="b">
        <v>0</v>
      </c>
      <c r="H21" s="18" t="b">
        <v>1</v>
      </c>
      <c r="I21" s="17" t="b">
        <v>0</v>
      </c>
      <c r="J21" s="20" t="b">
        <v>0</v>
      </c>
      <c r="L21" s="23">
        <v>2</v>
      </c>
      <c r="M21" s="18">
        <v>16</v>
      </c>
      <c r="N21" s="18">
        <v>486</v>
      </c>
      <c r="O21" s="18" t="str" cm="1">
        <f t="array" ref="O2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GRILLE]],MAX($O$1:O20)+1)</f>
        <v/>
      </c>
      <c r="X21" s="16" t="str">
        <v>CHEF DE SERVICE EDUCATIF C2N2</v>
      </c>
    </row>
    <row r="22" spans="1:24" x14ac:dyDescent="0.25">
      <c r="A22" s="16" t="s">
        <v>63</v>
      </c>
      <c r="B22" s="16" t="b">
        <v>0</v>
      </c>
      <c r="C22" s="16" t="b">
        <v>0</v>
      </c>
      <c r="D22" s="16">
        <v>8</v>
      </c>
      <c r="E22" s="18" t="b">
        <v>0</v>
      </c>
      <c r="F22" s="18" t="b">
        <v>0</v>
      </c>
      <c r="G22" s="17" t="b">
        <v>0</v>
      </c>
      <c r="H22" s="18" t="b">
        <v>1</v>
      </c>
      <c r="I22" s="17" t="b">
        <v>0</v>
      </c>
      <c r="J22" s="20" t="b">
        <v>0</v>
      </c>
      <c r="L22" s="23">
        <v>2</v>
      </c>
      <c r="M22" s="18">
        <v>20</v>
      </c>
      <c r="N22" s="18">
        <v>498</v>
      </c>
      <c r="O22" s="18" t="str" cm="1">
        <f t="array" ref="O2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GRILLE]],MAX($O$1:O21)+1)</f>
        <v/>
      </c>
      <c r="X22" s="16" t="str">
        <v>CHEF DE SERVICE EDUCATIF C2N3</v>
      </c>
    </row>
    <row r="23" spans="1:24" x14ac:dyDescent="0.25">
      <c r="A23" s="16" t="s">
        <v>63</v>
      </c>
      <c r="B23" s="16" t="b">
        <v>1</v>
      </c>
      <c r="C23" s="16" t="b">
        <v>0</v>
      </c>
      <c r="D23" s="16">
        <v>1</v>
      </c>
      <c r="E23" s="18" t="b">
        <v>0</v>
      </c>
      <c r="F23" s="18" t="b">
        <v>0</v>
      </c>
      <c r="G23" s="17" t="b">
        <v>0</v>
      </c>
      <c r="H23" s="18" t="b">
        <v>1</v>
      </c>
      <c r="I23" s="17" t="b">
        <v>0</v>
      </c>
      <c r="J23" s="20" t="b">
        <v>0</v>
      </c>
      <c r="L23" s="23">
        <v>2</v>
      </c>
      <c r="M23" s="18">
        <v>24</v>
      </c>
      <c r="N23" s="18">
        <v>516</v>
      </c>
      <c r="O23" s="18" t="str" cm="1">
        <f t="array" ref="O2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GRILLE]],MAX($O$1:O22)+1)</f>
        <v/>
      </c>
      <c r="X23" s="16" t="str">
        <v>COMPTABLE CLASSE 1</v>
      </c>
    </row>
    <row r="24" spans="1:24" x14ac:dyDescent="0.25">
      <c r="A24" s="16" t="s">
        <v>64</v>
      </c>
      <c r="B24" s="16" t="b">
        <v>0</v>
      </c>
      <c r="C24" s="16" t="b">
        <v>0</v>
      </c>
      <c r="D24" s="16">
        <v>6</v>
      </c>
      <c r="E24" s="19" t="b">
        <v>0</v>
      </c>
      <c r="F24" s="19" t="b">
        <v>0</v>
      </c>
      <c r="G24" s="17" t="b">
        <v>0</v>
      </c>
      <c r="H24" s="18" t="b">
        <v>1</v>
      </c>
      <c r="I24" s="17" t="b">
        <v>0</v>
      </c>
      <c r="J24" s="20" t="b">
        <v>0</v>
      </c>
      <c r="L24" s="23">
        <v>2</v>
      </c>
      <c r="M24" s="18">
        <v>28</v>
      </c>
      <c r="N24" s="18">
        <v>530</v>
      </c>
      <c r="O24" s="18" t="str" cm="1">
        <f t="array" ref="O2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GRILLE]],MAX($O$1:O23)+1)</f>
        <v/>
      </c>
      <c r="X24" s="16" t="str">
        <v>COMPTABLE/RH</v>
      </c>
    </row>
    <row r="25" spans="1:24" x14ac:dyDescent="0.25">
      <c r="A25" s="16" t="s">
        <v>64</v>
      </c>
      <c r="B25" s="16" t="b">
        <v>1</v>
      </c>
      <c r="C25" s="16" t="b">
        <v>0</v>
      </c>
      <c r="D25" s="16">
        <v>6</v>
      </c>
      <c r="E25" s="19" t="b">
        <v>0</v>
      </c>
      <c r="F25" s="19" t="b">
        <v>0</v>
      </c>
      <c r="G25" s="17" t="b">
        <v>0</v>
      </c>
      <c r="H25" s="18" t="b">
        <v>1</v>
      </c>
      <c r="I25" s="17" t="b">
        <v>0</v>
      </c>
      <c r="J25" s="20" t="b">
        <v>0</v>
      </c>
      <c r="L25" s="23">
        <v>3</v>
      </c>
      <c r="M25" s="17">
        <v>0</v>
      </c>
      <c r="N25" s="17">
        <v>770</v>
      </c>
      <c r="O25" s="18" t="str" cm="1">
        <f t="array" ref="O2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GRILLE]],MAX($O$1:O24)+1)</f>
        <v/>
      </c>
      <c r="X25" s="16" t="str">
        <v>CONSEILLERE EN ECONOMIE SOCIALE ET FAMILIALE</v>
      </c>
    </row>
    <row r="26" spans="1:24" x14ac:dyDescent="0.25">
      <c r="A26" s="16" t="s">
        <v>65</v>
      </c>
      <c r="B26" s="16" t="b">
        <v>0</v>
      </c>
      <c r="C26" s="16" t="b">
        <v>0</v>
      </c>
      <c r="D26" s="16">
        <v>8</v>
      </c>
      <c r="E26" s="19" t="b">
        <v>0</v>
      </c>
      <c r="F26" s="19" t="b">
        <v>0</v>
      </c>
      <c r="G26" s="17" t="b">
        <v>0</v>
      </c>
      <c r="H26" s="18" t="b">
        <v>1</v>
      </c>
      <c r="I26" s="17" t="b">
        <v>0</v>
      </c>
      <c r="J26" s="20" t="b">
        <v>0</v>
      </c>
      <c r="L26" s="23">
        <v>3</v>
      </c>
      <c r="M26" s="17">
        <v>3</v>
      </c>
      <c r="N26" s="17">
        <v>793.1</v>
      </c>
      <c r="O26" s="18" t="str" cm="1">
        <f t="array" ref="O2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GRILLE]],MAX($O$1:O25)+1)</f>
        <v/>
      </c>
      <c r="X26" s="16" t="str">
        <v>COORDONATEUR</v>
      </c>
    </row>
    <row r="27" spans="1:24" x14ac:dyDescent="0.25">
      <c r="A27" s="16" t="s">
        <v>65</v>
      </c>
      <c r="B27" s="16" t="b">
        <v>1</v>
      </c>
      <c r="C27" s="16" t="b">
        <v>0</v>
      </c>
      <c r="D27" s="16">
        <v>8</v>
      </c>
      <c r="E27" s="69" t="b">
        <v>0</v>
      </c>
      <c r="F27" s="69" t="b">
        <v>0</v>
      </c>
      <c r="G27" s="17" t="b">
        <v>0</v>
      </c>
      <c r="H27" s="18" t="b">
        <v>1</v>
      </c>
      <c r="I27" s="69" t="b">
        <v>0</v>
      </c>
      <c r="J27" s="69" t="b">
        <v>0</v>
      </c>
      <c r="L27" s="23">
        <v>3</v>
      </c>
      <c r="M27" s="17">
        <v>6</v>
      </c>
      <c r="N27" s="17">
        <v>816.2</v>
      </c>
      <c r="O27" s="18" t="str" cm="1">
        <f t="array" ref="O2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GRILLE]],MAX($O$1:O26)+1)</f>
        <v/>
      </c>
      <c r="X27" s="16" t="str">
        <v>DAF C1N1</v>
      </c>
    </row>
    <row r="28" spans="1:24" x14ac:dyDescent="0.25">
      <c r="A28" s="16" t="s">
        <v>66</v>
      </c>
      <c r="B28" s="16" t="b">
        <v>0</v>
      </c>
      <c r="C28" s="16" t="b">
        <v>0</v>
      </c>
      <c r="D28" s="16">
        <v>6</v>
      </c>
      <c r="E28" s="19" t="b">
        <v>0</v>
      </c>
      <c r="F28" s="19" t="b">
        <v>0</v>
      </c>
      <c r="G28" s="17" t="b">
        <v>0</v>
      </c>
      <c r="H28" s="18" t="b">
        <v>1</v>
      </c>
      <c r="I28" s="17" t="b">
        <v>0</v>
      </c>
      <c r="J28" s="20" t="b">
        <v>0</v>
      </c>
      <c r="L28" s="23">
        <v>3</v>
      </c>
      <c r="M28" s="18">
        <v>9</v>
      </c>
      <c r="N28" s="18">
        <v>839.3</v>
      </c>
      <c r="O28" s="18" t="str" cm="1">
        <f t="array" ref="O2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GRILLE]],MAX($O$1:O27)+1)</f>
        <v/>
      </c>
      <c r="X28" s="16" t="str">
        <v>DIRECTEUR DE POLE ADJOINT C1N2</v>
      </c>
    </row>
    <row r="29" spans="1:24" x14ac:dyDescent="0.25">
      <c r="A29" s="16" t="s">
        <v>66</v>
      </c>
      <c r="B29" s="16" t="b">
        <v>1</v>
      </c>
      <c r="C29" s="16" t="b">
        <v>0</v>
      </c>
      <c r="D29" s="16">
        <v>6</v>
      </c>
      <c r="E29" s="69" t="b">
        <v>0</v>
      </c>
      <c r="F29" s="69" t="b">
        <v>0</v>
      </c>
      <c r="G29" s="17" t="b">
        <v>0</v>
      </c>
      <c r="H29" s="18" t="b">
        <v>1</v>
      </c>
      <c r="I29" s="69" t="b">
        <v>0</v>
      </c>
      <c r="J29" s="69" t="b">
        <v>0</v>
      </c>
      <c r="L29" s="23">
        <v>3</v>
      </c>
      <c r="M29" s="17">
        <v>12</v>
      </c>
      <c r="N29" s="17">
        <v>862.4</v>
      </c>
      <c r="O29" s="18" t="str" cm="1">
        <f t="array" ref="O2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GRILLE]],MAX($O$1:O28)+1)</f>
        <v/>
      </c>
      <c r="X29" s="16" t="str">
        <v>DIRECTEUR DE POLE C1N1</v>
      </c>
    </row>
    <row r="30" spans="1:24" x14ac:dyDescent="0.25">
      <c r="A30" s="16" t="s">
        <v>67</v>
      </c>
      <c r="B30" s="16" t="b">
        <v>1</v>
      </c>
      <c r="C30" s="16" t="b">
        <v>0</v>
      </c>
      <c r="D30" s="16">
        <v>1</v>
      </c>
      <c r="E30" s="18" t="b">
        <v>0</v>
      </c>
      <c r="F30" s="19" t="b">
        <v>0</v>
      </c>
      <c r="G30" s="17" t="b">
        <v>0</v>
      </c>
      <c r="H30" s="18" t="b">
        <v>1</v>
      </c>
      <c r="I30" s="17" t="b">
        <v>0</v>
      </c>
      <c r="J30" s="20" t="b">
        <v>0</v>
      </c>
      <c r="L30" s="23">
        <v>3</v>
      </c>
      <c r="M30" s="18">
        <v>15</v>
      </c>
      <c r="N30" s="18">
        <v>885.5</v>
      </c>
      <c r="O30" s="18" t="str" cm="1">
        <f t="array" ref="O3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GRILLE]],MAX($O$1:O29)+1)</f>
        <v/>
      </c>
      <c r="X30" s="16" t="str">
        <v>DIRECTEUR ETABLISSEMENT C1N1</v>
      </c>
    </row>
    <row r="31" spans="1:24" x14ac:dyDescent="0.25">
      <c r="A31" s="16" t="s">
        <v>67</v>
      </c>
      <c r="B31" s="16" t="b">
        <v>0</v>
      </c>
      <c r="C31" s="16" t="b">
        <v>0</v>
      </c>
      <c r="D31" s="16">
        <v>8</v>
      </c>
      <c r="E31" s="18" t="b">
        <v>0</v>
      </c>
      <c r="F31" s="19" t="b">
        <v>0</v>
      </c>
      <c r="G31" s="17" t="b">
        <v>0</v>
      </c>
      <c r="H31" s="19" t="b">
        <v>1</v>
      </c>
      <c r="I31" s="17" t="b">
        <v>0</v>
      </c>
      <c r="J31" s="20" t="b">
        <v>0</v>
      </c>
      <c r="L31" s="23">
        <v>3</v>
      </c>
      <c r="M31" s="17">
        <v>18</v>
      </c>
      <c r="N31" s="17">
        <v>908.6</v>
      </c>
      <c r="O31" s="18" t="str" cm="1">
        <f t="array" ref="O3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GRILLE]],MAX($O$1:O30)+1)</f>
        <v/>
      </c>
      <c r="X31" s="16" t="str">
        <v>DIRECTEUR GENERAL CADRE HORS CLASSE</v>
      </c>
    </row>
    <row r="32" spans="1:24" x14ac:dyDescent="0.25">
      <c r="A32" s="16" t="s">
        <v>68</v>
      </c>
      <c r="B32" s="16" t="b">
        <v>0</v>
      </c>
      <c r="C32" s="16" t="b">
        <v>1</v>
      </c>
      <c r="D32" s="16">
        <v>10</v>
      </c>
      <c r="E32" s="69" t="b">
        <v>0</v>
      </c>
      <c r="F32" s="69" t="b">
        <v>0</v>
      </c>
      <c r="G32" s="17" t="b">
        <v>0</v>
      </c>
      <c r="H32" s="18" t="b">
        <v>1</v>
      </c>
      <c r="I32" s="17" t="b">
        <v>0</v>
      </c>
      <c r="J32" s="69" t="b">
        <v>0</v>
      </c>
      <c r="L32" s="23">
        <v>3</v>
      </c>
      <c r="M32" s="18">
        <v>21</v>
      </c>
      <c r="N32" s="18">
        <v>931.7</v>
      </c>
      <c r="O32" s="18" t="str" cm="1">
        <f t="array" ref="O3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GRILLE]],MAX($O$1:O31)+1)</f>
        <v/>
      </c>
      <c r="X32" s="16" t="str">
        <v>DIRECTEUR SERVICE C1N2</v>
      </c>
    </row>
    <row r="33" spans="1:24" x14ac:dyDescent="0.25">
      <c r="A33" s="16" t="s">
        <v>68</v>
      </c>
      <c r="B33" s="16" t="b">
        <v>1</v>
      </c>
      <c r="C33" s="16" t="b">
        <v>1</v>
      </c>
      <c r="D33" s="16">
        <v>10</v>
      </c>
      <c r="E33" s="69" t="b">
        <v>0</v>
      </c>
      <c r="F33" s="69" t="b">
        <v>0</v>
      </c>
      <c r="G33" s="17" t="b">
        <v>0</v>
      </c>
      <c r="H33" s="18" t="b">
        <v>1</v>
      </c>
      <c r="I33" s="69" t="b">
        <v>0</v>
      </c>
      <c r="J33" s="69" t="b">
        <v>0</v>
      </c>
      <c r="L33" s="23">
        <v>3</v>
      </c>
      <c r="M33" s="17">
        <v>24</v>
      </c>
      <c r="N33" s="17">
        <v>954.8</v>
      </c>
      <c r="O33" s="18" t="str" cm="1">
        <f t="array" ref="O3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GRILLE]],MAX($O$1:O32)+1)</f>
        <v/>
      </c>
      <c r="X33" s="16" t="str">
        <v>DIRECTEUR SERVICE C1N3</v>
      </c>
    </row>
    <row r="34" spans="1:24" x14ac:dyDescent="0.25">
      <c r="A34" s="16" t="s">
        <v>69</v>
      </c>
      <c r="B34" s="16" t="b">
        <v>0</v>
      </c>
      <c r="C34" s="16" t="b">
        <v>1</v>
      </c>
      <c r="D34" s="16">
        <v>13</v>
      </c>
      <c r="E34" s="69" t="b">
        <v>0</v>
      </c>
      <c r="F34" s="69" t="b">
        <v>0</v>
      </c>
      <c r="G34" s="17" t="b">
        <v>0</v>
      </c>
      <c r="H34" s="18" t="b">
        <v>1</v>
      </c>
      <c r="I34" s="17" t="b">
        <v>0</v>
      </c>
      <c r="J34" s="69" t="b">
        <v>0</v>
      </c>
      <c r="L34" s="23">
        <v>3</v>
      </c>
      <c r="M34" s="17">
        <v>28</v>
      </c>
      <c r="N34" s="17">
        <v>985.6</v>
      </c>
      <c r="O34" s="18" t="str" cm="1">
        <f t="array" ref="O3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GRILLE]],MAX($O$1:O33)+1)</f>
        <v/>
      </c>
      <c r="X34" s="16" t="str">
        <v>DRH C1N1</v>
      </c>
    </row>
    <row r="35" spans="1:24" x14ac:dyDescent="0.25">
      <c r="A35" s="16" t="s">
        <v>69</v>
      </c>
      <c r="B35" s="16" t="b">
        <v>1</v>
      </c>
      <c r="C35" s="16" t="b">
        <v>1</v>
      </c>
      <c r="D35" s="16">
        <v>13</v>
      </c>
      <c r="E35" s="69" t="b">
        <v>0</v>
      </c>
      <c r="F35" s="69" t="b">
        <v>0</v>
      </c>
      <c r="G35" s="17" t="b">
        <v>0</v>
      </c>
      <c r="H35" s="18" t="b">
        <v>1</v>
      </c>
      <c r="I35" s="69" t="b">
        <v>0</v>
      </c>
      <c r="J35" s="69" t="b">
        <v>0</v>
      </c>
      <c r="L35" s="23">
        <v>4</v>
      </c>
      <c r="M35" s="18">
        <v>0</v>
      </c>
      <c r="N35" s="18">
        <v>800</v>
      </c>
      <c r="O35" s="18" t="str" cm="1">
        <f t="array" ref="O3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GRILLE]],MAX($O$1:O34)+1)</f>
        <v/>
      </c>
      <c r="X35" s="16" t="str">
        <v>DRH C1N2</v>
      </c>
    </row>
    <row r="36" spans="1:24" x14ac:dyDescent="0.25">
      <c r="A36" s="16" t="s">
        <v>70</v>
      </c>
      <c r="B36" s="16" t="b">
        <v>0</v>
      </c>
      <c r="C36" s="16" t="b">
        <v>1</v>
      </c>
      <c r="D36" s="16">
        <v>10</v>
      </c>
      <c r="E36" s="69" t="b">
        <v>0</v>
      </c>
      <c r="F36" s="69" t="b">
        <v>0</v>
      </c>
      <c r="G36" s="17" t="b">
        <v>0</v>
      </c>
      <c r="H36" s="18" t="b">
        <v>1</v>
      </c>
      <c r="I36" s="17" t="b">
        <v>0</v>
      </c>
      <c r="J36" s="69" t="b">
        <v>0</v>
      </c>
      <c r="L36" s="23">
        <v>4</v>
      </c>
      <c r="M36" s="17">
        <v>3</v>
      </c>
      <c r="N36" s="17">
        <v>824</v>
      </c>
      <c r="O36" s="18" t="str" cm="1">
        <f t="array" ref="O3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GRILLE]],MAX($O$1:O35)+1)</f>
        <v/>
      </c>
      <c r="X36" s="16" t="str">
        <v>EDUCATEUR JEUNES ENFANTS</v>
      </c>
    </row>
    <row r="37" spans="1:24" x14ac:dyDescent="0.25">
      <c r="A37" s="16" t="s">
        <v>70</v>
      </c>
      <c r="B37" s="16" t="b">
        <v>1</v>
      </c>
      <c r="C37" s="16" t="b">
        <v>1</v>
      </c>
      <c r="D37" s="16">
        <v>10</v>
      </c>
      <c r="E37" s="69" t="b">
        <v>0</v>
      </c>
      <c r="F37" s="69" t="b">
        <v>0</v>
      </c>
      <c r="G37" s="17" t="b">
        <v>0</v>
      </c>
      <c r="H37" s="18" t="b">
        <v>1</v>
      </c>
      <c r="I37" s="69" t="b">
        <v>0</v>
      </c>
      <c r="J37" s="69" t="b">
        <v>0</v>
      </c>
      <c r="L37" s="23">
        <v>4</v>
      </c>
      <c r="M37" s="18">
        <v>6</v>
      </c>
      <c r="N37" s="18">
        <v>848</v>
      </c>
      <c r="O37" s="18" t="str" cm="1">
        <f t="array" ref="O3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GRILLE]],MAX($O$1:O36)+1)</f>
        <v/>
      </c>
      <c r="X37" s="16" t="str">
        <v>EDUCATEUR SCOLAIRE</v>
      </c>
    </row>
    <row r="38" spans="1:24" x14ac:dyDescent="0.25">
      <c r="A38" s="16" t="s">
        <v>5</v>
      </c>
      <c r="B38" s="16" t="b">
        <v>0</v>
      </c>
      <c r="C38" s="16" t="b">
        <v>0</v>
      </c>
      <c r="D38" s="16">
        <v>2</v>
      </c>
      <c r="E38" s="69" t="b">
        <v>0</v>
      </c>
      <c r="F38" s="69" t="b">
        <v>0</v>
      </c>
      <c r="G38" s="17" t="b">
        <v>0</v>
      </c>
      <c r="H38" s="18" t="b">
        <v>1</v>
      </c>
      <c r="I38" s="17" t="b">
        <v>0</v>
      </c>
      <c r="J38" s="69" t="b">
        <v>1</v>
      </c>
      <c r="L38" s="23">
        <v>4</v>
      </c>
      <c r="M38" s="17">
        <v>9</v>
      </c>
      <c r="N38" s="17">
        <v>872</v>
      </c>
      <c r="O38" s="18" t="str" cm="1">
        <f t="array" ref="O3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GRILLE]],MAX($O$1:O37)+1)</f>
        <v/>
      </c>
      <c r="X38" s="16" t="str">
        <v>EDUCATEUR SPECIALISE</v>
      </c>
    </row>
    <row r="39" spans="1:24" x14ac:dyDescent="0.25">
      <c r="A39" s="16" t="s">
        <v>5</v>
      </c>
      <c r="B39" s="16" t="b">
        <v>1</v>
      </c>
      <c r="C39" s="16" t="b">
        <v>0</v>
      </c>
      <c r="D39" s="16">
        <v>18</v>
      </c>
      <c r="E39" s="69" t="b">
        <v>0</v>
      </c>
      <c r="F39" s="69" t="b">
        <v>0</v>
      </c>
      <c r="G39" s="17" t="b">
        <v>0</v>
      </c>
      <c r="H39" s="18" t="b">
        <v>1</v>
      </c>
      <c r="I39" s="17" t="b">
        <v>0</v>
      </c>
      <c r="J39" s="69" t="b">
        <v>1</v>
      </c>
      <c r="L39" s="23">
        <v>4</v>
      </c>
      <c r="M39" s="18">
        <v>12</v>
      </c>
      <c r="N39" s="18">
        <v>896</v>
      </c>
      <c r="O39" s="18" t="str" cm="1">
        <f t="array" ref="O3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GRILLE]],MAX($O$1:O38)+1)</f>
        <v/>
      </c>
      <c r="X39" s="16" t="str">
        <v>EDUCATEUR SPORTIF NIVEAU 3</v>
      </c>
    </row>
    <row r="40" spans="1:24" x14ac:dyDescent="0.25">
      <c r="A40" s="16" t="s">
        <v>71</v>
      </c>
      <c r="B40" s="16" t="b">
        <v>0</v>
      </c>
      <c r="C40" s="16" t="b">
        <v>1</v>
      </c>
      <c r="D40" s="16">
        <v>3</v>
      </c>
      <c r="E40" s="69" t="b">
        <v>0</v>
      </c>
      <c r="F40" s="69" t="b">
        <v>0</v>
      </c>
      <c r="G40" s="17" t="b">
        <v>0</v>
      </c>
      <c r="H40" s="69" t="b">
        <v>1</v>
      </c>
      <c r="I40" s="17" t="b">
        <v>0</v>
      </c>
      <c r="J40" s="69" t="b">
        <v>0</v>
      </c>
      <c r="L40" s="23">
        <v>4</v>
      </c>
      <c r="M40" s="17">
        <v>15</v>
      </c>
      <c r="N40" s="17">
        <v>920</v>
      </c>
      <c r="O40" s="18" t="str" cm="1">
        <f t="array" ref="O4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GRILLE]],MAX($O$1:O39)+1)</f>
        <v/>
      </c>
      <c r="X40" s="16" t="str">
        <v>EDUCATEUR SPORTIF NIVEAU 4</v>
      </c>
    </row>
    <row r="41" spans="1:24" x14ac:dyDescent="0.25">
      <c r="A41" s="68" t="s">
        <v>71</v>
      </c>
      <c r="B41" s="16" t="b">
        <v>1</v>
      </c>
      <c r="C41" s="16" t="b">
        <v>1</v>
      </c>
      <c r="D41" s="16">
        <v>3</v>
      </c>
      <c r="E41" s="69" t="b">
        <v>0</v>
      </c>
      <c r="F41" s="69" t="b">
        <v>0</v>
      </c>
      <c r="G41" s="17" t="b">
        <v>0</v>
      </c>
      <c r="H41" s="69" t="b">
        <v>1</v>
      </c>
      <c r="I41" s="17" t="b">
        <v>0</v>
      </c>
      <c r="J41" s="69" t="b">
        <v>0</v>
      </c>
      <c r="L41" s="23">
        <v>4</v>
      </c>
      <c r="M41" s="18">
        <v>18</v>
      </c>
      <c r="N41" s="18">
        <v>944</v>
      </c>
      <c r="O41" s="18" t="str" cm="1">
        <f t="array" ref="O4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GRILLE]],MAX($O$1:O40)+1)</f>
        <v/>
      </c>
      <c r="X41" s="16" t="str">
        <v>EDUCATEUR TECHNIQUE SPECIALISE</v>
      </c>
    </row>
    <row r="42" spans="1:24" x14ac:dyDescent="0.25">
      <c r="A42" s="16" t="s">
        <v>72</v>
      </c>
      <c r="B42" s="16" t="b">
        <v>0</v>
      </c>
      <c r="C42" s="16" t="b">
        <v>1</v>
      </c>
      <c r="D42" s="16">
        <v>10</v>
      </c>
      <c r="E42" s="69" t="b">
        <v>0</v>
      </c>
      <c r="F42" s="69" t="b">
        <v>0</v>
      </c>
      <c r="G42" s="17" t="b">
        <v>0</v>
      </c>
      <c r="H42" s="69" t="b">
        <v>1</v>
      </c>
      <c r="I42" s="17" t="b">
        <v>0</v>
      </c>
      <c r="J42" s="69" t="b">
        <v>0</v>
      </c>
      <c r="L42" s="23">
        <v>4</v>
      </c>
      <c r="M42" s="17">
        <v>21</v>
      </c>
      <c r="N42" s="17">
        <v>968</v>
      </c>
      <c r="O42" s="18" t="str" cm="1">
        <f t="array" ref="O4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GRILLE]],MAX($O$1:O41)+1)</f>
        <v/>
      </c>
      <c r="X42" s="16" t="str">
        <v>ERGOTHERAPEUTE</v>
      </c>
    </row>
    <row r="43" spans="1:24" x14ac:dyDescent="0.25">
      <c r="A43" s="68" t="s">
        <v>72</v>
      </c>
      <c r="B43" s="16" t="b">
        <v>1</v>
      </c>
      <c r="C43" s="16" t="b">
        <v>1</v>
      </c>
      <c r="D43" s="16">
        <v>10</v>
      </c>
      <c r="E43" s="69" t="b">
        <v>0</v>
      </c>
      <c r="F43" s="69" t="b">
        <v>0</v>
      </c>
      <c r="G43" s="17" t="b">
        <v>0</v>
      </c>
      <c r="H43" s="69" t="b">
        <v>1</v>
      </c>
      <c r="I43" s="17" t="b">
        <v>0</v>
      </c>
      <c r="J43" s="69" t="b">
        <v>0</v>
      </c>
      <c r="L43" s="23">
        <v>4</v>
      </c>
      <c r="M43" s="18">
        <v>24</v>
      </c>
      <c r="N43" s="18">
        <v>992</v>
      </c>
      <c r="O43" s="18" t="str" cm="1">
        <f t="array" ref="O4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GRILLE]],MAX($O$1:O42)+1)</f>
        <v/>
      </c>
      <c r="X43" s="16" t="str">
        <v>ERGOTHERAPEUTE ARS</v>
      </c>
    </row>
    <row r="44" spans="1:24" x14ac:dyDescent="0.25">
      <c r="A44" s="16" t="s">
        <v>73</v>
      </c>
      <c r="B44" s="16" t="b">
        <v>0</v>
      </c>
      <c r="C44" s="16" t="b">
        <v>0</v>
      </c>
      <c r="D44" s="16">
        <v>8</v>
      </c>
      <c r="E44" s="69" t="b">
        <v>0</v>
      </c>
      <c r="F44" s="69" t="b">
        <v>0</v>
      </c>
      <c r="G44" s="17" t="b">
        <v>0</v>
      </c>
      <c r="H44" s="18" t="b">
        <v>1</v>
      </c>
      <c r="I44" s="17" t="b">
        <v>0</v>
      </c>
      <c r="J44" s="69" t="b">
        <v>0</v>
      </c>
      <c r="L44" s="23">
        <v>4</v>
      </c>
      <c r="M44" s="17">
        <v>28</v>
      </c>
      <c r="N44" s="17">
        <v>1024</v>
      </c>
      <c r="O44" s="18" t="str" cm="1">
        <f t="array" ref="O4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GRILLE]],MAX($O$1:O43)+1)</f>
        <v/>
      </c>
      <c r="X44" s="16" t="str">
        <v>GESTIONNAIRE COMPTABLE</v>
      </c>
    </row>
    <row r="45" spans="1:24" x14ac:dyDescent="0.25">
      <c r="A45" s="68" t="s">
        <v>73</v>
      </c>
      <c r="B45" s="16" t="b">
        <v>1</v>
      </c>
      <c r="C45" s="16" t="b">
        <v>0</v>
      </c>
      <c r="D45" s="16">
        <v>8</v>
      </c>
      <c r="E45" s="69" t="b">
        <v>0</v>
      </c>
      <c r="F45" s="69" t="b">
        <v>0</v>
      </c>
      <c r="G45" s="17" t="b">
        <v>0</v>
      </c>
      <c r="H45" s="18" t="b">
        <v>1</v>
      </c>
      <c r="I45" s="17" t="b">
        <v>0</v>
      </c>
      <c r="J45" s="69" t="b">
        <v>0</v>
      </c>
      <c r="L45" s="23">
        <v>5</v>
      </c>
      <c r="M45" s="18">
        <v>0</v>
      </c>
      <c r="N45" s="18">
        <v>403</v>
      </c>
      <c r="O45" s="18" t="str" cm="1">
        <f t="array" ref="O4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GRILLE]],MAX($O$1:O44)+1)</f>
        <v/>
      </c>
      <c r="X45" s="16" t="str">
        <v>GESTIONNAIRE LOGISTIQUE</v>
      </c>
    </row>
    <row r="46" spans="1:24" x14ac:dyDescent="0.25">
      <c r="A46" s="16" t="s">
        <v>74</v>
      </c>
      <c r="B46" s="16" t="b">
        <v>0</v>
      </c>
      <c r="C46" s="16" t="b">
        <v>0</v>
      </c>
      <c r="D46" s="16">
        <v>6</v>
      </c>
      <c r="E46" s="69" t="b">
        <v>0</v>
      </c>
      <c r="F46" s="69" t="b">
        <v>0</v>
      </c>
      <c r="G46" s="17" t="b">
        <v>0</v>
      </c>
      <c r="H46" s="18" t="b">
        <v>1</v>
      </c>
      <c r="I46" s="17" t="b">
        <v>0</v>
      </c>
      <c r="J46" s="69" t="b">
        <v>0</v>
      </c>
      <c r="L46" s="23">
        <v>5</v>
      </c>
      <c r="M46" s="18">
        <v>7</v>
      </c>
      <c r="N46" s="18">
        <v>415</v>
      </c>
      <c r="O46" s="18" t="str" cm="1">
        <f t="array" ref="O4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GRILLE]],MAX($O$1:O45)+1)</f>
        <v/>
      </c>
      <c r="X46" s="16" t="str">
        <v>GESTIONNAIRE RH</v>
      </c>
    </row>
    <row r="47" spans="1:24" x14ac:dyDescent="0.25">
      <c r="A47" s="16" t="s">
        <v>74</v>
      </c>
      <c r="B47" s="16" t="b">
        <v>1</v>
      </c>
      <c r="C47" s="16" t="b">
        <v>0</v>
      </c>
      <c r="D47" s="16">
        <v>6</v>
      </c>
      <c r="E47" s="69" t="b">
        <v>0</v>
      </c>
      <c r="F47" s="69" t="b">
        <v>0</v>
      </c>
      <c r="G47" s="17" t="b">
        <v>0</v>
      </c>
      <c r="H47" s="18" t="b">
        <v>1</v>
      </c>
      <c r="I47" s="17" t="b">
        <v>0</v>
      </c>
      <c r="J47" s="69" t="b">
        <v>0</v>
      </c>
      <c r="L47" s="23">
        <v>5</v>
      </c>
      <c r="M47" s="18">
        <v>10</v>
      </c>
      <c r="N47" s="18">
        <v>432</v>
      </c>
      <c r="O47" s="18" t="str" cm="1">
        <f t="array" ref="O4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GRILLE]],MAX($O$1:O46)+1)</f>
        <v/>
      </c>
      <c r="X47" s="16" t="str">
        <v>INFIRMIER</v>
      </c>
    </row>
    <row r="48" spans="1:24" x14ac:dyDescent="0.25">
      <c r="A48" s="16" t="s">
        <v>75</v>
      </c>
      <c r="B48" s="16" t="b">
        <v>1</v>
      </c>
      <c r="C48" s="16" t="b">
        <v>0</v>
      </c>
      <c r="D48" s="16">
        <v>1</v>
      </c>
      <c r="E48" s="18" t="b">
        <v>0</v>
      </c>
      <c r="F48" s="18" t="b">
        <v>0</v>
      </c>
      <c r="G48" s="17" t="b">
        <v>0</v>
      </c>
      <c r="H48" s="18" t="b">
        <v>1</v>
      </c>
      <c r="I48" s="17" t="b">
        <v>0</v>
      </c>
      <c r="J48" s="69" t="b">
        <v>0</v>
      </c>
      <c r="L48" s="23">
        <v>5</v>
      </c>
      <c r="M48" s="18">
        <v>13</v>
      </c>
      <c r="N48" s="18">
        <v>448</v>
      </c>
      <c r="O48" s="18" t="str" cm="1">
        <f t="array" ref="O4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GRILLE]],MAX($O$1:O47)+1)</f>
        <v/>
      </c>
      <c r="X48" s="16" t="str">
        <v>INFIRMIER ARS</v>
      </c>
    </row>
    <row r="49" spans="1:24" x14ac:dyDescent="0.25">
      <c r="A49" s="16" t="s">
        <v>75</v>
      </c>
      <c r="B49" s="16" t="b">
        <v>0</v>
      </c>
      <c r="C49" s="16" t="b">
        <v>0</v>
      </c>
      <c r="D49" s="16">
        <v>8</v>
      </c>
      <c r="E49" s="69" t="b">
        <v>0</v>
      </c>
      <c r="F49" s="69" t="b">
        <v>0</v>
      </c>
      <c r="G49" s="17" t="b">
        <v>0</v>
      </c>
      <c r="H49" s="69" t="b">
        <v>1</v>
      </c>
      <c r="I49" s="17" t="b">
        <v>0</v>
      </c>
      <c r="J49" s="69" t="b">
        <v>0</v>
      </c>
      <c r="L49" s="23">
        <v>5</v>
      </c>
      <c r="M49" s="18">
        <v>16</v>
      </c>
      <c r="N49" s="18">
        <v>462</v>
      </c>
      <c r="O49" s="18" t="str" cm="1">
        <f t="array" ref="O4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GRILLE]],MAX($O$1:O48)+1)</f>
        <v/>
      </c>
      <c r="X49" s="16" t="str">
        <v>JURISTE</v>
      </c>
    </row>
    <row r="50" spans="1:24" x14ac:dyDescent="0.25">
      <c r="A50" s="16" t="s">
        <v>76</v>
      </c>
      <c r="B50" s="16" t="b">
        <v>1</v>
      </c>
      <c r="C50" s="16" t="b">
        <v>0</v>
      </c>
      <c r="D50" s="16">
        <v>1</v>
      </c>
      <c r="E50" s="18" t="b">
        <v>0</v>
      </c>
      <c r="F50" s="18" t="b">
        <v>0</v>
      </c>
      <c r="G50" s="17" t="b">
        <v>0</v>
      </c>
      <c r="H50" s="18" t="b">
        <v>1</v>
      </c>
      <c r="I50" s="17" t="b">
        <v>0</v>
      </c>
      <c r="J50" s="69" t="b">
        <v>0</v>
      </c>
      <c r="L50" s="23">
        <v>5</v>
      </c>
      <c r="M50" s="18">
        <v>20</v>
      </c>
      <c r="N50" s="18">
        <v>479</v>
      </c>
      <c r="O50" s="18" t="str" cm="1">
        <f t="array" ref="O5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GRILLE]],MAX($O$1:O49)+1)</f>
        <v/>
      </c>
      <c r="X50" s="16" t="str">
        <v>MAITRESSE DE MAISON</v>
      </c>
    </row>
    <row r="51" spans="1:24" x14ac:dyDescent="0.25">
      <c r="A51" s="16" t="s">
        <v>76</v>
      </c>
      <c r="B51" s="16" t="b">
        <v>0</v>
      </c>
      <c r="C51" s="16" t="b">
        <v>0</v>
      </c>
      <c r="D51" s="16">
        <v>8</v>
      </c>
      <c r="E51" s="69" t="b">
        <v>0</v>
      </c>
      <c r="F51" s="69" t="b">
        <v>0</v>
      </c>
      <c r="G51" s="17" t="b">
        <v>0</v>
      </c>
      <c r="H51" s="69" t="b">
        <v>1</v>
      </c>
      <c r="I51" s="17" t="b">
        <v>0</v>
      </c>
      <c r="J51" s="69" t="b">
        <v>0</v>
      </c>
      <c r="L51" s="23">
        <v>5</v>
      </c>
      <c r="M51" s="18">
        <v>24</v>
      </c>
      <c r="N51" s="18">
        <v>493</v>
      </c>
      <c r="O51" s="18" t="str" cm="1">
        <f t="array" ref="O5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GRILLE]],MAX($O$1:O50)+1)</f>
        <v/>
      </c>
      <c r="X51" s="16" t="str">
        <v>MAITRESSE DE MAISON NON QUALIFIEE</v>
      </c>
    </row>
    <row r="52" spans="1:24" x14ac:dyDescent="0.25">
      <c r="A52" s="16" t="s">
        <v>77</v>
      </c>
      <c r="B52" s="16" t="b">
        <v>0</v>
      </c>
      <c r="C52" s="16" t="b">
        <v>1</v>
      </c>
      <c r="D52" s="16">
        <v>9</v>
      </c>
      <c r="E52" s="69" t="b">
        <v>0</v>
      </c>
      <c r="F52" s="69" t="b">
        <v>0</v>
      </c>
      <c r="G52" s="17" t="b">
        <v>0</v>
      </c>
      <c r="H52" s="18" t="b">
        <v>1</v>
      </c>
      <c r="I52" s="17" t="b">
        <v>0</v>
      </c>
      <c r="J52" s="69" t="b">
        <v>0</v>
      </c>
      <c r="L52" s="24">
        <v>5</v>
      </c>
      <c r="M52" s="19">
        <v>28</v>
      </c>
      <c r="N52" s="18">
        <v>501</v>
      </c>
      <c r="O52" s="18" t="str" cm="1">
        <f t="array" ref="O5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GRILLE]],MAX($O$1:O51)+1)</f>
        <v/>
      </c>
      <c r="X52" s="16" t="str">
        <v>MONITEUR ADJOINT D'ANIMATION</v>
      </c>
    </row>
    <row r="53" spans="1:24" x14ac:dyDescent="0.25">
      <c r="A53" s="16" t="s">
        <v>77</v>
      </c>
      <c r="B53" s="16" t="b">
        <v>1</v>
      </c>
      <c r="C53" s="16" t="b">
        <v>1</v>
      </c>
      <c r="D53" s="16">
        <v>9</v>
      </c>
      <c r="E53" s="69" t="b">
        <v>0</v>
      </c>
      <c r="F53" s="69" t="b">
        <v>0</v>
      </c>
      <c r="G53" s="17" t="b">
        <v>0</v>
      </c>
      <c r="H53" s="18" t="b">
        <v>1</v>
      </c>
      <c r="I53" s="69" t="b">
        <v>0</v>
      </c>
      <c r="J53" s="69" t="b">
        <v>0</v>
      </c>
      <c r="L53" s="24">
        <v>6</v>
      </c>
      <c r="M53" s="18">
        <v>0</v>
      </c>
      <c r="N53" s="19">
        <v>411</v>
      </c>
      <c r="O53" s="18" t="str" cm="1">
        <f t="array" ref="O5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GRILLE]],MAX($O$1:O52)+1)</f>
        <v/>
      </c>
      <c r="X53" s="16" t="str">
        <v>MONITEUR EDUCATEUR</v>
      </c>
    </row>
    <row r="54" spans="1:24" x14ac:dyDescent="0.25">
      <c r="A54" s="16" t="s">
        <v>78</v>
      </c>
      <c r="B54" s="16" t="b">
        <v>0</v>
      </c>
      <c r="C54" s="16" t="b">
        <v>1</v>
      </c>
      <c r="D54" s="16">
        <v>11</v>
      </c>
      <c r="E54" s="69" t="b">
        <v>0</v>
      </c>
      <c r="F54" s="69" t="b">
        <v>0</v>
      </c>
      <c r="G54" s="17" t="b">
        <v>0</v>
      </c>
      <c r="H54" s="18" t="b">
        <v>1</v>
      </c>
      <c r="I54" s="17" t="b">
        <v>0</v>
      </c>
      <c r="J54" s="69" t="b">
        <v>0</v>
      </c>
      <c r="L54" s="23">
        <v>6</v>
      </c>
      <c r="M54" s="17">
        <v>1</v>
      </c>
      <c r="N54" s="18">
        <v>424</v>
      </c>
      <c r="O54" s="18" t="str" cm="1">
        <f t="array" ref="O5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GRILLE]],MAX($O$1:O53)+1)</f>
        <v/>
      </c>
      <c r="X54" s="16" t="str">
        <v>ORTHOPHONISTE</v>
      </c>
    </row>
    <row r="55" spans="1:24" x14ac:dyDescent="0.25">
      <c r="A55" s="68" t="s">
        <v>78</v>
      </c>
      <c r="B55" s="16" t="b">
        <v>1</v>
      </c>
      <c r="C55" s="16" t="b">
        <v>1</v>
      </c>
      <c r="D55" s="16">
        <v>11</v>
      </c>
      <c r="E55" s="69" t="b">
        <v>0</v>
      </c>
      <c r="F55" s="69" t="b">
        <v>0</v>
      </c>
      <c r="G55" s="17" t="b">
        <v>0</v>
      </c>
      <c r="H55" s="18" t="b">
        <v>1</v>
      </c>
      <c r="I55" s="17" t="b">
        <v>0</v>
      </c>
      <c r="J55" s="69" t="b">
        <v>0</v>
      </c>
      <c r="L55" s="24">
        <v>6</v>
      </c>
      <c r="M55" s="18">
        <v>2</v>
      </c>
      <c r="N55" s="18">
        <v>438</v>
      </c>
      <c r="O55" s="18" t="str" cm="1">
        <f t="array" ref="O5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GRILLE]],MAX($O$1:O54)+1)</f>
        <v/>
      </c>
      <c r="X55" s="16" t="str">
        <v>ORTHOPHONISTE ARS</v>
      </c>
    </row>
    <row r="56" spans="1:24" x14ac:dyDescent="0.25">
      <c r="A56" s="16" t="s">
        <v>79</v>
      </c>
      <c r="B56" s="16" t="b">
        <v>0</v>
      </c>
      <c r="C56" s="16" t="b">
        <v>1</v>
      </c>
      <c r="D56" s="16">
        <v>9</v>
      </c>
      <c r="E56" s="69" t="b">
        <v>0</v>
      </c>
      <c r="F56" s="69" t="b">
        <v>0</v>
      </c>
      <c r="G56" s="17" t="b">
        <v>0</v>
      </c>
      <c r="H56" s="18" t="b">
        <v>1</v>
      </c>
      <c r="I56" s="17" t="b">
        <v>0</v>
      </c>
      <c r="J56" s="69" t="b">
        <v>0</v>
      </c>
      <c r="L56" s="23">
        <v>6</v>
      </c>
      <c r="M56" s="17">
        <v>3</v>
      </c>
      <c r="N56" s="18">
        <v>453</v>
      </c>
      <c r="O56" s="18" t="str" cm="1">
        <f t="array" ref="O5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GRILLE]],MAX($O$1:O55)+1)</f>
        <v/>
      </c>
      <c r="X56" s="16" t="str">
        <v xml:space="preserve">OUVRIER QUALIFIE </v>
      </c>
    </row>
    <row r="57" spans="1:24" x14ac:dyDescent="0.25">
      <c r="A57" s="68" t="s">
        <v>79</v>
      </c>
      <c r="B57" s="16" t="b">
        <v>1</v>
      </c>
      <c r="C57" s="16" t="b">
        <v>1</v>
      </c>
      <c r="D57" s="16">
        <v>9</v>
      </c>
      <c r="E57" s="69" t="b">
        <v>0</v>
      </c>
      <c r="F57" s="69" t="b">
        <v>0</v>
      </c>
      <c r="G57" s="17" t="b">
        <v>0</v>
      </c>
      <c r="H57" s="18" t="b">
        <v>1</v>
      </c>
      <c r="I57" s="17" t="b">
        <v>0</v>
      </c>
      <c r="J57" s="69" t="b">
        <v>0</v>
      </c>
      <c r="L57" s="23">
        <v>6</v>
      </c>
      <c r="M57" s="17">
        <v>5</v>
      </c>
      <c r="N57" s="18">
        <v>465</v>
      </c>
      <c r="O57" s="18" t="str" cm="1">
        <f t="array" ref="O5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GRILLE]],MAX($O$1:O56)+1)</f>
        <v/>
      </c>
      <c r="X57" s="16" t="str">
        <v>PROFESSEUR EPS</v>
      </c>
    </row>
    <row r="58" spans="1:24" x14ac:dyDescent="0.25">
      <c r="A58" s="16" t="s">
        <v>80</v>
      </c>
      <c r="B58" s="16" t="b">
        <v>0</v>
      </c>
      <c r="C58" s="16" t="b">
        <v>1</v>
      </c>
      <c r="D58" s="16">
        <v>9</v>
      </c>
      <c r="E58" s="69" t="b">
        <v>0</v>
      </c>
      <c r="F58" s="69" t="b">
        <v>0</v>
      </c>
      <c r="G58" s="17" t="b">
        <v>0</v>
      </c>
      <c r="H58" s="18" t="b">
        <v>1</v>
      </c>
      <c r="I58" s="17" t="b">
        <v>0</v>
      </c>
      <c r="J58" s="69" t="b">
        <v>0</v>
      </c>
      <c r="L58" s="23">
        <v>6</v>
      </c>
      <c r="M58" s="17">
        <v>7</v>
      </c>
      <c r="N58" s="18">
        <v>482</v>
      </c>
      <c r="O58" s="18" t="str" cm="1">
        <f t="array" ref="O5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GRILLE]],MAX($O$1:O57)+1)</f>
        <v/>
      </c>
      <c r="X58" s="16" t="str">
        <v>PSYCHIATRE Ø</v>
      </c>
    </row>
    <row r="59" spans="1:24" x14ac:dyDescent="0.25">
      <c r="A59" s="68" t="s">
        <v>80</v>
      </c>
      <c r="B59" s="16" t="b">
        <v>1</v>
      </c>
      <c r="C59" s="16" t="b">
        <v>1</v>
      </c>
      <c r="D59" s="16">
        <v>9</v>
      </c>
      <c r="E59" s="69" t="b">
        <v>0</v>
      </c>
      <c r="F59" s="69" t="b">
        <v>0</v>
      </c>
      <c r="G59" s="17" t="b">
        <v>0</v>
      </c>
      <c r="H59" s="18" t="b">
        <v>1</v>
      </c>
      <c r="I59" s="17" t="b">
        <v>0</v>
      </c>
      <c r="J59" s="69" t="b">
        <v>0</v>
      </c>
      <c r="L59" s="23">
        <v>6</v>
      </c>
      <c r="M59" s="17">
        <v>9</v>
      </c>
      <c r="N59" s="18">
        <v>501</v>
      </c>
      <c r="O59" s="18" t="str" cm="1">
        <f t="array" ref="O5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GRILLE]],MAX($O$1:O58)+1)</f>
        <v/>
      </c>
      <c r="X59" s="16" t="str">
        <v>PSYCHOLOGUE C3N1</v>
      </c>
    </row>
    <row r="60" spans="1:24" x14ac:dyDescent="0.25">
      <c r="A60" s="16" t="s">
        <v>81</v>
      </c>
      <c r="B60" s="16" t="b">
        <v>0</v>
      </c>
      <c r="C60" s="16" t="b">
        <v>1</v>
      </c>
      <c r="D60" s="16">
        <v>12</v>
      </c>
      <c r="E60" s="69" t="b">
        <v>0</v>
      </c>
      <c r="F60" s="69" t="b">
        <v>0</v>
      </c>
      <c r="G60" s="17" t="b">
        <v>0</v>
      </c>
      <c r="H60" s="18" t="b">
        <v>1</v>
      </c>
      <c r="I60" s="17" t="b">
        <v>0</v>
      </c>
      <c r="J60" s="69" t="b">
        <v>0</v>
      </c>
      <c r="L60" s="24">
        <v>6</v>
      </c>
      <c r="M60" s="18">
        <v>12</v>
      </c>
      <c r="N60" s="18">
        <v>513</v>
      </c>
      <c r="O60" s="18" t="str" cm="1">
        <f t="array" ref="O6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GRILLE]],MAX($O$1:O59)+1)</f>
        <v/>
      </c>
      <c r="X60" s="16" t="str">
        <v>PSYCHOMOTRICIEN</v>
      </c>
    </row>
    <row r="61" spans="1:24" x14ac:dyDescent="0.25">
      <c r="A61" s="16" t="s">
        <v>81</v>
      </c>
      <c r="B61" s="16" t="b">
        <v>1</v>
      </c>
      <c r="C61" s="16" t="b">
        <v>1</v>
      </c>
      <c r="D61" s="16">
        <v>12</v>
      </c>
      <c r="E61" s="69" t="b">
        <v>0</v>
      </c>
      <c r="F61" s="69" t="b">
        <v>0</v>
      </c>
      <c r="G61" s="17" t="b">
        <v>0</v>
      </c>
      <c r="H61" s="18" t="b">
        <v>1</v>
      </c>
      <c r="I61" s="17" t="b">
        <v>0</v>
      </c>
      <c r="J61" s="69" t="b">
        <v>0</v>
      </c>
      <c r="L61" s="23">
        <v>6</v>
      </c>
      <c r="M61" s="17">
        <v>15</v>
      </c>
      <c r="N61" s="18">
        <v>527</v>
      </c>
      <c r="O61" s="18" t="str" cm="1">
        <f t="array" ref="O6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GRILLE]],MAX($O$1:O60)+1)</f>
        <v/>
      </c>
      <c r="X61" s="16" t="str">
        <v>PSYCHOMOTRICIEN ARS</v>
      </c>
    </row>
    <row r="62" spans="1:24" x14ac:dyDescent="0.25">
      <c r="A62" s="16" t="s">
        <v>82</v>
      </c>
      <c r="B62" s="16" t="b">
        <v>0</v>
      </c>
      <c r="C62" s="16" t="b">
        <v>1</v>
      </c>
      <c r="D62" s="16">
        <v>11</v>
      </c>
      <c r="E62" s="69" t="b">
        <v>0</v>
      </c>
      <c r="F62" s="69" t="b">
        <v>0</v>
      </c>
      <c r="G62" s="17" t="b">
        <v>0</v>
      </c>
      <c r="H62" s="18" t="b">
        <v>1</v>
      </c>
      <c r="I62" s="17" t="b">
        <v>0</v>
      </c>
      <c r="J62" s="69" t="b">
        <v>0</v>
      </c>
      <c r="L62" s="24">
        <v>6</v>
      </c>
      <c r="M62" s="18">
        <v>18</v>
      </c>
      <c r="N62" s="18">
        <v>556</v>
      </c>
      <c r="O62" s="18" t="str" cm="1">
        <f t="array" ref="O6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GRILLE]],MAX($O$1:O61)+1)</f>
        <v/>
      </c>
      <c r="X62" s="16" t="str">
        <v>RESPONSABLE LOGISTIQUE C3N3</v>
      </c>
    </row>
    <row r="63" spans="1:24" x14ac:dyDescent="0.25">
      <c r="A63" s="16" t="s">
        <v>83</v>
      </c>
      <c r="B63" s="16" t="b">
        <v>1</v>
      </c>
      <c r="C63" s="16" t="b">
        <v>1</v>
      </c>
      <c r="D63" s="16">
        <v>11</v>
      </c>
      <c r="E63" s="69" t="b">
        <v>0</v>
      </c>
      <c r="F63" s="69" t="b">
        <v>0</v>
      </c>
      <c r="G63" s="17" t="b">
        <v>0</v>
      </c>
      <c r="H63" s="18" t="b">
        <v>1</v>
      </c>
      <c r="I63" s="17" t="b">
        <v>0</v>
      </c>
      <c r="J63" s="69" t="b">
        <v>0</v>
      </c>
      <c r="L63" s="23">
        <v>6</v>
      </c>
      <c r="M63" s="17">
        <v>21</v>
      </c>
      <c r="N63" s="18">
        <v>587</v>
      </c>
      <c r="O63" s="18" t="str" cm="1">
        <f t="array" ref="O6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GRILLE]],MAX($O$1:O62)+1)</f>
        <v/>
      </c>
      <c r="X63" s="16" t="str">
        <v>RESPONSABLE SIRH C3N1</v>
      </c>
    </row>
    <row r="64" spans="1:24" x14ac:dyDescent="0.25">
      <c r="A64" s="16" t="s">
        <v>84</v>
      </c>
      <c r="B64" s="16" t="b">
        <v>0</v>
      </c>
      <c r="C64" s="16" t="b">
        <v>1</v>
      </c>
      <c r="D64" s="16">
        <v>9</v>
      </c>
      <c r="E64" s="69" t="b">
        <v>0</v>
      </c>
      <c r="F64" s="69" t="b">
        <v>0</v>
      </c>
      <c r="G64" s="17" t="b">
        <v>0</v>
      </c>
      <c r="H64" s="18" t="b">
        <v>1</v>
      </c>
      <c r="I64" s="17" t="b">
        <v>0</v>
      </c>
      <c r="J64" s="69" t="b">
        <v>0</v>
      </c>
      <c r="L64" s="24">
        <v>6</v>
      </c>
      <c r="M64" s="18">
        <v>24</v>
      </c>
      <c r="N64" s="18">
        <v>617</v>
      </c>
      <c r="O64" s="18" t="str" cm="1">
        <f t="array" ref="O6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GRILLE]],MAX($O$1:O63)+1)</f>
        <v/>
      </c>
      <c r="X64" s="16" t="str">
        <v>SECRETAIRE DE DIRECTION NIVEAU 2</v>
      </c>
    </row>
    <row r="65" spans="1:24" x14ac:dyDescent="0.25">
      <c r="A65" s="16" t="s">
        <v>85</v>
      </c>
      <c r="B65" s="16" t="b">
        <v>1</v>
      </c>
      <c r="C65" s="16" t="b">
        <v>1</v>
      </c>
      <c r="D65" s="16">
        <v>9</v>
      </c>
      <c r="E65" s="69" t="b">
        <v>0</v>
      </c>
      <c r="F65" s="69" t="b">
        <v>0</v>
      </c>
      <c r="G65" s="17" t="b">
        <v>0</v>
      </c>
      <c r="H65" s="18" t="b">
        <v>1</v>
      </c>
      <c r="I65" s="17" t="b">
        <v>0</v>
      </c>
      <c r="J65" s="69" t="b">
        <v>0</v>
      </c>
      <c r="L65" s="24">
        <v>6</v>
      </c>
      <c r="M65" s="18">
        <v>28</v>
      </c>
      <c r="N65" s="19">
        <v>652</v>
      </c>
      <c r="O65" s="18" t="str" cm="1">
        <f t="array" ref="O6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GRILLE]],MAX($O$1:O64)+1)</f>
        <v/>
      </c>
      <c r="X65" s="16" t="str">
        <v>SURVEILLANT DE NUIT</v>
      </c>
    </row>
    <row r="66" spans="1:24" x14ac:dyDescent="0.25">
      <c r="A66" s="16" t="s">
        <v>86</v>
      </c>
      <c r="B66" s="16" t="b">
        <v>1</v>
      </c>
      <c r="C66" s="16" t="b">
        <v>0</v>
      </c>
      <c r="D66" s="16">
        <v>1</v>
      </c>
      <c r="E66" s="18" t="b">
        <v>0</v>
      </c>
      <c r="F66" s="18" t="b">
        <v>0</v>
      </c>
      <c r="G66" s="17" t="b">
        <v>0</v>
      </c>
      <c r="H66" s="18" t="b">
        <v>1</v>
      </c>
      <c r="I66" s="17" t="b">
        <v>0</v>
      </c>
      <c r="J66" s="69" t="b">
        <v>0</v>
      </c>
      <c r="L66" s="23">
        <v>7</v>
      </c>
      <c r="M66" s="18">
        <v>0</v>
      </c>
      <c r="N66" s="18">
        <v>421</v>
      </c>
      <c r="O66" s="18" t="str" cm="1">
        <f t="array" ref="O6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GRILLE]],MAX($O$1:O65)+1)</f>
        <v/>
      </c>
      <c r="X66" s="16" t="str">
        <v>SURVEILLANT DE NUIT QUALIFIE</v>
      </c>
    </row>
    <row r="67" spans="1:24" x14ac:dyDescent="0.25">
      <c r="A67" s="16" t="s">
        <v>86</v>
      </c>
      <c r="B67" s="16" t="b">
        <v>0</v>
      </c>
      <c r="C67" s="16" t="b">
        <v>0</v>
      </c>
      <c r="D67" s="16">
        <v>8</v>
      </c>
      <c r="E67" s="69" t="b">
        <v>0</v>
      </c>
      <c r="F67" s="69" t="b">
        <v>0</v>
      </c>
      <c r="G67" s="17" t="b">
        <v>0</v>
      </c>
      <c r="H67" s="69" t="b">
        <v>1</v>
      </c>
      <c r="I67" s="17" t="b">
        <v>0</v>
      </c>
      <c r="J67" s="69" t="b">
        <v>0</v>
      </c>
      <c r="L67" s="23">
        <v>7</v>
      </c>
      <c r="M67" s="18">
        <v>1</v>
      </c>
      <c r="N67" s="18">
        <v>434</v>
      </c>
      <c r="O67" s="18" t="str" cm="1">
        <f t="array" ref="O6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GRILLE]],MAX($O$1:O66)+1)</f>
        <v/>
      </c>
      <c r="X67" s="16" t="str">
        <v>TECHNICIEN QUALIFIE</v>
      </c>
    </row>
    <row r="68" spans="1:24" x14ac:dyDescent="0.25">
      <c r="A68" s="16" t="s">
        <v>87</v>
      </c>
      <c r="B68" s="16" t="b">
        <v>1</v>
      </c>
      <c r="C68" s="16" t="b">
        <v>0</v>
      </c>
      <c r="D68" s="16">
        <v>1</v>
      </c>
      <c r="E68" s="18" t="b">
        <v>0</v>
      </c>
      <c r="F68" s="18" t="b">
        <v>0</v>
      </c>
      <c r="G68" s="17" t="b">
        <v>0</v>
      </c>
      <c r="H68" s="18" t="b">
        <v>1</v>
      </c>
      <c r="I68" s="17" t="b">
        <v>0</v>
      </c>
      <c r="J68" s="69" t="b">
        <v>0</v>
      </c>
      <c r="L68" s="23">
        <v>7</v>
      </c>
      <c r="M68" s="18">
        <v>2</v>
      </c>
      <c r="N68" s="18">
        <v>450</v>
      </c>
      <c r="O68" s="18" t="str" cm="1">
        <f t="array" ref="O6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GRILLE]],MAX($O$1:O67)+1)</f>
        <v/>
      </c>
      <c r="X68" s="16" t="str">
        <v>TECHNICIEN SUPERIEUR</v>
      </c>
    </row>
    <row r="69" spans="1:24" x14ac:dyDescent="0.25">
      <c r="A69" s="16" t="s">
        <v>87</v>
      </c>
      <c r="B69" s="16" t="b">
        <v>0</v>
      </c>
      <c r="C69" s="16" t="b">
        <v>0</v>
      </c>
      <c r="D69" s="16">
        <v>8</v>
      </c>
      <c r="E69" s="69" t="b">
        <v>0</v>
      </c>
      <c r="F69" s="69" t="b">
        <v>0</v>
      </c>
      <c r="G69" s="17" t="b">
        <v>0</v>
      </c>
      <c r="H69" s="69" t="b">
        <v>1</v>
      </c>
      <c r="I69" s="17" t="b">
        <v>0</v>
      </c>
      <c r="J69" s="69" t="b">
        <v>0</v>
      </c>
      <c r="L69" s="23">
        <v>7</v>
      </c>
      <c r="M69" s="18">
        <v>3</v>
      </c>
      <c r="N69" s="18">
        <v>464</v>
      </c>
      <c r="O69" s="18" t="str" cm="1">
        <f t="array" ref="O6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GRILLE]],MAX($O$1:O68)+1)</f>
        <v/>
      </c>
      <c r="X69" s="16" t="str">
        <v>TECHNICIEN DE L'INTERVENTION SOCIALE ET FAMILIALE</v>
      </c>
    </row>
    <row r="70" spans="1:24" x14ac:dyDescent="0.25">
      <c r="A70" s="16" t="s">
        <v>88</v>
      </c>
      <c r="B70" s="16" t="b">
        <v>1</v>
      </c>
      <c r="C70" s="16" t="b">
        <v>0</v>
      </c>
      <c r="D70" s="16">
        <v>1</v>
      </c>
      <c r="E70" s="18" t="b">
        <v>0</v>
      </c>
      <c r="F70" s="18" t="b">
        <v>0</v>
      </c>
      <c r="G70" s="17" t="b">
        <v>0</v>
      </c>
      <c r="H70" s="18" t="b">
        <v>1</v>
      </c>
      <c r="I70" s="17" t="b">
        <v>0</v>
      </c>
      <c r="J70" s="69" t="b">
        <v>0</v>
      </c>
      <c r="L70" s="23">
        <v>7</v>
      </c>
      <c r="M70" s="18">
        <v>5</v>
      </c>
      <c r="N70" s="18">
        <v>476</v>
      </c>
      <c r="O70" s="18" t="str" cm="1">
        <f t="array" ref="O7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GRILLE]],MAX($O$1:O69)+1)</f>
        <v/>
      </c>
    </row>
    <row r="71" spans="1:24" x14ac:dyDescent="0.25">
      <c r="A71" s="16" t="s">
        <v>88</v>
      </c>
      <c r="B71" s="16" t="b">
        <v>0</v>
      </c>
      <c r="C71" s="16" t="b">
        <v>0</v>
      </c>
      <c r="D71" s="16">
        <v>8</v>
      </c>
      <c r="E71" s="69" t="b">
        <v>0</v>
      </c>
      <c r="F71" s="69" t="b">
        <v>0</v>
      </c>
      <c r="G71" s="17" t="b">
        <v>0</v>
      </c>
      <c r="H71" s="69" t="b">
        <v>1</v>
      </c>
      <c r="I71" s="17" t="b">
        <v>0</v>
      </c>
      <c r="J71" s="69" t="b">
        <v>0</v>
      </c>
      <c r="L71" s="23">
        <v>7</v>
      </c>
      <c r="M71" s="18">
        <v>7</v>
      </c>
      <c r="N71" s="18">
        <v>493</v>
      </c>
      <c r="O71" s="18" t="str" cm="1">
        <f t="array" ref="O7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GRILLE]],MAX($O$1:O70)+1)</f>
        <v/>
      </c>
    </row>
    <row r="72" spans="1:24" x14ac:dyDescent="0.25">
      <c r="A72" s="16" t="s">
        <v>89</v>
      </c>
      <c r="B72" s="16" t="b">
        <v>1</v>
      </c>
      <c r="C72" s="16" t="b">
        <v>0</v>
      </c>
      <c r="D72" s="16">
        <v>1</v>
      </c>
      <c r="E72" s="18" t="b">
        <v>0</v>
      </c>
      <c r="F72" s="18" t="b">
        <v>0</v>
      </c>
      <c r="G72" s="17" t="b">
        <v>0</v>
      </c>
      <c r="H72" s="18" t="b">
        <v>1</v>
      </c>
      <c r="I72" s="17" t="b">
        <v>0</v>
      </c>
      <c r="J72" s="69" t="b">
        <v>0</v>
      </c>
      <c r="L72" s="23">
        <v>7</v>
      </c>
      <c r="M72" s="18">
        <v>9</v>
      </c>
      <c r="N72" s="18">
        <v>513</v>
      </c>
      <c r="O72" s="18" t="str" cm="1">
        <f t="array" ref="O7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GRILLE]],MAX($O$1:O71)+1)</f>
        <v/>
      </c>
    </row>
    <row r="73" spans="1:24" x14ac:dyDescent="0.25">
      <c r="A73" s="16" t="s">
        <v>89</v>
      </c>
      <c r="B73" s="16" t="b">
        <v>0</v>
      </c>
      <c r="C73" s="16" t="b">
        <v>0</v>
      </c>
      <c r="D73" s="16">
        <v>8</v>
      </c>
      <c r="E73" s="69" t="b">
        <v>0</v>
      </c>
      <c r="F73" s="69" t="b">
        <v>0</v>
      </c>
      <c r="G73" s="17" t="b">
        <v>0</v>
      </c>
      <c r="H73" s="69" t="b">
        <v>1</v>
      </c>
      <c r="I73" s="17" t="b">
        <v>0</v>
      </c>
      <c r="J73" s="69" t="b">
        <v>0</v>
      </c>
      <c r="L73" s="23">
        <v>7</v>
      </c>
      <c r="M73" s="18">
        <v>12</v>
      </c>
      <c r="N73" s="18">
        <v>525</v>
      </c>
      <c r="O73" s="18" t="str" cm="1">
        <f t="array" ref="O7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GRILLE]],MAX($O$1:O72)+1)</f>
        <v/>
      </c>
    </row>
    <row r="74" spans="1:24" x14ac:dyDescent="0.25">
      <c r="A74" s="16" t="s">
        <v>90</v>
      </c>
      <c r="B74" s="16" t="b">
        <v>1</v>
      </c>
      <c r="C74" s="16" t="b">
        <v>0</v>
      </c>
      <c r="D74" s="16">
        <v>7</v>
      </c>
      <c r="E74" s="69" t="b">
        <v>0</v>
      </c>
      <c r="F74" s="69" t="b">
        <v>0</v>
      </c>
      <c r="G74" s="17" t="b">
        <v>0</v>
      </c>
      <c r="H74" s="18" t="b">
        <v>1</v>
      </c>
      <c r="I74" s="17" t="b">
        <v>0</v>
      </c>
      <c r="J74" s="69" t="b">
        <v>0</v>
      </c>
      <c r="L74" s="23">
        <v>7</v>
      </c>
      <c r="M74" s="18">
        <v>15</v>
      </c>
      <c r="N74" s="18">
        <v>539</v>
      </c>
      <c r="O74" s="18" t="str" cm="1">
        <f t="array" ref="O7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GRILLE]],MAX($O$1:O73)+1)</f>
        <v/>
      </c>
    </row>
    <row r="75" spans="1:24" x14ac:dyDescent="0.25">
      <c r="A75" s="16" t="s">
        <v>90</v>
      </c>
      <c r="B75" s="16" t="b">
        <v>0</v>
      </c>
      <c r="C75" s="16" t="b">
        <v>0</v>
      </c>
      <c r="D75" s="16">
        <v>6</v>
      </c>
      <c r="E75" s="69" t="b">
        <v>0</v>
      </c>
      <c r="F75" s="69" t="b">
        <v>0</v>
      </c>
      <c r="G75" s="17" t="b">
        <v>0</v>
      </c>
      <c r="H75" s="69" t="b">
        <v>1</v>
      </c>
      <c r="I75" s="17" t="b">
        <v>0</v>
      </c>
      <c r="J75" s="69" t="b">
        <v>0</v>
      </c>
      <c r="L75" s="23">
        <v>7</v>
      </c>
      <c r="M75" s="18">
        <v>18</v>
      </c>
      <c r="N75" s="18">
        <v>568</v>
      </c>
      <c r="O75" s="18" t="str" cm="1">
        <f t="array" ref="O7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GRILLE]],MAX($O$1:O74)+1)</f>
        <v/>
      </c>
    </row>
    <row r="76" spans="1:24" x14ac:dyDescent="0.25">
      <c r="A76" s="16" t="s">
        <v>91</v>
      </c>
      <c r="B76" s="16" t="b">
        <v>1</v>
      </c>
      <c r="C76" s="16" t="b">
        <v>0</v>
      </c>
      <c r="D76" s="16">
        <v>1</v>
      </c>
      <c r="E76" s="18" t="b">
        <v>0</v>
      </c>
      <c r="F76" s="18" t="b">
        <v>0</v>
      </c>
      <c r="G76" s="17" t="b">
        <v>0</v>
      </c>
      <c r="H76" s="18" t="b">
        <v>1</v>
      </c>
      <c r="I76" s="17" t="b">
        <v>0</v>
      </c>
      <c r="J76" s="69" t="b">
        <v>0</v>
      </c>
      <c r="L76" s="23">
        <v>7</v>
      </c>
      <c r="M76" s="18">
        <v>21</v>
      </c>
      <c r="N76" s="18">
        <v>600</v>
      </c>
      <c r="O76" s="18" t="str" cm="1">
        <f t="array" ref="O7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GRILLE]],MAX($O$1:O75)+1)</f>
        <v/>
      </c>
    </row>
    <row r="77" spans="1:24" x14ac:dyDescent="0.25">
      <c r="A77" s="16" t="s">
        <v>91</v>
      </c>
      <c r="B77" s="16" t="b">
        <v>0</v>
      </c>
      <c r="C77" s="16" t="b">
        <v>0</v>
      </c>
      <c r="D77" s="16">
        <v>8</v>
      </c>
      <c r="E77" s="69" t="b">
        <v>0</v>
      </c>
      <c r="F77" s="69" t="b">
        <v>0</v>
      </c>
      <c r="G77" s="17" t="b">
        <v>0</v>
      </c>
      <c r="H77" s="69" t="b">
        <v>1</v>
      </c>
      <c r="I77" s="17" t="b">
        <v>0</v>
      </c>
      <c r="J77" s="69" t="b">
        <v>0</v>
      </c>
      <c r="L77" s="23">
        <v>7</v>
      </c>
      <c r="M77" s="18">
        <v>24</v>
      </c>
      <c r="N77" s="18">
        <v>635</v>
      </c>
      <c r="O77" s="18" t="str" cm="1">
        <f t="array" ref="O7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GRILLE]],MAX($O$1:O76)+1)</f>
        <v/>
      </c>
    </row>
    <row r="78" spans="1:24" x14ac:dyDescent="0.25">
      <c r="A78" s="16" t="s">
        <v>92</v>
      </c>
      <c r="B78" s="16" t="b">
        <v>1</v>
      </c>
      <c r="C78" s="16" t="b">
        <v>0</v>
      </c>
      <c r="D78" s="16">
        <v>1</v>
      </c>
      <c r="E78" s="18" t="b">
        <v>0</v>
      </c>
      <c r="F78" s="18" t="b">
        <v>0</v>
      </c>
      <c r="G78" s="17" t="b">
        <v>0</v>
      </c>
      <c r="H78" s="18" t="b">
        <v>1</v>
      </c>
      <c r="I78" s="17" t="b">
        <v>0</v>
      </c>
      <c r="J78" s="69" t="b">
        <v>0</v>
      </c>
      <c r="L78" s="23">
        <v>7</v>
      </c>
      <c r="M78" s="19">
        <v>28</v>
      </c>
      <c r="N78" s="19">
        <v>665</v>
      </c>
      <c r="O78" s="18" t="str" cm="1">
        <f t="array" ref="O7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GRILLE]],MAX($O$1:O77)+1)</f>
        <v/>
      </c>
    </row>
    <row r="79" spans="1:24" x14ac:dyDescent="0.25">
      <c r="A79" s="16" t="s">
        <v>92</v>
      </c>
      <c r="B79" s="16" t="b">
        <v>0</v>
      </c>
      <c r="C79" s="16" t="b">
        <v>0</v>
      </c>
      <c r="D79" s="16">
        <v>8</v>
      </c>
      <c r="E79" s="69" t="b">
        <v>0</v>
      </c>
      <c r="F79" s="69" t="b">
        <v>0</v>
      </c>
      <c r="G79" s="17" t="b">
        <v>0</v>
      </c>
      <c r="H79" s="69" t="b">
        <v>1</v>
      </c>
      <c r="I79" s="17" t="b">
        <v>0</v>
      </c>
      <c r="J79" s="69" t="b">
        <v>0</v>
      </c>
      <c r="L79" s="23">
        <v>8</v>
      </c>
      <c r="M79" s="18">
        <v>0</v>
      </c>
      <c r="N79" s="18">
        <v>434</v>
      </c>
      <c r="O79" s="18" t="str" cm="1">
        <f t="array" ref="O7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GRILLE]],MAX($O$1:O78)+1)</f>
        <v/>
      </c>
    </row>
    <row r="80" spans="1:24" x14ac:dyDescent="0.25">
      <c r="A80" s="68" t="s">
        <v>93</v>
      </c>
      <c r="B80" s="16" t="b">
        <v>1</v>
      </c>
      <c r="C80" s="16" t="b">
        <v>0</v>
      </c>
      <c r="D80" s="16">
        <v>1</v>
      </c>
      <c r="E80" s="18" t="b">
        <v>1</v>
      </c>
      <c r="F80" s="18" t="b">
        <v>1</v>
      </c>
      <c r="G80" s="17" t="b">
        <v>0</v>
      </c>
      <c r="H80" s="18" t="b">
        <v>0</v>
      </c>
      <c r="I80" s="17" t="b">
        <v>0</v>
      </c>
      <c r="J80" s="69" t="b">
        <v>0</v>
      </c>
      <c r="L80" s="23">
        <v>8</v>
      </c>
      <c r="M80" s="19">
        <v>1</v>
      </c>
      <c r="N80" s="19">
        <v>447</v>
      </c>
      <c r="O80" s="18" t="str" cm="1">
        <f t="array" ref="O8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GRILLE]],MAX($O$1:O79)+1)</f>
        <v/>
      </c>
    </row>
    <row r="81" spans="1:15" x14ac:dyDescent="0.25">
      <c r="A81" s="68" t="s">
        <v>93</v>
      </c>
      <c r="B81" s="16" t="b">
        <v>0</v>
      </c>
      <c r="C81" s="16" t="b">
        <v>0</v>
      </c>
      <c r="D81" s="16">
        <v>8</v>
      </c>
      <c r="E81" s="69" t="b">
        <v>1</v>
      </c>
      <c r="F81" s="69" t="b">
        <v>1</v>
      </c>
      <c r="G81" s="17" t="b">
        <v>0</v>
      </c>
      <c r="H81" s="69" t="b">
        <v>0</v>
      </c>
      <c r="I81" s="17" t="b">
        <v>0</v>
      </c>
      <c r="J81" s="69" t="b">
        <v>0</v>
      </c>
      <c r="L81" s="23">
        <v>8</v>
      </c>
      <c r="M81" s="19">
        <v>3</v>
      </c>
      <c r="N81" s="19">
        <v>478</v>
      </c>
      <c r="O81" s="18" t="str" cm="1">
        <f t="array" ref="O8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GRILLE]],MAX($O$1:O80)+1)</f>
        <v/>
      </c>
    </row>
    <row r="82" spans="1:15" x14ac:dyDescent="0.25">
      <c r="A82" s="16" t="s">
        <v>94</v>
      </c>
      <c r="B82" s="16" t="b">
        <v>0</v>
      </c>
      <c r="C82" s="16" t="b">
        <v>0</v>
      </c>
      <c r="D82" s="16">
        <v>8</v>
      </c>
      <c r="E82" s="69" t="b">
        <v>0</v>
      </c>
      <c r="F82" s="69" t="b">
        <v>0</v>
      </c>
      <c r="G82" s="17" t="b">
        <v>0</v>
      </c>
      <c r="H82" s="69" t="b">
        <v>1</v>
      </c>
      <c r="I82" s="17" t="b">
        <v>0</v>
      </c>
      <c r="J82" s="69" t="b">
        <v>0</v>
      </c>
      <c r="L82" s="23">
        <v>8</v>
      </c>
      <c r="M82" s="19">
        <v>5</v>
      </c>
      <c r="N82" s="19">
        <v>503</v>
      </c>
      <c r="O82" s="18" t="str" cm="1">
        <f t="array" ref="O8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GRILLE]],MAX($O$1:O81)+1)</f>
        <v/>
      </c>
    </row>
    <row r="83" spans="1:15" x14ac:dyDescent="0.25">
      <c r="A83" s="16" t="s">
        <v>94</v>
      </c>
      <c r="B83" s="16" t="b">
        <v>1</v>
      </c>
      <c r="C83" s="16" t="b">
        <v>0</v>
      </c>
      <c r="D83" s="16">
        <v>8</v>
      </c>
      <c r="E83" s="69" t="b">
        <v>0</v>
      </c>
      <c r="F83" s="69" t="b">
        <v>0</v>
      </c>
      <c r="G83" s="17" t="b">
        <v>0</v>
      </c>
      <c r="H83" s="69" t="b">
        <v>1</v>
      </c>
      <c r="I83" s="17" t="b">
        <v>0</v>
      </c>
      <c r="J83" s="69" t="b">
        <v>0</v>
      </c>
      <c r="L83" s="23">
        <v>8</v>
      </c>
      <c r="M83" s="19">
        <v>7</v>
      </c>
      <c r="N83" s="19">
        <v>537</v>
      </c>
      <c r="O83" s="18" t="str" cm="1">
        <f t="array" ref="O8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GRILLE]],MAX($O$1:O82)+1)</f>
        <v/>
      </c>
    </row>
    <row r="84" spans="1:15" x14ac:dyDescent="0.25">
      <c r="A84" s="16" t="s">
        <v>95</v>
      </c>
      <c r="B84" s="16" t="b">
        <v>0</v>
      </c>
      <c r="C84" s="16" t="b">
        <v>0</v>
      </c>
      <c r="D84" s="16">
        <v>8</v>
      </c>
      <c r="E84" s="69" t="b">
        <v>0</v>
      </c>
      <c r="F84" s="69" t="b">
        <v>0</v>
      </c>
      <c r="G84" s="17" t="b">
        <v>0</v>
      </c>
      <c r="H84" s="69" t="b">
        <v>1</v>
      </c>
      <c r="I84" s="17" t="b">
        <v>0</v>
      </c>
      <c r="J84" s="69" t="b">
        <v>0</v>
      </c>
      <c r="L84" s="23">
        <v>8</v>
      </c>
      <c r="M84" s="19">
        <v>9</v>
      </c>
      <c r="N84" s="19">
        <v>570</v>
      </c>
      <c r="O84" s="18" t="str" cm="1">
        <f t="array" ref="O8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GRILLE]],MAX($O$1:O83)+1)</f>
        <v/>
      </c>
    </row>
    <row r="85" spans="1:15" x14ac:dyDescent="0.25">
      <c r="A85" s="16" t="s">
        <v>95</v>
      </c>
      <c r="B85" s="16" t="b">
        <v>1</v>
      </c>
      <c r="C85" s="16" t="b">
        <v>0</v>
      </c>
      <c r="D85" s="16">
        <v>8</v>
      </c>
      <c r="E85" s="69" t="b">
        <v>0</v>
      </c>
      <c r="F85" s="69" t="b">
        <v>0</v>
      </c>
      <c r="G85" s="17" t="b">
        <v>0</v>
      </c>
      <c r="H85" s="69" t="b">
        <v>1</v>
      </c>
      <c r="I85" s="17" t="b">
        <v>0</v>
      </c>
      <c r="J85" s="69" t="b">
        <v>0</v>
      </c>
      <c r="L85" s="23">
        <v>8</v>
      </c>
      <c r="M85" s="19">
        <v>11</v>
      </c>
      <c r="N85" s="19">
        <v>581</v>
      </c>
      <c r="O85" s="18" t="str" cm="1">
        <f t="array" ref="O8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GRILLE]],MAX($O$1:O84)+1)</f>
        <v/>
      </c>
    </row>
    <row r="86" spans="1:15" x14ac:dyDescent="0.25">
      <c r="A86" s="16" t="s">
        <v>96</v>
      </c>
      <c r="B86" s="16" t="b">
        <v>0</v>
      </c>
      <c r="C86" s="16" t="b">
        <v>0</v>
      </c>
      <c r="D86" s="16">
        <v>8</v>
      </c>
      <c r="E86" s="69" t="b">
        <v>0</v>
      </c>
      <c r="F86" s="69" t="b">
        <v>0</v>
      </c>
      <c r="G86" s="17" t="b">
        <v>0</v>
      </c>
      <c r="H86" s="69" t="b">
        <v>1</v>
      </c>
      <c r="I86" s="17" t="b">
        <v>0</v>
      </c>
      <c r="J86" s="69" t="b">
        <v>0</v>
      </c>
      <c r="L86" s="23">
        <v>8</v>
      </c>
      <c r="M86" s="18">
        <v>14</v>
      </c>
      <c r="N86" s="18">
        <v>615</v>
      </c>
      <c r="O86" s="18" t="str" cm="1">
        <f t="array" ref="O8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GRILLE]],MAX($O$1:O85)+1)</f>
        <v/>
      </c>
    </row>
    <row r="87" spans="1:15" x14ac:dyDescent="0.25">
      <c r="A87" s="16" t="s">
        <v>96</v>
      </c>
      <c r="B87" s="16" t="b">
        <v>1</v>
      </c>
      <c r="C87" s="16" t="b">
        <v>0</v>
      </c>
      <c r="D87" s="16">
        <v>9</v>
      </c>
      <c r="E87" s="69" t="b">
        <v>0</v>
      </c>
      <c r="F87" s="69" t="b">
        <v>0</v>
      </c>
      <c r="G87" s="17" t="b">
        <v>0</v>
      </c>
      <c r="H87" s="69" t="b">
        <v>1</v>
      </c>
      <c r="I87" s="17" t="b">
        <v>0</v>
      </c>
      <c r="J87" s="69" t="b">
        <v>0</v>
      </c>
      <c r="L87" s="23">
        <v>8</v>
      </c>
      <c r="M87" s="19">
        <v>17</v>
      </c>
      <c r="N87" s="19">
        <v>647</v>
      </c>
      <c r="O87" s="18" t="str" cm="1">
        <f t="array" ref="O8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GRILLE]],MAX($O$1:O86)+1)</f>
        <v/>
      </c>
    </row>
    <row r="88" spans="1:15" x14ac:dyDescent="0.25">
      <c r="A88" s="16" t="s">
        <v>97</v>
      </c>
      <c r="B88" s="16" t="b">
        <v>1</v>
      </c>
      <c r="C88" s="16" t="b">
        <v>0</v>
      </c>
      <c r="D88" s="16">
        <v>1</v>
      </c>
      <c r="E88" s="18" t="b">
        <v>0</v>
      </c>
      <c r="F88" s="18" t="b">
        <v>0</v>
      </c>
      <c r="G88" s="17" t="b">
        <v>0</v>
      </c>
      <c r="H88" s="18" t="b">
        <v>1</v>
      </c>
      <c r="I88" s="17" t="b">
        <v>0</v>
      </c>
      <c r="J88" s="69" t="b">
        <v>0</v>
      </c>
      <c r="L88" s="23">
        <v>8</v>
      </c>
      <c r="M88" s="18">
        <v>20</v>
      </c>
      <c r="N88" s="18">
        <v>679</v>
      </c>
      <c r="O88" s="18" t="str" cm="1">
        <f t="array" ref="O8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GRILLE]],MAX($O$1:O87)+1)</f>
        <v/>
      </c>
    </row>
    <row r="89" spans="1:15" x14ac:dyDescent="0.25">
      <c r="A89" s="16" t="s">
        <v>97</v>
      </c>
      <c r="B89" s="16" t="b">
        <v>0</v>
      </c>
      <c r="C89" s="16" t="b">
        <v>0</v>
      </c>
      <c r="D89" s="16">
        <v>8</v>
      </c>
      <c r="E89" s="18" t="b">
        <v>0</v>
      </c>
      <c r="F89" s="18" t="b">
        <v>0</v>
      </c>
      <c r="G89" s="17" t="b">
        <v>0</v>
      </c>
      <c r="H89" s="18" t="b">
        <v>1</v>
      </c>
      <c r="I89" s="17" t="b">
        <v>0</v>
      </c>
      <c r="J89" s="69" t="b">
        <v>0</v>
      </c>
      <c r="L89" s="23">
        <v>8</v>
      </c>
      <c r="M89" s="18">
        <v>24</v>
      </c>
      <c r="N89" s="18">
        <v>715</v>
      </c>
      <c r="O89" s="18" t="str" cm="1">
        <f t="array" ref="O8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GRILLE]],MAX($O$1:O88)+1)</f>
        <v/>
      </c>
    </row>
    <row r="90" spans="1:15" x14ac:dyDescent="0.25">
      <c r="A90" s="68" t="s">
        <v>98</v>
      </c>
      <c r="B90" s="16" t="b">
        <v>1</v>
      </c>
      <c r="C90" s="16" t="b">
        <v>0</v>
      </c>
      <c r="D90" s="16">
        <v>1</v>
      </c>
      <c r="E90" s="69" t="b">
        <v>1</v>
      </c>
      <c r="F90" s="18" t="b">
        <v>1</v>
      </c>
      <c r="G90" s="17" t="b">
        <v>0</v>
      </c>
      <c r="H90" s="69" t="b">
        <v>0</v>
      </c>
      <c r="I90" s="17" t="b">
        <v>0</v>
      </c>
      <c r="J90" s="69" t="b">
        <v>0</v>
      </c>
      <c r="L90" s="23">
        <v>8</v>
      </c>
      <c r="M90" s="18">
        <v>28</v>
      </c>
      <c r="N90" s="18">
        <v>762</v>
      </c>
      <c r="O90" s="18" t="str" cm="1">
        <f t="array" ref="O9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GRILLE]],MAX($O$1:O89)+1)</f>
        <v/>
      </c>
    </row>
    <row r="91" spans="1:15" x14ac:dyDescent="0.25">
      <c r="A91" s="68" t="s">
        <v>98</v>
      </c>
      <c r="B91" s="16" t="b">
        <v>0</v>
      </c>
      <c r="C91" s="16" t="b">
        <v>0</v>
      </c>
      <c r="D91" s="16">
        <v>8</v>
      </c>
      <c r="E91" s="69" t="b">
        <v>1</v>
      </c>
      <c r="F91" s="18" t="b">
        <v>1</v>
      </c>
      <c r="G91" s="17" t="b">
        <v>0</v>
      </c>
      <c r="H91" s="69" t="b">
        <v>0</v>
      </c>
      <c r="I91" s="17" t="b">
        <v>0</v>
      </c>
      <c r="J91" s="69" t="b">
        <v>0</v>
      </c>
      <c r="L91" s="23">
        <v>9</v>
      </c>
      <c r="M91" s="18">
        <v>0</v>
      </c>
      <c r="N91" s="18">
        <v>870</v>
      </c>
      <c r="O91" s="18" t="str" cm="1">
        <f t="array" ref="O9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GRILLE]],MAX($O$1:O90)+1)</f>
        <v/>
      </c>
    </row>
    <row r="92" spans="1:15" x14ac:dyDescent="0.25">
      <c r="A92" s="16" t="s">
        <v>99</v>
      </c>
      <c r="B92" s="16" t="b">
        <v>0</v>
      </c>
      <c r="C92" s="16" t="b">
        <v>0</v>
      </c>
      <c r="D92" s="16">
        <v>8</v>
      </c>
      <c r="E92" s="69" t="b">
        <v>0</v>
      </c>
      <c r="F92" s="69" t="b">
        <v>0</v>
      </c>
      <c r="G92" s="17" t="b">
        <v>0</v>
      </c>
      <c r="H92" s="69" t="b">
        <v>1</v>
      </c>
      <c r="I92" s="17" t="b">
        <v>0</v>
      </c>
      <c r="J92" s="69" t="b">
        <v>0</v>
      </c>
      <c r="L92" s="23">
        <v>9</v>
      </c>
      <c r="M92" s="18">
        <v>3</v>
      </c>
      <c r="N92" s="18">
        <v>896.1</v>
      </c>
      <c r="O92" s="18" t="str" cm="1">
        <f t="array" ref="O9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GRILLE]],MAX($O$1:O91)+1)</f>
        <v/>
      </c>
    </row>
    <row r="93" spans="1:15" x14ac:dyDescent="0.25">
      <c r="A93" s="16" t="s">
        <v>99</v>
      </c>
      <c r="B93" s="16" t="b">
        <v>1</v>
      </c>
      <c r="C93" s="16" t="b">
        <v>0</v>
      </c>
      <c r="D93" s="16">
        <v>9</v>
      </c>
      <c r="E93" s="69" t="b">
        <v>0</v>
      </c>
      <c r="F93" s="69" t="b">
        <v>0</v>
      </c>
      <c r="G93" s="17" t="b">
        <v>0</v>
      </c>
      <c r="H93" s="69" t="b">
        <v>1</v>
      </c>
      <c r="I93" s="17" t="b">
        <v>0</v>
      </c>
      <c r="J93" s="69" t="b">
        <v>0</v>
      </c>
      <c r="L93" s="23">
        <v>9</v>
      </c>
      <c r="M93" s="18">
        <v>6</v>
      </c>
      <c r="N93" s="18">
        <v>922.2</v>
      </c>
      <c r="O93" s="18" t="str" cm="1">
        <f t="array" ref="O9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GRILLE]],MAX($O$1:O92)+1)</f>
        <v/>
      </c>
    </row>
    <row r="94" spans="1:15" x14ac:dyDescent="0.25">
      <c r="A94" s="16" t="s">
        <v>100</v>
      </c>
      <c r="B94" s="16" t="b">
        <v>1</v>
      </c>
      <c r="C94" s="16" t="b">
        <v>0</v>
      </c>
      <c r="D94" s="16">
        <v>20</v>
      </c>
      <c r="E94" s="69" t="b">
        <v>0</v>
      </c>
      <c r="F94" s="69" t="b">
        <v>0</v>
      </c>
      <c r="G94" s="17" t="b">
        <v>0</v>
      </c>
      <c r="H94" s="69" t="b">
        <v>1</v>
      </c>
      <c r="I94" s="17" t="b">
        <v>0</v>
      </c>
      <c r="J94" s="69" t="b">
        <v>1</v>
      </c>
      <c r="L94" s="23">
        <v>9</v>
      </c>
      <c r="M94" s="18">
        <v>9</v>
      </c>
      <c r="N94" s="18">
        <v>948.3</v>
      </c>
      <c r="O94" s="18" t="str" cm="1">
        <f t="array" ref="O9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GRILLE]],MAX($O$1:O93)+1)</f>
        <v/>
      </c>
    </row>
    <row r="95" spans="1:15" x14ac:dyDescent="0.25">
      <c r="A95" s="16" t="s">
        <v>100</v>
      </c>
      <c r="B95" s="16" t="b">
        <v>0</v>
      </c>
      <c r="C95" s="16" t="b">
        <v>0</v>
      </c>
      <c r="D95" s="16">
        <v>19</v>
      </c>
      <c r="E95" s="69" t="b">
        <v>0</v>
      </c>
      <c r="F95" s="69" t="b">
        <v>0</v>
      </c>
      <c r="G95" s="17" t="b">
        <v>0</v>
      </c>
      <c r="H95" s="69" t="b">
        <v>1</v>
      </c>
      <c r="I95" s="17" t="b">
        <v>0</v>
      </c>
      <c r="J95" s="69" t="b">
        <v>1</v>
      </c>
      <c r="L95" s="23">
        <v>9</v>
      </c>
      <c r="M95" s="18">
        <v>12</v>
      </c>
      <c r="N95" s="18">
        <v>974.4</v>
      </c>
      <c r="O95" s="18" t="str" cm="1">
        <f t="array" ref="O9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GRILLE]],MAX($O$1:O94)+1)</f>
        <v/>
      </c>
    </row>
    <row r="96" spans="1:15" x14ac:dyDescent="0.25">
      <c r="A96" s="16" t="s">
        <v>101</v>
      </c>
      <c r="B96" s="16" t="b">
        <v>1</v>
      </c>
      <c r="C96" s="16" t="b">
        <v>0</v>
      </c>
      <c r="D96" s="16">
        <v>16</v>
      </c>
      <c r="E96" s="69" t="b">
        <v>0</v>
      </c>
      <c r="F96" s="69" t="b">
        <v>0</v>
      </c>
      <c r="G96" s="17" t="b">
        <v>0</v>
      </c>
      <c r="H96" s="69" t="b">
        <v>1</v>
      </c>
      <c r="I96" s="17" t="b">
        <v>0</v>
      </c>
      <c r="J96" s="69" t="b">
        <v>1</v>
      </c>
      <c r="L96" s="23">
        <v>9</v>
      </c>
      <c r="M96" s="18">
        <v>15</v>
      </c>
      <c r="N96" s="18">
        <v>1000.5</v>
      </c>
      <c r="O96" s="18" t="str" cm="1">
        <f t="array" ref="O9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GRILLE]],MAX($O$1:O95)+1)</f>
        <v/>
      </c>
    </row>
    <row r="97" spans="1:15" x14ac:dyDescent="0.25">
      <c r="A97" s="16" t="s">
        <v>101</v>
      </c>
      <c r="B97" s="16" t="b">
        <v>0</v>
      </c>
      <c r="C97" s="16" t="b">
        <v>0</v>
      </c>
      <c r="D97" s="16">
        <v>15</v>
      </c>
      <c r="E97" s="69" t="b">
        <v>0</v>
      </c>
      <c r="F97" s="69" t="b">
        <v>0</v>
      </c>
      <c r="G97" s="17" t="b">
        <v>0</v>
      </c>
      <c r="H97" s="69" t="b">
        <v>1</v>
      </c>
      <c r="I97" s="17" t="b">
        <v>0</v>
      </c>
      <c r="J97" s="69" t="b">
        <v>1</v>
      </c>
      <c r="L97" s="23">
        <v>9</v>
      </c>
      <c r="M97" s="18">
        <v>18</v>
      </c>
      <c r="N97" s="18">
        <v>1026.5999999999999</v>
      </c>
      <c r="O97" s="18" t="str" cm="1">
        <f t="array" ref="O9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GRILLE]],MAX($O$1:O96)+1)</f>
        <v/>
      </c>
    </row>
    <row r="98" spans="1:15" x14ac:dyDescent="0.25">
      <c r="A98" s="16" t="s">
        <v>102</v>
      </c>
      <c r="B98" s="16" t="b">
        <v>1</v>
      </c>
      <c r="C98" s="16" t="b">
        <v>0</v>
      </c>
      <c r="D98" s="16">
        <v>22</v>
      </c>
      <c r="E98" s="69" t="b">
        <v>0</v>
      </c>
      <c r="F98" s="69" t="b">
        <v>0</v>
      </c>
      <c r="G98" s="17" t="b">
        <v>0</v>
      </c>
      <c r="H98" s="69" t="b">
        <v>1</v>
      </c>
      <c r="I98" s="17" t="b">
        <v>0</v>
      </c>
      <c r="J98" s="69" t="b">
        <v>0</v>
      </c>
      <c r="L98" s="23">
        <v>9</v>
      </c>
      <c r="M98" s="18">
        <v>21</v>
      </c>
      <c r="N98" s="18">
        <v>1052.7</v>
      </c>
      <c r="O98" s="18" t="str" cm="1">
        <f t="array" ref="O9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GRILLE]],MAX($O$1:O97)+1)</f>
        <v/>
      </c>
    </row>
    <row r="99" spans="1:15" x14ac:dyDescent="0.25">
      <c r="A99" s="16" t="s">
        <v>102</v>
      </c>
      <c r="B99" s="16" t="b">
        <v>0</v>
      </c>
      <c r="C99" s="16" t="b">
        <v>0</v>
      </c>
      <c r="D99" s="16">
        <v>21</v>
      </c>
      <c r="E99" s="69" t="b">
        <v>0</v>
      </c>
      <c r="F99" s="69" t="b">
        <v>0</v>
      </c>
      <c r="G99" s="17" t="b">
        <v>0</v>
      </c>
      <c r="H99" s="69" t="b">
        <v>1</v>
      </c>
      <c r="I99" s="17" t="b">
        <v>0</v>
      </c>
      <c r="J99" s="69" t="b">
        <v>0</v>
      </c>
      <c r="L99" s="23">
        <v>9</v>
      </c>
      <c r="M99" s="18">
        <v>24</v>
      </c>
      <c r="N99" s="18">
        <v>1078.8</v>
      </c>
      <c r="O99" s="18" t="str" cm="1">
        <f t="array" ref="O9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GRILLE]],MAX($O$1:O98)+1)</f>
        <v/>
      </c>
    </row>
    <row r="100" spans="1:15" x14ac:dyDescent="0.25">
      <c r="A100" s="16" t="s">
        <v>103</v>
      </c>
      <c r="B100" s="16" t="b">
        <v>1</v>
      </c>
      <c r="C100" s="16" t="b">
        <v>0</v>
      </c>
      <c r="D100" s="16">
        <v>7</v>
      </c>
      <c r="E100" s="69" t="b">
        <v>0</v>
      </c>
      <c r="F100" s="69" t="b">
        <v>0</v>
      </c>
      <c r="G100" s="17" t="b">
        <v>0</v>
      </c>
      <c r="H100" s="69" t="b">
        <v>1</v>
      </c>
      <c r="I100" s="17" t="b">
        <v>0</v>
      </c>
      <c r="J100" s="69" t="b">
        <v>0</v>
      </c>
      <c r="L100" s="24">
        <v>9</v>
      </c>
      <c r="M100" s="19">
        <v>28</v>
      </c>
      <c r="N100" s="19">
        <v>1113.5999999999999</v>
      </c>
      <c r="O100" s="18" t="str" cm="1">
        <f t="array" ref="O10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GRILLE]],MAX($O$1:O99)+1)</f>
        <v/>
      </c>
    </row>
    <row r="101" spans="1:15" x14ac:dyDescent="0.25">
      <c r="A101" s="16" t="s">
        <v>103</v>
      </c>
      <c r="B101" s="16" t="b">
        <v>0</v>
      </c>
      <c r="C101" s="16" t="b">
        <v>0</v>
      </c>
      <c r="D101" s="16">
        <v>6</v>
      </c>
      <c r="E101" s="69" t="b">
        <v>0</v>
      </c>
      <c r="F101" s="69" t="b">
        <v>0</v>
      </c>
      <c r="G101" s="17" t="b">
        <v>0</v>
      </c>
      <c r="H101" s="69" t="b">
        <v>1</v>
      </c>
      <c r="I101" s="17" t="b">
        <v>0</v>
      </c>
      <c r="J101" s="69" t="b">
        <v>0</v>
      </c>
      <c r="L101" s="23">
        <v>10</v>
      </c>
      <c r="M101" s="18">
        <v>0</v>
      </c>
      <c r="N101" s="18">
        <v>720</v>
      </c>
      <c r="O101" s="18" t="str" cm="1">
        <f t="array" ref="O10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GRILLE]],MAX($O$1:O100)+1)</f>
        <v/>
      </c>
    </row>
    <row r="102" spans="1:15" x14ac:dyDescent="0.25">
      <c r="A102" s="16" t="s">
        <v>104</v>
      </c>
      <c r="B102" s="16" t="b">
        <v>1</v>
      </c>
      <c r="C102" s="16" t="b">
        <v>0</v>
      </c>
      <c r="D102" s="16">
        <v>1</v>
      </c>
      <c r="E102" s="18" t="b">
        <v>0</v>
      </c>
      <c r="F102" s="18" t="b">
        <v>0</v>
      </c>
      <c r="G102" s="17" t="b">
        <v>0</v>
      </c>
      <c r="H102" s="18" t="b">
        <v>1</v>
      </c>
      <c r="I102" s="17" t="b">
        <v>0</v>
      </c>
      <c r="J102" s="69" t="b">
        <v>0</v>
      </c>
      <c r="L102" s="23">
        <v>10</v>
      </c>
      <c r="M102" s="18">
        <v>3</v>
      </c>
      <c r="N102" s="18">
        <v>741.6</v>
      </c>
      <c r="O102" s="18" t="str" cm="1">
        <f t="array" ref="O10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GRILLE]],MAX($O$1:O101)+1)</f>
        <v/>
      </c>
    </row>
    <row r="103" spans="1:15" x14ac:dyDescent="0.25">
      <c r="A103" s="16" t="s">
        <v>104</v>
      </c>
      <c r="B103" s="16" t="b">
        <v>0</v>
      </c>
      <c r="C103" s="16" t="b">
        <v>0</v>
      </c>
      <c r="D103" s="16">
        <v>8</v>
      </c>
      <c r="E103" s="18" t="b">
        <v>0</v>
      </c>
      <c r="F103" s="18" t="b">
        <v>0</v>
      </c>
      <c r="G103" s="17" t="b">
        <v>0</v>
      </c>
      <c r="H103" s="18" t="b">
        <v>1</v>
      </c>
      <c r="I103" s="17" t="b">
        <v>0</v>
      </c>
      <c r="J103" s="69" t="b">
        <v>0</v>
      </c>
      <c r="L103" s="23">
        <v>10</v>
      </c>
      <c r="M103" s="18">
        <v>6</v>
      </c>
      <c r="N103" s="18">
        <v>763.2</v>
      </c>
      <c r="O103" s="18" t="str" cm="1">
        <f t="array" ref="O10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GRILLE]],MAX($O$1:O102)+1)</f>
        <v/>
      </c>
    </row>
    <row r="104" spans="1:15" x14ac:dyDescent="0.25">
      <c r="A104" s="68" t="s">
        <v>105</v>
      </c>
      <c r="B104" s="16" t="b">
        <v>1</v>
      </c>
      <c r="C104" s="16" t="b">
        <v>0</v>
      </c>
      <c r="D104" s="16">
        <v>1</v>
      </c>
      <c r="E104" s="69" t="b">
        <v>1</v>
      </c>
      <c r="F104" s="18" t="b">
        <v>1</v>
      </c>
      <c r="G104" s="17" t="b">
        <v>0</v>
      </c>
      <c r="H104" s="69" t="b">
        <v>0</v>
      </c>
      <c r="I104" s="17" t="b">
        <v>0</v>
      </c>
      <c r="J104" s="69" t="b">
        <v>0</v>
      </c>
      <c r="L104" s="23">
        <v>10</v>
      </c>
      <c r="M104" s="18">
        <v>9</v>
      </c>
      <c r="N104" s="18">
        <v>784.8</v>
      </c>
      <c r="O104" s="18" t="str" cm="1">
        <f t="array" ref="O10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GRILLE]],MAX($O$1:O103)+1)</f>
        <v/>
      </c>
    </row>
    <row r="105" spans="1:15" x14ac:dyDescent="0.25">
      <c r="A105" s="68" t="s">
        <v>105</v>
      </c>
      <c r="B105" s="16" t="b">
        <v>0</v>
      </c>
      <c r="C105" s="16" t="b">
        <v>0</v>
      </c>
      <c r="D105" s="16">
        <v>8</v>
      </c>
      <c r="E105" s="69" t="b">
        <v>1</v>
      </c>
      <c r="F105" s="18" t="b">
        <v>1</v>
      </c>
      <c r="G105" s="17" t="b">
        <v>0</v>
      </c>
      <c r="H105" s="69" t="b">
        <v>0</v>
      </c>
      <c r="I105" s="17" t="b">
        <v>0</v>
      </c>
      <c r="J105" s="69" t="b">
        <v>0</v>
      </c>
      <c r="L105" s="23">
        <v>10</v>
      </c>
      <c r="M105" s="18">
        <v>12</v>
      </c>
      <c r="N105" s="18">
        <v>806.4</v>
      </c>
      <c r="O105" s="18" t="str" cm="1">
        <f t="array" ref="O10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GRILLE]],MAX($O$1:O104)+1)</f>
        <v/>
      </c>
    </row>
    <row r="106" spans="1:15" x14ac:dyDescent="0.25">
      <c r="A106" s="16" t="s">
        <v>106</v>
      </c>
      <c r="B106" s="16" t="b">
        <v>0</v>
      </c>
      <c r="C106" s="16" t="b">
        <v>0</v>
      </c>
      <c r="D106" s="16">
        <v>5</v>
      </c>
      <c r="E106" s="69" t="b">
        <v>0</v>
      </c>
      <c r="F106" s="69" t="b">
        <v>0</v>
      </c>
      <c r="G106" s="17" t="b">
        <v>0</v>
      </c>
      <c r="H106" s="18" t="b">
        <v>1</v>
      </c>
      <c r="I106" s="17" t="b">
        <v>0</v>
      </c>
      <c r="J106" s="69" t="b">
        <v>1</v>
      </c>
      <c r="L106" s="23">
        <v>10</v>
      </c>
      <c r="M106" s="18">
        <v>15</v>
      </c>
      <c r="N106" s="18">
        <v>828</v>
      </c>
      <c r="O106" s="18" t="str" cm="1">
        <f t="array" ref="O10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GRILLE]],MAX($O$1:O105)+1)</f>
        <v/>
      </c>
    </row>
    <row r="107" spans="1:15" x14ac:dyDescent="0.25">
      <c r="A107" s="16" t="s">
        <v>106</v>
      </c>
      <c r="B107" s="16" t="b">
        <v>1</v>
      </c>
      <c r="C107" s="16" t="b">
        <v>0</v>
      </c>
      <c r="D107" s="16">
        <v>5</v>
      </c>
      <c r="E107" s="69" t="b">
        <v>0</v>
      </c>
      <c r="F107" s="69" t="b">
        <v>0</v>
      </c>
      <c r="G107" s="17" t="b">
        <v>0</v>
      </c>
      <c r="H107" s="18" t="b">
        <v>1</v>
      </c>
      <c r="I107" s="17" t="b">
        <v>0</v>
      </c>
      <c r="J107" s="69" t="b">
        <v>1</v>
      </c>
      <c r="L107" s="23">
        <v>10</v>
      </c>
      <c r="M107" s="18">
        <v>13</v>
      </c>
      <c r="N107" s="18">
        <v>846.9</v>
      </c>
      <c r="O107" s="18" t="str" cm="1">
        <f t="array" ref="O10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GRILLE]],MAX($O$1:O106)+1)</f>
        <v/>
      </c>
    </row>
    <row r="108" spans="1:15" x14ac:dyDescent="0.25">
      <c r="A108" s="16" t="s">
        <v>107</v>
      </c>
      <c r="B108" s="16" t="b">
        <v>0</v>
      </c>
      <c r="C108" s="16" t="b">
        <v>0</v>
      </c>
      <c r="D108" s="16">
        <v>23</v>
      </c>
      <c r="E108" s="69" t="b">
        <v>0</v>
      </c>
      <c r="F108" s="69" t="b">
        <v>0</v>
      </c>
      <c r="G108" s="17" t="b">
        <v>0</v>
      </c>
      <c r="H108" s="69" t="b">
        <v>1</v>
      </c>
      <c r="I108" s="17" t="b">
        <v>0</v>
      </c>
      <c r="J108" s="69" t="b">
        <v>0</v>
      </c>
      <c r="L108" s="23">
        <v>10</v>
      </c>
      <c r="M108" s="18">
        <v>21</v>
      </c>
      <c r="N108" s="18">
        <v>871.2</v>
      </c>
      <c r="O108" s="18" t="str" cm="1">
        <f t="array" ref="O10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GRILLE]],MAX($O$1:O107)+1)</f>
        <v/>
      </c>
    </row>
    <row r="109" spans="1:15" x14ac:dyDescent="0.25">
      <c r="A109" s="16" t="s">
        <v>107</v>
      </c>
      <c r="B109" s="16" t="b">
        <v>1</v>
      </c>
      <c r="C109" s="16" t="b">
        <v>0</v>
      </c>
      <c r="D109" s="16">
        <v>23</v>
      </c>
      <c r="E109" s="69" t="b">
        <v>0</v>
      </c>
      <c r="F109" s="69" t="b">
        <v>0</v>
      </c>
      <c r="G109" s="17" t="b">
        <v>0</v>
      </c>
      <c r="H109" s="69" t="b">
        <v>1</v>
      </c>
      <c r="I109" s="17" t="b">
        <v>0</v>
      </c>
      <c r="J109" s="69" t="b">
        <v>0</v>
      </c>
      <c r="L109" s="23">
        <v>10</v>
      </c>
      <c r="M109" s="18">
        <v>24</v>
      </c>
      <c r="N109" s="18">
        <v>892.8</v>
      </c>
      <c r="O109" s="18" t="str" cm="1">
        <f t="array" ref="O10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GRILLE]],MAX($O$1:O108)+1)</f>
        <v/>
      </c>
    </row>
    <row r="110" spans="1:15" x14ac:dyDescent="0.25">
      <c r="A110" s="16" t="s">
        <v>108</v>
      </c>
      <c r="B110" s="16" t="b">
        <v>0</v>
      </c>
      <c r="C110" s="16" t="b">
        <v>1</v>
      </c>
      <c r="D110" s="16">
        <v>14</v>
      </c>
      <c r="E110" s="69" t="b">
        <v>0</v>
      </c>
      <c r="F110" s="69" t="b">
        <v>0</v>
      </c>
      <c r="G110" s="69" t="b">
        <v>1</v>
      </c>
      <c r="H110" s="69" t="b">
        <v>0</v>
      </c>
      <c r="I110" s="17" t="b">
        <v>0</v>
      </c>
      <c r="J110" s="69" t="b">
        <v>0</v>
      </c>
      <c r="L110" s="24">
        <v>10</v>
      </c>
      <c r="M110" s="19">
        <v>28</v>
      </c>
      <c r="N110" s="19">
        <v>921.6</v>
      </c>
      <c r="O110" s="18" t="str" cm="1">
        <f t="array" ref="O11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GRILLE]],MAX($O$1:O109)+1)</f>
        <v/>
      </c>
    </row>
    <row r="111" spans="1:15" x14ac:dyDescent="0.25">
      <c r="A111" s="16" t="s">
        <v>108</v>
      </c>
      <c r="B111" s="16" t="b">
        <v>1</v>
      </c>
      <c r="C111" s="16" t="b">
        <v>1</v>
      </c>
      <c r="D111" s="16">
        <v>14</v>
      </c>
      <c r="E111" s="69" t="b">
        <v>0</v>
      </c>
      <c r="F111" s="69" t="b">
        <v>0</v>
      </c>
      <c r="G111" s="69" t="b">
        <v>1</v>
      </c>
      <c r="H111" s="69" t="b">
        <v>0</v>
      </c>
      <c r="I111" s="17" t="b">
        <v>0</v>
      </c>
      <c r="J111" s="69" t="b">
        <v>0</v>
      </c>
      <c r="L111" s="23">
        <v>10</v>
      </c>
      <c r="M111" s="18">
        <v>21</v>
      </c>
      <c r="N111" s="18">
        <v>871.2</v>
      </c>
      <c r="O111" s="18" t="str" cm="1">
        <f t="array" ref="O11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GRILLE]],MAX($O$1:O110)+1)</f>
        <v/>
      </c>
    </row>
    <row r="112" spans="1:15" x14ac:dyDescent="0.25">
      <c r="A112" s="16" t="s">
        <v>109</v>
      </c>
      <c r="B112" s="16" t="b">
        <v>0</v>
      </c>
      <c r="C112" s="16" t="b">
        <v>1</v>
      </c>
      <c r="D112" s="16">
        <v>4</v>
      </c>
      <c r="E112" s="69" t="b">
        <v>0</v>
      </c>
      <c r="F112" s="69" t="b">
        <v>0</v>
      </c>
      <c r="G112" s="69" t="b">
        <v>0</v>
      </c>
      <c r="H112" s="69" t="b">
        <v>1</v>
      </c>
      <c r="I112" s="17" t="b">
        <v>0</v>
      </c>
      <c r="J112" s="69" t="b">
        <v>0</v>
      </c>
      <c r="L112" s="23">
        <v>10</v>
      </c>
      <c r="M112" s="18">
        <v>24</v>
      </c>
      <c r="N112" s="18">
        <v>892.8</v>
      </c>
      <c r="O112" s="18" t="str" cm="1">
        <f t="array" ref="O11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GRILLE]],MAX($O$1:O111)+1)</f>
        <v/>
      </c>
    </row>
    <row r="113" spans="1:15" x14ac:dyDescent="0.25">
      <c r="A113" s="68" t="s">
        <v>109</v>
      </c>
      <c r="B113" s="16" t="b">
        <v>1</v>
      </c>
      <c r="C113" s="16" t="b">
        <v>1</v>
      </c>
      <c r="D113" s="16">
        <v>4</v>
      </c>
      <c r="E113" s="69" t="b">
        <v>0</v>
      </c>
      <c r="F113" s="69" t="b">
        <v>0</v>
      </c>
      <c r="G113" s="69" t="b">
        <v>0</v>
      </c>
      <c r="H113" s="69" t="b">
        <v>1</v>
      </c>
      <c r="I113" s="17" t="b">
        <v>0</v>
      </c>
      <c r="J113" s="69" t="b">
        <v>0</v>
      </c>
      <c r="L113" s="24">
        <v>10</v>
      </c>
      <c r="M113" s="19">
        <v>28</v>
      </c>
      <c r="N113" s="19">
        <v>921.6</v>
      </c>
      <c r="O113" s="18" t="str" cm="1">
        <f t="array" ref="O11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GRILLE]],MAX($O$1:O112)+1)</f>
        <v/>
      </c>
    </row>
    <row r="114" spans="1:15" x14ac:dyDescent="0.25">
      <c r="A114" s="16" t="s">
        <v>110</v>
      </c>
      <c r="B114" s="16" t="b">
        <v>1</v>
      </c>
      <c r="C114" s="16" t="b">
        <v>0</v>
      </c>
      <c r="D114" s="16">
        <v>1</v>
      </c>
      <c r="E114" s="18" t="b">
        <v>0</v>
      </c>
      <c r="F114" s="18" t="b">
        <v>0</v>
      </c>
      <c r="G114" s="69" t="b">
        <v>0</v>
      </c>
      <c r="H114" s="18" t="b">
        <v>1</v>
      </c>
      <c r="I114" s="17" t="b">
        <v>0</v>
      </c>
      <c r="J114" s="69" t="b">
        <v>0</v>
      </c>
      <c r="L114" s="24">
        <v>11</v>
      </c>
      <c r="M114" s="19">
        <v>0</v>
      </c>
      <c r="N114" s="19">
        <v>800</v>
      </c>
      <c r="O114" s="18" t="str" cm="1">
        <f t="array" ref="O11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GRILLE]],MAX($O$1:O113)+1)</f>
        <v/>
      </c>
    </row>
    <row r="115" spans="1:15" x14ac:dyDescent="0.25">
      <c r="A115" s="16" t="s">
        <v>110</v>
      </c>
      <c r="B115" s="16" t="b">
        <v>0</v>
      </c>
      <c r="C115" s="16" t="b">
        <v>0</v>
      </c>
      <c r="D115" s="16">
        <v>8</v>
      </c>
      <c r="E115" s="18" t="b">
        <v>0</v>
      </c>
      <c r="F115" s="18" t="b">
        <v>0</v>
      </c>
      <c r="G115" s="69" t="b">
        <v>0</v>
      </c>
      <c r="H115" s="18" t="b">
        <v>1</v>
      </c>
      <c r="I115" s="17" t="b">
        <v>0</v>
      </c>
      <c r="J115" s="69" t="b">
        <v>0</v>
      </c>
      <c r="L115" s="24">
        <v>11</v>
      </c>
      <c r="M115" s="19">
        <v>3</v>
      </c>
      <c r="N115" s="19">
        <v>824</v>
      </c>
      <c r="O115" s="18" t="str" cm="1">
        <f t="array" ref="O11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GRILLE]],MAX($O$1:O114)+1)</f>
        <v/>
      </c>
    </row>
    <row r="116" spans="1:15" x14ac:dyDescent="0.25">
      <c r="A116" s="68" t="s">
        <v>111</v>
      </c>
      <c r="B116" s="16" t="b">
        <v>1</v>
      </c>
      <c r="C116" s="16" t="b">
        <v>0</v>
      </c>
      <c r="D116" s="16">
        <v>1</v>
      </c>
      <c r="E116" s="69" t="b">
        <v>1</v>
      </c>
      <c r="F116" s="18" t="b">
        <v>1</v>
      </c>
      <c r="G116" s="69" t="b">
        <v>0</v>
      </c>
      <c r="H116" s="69" t="b">
        <v>0</v>
      </c>
      <c r="I116" s="17" t="b">
        <v>0</v>
      </c>
      <c r="J116" s="69" t="b">
        <v>0</v>
      </c>
      <c r="L116" s="24">
        <v>11</v>
      </c>
      <c r="M116" s="19">
        <v>6</v>
      </c>
      <c r="N116" s="19">
        <v>848</v>
      </c>
      <c r="O116" s="18" t="str" cm="1">
        <f t="array" ref="O11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GRILLE]],MAX($O$1:O115)+1)</f>
        <v/>
      </c>
    </row>
    <row r="117" spans="1:15" x14ac:dyDescent="0.25">
      <c r="A117" s="68" t="s">
        <v>111</v>
      </c>
      <c r="B117" s="16" t="b">
        <v>0</v>
      </c>
      <c r="C117" s="16" t="b">
        <v>0</v>
      </c>
      <c r="D117" s="16">
        <v>8</v>
      </c>
      <c r="E117" s="69" t="b">
        <v>1</v>
      </c>
      <c r="F117" s="18" t="b">
        <v>1</v>
      </c>
      <c r="G117" s="69" t="b">
        <v>0</v>
      </c>
      <c r="H117" s="69" t="b">
        <v>0</v>
      </c>
      <c r="I117" s="17" t="b">
        <v>0</v>
      </c>
      <c r="J117" s="69" t="b">
        <v>0</v>
      </c>
      <c r="L117" s="24">
        <v>11</v>
      </c>
      <c r="M117" s="19">
        <v>9</v>
      </c>
      <c r="N117" s="19">
        <v>872</v>
      </c>
      <c r="O117" s="18" t="str" cm="1">
        <f t="array" ref="O11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GRILLE]],MAX($O$1:O116)+1)</f>
        <v/>
      </c>
    </row>
    <row r="118" spans="1:15" x14ac:dyDescent="0.25">
      <c r="A118" s="16" t="s">
        <v>112</v>
      </c>
      <c r="B118" s="16" t="b">
        <v>0</v>
      </c>
      <c r="C118" s="16" t="b">
        <v>1</v>
      </c>
      <c r="D118" s="16">
        <v>13</v>
      </c>
      <c r="E118" s="69" t="b">
        <v>0</v>
      </c>
      <c r="F118" s="69" t="b">
        <v>0</v>
      </c>
      <c r="G118" s="69" t="b">
        <v>0</v>
      </c>
      <c r="H118" s="18" t="b">
        <v>1</v>
      </c>
      <c r="I118" s="17" t="b">
        <v>0</v>
      </c>
      <c r="J118" s="69" t="b">
        <v>0</v>
      </c>
      <c r="L118" s="24">
        <v>11</v>
      </c>
      <c r="M118" s="19">
        <v>12</v>
      </c>
      <c r="N118" s="19">
        <v>896</v>
      </c>
      <c r="O118" s="18" t="str" cm="1">
        <f t="array" ref="O11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GRILLE]],MAX($O$1:O117)+1)</f>
        <v/>
      </c>
    </row>
    <row r="119" spans="1:15" x14ac:dyDescent="0.25">
      <c r="A119" s="68" t="s">
        <v>112</v>
      </c>
      <c r="B119" s="16" t="b">
        <v>1</v>
      </c>
      <c r="C119" s="16" t="b">
        <v>1</v>
      </c>
      <c r="D119" s="16">
        <v>13</v>
      </c>
      <c r="E119" s="69" t="b">
        <v>0</v>
      </c>
      <c r="F119" s="69" t="b">
        <v>0</v>
      </c>
      <c r="G119" s="69" t="b">
        <v>0</v>
      </c>
      <c r="H119" s="18" t="b">
        <v>1</v>
      </c>
      <c r="I119" s="17" t="b">
        <v>0</v>
      </c>
      <c r="J119" s="69" t="b">
        <v>0</v>
      </c>
      <c r="L119" s="24">
        <v>11</v>
      </c>
      <c r="M119" s="19">
        <v>15</v>
      </c>
      <c r="N119" s="19">
        <v>920</v>
      </c>
      <c r="O119" s="18" t="str" cm="1">
        <f t="array" ref="O11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GRILLE]],MAX($O$1:O118)+1)</f>
        <v/>
      </c>
    </row>
    <row r="120" spans="1:15" x14ac:dyDescent="0.25">
      <c r="A120" s="16" t="s">
        <v>113</v>
      </c>
      <c r="B120" s="16" t="b">
        <v>0</v>
      </c>
      <c r="C120" s="16" t="b">
        <v>1</v>
      </c>
      <c r="D120" s="16">
        <v>4</v>
      </c>
      <c r="E120" s="69" t="b">
        <v>0</v>
      </c>
      <c r="F120" s="69" t="b">
        <v>0</v>
      </c>
      <c r="G120" s="69" t="b">
        <v>0</v>
      </c>
      <c r="H120" s="18" t="b">
        <v>1</v>
      </c>
      <c r="I120" s="17" t="b">
        <v>0</v>
      </c>
      <c r="J120" s="69" t="b">
        <v>0</v>
      </c>
      <c r="L120" s="24">
        <v>11</v>
      </c>
      <c r="M120" s="19">
        <v>18</v>
      </c>
      <c r="N120" s="19">
        <v>944</v>
      </c>
      <c r="O120" s="18" t="str" cm="1">
        <f t="array" ref="O12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GRILLE]],MAX($O$1:O119)+1)</f>
        <v/>
      </c>
    </row>
    <row r="121" spans="1:15" x14ac:dyDescent="0.25">
      <c r="A121" s="68" t="s">
        <v>113</v>
      </c>
      <c r="B121" s="16" t="b">
        <v>1</v>
      </c>
      <c r="C121" s="16" t="b">
        <v>1</v>
      </c>
      <c r="D121" s="16">
        <v>4</v>
      </c>
      <c r="E121" s="69" t="b">
        <v>0</v>
      </c>
      <c r="F121" s="69" t="b">
        <v>0</v>
      </c>
      <c r="G121" s="69" t="b">
        <v>0</v>
      </c>
      <c r="H121" s="18" t="b">
        <v>1</v>
      </c>
      <c r="I121" s="17" t="b">
        <v>0</v>
      </c>
      <c r="J121" s="69" t="b">
        <v>0</v>
      </c>
      <c r="L121" s="24">
        <v>11</v>
      </c>
      <c r="M121" s="19">
        <v>21</v>
      </c>
      <c r="N121" s="19">
        <v>968</v>
      </c>
      <c r="O121" s="18" t="str" cm="1">
        <f t="array" ref="O12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GRILLE]],MAX($O$1:O120)+1)</f>
        <v/>
      </c>
    </row>
    <row r="122" spans="1:15" x14ac:dyDescent="0.25">
      <c r="A122" s="16" t="s">
        <v>114</v>
      </c>
      <c r="B122" s="16" t="b">
        <v>0</v>
      </c>
      <c r="C122" s="16" t="b">
        <v>0</v>
      </c>
      <c r="D122" s="16">
        <v>8</v>
      </c>
      <c r="E122" s="69" t="b">
        <v>0</v>
      </c>
      <c r="F122" s="69" t="b">
        <v>0</v>
      </c>
      <c r="G122" s="69" t="b">
        <v>0</v>
      </c>
      <c r="H122" s="18" t="b">
        <v>1</v>
      </c>
      <c r="I122" s="17" t="b">
        <v>0</v>
      </c>
      <c r="J122" s="69" t="b">
        <v>0</v>
      </c>
      <c r="L122" s="24">
        <v>11</v>
      </c>
      <c r="M122" s="19">
        <v>24</v>
      </c>
      <c r="N122" s="19">
        <v>992</v>
      </c>
      <c r="O122" s="18" t="str" cm="1">
        <f t="array" ref="O12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GRILLE]],MAX($O$1:O121)+1)</f>
        <v/>
      </c>
    </row>
    <row r="123" spans="1:15" x14ac:dyDescent="0.25">
      <c r="A123" s="68" t="s">
        <v>114</v>
      </c>
      <c r="B123" s="16" t="b">
        <v>1</v>
      </c>
      <c r="C123" s="16" t="b">
        <v>0</v>
      </c>
      <c r="D123" s="16">
        <v>8</v>
      </c>
      <c r="E123" s="69" t="b">
        <v>0</v>
      </c>
      <c r="F123" s="69" t="b">
        <v>0</v>
      </c>
      <c r="G123" s="69" t="b">
        <v>0</v>
      </c>
      <c r="H123" s="18" t="b">
        <v>1</v>
      </c>
      <c r="I123" s="17" t="b">
        <v>0</v>
      </c>
      <c r="J123" s="69" t="b">
        <v>0</v>
      </c>
      <c r="L123" s="24">
        <v>11</v>
      </c>
      <c r="M123" s="19">
        <v>28</v>
      </c>
      <c r="N123" s="19">
        <v>1024</v>
      </c>
      <c r="O123" s="18" t="str" cm="1">
        <f t="array" ref="O12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GRILLE]],MAX($O$1:O122)+1)</f>
        <v/>
      </c>
    </row>
    <row r="124" spans="1:15" x14ac:dyDescent="0.25">
      <c r="A124" s="16" t="s">
        <v>115</v>
      </c>
      <c r="B124" s="16" t="b">
        <v>1</v>
      </c>
      <c r="C124" s="16" t="b">
        <v>0</v>
      </c>
      <c r="D124" s="16">
        <v>16</v>
      </c>
      <c r="E124" s="69" t="b">
        <v>0</v>
      </c>
      <c r="F124" s="69" t="b">
        <v>0</v>
      </c>
      <c r="G124" s="69" t="b">
        <v>0</v>
      </c>
      <c r="H124" s="69" t="b">
        <v>1</v>
      </c>
      <c r="I124" s="17" t="b">
        <v>1</v>
      </c>
      <c r="J124" s="69" t="b">
        <v>1</v>
      </c>
      <c r="L124" s="23">
        <v>12</v>
      </c>
      <c r="M124" s="18">
        <v>0</v>
      </c>
      <c r="N124" s="18">
        <v>1000</v>
      </c>
      <c r="O124" s="18" t="str" cm="1">
        <f t="array" ref="O12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GRILLE]],MAX($O$1:O123)+1)</f>
        <v/>
      </c>
    </row>
    <row r="125" spans="1:15" x14ac:dyDescent="0.25">
      <c r="A125" s="16" t="s">
        <v>115</v>
      </c>
      <c r="B125" s="16" t="b">
        <v>0</v>
      </c>
      <c r="C125" s="16" t="b">
        <v>0</v>
      </c>
      <c r="D125" s="16">
        <v>15</v>
      </c>
      <c r="E125" s="69" t="b">
        <v>0</v>
      </c>
      <c r="F125" s="69" t="b">
        <v>0</v>
      </c>
      <c r="G125" s="69" t="b">
        <v>0</v>
      </c>
      <c r="H125" s="69" t="b">
        <v>1</v>
      </c>
      <c r="I125" s="17" t="b">
        <v>1</v>
      </c>
      <c r="J125" s="69" t="b">
        <v>1</v>
      </c>
      <c r="L125" s="23">
        <v>12</v>
      </c>
      <c r="M125" s="18">
        <v>3</v>
      </c>
      <c r="N125" s="18">
        <v>1030</v>
      </c>
      <c r="O125" s="18" t="str" cm="1">
        <f t="array" ref="O12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GRILLE]],MAX($O$1:O124)+1)</f>
        <v/>
      </c>
    </row>
    <row r="126" spans="1:15" x14ac:dyDescent="0.25">
      <c r="A126" s="16" t="s">
        <v>116</v>
      </c>
      <c r="B126" s="16" t="b">
        <v>1</v>
      </c>
      <c r="C126" s="16" t="b">
        <v>0</v>
      </c>
      <c r="D126" s="16">
        <v>20</v>
      </c>
      <c r="E126" s="69" t="b">
        <v>0</v>
      </c>
      <c r="F126" s="69" t="b">
        <v>0</v>
      </c>
      <c r="G126" s="69" t="b">
        <v>0</v>
      </c>
      <c r="H126" s="69" t="b">
        <v>1</v>
      </c>
      <c r="I126" s="17" t="b">
        <v>1</v>
      </c>
      <c r="J126" s="69" t="b">
        <v>1</v>
      </c>
      <c r="L126" s="23">
        <v>12</v>
      </c>
      <c r="M126" s="18">
        <v>6</v>
      </c>
      <c r="N126" s="18">
        <v>1060</v>
      </c>
      <c r="O126" s="18" t="str" cm="1">
        <f t="array" ref="O12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GRILLE]],MAX($O$1:O125)+1)</f>
        <v/>
      </c>
    </row>
    <row r="127" spans="1:15" x14ac:dyDescent="0.25">
      <c r="A127" s="16" t="s">
        <v>116</v>
      </c>
      <c r="B127" s="16" t="b">
        <v>0</v>
      </c>
      <c r="C127" s="16" t="b">
        <v>0</v>
      </c>
      <c r="D127" s="16">
        <v>19</v>
      </c>
      <c r="E127" s="69" t="b">
        <v>0</v>
      </c>
      <c r="F127" s="69" t="b">
        <v>0</v>
      </c>
      <c r="G127" s="69" t="b">
        <v>0</v>
      </c>
      <c r="H127" s="69" t="b">
        <v>1</v>
      </c>
      <c r="I127" s="17" t="b">
        <v>1</v>
      </c>
      <c r="J127" s="69" t="b">
        <v>1</v>
      </c>
      <c r="L127" s="23">
        <v>12</v>
      </c>
      <c r="M127" s="18">
        <v>9</v>
      </c>
      <c r="N127" s="18">
        <v>1090</v>
      </c>
      <c r="O127" s="18" t="str" cm="1">
        <f t="array" ref="O12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GRILLE]],MAX($O$1:O126)+1)</f>
        <v/>
      </c>
    </row>
    <row r="128" spans="1:15" x14ac:dyDescent="0.25">
      <c r="A128" s="16" t="s">
        <v>117</v>
      </c>
      <c r="B128" s="16" t="b">
        <v>0</v>
      </c>
      <c r="C128" s="16" t="b">
        <v>0</v>
      </c>
      <c r="D128" s="16">
        <v>6</v>
      </c>
      <c r="E128" s="69" t="b">
        <v>0</v>
      </c>
      <c r="F128" s="69" t="b">
        <v>0</v>
      </c>
      <c r="G128" s="69" t="b">
        <v>0</v>
      </c>
      <c r="H128" s="18" t="b">
        <v>1</v>
      </c>
      <c r="I128" s="17" t="b">
        <v>0</v>
      </c>
      <c r="J128" s="69" t="b">
        <v>0</v>
      </c>
      <c r="L128" s="23">
        <v>12</v>
      </c>
      <c r="M128" s="18">
        <v>12</v>
      </c>
      <c r="N128" s="18">
        <v>1120</v>
      </c>
      <c r="O128" s="18" t="str" cm="1">
        <f t="array" ref="O12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GRILLE]],MAX($O$1:O127)+1)</f>
        <v/>
      </c>
    </row>
    <row r="129" spans="1:15" x14ac:dyDescent="0.25">
      <c r="A129" s="16" t="s">
        <v>117</v>
      </c>
      <c r="B129" s="16" t="b">
        <v>1</v>
      </c>
      <c r="C129" s="16" t="b">
        <v>0</v>
      </c>
      <c r="D129" s="16">
        <v>6</v>
      </c>
      <c r="E129" s="69" t="b">
        <v>0</v>
      </c>
      <c r="F129" s="69" t="b">
        <v>0</v>
      </c>
      <c r="G129" s="69" t="b">
        <v>0</v>
      </c>
      <c r="H129" s="18" t="b">
        <v>1</v>
      </c>
      <c r="I129" s="17" t="b">
        <v>0</v>
      </c>
      <c r="J129" s="69" t="b">
        <v>0</v>
      </c>
      <c r="L129" s="23">
        <v>12</v>
      </c>
      <c r="M129" s="18">
        <v>15</v>
      </c>
      <c r="N129" s="18">
        <v>1150</v>
      </c>
      <c r="O129" s="18" t="str" cm="1">
        <f t="array" ref="O12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GRILLE]],MAX($O$1:O128)+1)</f>
        <v/>
      </c>
    </row>
    <row r="130" spans="1:15" x14ac:dyDescent="0.25">
      <c r="A130" s="16" t="s">
        <v>118</v>
      </c>
      <c r="B130" s="16" t="b">
        <v>0</v>
      </c>
      <c r="C130" s="16" t="b">
        <v>0</v>
      </c>
      <c r="D130" s="16">
        <v>8</v>
      </c>
      <c r="E130" s="69" t="b">
        <v>0</v>
      </c>
      <c r="F130" s="69" t="b">
        <v>0</v>
      </c>
      <c r="G130" s="69" t="b">
        <v>0</v>
      </c>
      <c r="H130" s="18" t="b">
        <v>1</v>
      </c>
      <c r="I130" s="17" t="b">
        <v>0</v>
      </c>
      <c r="J130" s="69" t="b">
        <v>0</v>
      </c>
      <c r="L130" s="23">
        <v>12</v>
      </c>
      <c r="M130" s="18">
        <v>18</v>
      </c>
      <c r="N130" s="18">
        <v>1180</v>
      </c>
      <c r="O130" s="18" t="str" cm="1">
        <f t="array" ref="O13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GRILLE]],MAX($O$1:O129)+1)</f>
        <v/>
      </c>
    </row>
    <row r="131" spans="1:15" x14ac:dyDescent="0.25">
      <c r="A131" s="16" t="s">
        <v>118</v>
      </c>
      <c r="B131" s="16" t="b">
        <v>1</v>
      </c>
      <c r="C131" s="16" t="b">
        <v>0</v>
      </c>
      <c r="D131" s="16">
        <v>8</v>
      </c>
      <c r="E131" s="69" t="b">
        <v>0</v>
      </c>
      <c r="F131" s="69" t="b">
        <v>0</v>
      </c>
      <c r="G131" s="69" t="b">
        <v>0</v>
      </c>
      <c r="H131" s="18" t="b">
        <v>1</v>
      </c>
      <c r="I131" s="17" t="b">
        <v>0</v>
      </c>
      <c r="J131" s="69" t="b">
        <v>0</v>
      </c>
      <c r="L131" s="23">
        <v>12</v>
      </c>
      <c r="M131" s="18">
        <v>21</v>
      </c>
      <c r="N131" s="18">
        <v>1210</v>
      </c>
      <c r="O131" s="18" t="str" cm="1">
        <f t="array" ref="O13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GRILLE]],MAX($O$1:O130)+1)</f>
        <v/>
      </c>
    </row>
    <row r="132" spans="1:15" x14ac:dyDescent="0.25">
      <c r="A132" s="16" t="s">
        <v>119</v>
      </c>
      <c r="B132" s="16" t="b">
        <v>1</v>
      </c>
      <c r="C132" s="16" t="b">
        <v>0</v>
      </c>
      <c r="D132" s="16">
        <v>7</v>
      </c>
      <c r="E132" s="69" t="b">
        <v>0</v>
      </c>
      <c r="F132" s="69" t="b">
        <v>0</v>
      </c>
      <c r="G132" s="69" t="b">
        <v>0</v>
      </c>
      <c r="H132" s="69" t="b">
        <v>1</v>
      </c>
      <c r="I132" s="17" t="b">
        <v>0</v>
      </c>
      <c r="J132" s="69" t="b">
        <v>0</v>
      </c>
      <c r="L132" s="23">
        <v>12</v>
      </c>
      <c r="M132" s="18">
        <v>24</v>
      </c>
      <c r="N132" s="18">
        <v>1240</v>
      </c>
      <c r="O132" s="18" t="str" cm="1">
        <f t="array" ref="O13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GRILLE]],MAX($O$1:O131)+1)</f>
        <v/>
      </c>
    </row>
    <row r="133" spans="1:15" x14ac:dyDescent="0.25">
      <c r="A133" s="16" t="s">
        <v>119</v>
      </c>
      <c r="B133" s="16" t="b">
        <v>0</v>
      </c>
      <c r="C133" s="16" t="b">
        <v>0</v>
      </c>
      <c r="D133" s="16">
        <v>6</v>
      </c>
      <c r="E133" s="69" t="b">
        <v>0</v>
      </c>
      <c r="F133" s="69" t="b">
        <v>0</v>
      </c>
      <c r="G133" s="69" t="b">
        <v>0</v>
      </c>
      <c r="H133" s="69" t="b">
        <v>1</v>
      </c>
      <c r="I133" s="17" t="b">
        <v>0</v>
      </c>
      <c r="J133" s="69" t="b">
        <v>0</v>
      </c>
      <c r="L133" s="23">
        <v>12</v>
      </c>
      <c r="M133" s="19">
        <v>28</v>
      </c>
      <c r="N133" s="19">
        <v>1280</v>
      </c>
      <c r="O133" s="18" t="str" cm="1">
        <f t="array" ref="O13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GRILLE]],MAX($O$1:O132)+1)</f>
        <v/>
      </c>
    </row>
    <row r="134" spans="1:15" x14ac:dyDescent="0.25">
      <c r="L134" s="23">
        <v>13</v>
      </c>
      <c r="M134" s="18">
        <v>0</v>
      </c>
      <c r="N134" s="18">
        <v>680</v>
      </c>
      <c r="O134" s="18" t="str" cm="1">
        <f t="array" ref="O13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GRILLE]],MAX($O$1:O133)+1)</f>
        <v/>
      </c>
    </row>
    <row r="135" spans="1:15" x14ac:dyDescent="0.25">
      <c r="L135" s="23">
        <v>13</v>
      </c>
      <c r="M135" s="18">
        <v>3</v>
      </c>
      <c r="N135" s="18">
        <v>700.4</v>
      </c>
      <c r="O135" s="18" t="str" cm="1">
        <f t="array" ref="O13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GRILLE]],MAX($O$1:O134)+1)</f>
        <v/>
      </c>
    </row>
    <row r="136" spans="1:15" x14ac:dyDescent="0.25">
      <c r="L136" s="23">
        <v>13</v>
      </c>
      <c r="M136" s="18">
        <v>6</v>
      </c>
      <c r="N136" s="18">
        <v>720.8</v>
      </c>
      <c r="O136" s="18" t="str" cm="1">
        <f t="array" ref="O13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GRILLE]],MAX($O$1:O135)+1)</f>
        <v/>
      </c>
    </row>
    <row r="137" spans="1:15" x14ac:dyDescent="0.25">
      <c r="L137" s="23">
        <v>13</v>
      </c>
      <c r="M137" s="18">
        <v>9</v>
      </c>
      <c r="N137" s="18">
        <v>741.2</v>
      </c>
      <c r="O137" s="18" t="str" cm="1">
        <f t="array" ref="O13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GRILLE]],MAX($O$1:O136)+1)</f>
        <v/>
      </c>
    </row>
    <row r="138" spans="1:15" x14ac:dyDescent="0.25">
      <c r="L138" s="23">
        <v>13</v>
      </c>
      <c r="M138" s="18">
        <v>12</v>
      </c>
      <c r="N138" s="18">
        <v>761.6</v>
      </c>
      <c r="O138" s="18" t="str" cm="1">
        <f t="array" ref="O13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GRILLE]],MAX($O$1:O137)+1)</f>
        <v/>
      </c>
    </row>
    <row r="139" spans="1:15" x14ac:dyDescent="0.25">
      <c r="L139" s="23">
        <v>13</v>
      </c>
      <c r="M139" s="18">
        <v>15</v>
      </c>
      <c r="N139" s="18">
        <v>782</v>
      </c>
      <c r="O139" s="18" t="str" cm="1">
        <f t="array" ref="O13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GRILLE]],MAX($O$1:O138)+1)</f>
        <v/>
      </c>
    </row>
    <row r="140" spans="1:15" x14ac:dyDescent="0.25">
      <c r="L140" s="23">
        <v>13</v>
      </c>
      <c r="M140" s="18">
        <v>18</v>
      </c>
      <c r="N140" s="18">
        <v>802.4</v>
      </c>
      <c r="O140" s="18" t="str" cm="1">
        <f t="array" ref="O14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GRILLE]],MAX($O$1:O139)+1)</f>
        <v/>
      </c>
    </row>
    <row r="141" spans="1:15" x14ac:dyDescent="0.25">
      <c r="L141" s="23">
        <v>13</v>
      </c>
      <c r="M141" s="18">
        <v>21</v>
      </c>
      <c r="N141" s="18">
        <v>822.8</v>
      </c>
      <c r="O141" s="18" t="str" cm="1">
        <f t="array" ref="O14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GRILLE]],MAX($O$1:O140)+1)</f>
        <v/>
      </c>
    </row>
    <row r="142" spans="1:15" x14ac:dyDescent="0.25">
      <c r="L142" s="23">
        <v>13</v>
      </c>
      <c r="M142" s="18">
        <v>24</v>
      </c>
      <c r="N142" s="18">
        <v>843.2</v>
      </c>
      <c r="O142" s="18" t="str" cm="1">
        <f t="array" ref="O14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GRILLE]],MAX($O$1:O141)+1)</f>
        <v/>
      </c>
    </row>
    <row r="143" spans="1:15" x14ac:dyDescent="0.25">
      <c r="L143" s="23">
        <v>13</v>
      </c>
      <c r="M143" s="19">
        <v>28</v>
      </c>
      <c r="N143" s="19">
        <v>870.4</v>
      </c>
      <c r="O143" s="18" t="str" cm="1">
        <f t="array" ref="O14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GRILLE]],MAX($O$1:O142)+1)</f>
        <v/>
      </c>
    </row>
    <row r="144" spans="1:15" x14ac:dyDescent="0.25">
      <c r="L144" s="23">
        <v>14</v>
      </c>
      <c r="M144" s="18">
        <v>0</v>
      </c>
      <c r="N144" s="18">
        <v>1228</v>
      </c>
      <c r="O144" s="18" t="str" cm="1">
        <f t="array" ref="O14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GRILLE]],MAX($O$1:O143)+1)</f>
        <v/>
      </c>
    </row>
    <row r="145" spans="12:15" x14ac:dyDescent="0.25">
      <c r="L145" s="23">
        <v>14</v>
      </c>
      <c r="M145" s="18">
        <v>3</v>
      </c>
      <c r="N145" s="18">
        <v>1324</v>
      </c>
      <c r="O145" s="18" t="str" cm="1">
        <f t="array" ref="O14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GRILLE]],MAX($O$1:O144)+1)</f>
        <v/>
      </c>
    </row>
    <row r="146" spans="12:15" x14ac:dyDescent="0.25">
      <c r="L146" s="23">
        <v>14</v>
      </c>
      <c r="M146" s="18">
        <v>6</v>
      </c>
      <c r="N146" s="18">
        <v>1409</v>
      </c>
      <c r="O146" s="18" t="str" cm="1">
        <f t="array" ref="O14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GRILLE]],MAX($O$1:O145)+1)</f>
        <v/>
      </c>
    </row>
    <row r="147" spans="12:15" x14ac:dyDescent="0.25">
      <c r="L147" s="23">
        <v>14</v>
      </c>
      <c r="M147" s="18">
        <v>9</v>
      </c>
      <c r="N147" s="18">
        <v>1504</v>
      </c>
      <c r="O147" s="18" t="str" cm="1">
        <f t="array" ref="O14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GRILLE]],MAX($O$1:O146)+1)</f>
        <v/>
      </c>
    </row>
    <row r="148" spans="12:15" x14ac:dyDescent="0.25">
      <c r="L148" s="23">
        <v>14</v>
      </c>
      <c r="M148" s="18">
        <v>12</v>
      </c>
      <c r="N148" s="18">
        <v>1609</v>
      </c>
      <c r="O148" s="18" t="str" cm="1">
        <f t="array" ref="O14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GRILLE]],MAX($O$1:O147)+1)</f>
        <v/>
      </c>
    </row>
    <row r="149" spans="12:15" x14ac:dyDescent="0.25">
      <c r="L149" s="23">
        <v>14</v>
      </c>
      <c r="M149" s="18">
        <v>15</v>
      </c>
      <c r="N149" s="18">
        <v>1690</v>
      </c>
      <c r="O149" s="18" t="str" cm="1">
        <f t="array" ref="O14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GRILLE]],MAX($O$1:O148)+1)</f>
        <v/>
      </c>
    </row>
    <row r="150" spans="12:15" x14ac:dyDescent="0.25">
      <c r="L150" s="23">
        <v>14</v>
      </c>
      <c r="M150" s="18">
        <v>18</v>
      </c>
      <c r="N150" s="18">
        <v>1754</v>
      </c>
      <c r="O150" s="18" t="str" cm="1">
        <f t="array" ref="O15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GRILLE]],MAX($O$1:O149)+1)</f>
        <v/>
      </c>
    </row>
    <row r="151" spans="12:15" x14ac:dyDescent="0.25">
      <c r="L151" s="23">
        <v>14</v>
      </c>
      <c r="M151" s="18">
        <v>21</v>
      </c>
      <c r="N151" s="18">
        <v>2024</v>
      </c>
      <c r="O151" s="18" t="str" cm="1">
        <f t="array" ref="O15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GRILLE]],MAX($O$1:O150)+1)</f>
        <v/>
      </c>
    </row>
    <row r="152" spans="12:15" x14ac:dyDescent="0.25">
      <c r="L152" s="23">
        <v>14</v>
      </c>
      <c r="M152" s="18">
        <v>24</v>
      </c>
      <c r="N152" s="18">
        <v>2075</v>
      </c>
      <c r="O152" s="18" t="str" cm="1">
        <f t="array" ref="O15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GRILLE]],MAX($O$1:O151)+1)</f>
        <v/>
      </c>
    </row>
    <row r="153" spans="12:15" x14ac:dyDescent="0.25">
      <c r="L153" s="23">
        <v>14</v>
      </c>
      <c r="M153" s="19">
        <v>28</v>
      </c>
      <c r="N153" s="19">
        <v>2125</v>
      </c>
      <c r="O153" s="18" t="str" cm="1">
        <f t="array" ref="O15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GRILLE]],MAX($O$1:O152)+1)</f>
        <v/>
      </c>
    </row>
    <row r="154" spans="12:15" x14ac:dyDescent="0.25">
      <c r="L154" s="23">
        <v>15</v>
      </c>
      <c r="M154" s="18">
        <v>0</v>
      </c>
      <c r="N154" s="18">
        <v>403</v>
      </c>
      <c r="O154" s="18" t="str" cm="1">
        <f t="array" ref="O15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GRILLE]],MAX($O$1:O153)+1)</f>
        <v/>
      </c>
    </row>
    <row r="155" spans="12:15" x14ac:dyDescent="0.25">
      <c r="L155" s="23">
        <v>15</v>
      </c>
      <c r="M155" s="18">
        <v>1</v>
      </c>
      <c r="N155" s="18">
        <v>403</v>
      </c>
      <c r="O155" s="18" t="str" cm="1">
        <f t="array" ref="O15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GRILLE]],MAX($O$1:O154)+1)</f>
        <v/>
      </c>
    </row>
    <row r="156" spans="12:15" x14ac:dyDescent="0.25">
      <c r="L156" s="23">
        <v>15</v>
      </c>
      <c r="M156" s="18">
        <v>3</v>
      </c>
      <c r="N156" s="18">
        <v>403</v>
      </c>
      <c r="O156" s="18" t="str" cm="1">
        <f t="array" ref="O15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GRILLE]],MAX($O$1:O155)+1)</f>
        <v/>
      </c>
    </row>
    <row r="157" spans="12:15" x14ac:dyDescent="0.25">
      <c r="L157" s="23">
        <v>15</v>
      </c>
      <c r="M157" s="18">
        <v>5</v>
      </c>
      <c r="N157" s="18">
        <v>403</v>
      </c>
      <c r="O157" s="18" t="str" cm="1">
        <f t="array" ref="O15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GRILLE]],MAX($O$1:O156)+1)</f>
        <v/>
      </c>
    </row>
    <row r="158" spans="12:15" x14ac:dyDescent="0.25">
      <c r="L158" s="23">
        <v>15</v>
      </c>
      <c r="M158" s="18">
        <v>7</v>
      </c>
      <c r="N158" s="18">
        <v>403</v>
      </c>
      <c r="O158" s="18" t="str" cm="1">
        <f t="array" ref="O15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GRILLE]],MAX($O$1:O157)+1)</f>
        <v/>
      </c>
    </row>
    <row r="159" spans="12:15" x14ac:dyDescent="0.25">
      <c r="L159" s="23">
        <v>15</v>
      </c>
      <c r="M159" s="18">
        <v>10</v>
      </c>
      <c r="N159" s="18">
        <v>403</v>
      </c>
      <c r="O159" s="18" t="str" cm="1">
        <f t="array" ref="O15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GRILLE]],MAX($O$1:O158)+1)</f>
        <v/>
      </c>
    </row>
    <row r="160" spans="12:15" x14ac:dyDescent="0.25">
      <c r="L160" s="23">
        <v>15</v>
      </c>
      <c r="M160" s="18">
        <v>13</v>
      </c>
      <c r="N160" s="18">
        <v>406</v>
      </c>
      <c r="O160" s="18" t="str" cm="1">
        <f t="array" ref="O16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GRILLE]],MAX($O$1:O159)+1)</f>
        <v/>
      </c>
    </row>
    <row r="161" spans="12:15" x14ac:dyDescent="0.25">
      <c r="L161" s="23">
        <v>15</v>
      </c>
      <c r="M161" s="18">
        <v>16</v>
      </c>
      <c r="N161" s="18">
        <v>415</v>
      </c>
      <c r="O161" s="18" t="str" cm="1">
        <f t="array" ref="O16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GRILLE]],MAX($O$1:O160)+1)</f>
        <v/>
      </c>
    </row>
    <row r="162" spans="12:15" x14ac:dyDescent="0.25">
      <c r="L162" s="23">
        <v>15</v>
      </c>
      <c r="M162" s="18">
        <v>20</v>
      </c>
      <c r="N162" s="18">
        <v>421</v>
      </c>
      <c r="O162" s="18" t="str" cm="1">
        <f t="array" ref="O16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GRILLE]],MAX($O$1:O161)+1)</f>
        <v/>
      </c>
    </row>
    <row r="163" spans="12:15" x14ac:dyDescent="0.25">
      <c r="L163" s="23">
        <v>15</v>
      </c>
      <c r="M163" s="18">
        <v>24</v>
      </c>
      <c r="N163" s="18">
        <v>432</v>
      </c>
      <c r="O163" s="18" t="str" cm="1">
        <f t="array" ref="O16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GRILLE]],MAX($O$1:O162)+1)</f>
        <v/>
      </c>
    </row>
    <row r="164" spans="12:15" x14ac:dyDescent="0.25">
      <c r="L164" s="23">
        <v>15</v>
      </c>
      <c r="M164" s="19">
        <v>28</v>
      </c>
      <c r="N164" s="19">
        <v>445</v>
      </c>
      <c r="O164" s="18" t="str" cm="1">
        <f t="array" ref="O16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GRILLE]],MAX($O$1:O163)+1)</f>
        <v/>
      </c>
    </row>
    <row r="165" spans="12:15" x14ac:dyDescent="0.25">
      <c r="L165" s="23">
        <v>16</v>
      </c>
      <c r="M165" s="18">
        <v>0</v>
      </c>
      <c r="N165" s="18">
        <v>413</v>
      </c>
      <c r="O165" s="18" t="str" cm="1">
        <f t="array" ref="O16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GRILLE]],MAX($O$1:O164)+1)</f>
        <v/>
      </c>
    </row>
    <row r="166" spans="12:15" x14ac:dyDescent="0.25">
      <c r="L166" s="23">
        <v>16</v>
      </c>
      <c r="M166" s="18">
        <v>1</v>
      </c>
      <c r="N166" s="18">
        <v>413</v>
      </c>
      <c r="O166" s="18" t="str" cm="1">
        <f t="array" ref="O16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GRILLE]],MAX($O$1:O165)+1)</f>
        <v/>
      </c>
    </row>
    <row r="167" spans="12:15" x14ac:dyDescent="0.25">
      <c r="L167" s="23">
        <v>16</v>
      </c>
      <c r="M167" s="18">
        <v>3</v>
      </c>
      <c r="N167" s="18">
        <v>413</v>
      </c>
      <c r="O167" s="18" t="str" cm="1">
        <f t="array" ref="O16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GRILLE]],MAX($O$1:O166)+1)</f>
        <v/>
      </c>
    </row>
    <row r="168" spans="12:15" x14ac:dyDescent="0.25">
      <c r="L168" s="23">
        <v>16</v>
      </c>
      <c r="M168" s="18">
        <v>5</v>
      </c>
      <c r="N168" s="18">
        <v>413</v>
      </c>
      <c r="O168" s="18" t="str" cm="1">
        <f t="array" ref="O16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GRILLE]],MAX($O$1:O167)+1)</f>
        <v/>
      </c>
    </row>
    <row r="169" spans="12:15" x14ac:dyDescent="0.25">
      <c r="L169" s="23">
        <v>16</v>
      </c>
      <c r="M169" s="18">
        <v>7</v>
      </c>
      <c r="N169" s="18">
        <v>413</v>
      </c>
      <c r="O169" s="18" t="str" cm="1">
        <f t="array" ref="O16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GRILLE]],MAX($O$1:O168)+1)</f>
        <v/>
      </c>
    </row>
    <row r="170" spans="12:15" x14ac:dyDescent="0.25">
      <c r="L170" s="23">
        <v>16</v>
      </c>
      <c r="M170" s="18">
        <v>10</v>
      </c>
      <c r="N170" s="18">
        <v>413</v>
      </c>
      <c r="O170" s="18" t="str" cm="1">
        <f t="array" ref="O17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GRILLE]],MAX($O$1:O169)+1)</f>
        <v/>
      </c>
    </row>
    <row r="171" spans="12:15" x14ac:dyDescent="0.25">
      <c r="L171" s="23">
        <v>16</v>
      </c>
      <c r="M171" s="18">
        <v>13</v>
      </c>
      <c r="N171" s="18">
        <v>415</v>
      </c>
      <c r="O171" s="18" t="str" cm="1">
        <f t="array" ref="O17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GRILLE]],MAX($O$1:O170)+1)</f>
        <v/>
      </c>
    </row>
    <row r="172" spans="12:15" x14ac:dyDescent="0.25">
      <c r="L172" s="23">
        <v>16</v>
      </c>
      <c r="M172" s="18">
        <v>16</v>
      </c>
      <c r="N172" s="18">
        <v>425</v>
      </c>
      <c r="O172" s="18" t="str" cm="1">
        <f t="array" ref="O17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GRILLE]],MAX($O$1:O171)+1)</f>
        <v/>
      </c>
    </row>
    <row r="173" spans="12:15" x14ac:dyDescent="0.25">
      <c r="L173" s="23">
        <v>16</v>
      </c>
      <c r="M173" s="18">
        <v>20</v>
      </c>
      <c r="N173" s="18">
        <v>431</v>
      </c>
      <c r="O173" s="18" t="str" cm="1">
        <f t="array" ref="O17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GRILLE]],MAX($O$1:O172)+1)</f>
        <v/>
      </c>
    </row>
    <row r="174" spans="12:15" x14ac:dyDescent="0.25">
      <c r="L174" s="23">
        <v>16</v>
      </c>
      <c r="M174" s="18">
        <v>24</v>
      </c>
      <c r="N174" s="18">
        <v>442</v>
      </c>
      <c r="O174" s="18" t="str" cm="1">
        <f t="array" ref="O17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GRILLE]],MAX($O$1:O173)+1)</f>
        <v/>
      </c>
    </row>
    <row r="175" spans="12:15" x14ac:dyDescent="0.25">
      <c r="L175" s="23">
        <v>16</v>
      </c>
      <c r="M175" s="19">
        <v>28</v>
      </c>
      <c r="N175" s="19">
        <v>455</v>
      </c>
      <c r="O175" s="18" t="str" cm="1">
        <f t="array" ref="O17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GRILLE]],MAX($O$1:O174)+1)</f>
        <v/>
      </c>
    </row>
    <row r="176" spans="12:15" x14ac:dyDescent="0.25">
      <c r="L176" s="23">
        <v>17</v>
      </c>
      <c r="M176" s="18">
        <v>0</v>
      </c>
      <c r="N176" s="18">
        <v>413</v>
      </c>
      <c r="O176" s="18" t="str" cm="1">
        <f t="array" ref="O17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GRILLE]],MAX($O$1:O175)+1)</f>
        <v/>
      </c>
    </row>
    <row r="177" spans="12:15" x14ac:dyDescent="0.25">
      <c r="L177" s="23">
        <v>17</v>
      </c>
      <c r="M177" s="18">
        <v>1</v>
      </c>
      <c r="N177" s="18">
        <v>414</v>
      </c>
      <c r="O177" s="18" t="str" cm="1">
        <f t="array" ref="O17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GRILLE]],MAX($O$1:O176)+1)</f>
        <v/>
      </c>
    </row>
    <row r="178" spans="12:15" x14ac:dyDescent="0.25">
      <c r="L178" s="23">
        <v>17</v>
      </c>
      <c r="M178" s="18">
        <v>3</v>
      </c>
      <c r="N178" s="18">
        <v>429</v>
      </c>
      <c r="O178" s="18" t="str" cm="1">
        <f t="array" ref="O17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GRILLE]],MAX($O$1:O177)+1)</f>
        <v/>
      </c>
    </row>
    <row r="179" spans="12:15" x14ac:dyDescent="0.25">
      <c r="L179" s="23">
        <v>17</v>
      </c>
      <c r="M179" s="18">
        <v>5</v>
      </c>
      <c r="N179" s="18">
        <v>446</v>
      </c>
      <c r="O179" s="18" t="str" cm="1">
        <f t="array" ref="O17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GRILLE]],MAX($O$1:O178)+1)</f>
        <v/>
      </c>
    </row>
    <row r="180" spans="12:15" x14ac:dyDescent="0.25">
      <c r="L180" s="23">
        <v>17</v>
      </c>
      <c r="M180" s="18">
        <v>7</v>
      </c>
      <c r="N180" s="18">
        <v>460</v>
      </c>
      <c r="O180" s="18" t="str" cm="1">
        <f t="array" ref="O18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GRILLE]],MAX($O$1:O179)+1)</f>
        <v/>
      </c>
    </row>
    <row r="181" spans="12:15" x14ac:dyDescent="0.25">
      <c r="L181" s="23">
        <v>17</v>
      </c>
      <c r="M181" s="18">
        <v>10</v>
      </c>
      <c r="N181" s="18">
        <v>473</v>
      </c>
      <c r="O181" s="18" t="str" cm="1">
        <f t="array" ref="O18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GRILLE]],MAX($O$1:O180)+1)</f>
        <v/>
      </c>
    </row>
    <row r="182" spans="12:15" x14ac:dyDescent="0.25">
      <c r="L182" s="23">
        <v>17</v>
      </c>
      <c r="M182" s="18">
        <v>13</v>
      </c>
      <c r="N182" s="18">
        <v>486</v>
      </c>
      <c r="O182" s="18" t="str" cm="1">
        <f t="array" ref="O18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GRILLE]],MAX($O$1:O181)+1)</f>
        <v/>
      </c>
    </row>
    <row r="183" spans="12:15" x14ac:dyDescent="0.25">
      <c r="L183" s="23">
        <v>17</v>
      </c>
      <c r="M183" s="18">
        <v>16</v>
      </c>
      <c r="N183" s="18">
        <v>499</v>
      </c>
      <c r="O183" s="18" t="str" cm="1">
        <f t="array" ref="O18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GRILLE]],MAX($O$1:O182)+1)</f>
        <v/>
      </c>
    </row>
    <row r="184" spans="12:15" x14ac:dyDescent="0.25">
      <c r="L184" s="23">
        <v>17</v>
      </c>
      <c r="M184" s="18">
        <v>20</v>
      </c>
      <c r="N184" s="18">
        <v>511</v>
      </c>
      <c r="O184" s="18" t="str" cm="1">
        <f t="array" ref="O18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GRILLE]],MAX($O$1:O183)+1)</f>
        <v/>
      </c>
    </row>
    <row r="185" spans="12:15" x14ac:dyDescent="0.25">
      <c r="L185" s="23">
        <v>17</v>
      </c>
      <c r="M185" s="18">
        <v>24</v>
      </c>
      <c r="N185" s="18">
        <v>528</v>
      </c>
      <c r="O185" s="18" t="str" cm="1">
        <f t="array" ref="O18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GRILLE]],MAX($O$1:O184)+1)</f>
        <v/>
      </c>
    </row>
    <row r="186" spans="12:15" x14ac:dyDescent="0.25">
      <c r="L186" s="23">
        <v>17</v>
      </c>
      <c r="M186" s="19">
        <v>28</v>
      </c>
      <c r="N186" s="19">
        <v>544</v>
      </c>
      <c r="O186" s="18" t="str" cm="1">
        <f t="array" ref="O18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GRILLE]],MAX($O$1:O185)+1)</f>
        <v/>
      </c>
    </row>
    <row r="187" spans="12:15" x14ac:dyDescent="0.25">
      <c r="L187" s="23">
        <v>18</v>
      </c>
      <c r="M187" s="18">
        <v>0</v>
      </c>
      <c r="N187" s="18">
        <v>413</v>
      </c>
      <c r="O187" s="18" t="str" cm="1">
        <f t="array" ref="O18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GRILLE]],MAX($O$1:O186)+1)</f>
        <v/>
      </c>
    </row>
    <row r="188" spans="12:15" x14ac:dyDescent="0.25">
      <c r="L188" s="23">
        <v>18</v>
      </c>
      <c r="M188" s="18">
        <v>1</v>
      </c>
      <c r="N188" s="18">
        <v>414</v>
      </c>
      <c r="O188" s="18" t="str" cm="1">
        <f t="array" ref="O18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GRILLE]],MAX($O$1:O187)+1)</f>
        <v/>
      </c>
    </row>
    <row r="189" spans="12:15" x14ac:dyDescent="0.25">
      <c r="L189" s="23">
        <v>18</v>
      </c>
      <c r="M189" s="18">
        <v>3</v>
      </c>
      <c r="N189" s="18">
        <v>429</v>
      </c>
      <c r="O189" s="18" t="str" cm="1">
        <f t="array" ref="O18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GRILLE]],MAX($O$1:O188)+1)</f>
        <v/>
      </c>
    </row>
    <row r="190" spans="12:15" x14ac:dyDescent="0.25">
      <c r="L190" s="23">
        <v>18</v>
      </c>
      <c r="M190" s="18">
        <v>5</v>
      </c>
      <c r="N190" s="18">
        <v>446</v>
      </c>
      <c r="O190" s="18" t="str" cm="1">
        <f t="array" ref="O19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GRILLE]],MAX($O$1:O189)+1)</f>
        <v/>
      </c>
    </row>
    <row r="191" spans="12:15" x14ac:dyDescent="0.25">
      <c r="L191" s="23">
        <v>18</v>
      </c>
      <c r="M191" s="18">
        <v>7</v>
      </c>
      <c r="N191" s="18">
        <v>460</v>
      </c>
      <c r="O191" s="18" t="str" cm="1">
        <f t="array" ref="O19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GRILLE]],MAX($O$1:O190)+1)</f>
        <v/>
      </c>
    </row>
    <row r="192" spans="12:15" x14ac:dyDescent="0.25">
      <c r="L192" s="23">
        <v>18</v>
      </c>
      <c r="M192" s="18">
        <v>10</v>
      </c>
      <c r="N192" s="18">
        <v>473</v>
      </c>
      <c r="O192" s="18" t="str" cm="1">
        <f t="array" ref="O19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GRILLE]],MAX($O$1:O191)+1)</f>
        <v/>
      </c>
    </row>
    <row r="193" spans="12:15" x14ac:dyDescent="0.25">
      <c r="L193" s="23">
        <v>18</v>
      </c>
      <c r="M193" s="18">
        <v>13</v>
      </c>
      <c r="N193" s="18">
        <v>486</v>
      </c>
      <c r="O193" s="18" t="str" cm="1">
        <f t="array" ref="O19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GRILLE]],MAX($O$1:O192)+1)</f>
        <v/>
      </c>
    </row>
    <row r="194" spans="12:15" x14ac:dyDescent="0.25">
      <c r="L194" s="23">
        <v>18</v>
      </c>
      <c r="M194" s="18">
        <v>16</v>
      </c>
      <c r="N194" s="18">
        <v>499</v>
      </c>
      <c r="O194" s="18" t="str" cm="1">
        <f t="array" ref="O19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GRILLE]],MAX($O$1:O193)+1)</f>
        <v/>
      </c>
    </row>
    <row r="195" spans="12:15" x14ac:dyDescent="0.25">
      <c r="L195" s="23">
        <v>18</v>
      </c>
      <c r="M195" s="18">
        <v>20</v>
      </c>
      <c r="N195" s="18">
        <v>511</v>
      </c>
      <c r="O195" s="18" t="str" cm="1">
        <f t="array" ref="O19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GRILLE]],MAX($O$1:O194)+1)</f>
        <v/>
      </c>
    </row>
    <row r="196" spans="12:15" x14ac:dyDescent="0.25">
      <c r="L196" s="23">
        <v>18</v>
      </c>
      <c r="M196" s="18">
        <v>24</v>
      </c>
      <c r="N196" s="18">
        <v>528</v>
      </c>
      <c r="O196" s="18" t="str" cm="1">
        <f t="array" ref="O19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GRILLE]],MAX($O$1:O195)+1)</f>
        <v/>
      </c>
    </row>
    <row r="197" spans="12:15" x14ac:dyDescent="0.25">
      <c r="L197" s="23">
        <v>18</v>
      </c>
      <c r="M197" s="19">
        <v>28</v>
      </c>
      <c r="N197" s="19">
        <v>544</v>
      </c>
      <c r="O197" s="18" t="str" cm="1">
        <f t="array" ref="O19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GRILLE]],MAX($O$1:O196)+1)</f>
        <v/>
      </c>
    </row>
    <row r="198" spans="12:15" x14ac:dyDescent="0.25">
      <c r="L198" s="23">
        <v>19</v>
      </c>
      <c r="M198" s="18">
        <v>0</v>
      </c>
      <c r="N198" s="18">
        <v>403</v>
      </c>
      <c r="O198" s="18" t="str" cm="1">
        <f t="array" ref="O19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GRILLE]],MAX($O$1:O197)+1)</f>
        <v/>
      </c>
    </row>
    <row r="199" spans="12:15" x14ac:dyDescent="0.25">
      <c r="L199" s="23">
        <v>19</v>
      </c>
      <c r="M199" s="18">
        <v>1</v>
      </c>
      <c r="N199" s="18">
        <v>403</v>
      </c>
      <c r="O199" s="18" t="str" cm="1">
        <f t="array" ref="O19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GRILLE]],MAX($O$1:O198)+1)</f>
        <v/>
      </c>
    </row>
    <row r="200" spans="12:15" x14ac:dyDescent="0.25">
      <c r="L200" s="23">
        <v>19</v>
      </c>
      <c r="M200" s="18">
        <v>3</v>
      </c>
      <c r="N200" s="18">
        <v>403</v>
      </c>
      <c r="O200" s="18" t="str" cm="1">
        <f t="array" ref="O20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GRILLE]],MAX($O$1:O199)+1)</f>
        <v/>
      </c>
    </row>
    <row r="201" spans="12:15" x14ac:dyDescent="0.25">
      <c r="L201" s="23">
        <v>19</v>
      </c>
      <c r="M201" s="18">
        <v>5</v>
      </c>
      <c r="N201" s="18">
        <v>403</v>
      </c>
      <c r="O201" s="18" t="str" cm="1">
        <f t="array" ref="O20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GRILLE]],MAX($O$1:O200)+1)</f>
        <v/>
      </c>
    </row>
    <row r="202" spans="12:15" x14ac:dyDescent="0.25">
      <c r="L202" s="23">
        <v>19</v>
      </c>
      <c r="M202" s="18">
        <v>7</v>
      </c>
      <c r="N202" s="18">
        <v>415</v>
      </c>
      <c r="O202" s="18" t="str" cm="1">
        <f t="array" ref="O20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GRILLE]],MAX($O$1:O201)+1)</f>
        <v/>
      </c>
    </row>
    <row r="203" spans="12:15" x14ac:dyDescent="0.25">
      <c r="L203" s="23">
        <v>19</v>
      </c>
      <c r="M203" s="18">
        <v>10</v>
      </c>
      <c r="N203" s="18">
        <v>432</v>
      </c>
      <c r="O203" s="18" t="str" cm="1">
        <f t="array" ref="O20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GRILLE]],MAX($O$1:O202)+1)</f>
        <v/>
      </c>
    </row>
    <row r="204" spans="12:15" x14ac:dyDescent="0.25">
      <c r="L204" s="23">
        <v>19</v>
      </c>
      <c r="M204" s="18">
        <v>13</v>
      </c>
      <c r="N204" s="18">
        <v>448</v>
      </c>
      <c r="O204" s="18" t="str" cm="1">
        <f t="array" ref="O20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GRILLE]],MAX($O$1:O203)+1)</f>
        <v/>
      </c>
    </row>
    <row r="205" spans="12:15" x14ac:dyDescent="0.25">
      <c r="L205" s="23">
        <v>19</v>
      </c>
      <c r="M205" s="18">
        <v>16</v>
      </c>
      <c r="N205" s="18">
        <v>462</v>
      </c>
      <c r="O205" s="18" t="str" cm="1">
        <f t="array" ref="O20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GRILLE]],MAX($O$1:O204)+1)</f>
        <v/>
      </c>
    </row>
    <row r="206" spans="12:15" x14ac:dyDescent="0.25">
      <c r="L206" s="23">
        <v>19</v>
      </c>
      <c r="M206" s="18">
        <v>20</v>
      </c>
      <c r="N206" s="18">
        <v>479</v>
      </c>
      <c r="O206" s="18" t="str" cm="1">
        <f t="array" ref="O20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GRILLE]],MAX($O$1:O205)+1)</f>
        <v/>
      </c>
    </row>
    <row r="207" spans="12:15" x14ac:dyDescent="0.25">
      <c r="L207" s="23">
        <v>19</v>
      </c>
      <c r="M207" s="18">
        <v>24</v>
      </c>
      <c r="N207" s="18">
        <v>493</v>
      </c>
      <c r="O207" s="18" t="str" cm="1">
        <f t="array" ref="O20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GRILLE]],MAX($O$1:O206)+1)</f>
        <v/>
      </c>
    </row>
    <row r="208" spans="12:15" x14ac:dyDescent="0.25">
      <c r="L208" s="23">
        <v>19</v>
      </c>
      <c r="M208" s="19">
        <v>28</v>
      </c>
      <c r="N208" s="19">
        <v>501</v>
      </c>
      <c r="O208" s="18" t="str" cm="1">
        <f t="array" ref="O20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GRILLE]],MAX($O$1:O207)+1)</f>
        <v/>
      </c>
    </row>
    <row r="209" spans="12:15" x14ac:dyDescent="0.25">
      <c r="L209" s="23">
        <v>20</v>
      </c>
      <c r="M209" s="18">
        <v>0</v>
      </c>
      <c r="N209" s="18">
        <v>413</v>
      </c>
      <c r="O209" s="18" t="str" cm="1">
        <f t="array" ref="O20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GRILLE]],MAX($O$1:O208)+1)</f>
        <v/>
      </c>
    </row>
    <row r="210" spans="12:15" x14ac:dyDescent="0.25">
      <c r="L210" s="23">
        <v>20</v>
      </c>
      <c r="M210" s="18">
        <v>1</v>
      </c>
      <c r="N210" s="18">
        <v>413</v>
      </c>
      <c r="O210" s="18" t="str" cm="1">
        <f t="array" ref="O21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GRILLE]],MAX($O$1:O209)+1)</f>
        <v/>
      </c>
    </row>
    <row r="211" spans="12:15" x14ac:dyDescent="0.25">
      <c r="L211" s="23">
        <v>20</v>
      </c>
      <c r="M211" s="18">
        <v>3</v>
      </c>
      <c r="N211" s="18">
        <v>413</v>
      </c>
      <c r="O211" s="18" t="str" cm="1">
        <f t="array" ref="O21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GRILLE]],MAX($O$1:O210)+1)</f>
        <v/>
      </c>
    </row>
    <row r="212" spans="12:15" x14ac:dyDescent="0.25">
      <c r="L212" s="23">
        <v>20</v>
      </c>
      <c r="M212" s="18">
        <v>5</v>
      </c>
      <c r="N212" s="18">
        <v>413</v>
      </c>
      <c r="O212" s="18" t="str" cm="1">
        <f t="array" ref="O21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GRILLE]],MAX($O$1:O211)+1)</f>
        <v/>
      </c>
    </row>
    <row r="213" spans="12:15" x14ac:dyDescent="0.25">
      <c r="L213" s="23">
        <v>20</v>
      </c>
      <c r="M213" s="18">
        <v>7</v>
      </c>
      <c r="N213" s="18">
        <v>425</v>
      </c>
      <c r="O213" s="18" t="str" cm="1">
        <f t="array" ref="O21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GRILLE]],MAX($O$1:O212)+1)</f>
        <v/>
      </c>
    </row>
    <row r="214" spans="12:15" x14ac:dyDescent="0.25">
      <c r="L214" s="23">
        <v>20</v>
      </c>
      <c r="M214" s="18">
        <v>10</v>
      </c>
      <c r="N214" s="18">
        <v>442</v>
      </c>
      <c r="O214" s="18" t="str" cm="1">
        <f t="array" ref="O21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GRILLE]],MAX($O$1:O213)+1)</f>
        <v/>
      </c>
    </row>
    <row r="215" spans="12:15" x14ac:dyDescent="0.25">
      <c r="L215" s="23">
        <v>20</v>
      </c>
      <c r="M215" s="18">
        <v>13</v>
      </c>
      <c r="N215" s="18">
        <v>458</v>
      </c>
      <c r="O215" s="18" t="str" cm="1">
        <f t="array" ref="O21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GRILLE]],MAX($O$1:O214)+1)</f>
        <v/>
      </c>
    </row>
    <row r="216" spans="12:15" x14ac:dyDescent="0.25">
      <c r="L216" s="23">
        <v>20</v>
      </c>
      <c r="M216" s="18">
        <v>16</v>
      </c>
      <c r="N216" s="18">
        <v>472</v>
      </c>
      <c r="O216" s="18" t="str" cm="1">
        <f t="array" ref="O21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GRILLE]],MAX($O$1:O215)+1)</f>
        <v/>
      </c>
    </row>
    <row r="217" spans="12:15" x14ac:dyDescent="0.25">
      <c r="L217" s="23">
        <v>20</v>
      </c>
      <c r="M217" s="18">
        <v>20</v>
      </c>
      <c r="N217" s="18">
        <v>489</v>
      </c>
      <c r="O217" s="18" t="str" cm="1">
        <f t="array" ref="O21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GRILLE]],MAX($O$1:O216)+1)</f>
        <v/>
      </c>
    </row>
    <row r="218" spans="12:15" x14ac:dyDescent="0.25">
      <c r="L218" s="23">
        <v>20</v>
      </c>
      <c r="M218" s="18">
        <v>24</v>
      </c>
      <c r="N218" s="18">
        <v>504</v>
      </c>
      <c r="O218" s="18" t="str" cm="1">
        <f t="array" ref="O21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GRILLE]],MAX($O$1:O217)+1)</f>
        <v/>
      </c>
    </row>
    <row r="219" spans="12:15" x14ac:dyDescent="0.25">
      <c r="L219" s="23">
        <v>20</v>
      </c>
      <c r="M219" s="19">
        <v>28</v>
      </c>
      <c r="N219" s="19">
        <v>512</v>
      </c>
      <c r="O219" s="18" t="str" cm="1">
        <f t="array" ref="O21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GRILLE]],MAX($O$1:O218)+1)</f>
        <v/>
      </c>
    </row>
    <row r="220" spans="12:15" x14ac:dyDescent="0.25">
      <c r="L220" s="23">
        <v>21</v>
      </c>
      <c r="M220" s="18">
        <v>0</v>
      </c>
      <c r="N220" s="18">
        <v>403</v>
      </c>
      <c r="O220" s="18" t="str" cm="1">
        <f t="array" ref="O22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GRILLE]],MAX($O$1:O219)+1)</f>
        <v/>
      </c>
    </row>
    <row r="221" spans="12:15" x14ac:dyDescent="0.25">
      <c r="L221" s="23">
        <v>21</v>
      </c>
      <c r="M221" s="18">
        <v>1</v>
      </c>
      <c r="N221" s="18">
        <v>403</v>
      </c>
      <c r="O221" s="18" t="str" cm="1">
        <f t="array" ref="O22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GRILLE]],MAX($O$1:O220)+1)</f>
        <v/>
      </c>
    </row>
    <row r="222" spans="12:15" x14ac:dyDescent="0.25">
      <c r="L222" s="23">
        <v>21</v>
      </c>
      <c r="M222" s="18">
        <v>3</v>
      </c>
      <c r="N222" s="18">
        <v>403</v>
      </c>
      <c r="O222" s="18" t="str" cm="1">
        <f t="array" ref="O22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GRILLE]],MAX($O$1:O221)+1)</f>
        <v/>
      </c>
    </row>
    <row r="223" spans="12:15" x14ac:dyDescent="0.25">
      <c r="L223" s="23">
        <v>21</v>
      </c>
      <c r="M223" s="18">
        <v>6</v>
      </c>
      <c r="N223" s="18">
        <v>403</v>
      </c>
      <c r="O223" s="18" t="str" cm="1">
        <f t="array" ref="O22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GRILLE]],MAX($O$1:O222)+1)</f>
        <v/>
      </c>
    </row>
    <row r="224" spans="12:15" x14ac:dyDescent="0.25">
      <c r="L224" s="23">
        <v>21</v>
      </c>
      <c r="M224" s="18">
        <v>9</v>
      </c>
      <c r="N224" s="18">
        <v>411</v>
      </c>
      <c r="O224" s="18" t="str" cm="1">
        <f t="array" ref="O22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GRILLE]],MAX($O$1:O223)+1)</f>
        <v/>
      </c>
    </row>
    <row r="225" spans="12:15" x14ac:dyDescent="0.25">
      <c r="L225" s="23">
        <v>21</v>
      </c>
      <c r="M225" s="18">
        <v>13</v>
      </c>
      <c r="N225" s="18">
        <v>425</v>
      </c>
      <c r="O225" s="18" t="str" cm="1">
        <f t="array" ref="O22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GRILLE]],MAX($O$1:O224)+1)</f>
        <v/>
      </c>
    </row>
    <row r="226" spans="12:15" x14ac:dyDescent="0.25">
      <c r="L226" s="23">
        <v>21</v>
      </c>
      <c r="M226" s="18">
        <v>17</v>
      </c>
      <c r="N226" s="18">
        <v>448</v>
      </c>
      <c r="O226" s="18" t="str" cm="1">
        <f t="array" ref="O22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GRILLE]],MAX($O$1:O225)+1)</f>
        <v/>
      </c>
    </row>
    <row r="227" spans="12:15" x14ac:dyDescent="0.25">
      <c r="L227" s="23">
        <v>21</v>
      </c>
      <c r="M227" s="18">
        <v>21</v>
      </c>
      <c r="N227" s="18">
        <v>469</v>
      </c>
      <c r="O227" s="18" t="str" cm="1">
        <f t="array" ref="O22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GRILLE]],MAX($O$1:O226)+1)</f>
        <v/>
      </c>
    </row>
    <row r="228" spans="12:15" x14ac:dyDescent="0.25">
      <c r="L228" s="23">
        <v>21</v>
      </c>
      <c r="M228" s="18">
        <v>25</v>
      </c>
      <c r="N228" s="18">
        <v>490</v>
      </c>
      <c r="O228" s="18" t="str" cm="1">
        <f t="array" ref="O22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GRILLE]],MAX($O$1:O227)+1)</f>
        <v/>
      </c>
    </row>
    <row r="229" spans="12:15" x14ac:dyDescent="0.25">
      <c r="L229" s="23">
        <v>22</v>
      </c>
      <c r="M229" s="18">
        <v>0</v>
      </c>
      <c r="N229" s="18">
        <v>413</v>
      </c>
      <c r="O229" s="18" t="str" cm="1">
        <f t="array" ref="O22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GRILLE]],MAX($O$1:O228)+1)</f>
        <v/>
      </c>
    </row>
    <row r="230" spans="12:15" x14ac:dyDescent="0.25">
      <c r="L230" s="23">
        <v>22</v>
      </c>
      <c r="M230" s="18">
        <v>1</v>
      </c>
      <c r="N230" s="18">
        <v>413</v>
      </c>
      <c r="O230" s="18" t="str" cm="1">
        <f t="array" ref="O23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GRILLE]],MAX($O$1:O229)+1)</f>
        <v/>
      </c>
    </row>
    <row r="231" spans="12:15" x14ac:dyDescent="0.25">
      <c r="L231" s="23">
        <v>22</v>
      </c>
      <c r="M231" s="18">
        <v>3</v>
      </c>
      <c r="N231" s="18">
        <v>413</v>
      </c>
      <c r="O231" s="18" t="str" cm="1">
        <f t="array" ref="O23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GRILLE]],MAX($O$1:O230)+1)</f>
        <v/>
      </c>
    </row>
    <row r="232" spans="12:15" x14ac:dyDescent="0.25">
      <c r="L232" s="23">
        <v>22</v>
      </c>
      <c r="M232" s="18">
        <v>6</v>
      </c>
      <c r="N232" s="18">
        <v>413</v>
      </c>
      <c r="O232" s="18" t="str" cm="1">
        <f t="array" ref="O23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GRILLE]],MAX($O$1:O231)+1)</f>
        <v/>
      </c>
    </row>
    <row r="233" spans="12:15" x14ac:dyDescent="0.25">
      <c r="L233" s="23">
        <v>22</v>
      </c>
      <c r="M233" s="18">
        <v>9</v>
      </c>
      <c r="N233" s="18">
        <v>422</v>
      </c>
      <c r="O233" s="18" t="str" cm="1">
        <f t="array" ref="O23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GRILLE]],MAX($O$1:O232)+1)</f>
        <v/>
      </c>
    </row>
    <row r="234" spans="12:15" x14ac:dyDescent="0.25">
      <c r="L234" s="23">
        <v>22</v>
      </c>
      <c r="M234" s="18">
        <v>13</v>
      </c>
      <c r="N234" s="18">
        <v>437</v>
      </c>
      <c r="O234" s="18" t="str" cm="1">
        <f t="array" ref="O23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GRILLE]],MAX($O$1:O233)+1)</f>
        <v/>
      </c>
    </row>
    <row r="235" spans="12:15" x14ac:dyDescent="0.25">
      <c r="L235" s="23">
        <v>22</v>
      </c>
      <c r="M235" s="18">
        <v>17</v>
      </c>
      <c r="N235" s="18">
        <v>460</v>
      </c>
      <c r="O235" s="18" t="str" cm="1">
        <f t="array" ref="O23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GRILLE]],MAX($O$1:O234)+1)</f>
        <v/>
      </c>
    </row>
    <row r="236" spans="12:15" x14ac:dyDescent="0.25">
      <c r="L236" s="23">
        <v>22</v>
      </c>
      <c r="M236" s="18">
        <v>21</v>
      </c>
      <c r="N236" s="18">
        <v>482</v>
      </c>
      <c r="O236" s="18" t="str" cm="1">
        <f t="array" ref="O23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GRILLE]],MAX($O$1:O235)+1)</f>
        <v/>
      </c>
    </row>
    <row r="237" spans="12:15" x14ac:dyDescent="0.25">
      <c r="L237" s="23">
        <v>22</v>
      </c>
      <c r="M237" s="19">
        <v>25</v>
      </c>
      <c r="N237" s="19">
        <v>503</v>
      </c>
      <c r="O237" s="18" t="str" cm="1">
        <f t="array" ref="O23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GRILLE]],MAX($O$1:O236)+1)</f>
        <v/>
      </c>
    </row>
    <row r="238" spans="12:15" x14ac:dyDescent="0.25">
      <c r="L238" s="23">
        <v>23</v>
      </c>
      <c r="M238" s="18">
        <v>0</v>
      </c>
      <c r="N238" s="18">
        <v>454</v>
      </c>
      <c r="O238" s="18" t="str" cm="1">
        <f t="array" ref="O23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GRILLE]],MAX($O$1:O237)+1)</f>
        <v/>
      </c>
    </row>
    <row r="239" spans="12:15" x14ac:dyDescent="0.25">
      <c r="L239" s="23">
        <v>23</v>
      </c>
      <c r="M239" s="18">
        <v>1</v>
      </c>
      <c r="N239" s="18">
        <v>467</v>
      </c>
      <c r="O239" s="18" t="str" cm="1">
        <f t="array" ref="O23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GRILLE]],MAX($O$1:O238)+1)</f>
        <v/>
      </c>
    </row>
    <row r="240" spans="12:15" x14ac:dyDescent="0.25">
      <c r="L240" s="23">
        <v>23</v>
      </c>
      <c r="M240" s="18">
        <v>3</v>
      </c>
      <c r="N240" s="18">
        <v>498</v>
      </c>
      <c r="O240" s="18" t="str" cm="1">
        <f t="array" ref="O240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GRILLE]],MAX($O$1:O239)+1)</f>
        <v/>
      </c>
    </row>
    <row r="241" spans="12:15" x14ac:dyDescent="0.25">
      <c r="L241" s="23">
        <v>23</v>
      </c>
      <c r="M241" s="18">
        <v>5</v>
      </c>
      <c r="N241" s="18">
        <v>523</v>
      </c>
      <c r="O241" s="18" t="str" cm="1">
        <f t="array" ref="O241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GRILLE]],MAX($O$1:O240)+1)</f>
        <v/>
      </c>
    </row>
    <row r="242" spans="12:15" x14ac:dyDescent="0.25">
      <c r="L242" s="23">
        <v>23</v>
      </c>
      <c r="M242" s="18">
        <v>7</v>
      </c>
      <c r="N242" s="18">
        <v>557</v>
      </c>
      <c r="O242" s="18" t="str" cm="1">
        <f t="array" ref="O242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GRILLE]],MAX($O$1:O241)+1)</f>
        <v/>
      </c>
    </row>
    <row r="243" spans="12:15" x14ac:dyDescent="0.25">
      <c r="L243" s="23">
        <v>23</v>
      </c>
      <c r="M243" s="18">
        <v>9</v>
      </c>
      <c r="N243" s="18">
        <v>590</v>
      </c>
      <c r="O243" s="18" t="str" cm="1">
        <f t="array" ref="O243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GRILLE]],MAX($O$1:O242)+1)</f>
        <v/>
      </c>
    </row>
    <row r="244" spans="12:15" x14ac:dyDescent="0.25">
      <c r="L244" s="23">
        <v>23</v>
      </c>
      <c r="M244" s="18">
        <v>11</v>
      </c>
      <c r="N244" s="18">
        <v>601</v>
      </c>
      <c r="O244" s="18" t="str" cm="1">
        <f t="array" ref="O244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GRILLE]],MAX($O$1:O243)+1)</f>
        <v/>
      </c>
    </row>
    <row r="245" spans="12:15" x14ac:dyDescent="0.25">
      <c r="L245" s="23">
        <v>23</v>
      </c>
      <c r="M245" s="18">
        <v>14</v>
      </c>
      <c r="N245" s="18">
        <v>635</v>
      </c>
      <c r="O245" s="18" t="str" cm="1">
        <f t="array" ref="O245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GRILLE]],MAX($O$1:O244)+1)</f>
        <v/>
      </c>
    </row>
    <row r="246" spans="12:15" x14ac:dyDescent="0.25">
      <c r="L246" s="23">
        <v>23</v>
      </c>
      <c r="M246" s="18">
        <v>17</v>
      </c>
      <c r="N246" s="18">
        <v>667</v>
      </c>
      <c r="O246" s="18" t="str" cm="1">
        <f t="array" ref="O246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GRILLE]],MAX($O$1:O245)+1)</f>
        <v/>
      </c>
    </row>
    <row r="247" spans="12:15" x14ac:dyDescent="0.25">
      <c r="L247" s="23">
        <v>23</v>
      </c>
      <c r="M247" s="18">
        <v>20</v>
      </c>
      <c r="N247" s="18">
        <v>669</v>
      </c>
      <c r="O247" s="18" t="str" cm="1">
        <f t="array" ref="O247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GRILLE]],MAX($O$1:O246)+1)</f>
        <v/>
      </c>
    </row>
    <row r="248" spans="12:15" x14ac:dyDescent="0.25">
      <c r="L248" s="23">
        <v>23</v>
      </c>
      <c r="M248" s="19">
        <v>24</v>
      </c>
      <c r="N248" s="19">
        <v>735</v>
      </c>
      <c r="O248" s="18" t="str" cm="1">
        <f t="array" ref="O248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GRILLE]],MAX($O$1:O247)+1)</f>
        <v/>
      </c>
    </row>
    <row r="249" spans="12:15" x14ac:dyDescent="0.25">
      <c r="L249" s="23">
        <v>23</v>
      </c>
      <c r="M249" s="19">
        <v>28</v>
      </c>
      <c r="N249" s="19">
        <v>782</v>
      </c>
      <c r="O249" s="19" t="str" cm="1">
        <f t="array" ref="O249">_xlfn.IFS(Metier=$X$1,"",INDEX(Postes[NUMERO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GRILLE]],MAX($O$1:O248)+1)</f>
        <v/>
      </c>
    </row>
  </sheetData>
  <phoneticPr fontId="10" type="noConversion"/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a7d484f-fa46-4473-a38a-1cc4900ee171">
      <UserInfo>
        <DisplayName/>
        <AccountId xsi:nil="true"/>
        <AccountType/>
      </UserInfo>
    </SharedWithUsers>
    <lcf76f155ced4ddcb4097134ff3c332f xmlns="cf33fd48-6ff0-488e-ad3a-9773ec4dd56d">
      <Terms xmlns="http://schemas.microsoft.com/office/infopath/2007/PartnerControls"/>
    </lcf76f155ced4ddcb4097134ff3c332f>
    <TaxCatchAll xmlns="ca7d484f-fa46-4473-a38a-1cc4900ee17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2953306F08EE4BB331144FB19D12A9" ma:contentTypeVersion="15" ma:contentTypeDescription="Crée un document." ma:contentTypeScope="" ma:versionID="b17881f8f8404a7264e84bb61550892f">
  <xsd:schema xmlns:xsd="http://www.w3.org/2001/XMLSchema" xmlns:xs="http://www.w3.org/2001/XMLSchema" xmlns:p="http://schemas.microsoft.com/office/2006/metadata/properties" xmlns:ns2="ca7d484f-fa46-4473-a38a-1cc4900ee171" xmlns:ns3="cf33fd48-6ff0-488e-ad3a-9773ec4dd56d" targetNamespace="http://schemas.microsoft.com/office/2006/metadata/properties" ma:root="true" ma:fieldsID="ec89d1a93337f91c393d8e581684fec0" ns2:_="" ns3:_="">
    <xsd:import namespace="ca7d484f-fa46-4473-a38a-1cc4900ee171"/>
    <xsd:import namespace="cf33fd48-6ff0-488e-ad3a-9773ec4dd5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d484f-fa46-4473-a38a-1cc4900ee17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d8f9f738-371c-47c1-b639-72b3dbab7000}" ma:internalName="TaxCatchAll" ma:showField="CatchAllData" ma:web="ca7d484f-fa46-4473-a38a-1cc4900ee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33fd48-6ff0-488e-ad3a-9773ec4dd56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7df39b0-cd1e-4ff5-9bea-8463e76f44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859C4C-93ED-4810-9745-F59F215CD0AE}">
  <ds:schemaRefs>
    <ds:schemaRef ds:uri="http://schemas.microsoft.com/office/2006/metadata/properties"/>
    <ds:schemaRef ds:uri="http://schemas.microsoft.com/office/infopath/2007/PartnerControls"/>
    <ds:schemaRef ds:uri="ca7d484f-fa46-4473-a38a-1cc4900ee171"/>
    <ds:schemaRef ds:uri="cf33fd48-6ff0-488e-ad3a-9773ec4dd56d"/>
  </ds:schemaRefs>
</ds:datastoreItem>
</file>

<file path=customXml/itemProps2.xml><?xml version="1.0" encoding="utf-8"?>
<ds:datastoreItem xmlns:ds="http://schemas.openxmlformats.org/officeDocument/2006/customXml" ds:itemID="{0878D4F7-16F8-4FBB-96EF-0775FC34C6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A7D01C-4F39-4A36-BC06-4FEA9ECDB7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7d484f-fa46-4473-a38a-1cc4900ee171"/>
    <ds:schemaRef ds:uri="cf33fd48-6ff0-488e-ad3a-9773ec4dd5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Reconstitution 1</vt:lpstr>
      <vt:lpstr>Reconstitution 2</vt:lpstr>
      <vt:lpstr>Onglet vierge</vt:lpstr>
      <vt:lpstr>Tables</vt:lpstr>
      <vt:lpstr>'Reconstitution 2'!CCN66_ou_51_?</vt:lpstr>
      <vt:lpstr>CCN66_ou_51_?</vt:lpstr>
      <vt:lpstr>'Reconstitution 2'!Coefficient_calculé_avec_l_ancienneté</vt:lpstr>
      <vt:lpstr>Coefficient_calculé_avec_l_ancienneté</vt:lpstr>
      <vt:lpstr>'Reconstitution 2'!Date_Debut_Anciennete</vt:lpstr>
      <vt:lpstr>Date_Debut_Anciennete</vt:lpstr>
      <vt:lpstr>'Reconstitution 2'!Date_Entree_Sauvegarde</vt:lpstr>
      <vt:lpstr>Date_Entree_Sauvegarde</vt:lpstr>
      <vt:lpstr>'Reconstitution 2'!Internat</vt:lpstr>
      <vt:lpstr>Internat</vt:lpstr>
      <vt:lpstr>'Reconstitution 2'!Metier</vt:lpstr>
      <vt:lpstr>Metier</vt:lpstr>
      <vt:lpstr>'Reconstitution 2'!Tableau_remuneration</vt:lpstr>
      <vt:lpstr>Tableau_remuneration</vt:lpstr>
      <vt:lpstr>Taux_ISSP</vt:lpstr>
      <vt:lpstr>Taux_Repos_compensateur_SDN</vt:lpstr>
      <vt:lpstr>Valeur_du_Point</vt:lpstr>
      <vt:lpstr>'Reconstitution 1'!Zone_d_impression</vt:lpstr>
      <vt:lpstr>'Reconstitution 2'!Zone_d_impression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Vincent BAYLE</dc:creator>
  <cp:keywords/>
  <dc:description/>
  <cp:lastModifiedBy>Frédéric WILHELM</cp:lastModifiedBy>
  <cp:revision/>
  <dcterms:created xsi:type="dcterms:W3CDTF">2014-08-22T09:04:29Z</dcterms:created>
  <dcterms:modified xsi:type="dcterms:W3CDTF">2025-01-23T14:27:06Z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