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defre\Desktop\"/>
    </mc:Choice>
  </mc:AlternateContent>
  <xr:revisionPtr revIDLastSave="0" documentId="8_{E777B5E6-E3E0-4CAC-A4FC-A59B94898D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constitution" sheetId="1" r:id="rId1"/>
    <sheet name="Tables" sheetId="4" r:id="rId2"/>
  </sheet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N">Reconstitution!$G$10</definedName>
    <definedName name="Astreinte_mensualisee">Reconstitution!$G$11</definedName>
    <definedName name="Base_brute">Reconstitution!$K$3</definedName>
    <definedName name="Coefficient_calculé_avec_l_ancienneté">Reconstitution!$C$32</definedName>
    <definedName name="Internat">Reconstitution!$C$10</definedName>
    <definedName name="ISCONV">Reconstitution!$G$9</definedName>
    <definedName name="ISP_SG">Reconstitution!$K$6</definedName>
    <definedName name="ISSP_NON_CADRE">Reconstitution!$K$4</definedName>
    <definedName name="ISSUPL">Reconstitution!$C$11</definedName>
    <definedName name="Metier">Reconstitution!$C$9</definedName>
    <definedName name="Montant_Prime_CER_CEF">Reconstitution!$K$7</definedName>
    <definedName name="nase" hidden="1">{#N/A,#N/A,TRUE,"BCB1";#N/A,#N/A,TRUE,"BCB2";#N/A,#N/A,TRUE,"RECAP";#N/A,#N/A,TRUE,"BCP1-BCP2";#N/A,#N/A,TRUE,"Charges"}</definedName>
    <definedName name="origine" hidden="1">{#N/A,#N/A,TRUE,"BCB1";#N/A,#N/A,TRUE,"BCB2";#N/A,#N/A,TRUE,"RECAP";#N/A,#N/A,TRUE,"BCP1-BCP2";#N/A,#N/A,TRUE,"Charges"}</definedName>
    <definedName name="préparatoire1" hidden="1">{#N/A,#N/A,TRUE,"BCB1";#N/A,#N/A,TRUE,"BCB2";#N/A,#N/A,TRUE,"RECAP";#N/A,#N/A,TRUE,"BCP1-BCP2";#N/A,#N/A,TRUE,"Charges"}</definedName>
    <definedName name="prime_CEF_CER">Reconstitution!$G$7</definedName>
    <definedName name="RP_COMP_Nuit">Reconstitution!$K$8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leau_remuneration">Reconstitution!$A$37:$G$80</definedName>
    <definedName name="Taux_ISSP">Tables!$S$3</definedName>
    <definedName name="Taux_Repos_compensateur_SDN">Tables!$S$4</definedName>
    <definedName name="Temps_travail_hebdo">Reconstitution!$G$8</definedName>
    <definedName name="travail1" hidden="1">{#N/A,#N/A,TRUE,"BCB1";#N/A,#N/A,TRUE,"BCB2";#N/A,#N/A,TRUE,"RECAP";#N/A,#N/A,TRUE,"BCP1-BCP2";#N/A,#N/A,TRUE,"Charges"}</definedName>
    <definedName name="Valeur_du_Point">Tables!$S$2</definedName>
    <definedName name="wrn.Budget." hidden="1">{#N/A,#N/A,TRUE,"BCB1";#N/A,#N/A,TRUE,"BCB2";#N/A,#N/A,TRUE,"RECAP";#N/A,#N/A,TRUE,"BCP1-BCP2";#N/A,#N/A,TRUE,"Charges"}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K10" i="1"/>
  <c r="K9" i="1"/>
  <c r="K7" i="1"/>
  <c r="K6" i="1"/>
  <c r="G17" i="1"/>
  <c r="G18" i="1"/>
  <c r="G19" i="1"/>
  <c r="G20" i="1"/>
  <c r="G21" i="1"/>
  <c r="G22" i="1"/>
  <c r="F16" i="1"/>
  <c r="G16" i="1" s="1"/>
  <c r="F17" i="1"/>
  <c r="F18" i="1"/>
  <c r="F19" i="1"/>
  <c r="H19" i="1" s="1"/>
  <c r="F20" i="1"/>
  <c r="F21" i="1"/>
  <c r="F22" i="1"/>
  <c r="N2" i="4" a="1"/>
  <c r="N2" i="4" s="1"/>
  <c r="N3" i="4" s="1" a="1"/>
  <c r="N3" i="4" s="1"/>
  <c r="W2" i="4" a="1"/>
  <c r="W2" i="4" s="1"/>
  <c r="S3" i="4"/>
  <c r="N4" i="4" l="1" a="1"/>
  <c r="N4" i="4" s="1"/>
  <c r="N5" i="4" s="1" a="1"/>
  <c r="N5" i="4" s="1"/>
  <c r="H17" i="1"/>
  <c r="H18" i="1"/>
  <c r="H20" i="1"/>
  <c r="H21" i="1"/>
  <c r="H22" i="1"/>
  <c r="N6" i="4" l="1" a="1"/>
  <c r="N6" i="4" s="1"/>
  <c r="N7" i="4" s="1" a="1"/>
  <c r="N7" i="4" s="1"/>
  <c r="N8" i="4" l="1" a="1"/>
  <c r="N8" i="4" s="1"/>
  <c r="H16" i="1"/>
  <c r="F23" i="1"/>
  <c r="F24" i="1" s="1"/>
  <c r="N9" i="4" l="1" a="1"/>
  <c r="N9" i="4" s="1"/>
  <c r="G23" i="1"/>
  <c r="H23" i="1"/>
  <c r="N10" i="4" l="1" a="1"/>
  <c r="N10" i="4" s="1"/>
  <c r="N11" i="4" s="1" a="1"/>
  <c r="N11" i="4" s="1"/>
  <c r="N12" i="4" s="1" a="1"/>
  <c r="N12" i="4" s="1"/>
  <c r="E25" i="1"/>
  <c r="G24" i="1"/>
  <c r="C30" i="1" s="1"/>
  <c r="N13" i="4" l="1" a="1"/>
  <c r="N13" i="4" s="1"/>
  <c r="N14" i="4" s="1" a="1"/>
  <c r="N14" i="4" s="1"/>
  <c r="N15" i="4" s="1" a="1"/>
  <c r="N15" i="4" s="1"/>
  <c r="N16" i="4" s="1" a="1"/>
  <c r="N16" i="4" s="1"/>
  <c r="N17" i="4" s="1" a="1"/>
  <c r="N17" i="4" s="1"/>
  <c r="N18" i="4" s="1" a="1"/>
  <c r="N18" i="4" s="1"/>
  <c r="N19" i="4" s="1" a="1"/>
  <c r="N19" i="4" s="1"/>
  <c r="N20" i="4" s="1" a="1"/>
  <c r="N20" i="4" s="1"/>
  <c r="N21" i="4" s="1" a="1"/>
  <c r="N21" i="4" s="1"/>
  <c r="N22" i="4" s="1" a="1"/>
  <c r="N22" i="4" s="1"/>
  <c r="N23" i="4" s="1" a="1"/>
  <c r="N23" i="4" s="1"/>
  <c r="N24" i="4" s="1" a="1"/>
  <c r="N24" i="4" s="1"/>
  <c r="N25" i="4" s="1" a="1"/>
  <c r="N25" i="4" s="1"/>
  <c r="N26" i="4" s="1" a="1"/>
  <c r="N26" i="4" s="1"/>
  <c r="N27" i="4" s="1" a="1"/>
  <c r="N27" i="4" s="1"/>
  <c r="N28" i="4" s="1" a="1"/>
  <c r="N28" i="4" s="1"/>
  <c r="N29" i="4" s="1" a="1"/>
  <c r="N29" i="4" s="1"/>
  <c r="C35" i="1"/>
  <c r="N30" i="4" l="1" a="1"/>
  <c r="N30" i="4" s="1"/>
  <c r="N31" i="4" s="1" a="1"/>
  <c r="N31" i="4" s="1"/>
  <c r="N32" i="4" s="1" a="1"/>
  <c r="N32" i="4" s="1"/>
  <c r="N33" i="4" s="1" a="1"/>
  <c r="N33" i="4" s="1"/>
  <c r="N34" i="4" s="1" a="1"/>
  <c r="N34" i="4" s="1"/>
  <c r="N35" i="4" s="1" a="1"/>
  <c r="N35" i="4" s="1"/>
  <c r="N36" i="4" s="1" a="1"/>
  <c r="N36" i="4" s="1"/>
  <c r="N37" i="4" s="1" a="1"/>
  <c r="N37" i="4" s="1"/>
  <c r="N38" i="4" s="1" a="1"/>
  <c r="N38" i="4" s="1"/>
  <c r="N39" i="4" s="1" a="1"/>
  <c r="N39" i="4" s="1"/>
  <c r="N40" i="4" s="1" a="1"/>
  <c r="N40" i="4" s="1"/>
  <c r="N41" i="4" s="1" a="1"/>
  <c r="N41" i="4" s="1"/>
  <c r="N42" i="4" s="1" a="1"/>
  <c r="N42" i="4" s="1"/>
  <c r="N43" i="4" s="1" a="1"/>
  <c r="N43" i="4" s="1"/>
  <c r="N44" i="4" s="1" a="1"/>
  <c r="N44" i="4" s="1"/>
  <c r="N45" i="4" s="1" a="1"/>
  <c r="N45" i="4" s="1"/>
  <c r="N46" i="4" s="1" a="1"/>
  <c r="N46" i="4" s="1"/>
  <c r="N47" i="4" s="1" a="1"/>
  <c r="N47" i="4" s="1"/>
  <c r="N48" i="4" s="1" a="1"/>
  <c r="N48" i="4" s="1"/>
  <c r="N49" i="4" s="1" a="1"/>
  <c r="N49" i="4" s="1"/>
  <c r="N50" i="4" s="1" a="1"/>
  <c r="N50" i="4" s="1"/>
  <c r="N51" i="4" s="1" a="1"/>
  <c r="N51" i="4" s="1"/>
  <c r="N52" i="4" s="1" a="1"/>
  <c r="N52" i="4" s="1"/>
  <c r="N53" i="4" s="1" a="1"/>
  <c r="N53" i="4" s="1"/>
  <c r="N54" i="4" s="1" a="1"/>
  <c r="N54" i="4" s="1"/>
  <c r="N55" i="4" s="1" a="1"/>
  <c r="N55" i="4" s="1"/>
  <c r="N56" i="4" s="1" a="1"/>
  <c r="N56" i="4" s="1"/>
  <c r="N57" i="4" s="1" a="1"/>
  <c r="N57" i="4" s="1"/>
  <c r="N58" i="4" s="1" a="1"/>
  <c r="N58" i="4" s="1"/>
  <c r="N59" i="4" s="1" a="1"/>
  <c r="N59" i="4" s="1"/>
  <c r="N60" i="4" s="1" a="1"/>
  <c r="N60" i="4" s="1"/>
  <c r="N61" i="4" s="1" a="1"/>
  <c r="N61" i="4" s="1"/>
  <c r="N62" i="4" s="1" a="1"/>
  <c r="N62" i="4" s="1"/>
  <c r="N63" i="4" s="1" a="1"/>
  <c r="N63" i="4" s="1"/>
  <c r="N64" i="4" s="1" a="1"/>
  <c r="N64" i="4" s="1"/>
  <c r="N65" i="4" s="1" a="1"/>
  <c r="N65" i="4" s="1"/>
  <c r="N66" i="4" s="1" a="1"/>
  <c r="N66" i="4" s="1"/>
  <c r="N67" i="4" s="1" a="1"/>
  <c r="N67" i="4" s="1"/>
  <c r="N68" i="4" s="1" a="1"/>
  <c r="N68" i="4" s="1"/>
  <c r="N69" i="4" s="1" a="1"/>
  <c r="N69" i="4" s="1"/>
  <c r="N70" i="4" s="1" a="1"/>
  <c r="N70" i="4" s="1"/>
  <c r="N71" i="4" s="1" a="1"/>
  <c r="N71" i="4" s="1"/>
  <c r="N72" i="4" s="1" a="1"/>
  <c r="N72" i="4" s="1"/>
  <c r="N73" i="4" s="1" a="1"/>
  <c r="N73" i="4" s="1"/>
  <c r="N74" i="4" s="1" a="1"/>
  <c r="N74" i="4" s="1"/>
  <c r="N75" i="4" s="1" a="1"/>
  <c r="N75" i="4" s="1"/>
  <c r="N76" i="4" s="1" a="1"/>
  <c r="N76" i="4" s="1"/>
  <c r="N77" i="4" s="1" a="1"/>
  <c r="N77" i="4" s="1"/>
  <c r="N78" i="4" s="1" a="1"/>
  <c r="N78" i="4" s="1"/>
  <c r="N79" i="4" s="1" a="1"/>
  <c r="N79" i="4" s="1"/>
  <c r="N80" i="4" s="1" a="1"/>
  <c r="N80" i="4" s="1"/>
  <c r="N81" i="4" s="1" a="1"/>
  <c r="N81" i="4" s="1"/>
  <c r="N82" i="4" s="1" a="1"/>
  <c r="N82" i="4" s="1"/>
  <c r="N83" i="4" s="1" a="1"/>
  <c r="N83" i="4" s="1"/>
  <c r="N84" i="4" s="1" a="1"/>
  <c r="N84" i="4" s="1"/>
  <c r="N85" i="4" s="1" a="1"/>
  <c r="N85" i="4" s="1"/>
  <c r="N86" i="4" s="1" a="1"/>
  <c r="N86" i="4" s="1"/>
  <c r="N87" i="4" s="1" a="1"/>
  <c r="N87" i="4" s="1"/>
  <c r="N88" i="4" s="1" a="1"/>
  <c r="N88" i="4" s="1"/>
  <c r="N89" i="4" s="1" a="1"/>
  <c r="N89" i="4" s="1"/>
  <c r="N90" i="4" s="1" a="1"/>
  <c r="N90" i="4" s="1"/>
  <c r="N91" i="4" s="1" a="1"/>
  <c r="N91" i="4" s="1"/>
  <c r="N92" i="4" s="1" a="1"/>
  <c r="N92" i="4" s="1"/>
  <c r="N93" i="4" s="1" a="1"/>
  <c r="N93" i="4" s="1"/>
  <c r="N94" i="4" s="1" a="1"/>
  <c r="N94" i="4" s="1"/>
  <c r="N95" i="4" s="1" a="1"/>
  <c r="N95" i="4" s="1"/>
  <c r="N96" i="4" s="1" a="1"/>
  <c r="N96" i="4" s="1"/>
  <c r="N97" i="4" s="1" a="1"/>
  <c r="N97" i="4" s="1"/>
  <c r="N98" i="4" s="1" a="1"/>
  <c r="N98" i="4" s="1"/>
  <c r="N99" i="4" s="1" a="1"/>
  <c r="N99" i="4" s="1"/>
  <c r="N100" i="4" s="1" a="1"/>
  <c r="N100" i="4" s="1"/>
  <c r="N101" i="4" s="1" a="1"/>
  <c r="N101" i="4" s="1"/>
  <c r="N102" i="4" s="1" a="1"/>
  <c r="N102" i="4" s="1"/>
  <c r="N103" i="4" s="1" a="1"/>
  <c r="N103" i="4" s="1"/>
  <c r="N104" i="4" s="1" a="1"/>
  <c r="N104" i="4" s="1"/>
  <c r="N105" i="4" s="1" a="1"/>
  <c r="N105" i="4" s="1"/>
  <c r="N106" i="4" s="1" a="1"/>
  <c r="N106" i="4" s="1"/>
  <c r="N107" i="4" s="1" a="1"/>
  <c r="N107" i="4" s="1"/>
  <c r="N108" i="4" s="1" a="1"/>
  <c r="N108" i="4" s="1"/>
  <c r="N109" i="4" s="1" a="1"/>
  <c r="N109" i="4" s="1"/>
  <c r="N110" i="4" s="1" a="1"/>
  <c r="N110" i="4" s="1"/>
  <c r="N111" i="4" s="1" a="1"/>
  <c r="N111" i="4" s="1"/>
  <c r="N112" i="4" s="1" a="1"/>
  <c r="N112" i="4" s="1"/>
  <c r="N113" i="4" s="1" a="1"/>
  <c r="N113" i="4" s="1"/>
  <c r="N114" i="4" s="1" a="1"/>
  <c r="N114" i="4" s="1"/>
  <c r="N115" i="4" s="1" a="1"/>
  <c r="N115" i="4" s="1"/>
  <c r="N116" i="4" s="1" a="1"/>
  <c r="N116" i="4" s="1"/>
  <c r="N117" i="4" s="1" a="1"/>
  <c r="N117" i="4" s="1"/>
  <c r="N118" i="4" s="1" a="1"/>
  <c r="N118" i="4" s="1"/>
  <c r="N119" i="4" s="1" a="1"/>
  <c r="N119" i="4" s="1"/>
  <c r="N120" i="4" s="1" a="1"/>
  <c r="N120" i="4" s="1"/>
  <c r="N121" i="4" s="1" a="1"/>
  <c r="N121" i="4" s="1"/>
  <c r="N122" i="4" s="1" a="1"/>
  <c r="N122" i="4" s="1"/>
  <c r="N123" i="4" s="1" a="1"/>
  <c r="N123" i="4" s="1"/>
  <c r="N124" i="4" s="1" a="1"/>
  <c r="N124" i="4" s="1"/>
  <c r="N125" i="4" s="1" a="1"/>
  <c r="N125" i="4" s="1"/>
  <c r="N126" i="4" s="1" a="1"/>
  <c r="N126" i="4" s="1"/>
  <c r="N127" i="4" s="1" a="1"/>
  <c r="N127" i="4" s="1"/>
  <c r="N128" i="4" s="1" a="1"/>
  <c r="N128" i="4" s="1"/>
  <c r="N129" i="4" s="1" a="1"/>
  <c r="N129" i="4" s="1"/>
  <c r="N130" i="4" s="1" a="1"/>
  <c r="N130" i="4" s="1"/>
  <c r="N131" i="4" s="1" a="1"/>
  <c r="N131" i="4" s="1"/>
  <c r="N132" i="4" s="1" a="1"/>
  <c r="N132" i="4" s="1"/>
  <c r="N133" i="4" s="1" a="1"/>
  <c r="N133" i="4" s="1"/>
  <c r="N134" i="4" s="1" a="1"/>
  <c r="N134" i="4" s="1"/>
  <c r="N135" i="4" s="1" a="1"/>
  <c r="N135" i="4" s="1"/>
  <c r="N136" i="4" s="1" a="1"/>
  <c r="N136" i="4" s="1"/>
  <c r="N137" i="4" s="1" a="1"/>
  <c r="N137" i="4" s="1"/>
  <c r="N138" i="4" s="1" a="1"/>
  <c r="N138" i="4" s="1"/>
  <c r="N139" i="4" s="1" a="1"/>
  <c r="N139" i="4" s="1"/>
  <c r="N140" i="4" s="1" a="1"/>
  <c r="N140" i="4" s="1"/>
  <c r="N141" i="4" s="1" a="1"/>
  <c r="N141" i="4" s="1"/>
  <c r="N142" i="4" s="1" a="1"/>
  <c r="N142" i="4" s="1"/>
  <c r="N143" i="4" s="1" a="1"/>
  <c r="N143" i="4" s="1"/>
  <c r="N144" i="4" s="1" a="1"/>
  <c r="N144" i="4" s="1"/>
  <c r="N145" i="4" s="1" a="1"/>
  <c r="N145" i="4" s="1"/>
  <c r="N146" i="4" s="1" a="1"/>
  <c r="N146" i="4" s="1"/>
  <c r="N147" i="4" s="1" a="1"/>
  <c r="N147" i="4" s="1"/>
  <c r="N148" i="4" s="1" a="1"/>
  <c r="N148" i="4" s="1"/>
  <c r="N149" i="4" s="1" a="1"/>
  <c r="N149" i="4" s="1"/>
  <c r="N150" i="4" s="1" a="1"/>
  <c r="N150" i="4" s="1"/>
  <c r="N151" i="4" s="1" a="1"/>
  <c r="N151" i="4" s="1"/>
  <c r="N152" i="4" s="1" a="1"/>
  <c r="N152" i="4" s="1"/>
  <c r="N153" i="4" s="1" a="1"/>
  <c r="N153" i="4" s="1"/>
  <c r="N154" i="4" s="1" a="1"/>
  <c r="N154" i="4" s="1"/>
  <c r="N155" i="4" s="1" a="1"/>
  <c r="N155" i="4" s="1"/>
  <c r="N156" i="4" s="1" a="1"/>
  <c r="N156" i="4" s="1"/>
  <c r="N157" i="4" s="1" a="1"/>
  <c r="N157" i="4" s="1"/>
  <c r="N158" i="4" s="1" a="1"/>
  <c r="N158" i="4" s="1"/>
  <c r="N159" i="4" s="1" a="1"/>
  <c r="N159" i="4" s="1"/>
  <c r="N160" i="4" s="1" a="1"/>
  <c r="N160" i="4" s="1"/>
  <c r="N161" i="4" s="1" a="1"/>
  <c r="N161" i="4" s="1"/>
  <c r="N162" i="4" s="1" a="1"/>
  <c r="N162" i="4" s="1"/>
  <c r="N163" i="4" s="1" a="1"/>
  <c r="N163" i="4" s="1"/>
  <c r="N164" i="4" s="1" a="1"/>
  <c r="N164" i="4" s="1"/>
  <c r="N165" i="4" s="1" a="1"/>
  <c r="N165" i="4" s="1"/>
  <c r="N166" i="4" s="1" a="1"/>
  <c r="N166" i="4" s="1"/>
  <c r="N167" i="4" s="1" a="1"/>
  <c r="N167" i="4" s="1"/>
  <c r="N168" i="4" s="1" a="1"/>
  <c r="N168" i="4" s="1"/>
  <c r="N169" i="4" s="1" a="1"/>
  <c r="N169" i="4" s="1"/>
  <c r="N170" i="4" s="1" a="1"/>
  <c r="N170" i="4" s="1"/>
  <c r="N171" i="4" s="1" a="1"/>
  <c r="N171" i="4" s="1"/>
  <c r="N172" i="4" s="1" a="1"/>
  <c r="N172" i="4" s="1"/>
  <c r="N173" i="4" s="1" a="1"/>
  <c r="N173" i="4" s="1"/>
  <c r="N174" i="4" s="1" a="1"/>
  <c r="N174" i="4" s="1"/>
  <c r="N175" i="4" s="1" a="1"/>
  <c r="N175" i="4" s="1"/>
  <c r="N176" i="4" s="1" a="1"/>
  <c r="N176" i="4" s="1"/>
  <c r="N177" i="4" s="1" a="1"/>
  <c r="N177" i="4" s="1"/>
  <c r="N178" i="4" s="1" a="1"/>
  <c r="N178" i="4" s="1"/>
  <c r="N179" i="4" s="1" a="1"/>
  <c r="N179" i="4" s="1"/>
  <c r="N180" i="4" s="1" a="1"/>
  <c r="N180" i="4" s="1"/>
  <c r="N181" i="4" s="1" a="1"/>
  <c r="N181" i="4" s="1"/>
  <c r="N182" i="4" s="1" a="1"/>
  <c r="N182" i="4" s="1"/>
  <c r="N183" i="4" s="1" a="1"/>
  <c r="N183" i="4" s="1"/>
  <c r="N184" i="4" s="1" a="1"/>
  <c r="N184" i="4" s="1"/>
  <c r="N185" i="4" s="1" a="1"/>
  <c r="N185" i="4" s="1"/>
  <c r="N186" i="4" s="1" a="1"/>
  <c r="N186" i="4" s="1"/>
  <c r="N187" i="4" s="1" a="1"/>
  <c r="N187" i="4" s="1"/>
  <c r="N188" i="4" s="1" a="1"/>
  <c r="N188" i="4" s="1"/>
  <c r="N189" i="4" s="1" a="1"/>
  <c r="N189" i="4" s="1"/>
  <c r="N190" i="4" s="1" a="1"/>
  <c r="N190" i="4" s="1"/>
  <c r="N191" i="4" s="1" a="1"/>
  <c r="N191" i="4" s="1"/>
  <c r="N192" i="4" s="1" a="1"/>
  <c r="N192" i="4" s="1"/>
  <c r="N193" i="4" s="1" a="1"/>
  <c r="N193" i="4" s="1"/>
  <c r="N194" i="4" s="1" a="1"/>
  <c r="N194" i="4" s="1"/>
  <c r="N195" i="4" s="1" a="1"/>
  <c r="N195" i="4" s="1"/>
  <c r="N196" i="4" s="1" a="1"/>
  <c r="N196" i="4" s="1"/>
  <c r="N197" i="4" s="1" a="1"/>
  <c r="N197" i="4" s="1"/>
  <c r="N198" i="4" s="1" a="1"/>
  <c r="N198" i="4" s="1"/>
  <c r="N199" i="4" s="1" a="1"/>
  <c r="N199" i="4" s="1"/>
  <c r="N200" i="4" s="1" a="1"/>
  <c r="N200" i="4" s="1"/>
  <c r="N201" i="4" s="1" a="1"/>
  <c r="N201" i="4" s="1"/>
  <c r="N202" i="4" s="1" a="1"/>
  <c r="N202" i="4" s="1"/>
  <c r="N203" i="4" s="1" a="1"/>
  <c r="N203" i="4" s="1"/>
  <c r="N204" i="4" s="1" a="1"/>
  <c r="N204" i="4" s="1"/>
  <c r="N205" i="4" s="1" a="1"/>
  <c r="N205" i="4" s="1"/>
  <c r="N206" i="4" s="1" a="1"/>
  <c r="N206" i="4" s="1"/>
  <c r="N207" i="4" s="1" a="1"/>
  <c r="N207" i="4" s="1"/>
  <c r="N208" i="4" s="1" a="1"/>
  <c r="N208" i="4" s="1"/>
  <c r="N209" i="4" s="1" a="1"/>
  <c r="N209" i="4" s="1"/>
  <c r="N210" i="4" s="1" a="1"/>
  <c r="N210" i="4" s="1"/>
  <c r="N211" i="4" s="1" a="1"/>
  <c r="N211" i="4" s="1"/>
  <c r="N212" i="4" s="1" a="1"/>
  <c r="N212" i="4" s="1"/>
  <c r="N213" i="4" s="1" a="1"/>
  <c r="N213" i="4" s="1"/>
  <c r="N214" i="4" s="1" a="1"/>
  <c r="N214" i="4" s="1"/>
  <c r="N215" i="4" s="1" a="1"/>
  <c r="N215" i="4" s="1"/>
  <c r="N216" i="4" s="1" a="1"/>
  <c r="N216" i="4" s="1"/>
  <c r="N217" i="4" s="1" a="1"/>
  <c r="N217" i="4" s="1"/>
  <c r="N218" i="4" s="1" a="1"/>
  <c r="N218" i="4" s="1"/>
  <c r="N219" i="4" s="1" a="1"/>
  <c r="N219" i="4" s="1"/>
  <c r="N220" i="4" s="1" a="1"/>
  <c r="N220" i="4" s="1"/>
  <c r="N221" i="4" s="1" a="1"/>
  <c r="N221" i="4" s="1"/>
  <c r="N222" i="4" s="1" a="1"/>
  <c r="N222" i="4" s="1"/>
  <c r="N223" i="4" s="1" a="1"/>
  <c r="N223" i="4" s="1"/>
  <c r="N224" i="4" s="1" a="1"/>
  <c r="N224" i="4" s="1"/>
  <c r="N225" i="4" s="1" a="1"/>
  <c r="N225" i="4" s="1"/>
  <c r="N226" i="4" s="1" a="1"/>
  <c r="N226" i="4" s="1"/>
  <c r="N227" i="4" s="1" a="1"/>
  <c r="N227" i="4" s="1"/>
  <c r="N228" i="4" s="1" a="1"/>
  <c r="N228" i="4" s="1"/>
  <c r="N229" i="4" s="1" a="1"/>
  <c r="N229" i="4" s="1"/>
  <c r="N230" i="4" s="1" a="1"/>
  <c r="N230" i="4" s="1"/>
  <c r="N231" i="4" s="1" a="1"/>
  <c r="N231" i="4" s="1"/>
  <c r="N232" i="4" s="1" a="1"/>
  <c r="N232" i="4" s="1"/>
  <c r="N233" i="4" s="1" a="1"/>
  <c r="N233" i="4" s="1"/>
  <c r="N234" i="4" s="1" a="1"/>
  <c r="N234" i="4" s="1"/>
  <c r="N235" i="4" s="1" a="1"/>
  <c r="N235" i="4" s="1"/>
  <c r="N236" i="4" s="1" a="1"/>
  <c r="N236" i="4" s="1"/>
  <c r="N237" i="4" s="1" a="1"/>
  <c r="N237" i="4" s="1"/>
  <c r="N238" i="4" s="1" a="1"/>
  <c r="N238" i="4" s="1"/>
  <c r="N239" i="4" s="1" a="1"/>
  <c r="N239" i="4" s="1"/>
  <c r="N240" i="4" s="1" a="1"/>
  <c r="N240" i="4" s="1"/>
  <c r="N241" i="4" s="1" a="1"/>
  <c r="N241" i="4" s="1"/>
  <c r="N242" i="4" s="1" a="1"/>
  <c r="N242" i="4" s="1"/>
  <c r="N243" i="4" s="1" a="1"/>
  <c r="N243" i="4" s="1"/>
  <c r="N244" i="4" s="1" a="1"/>
  <c r="N244" i="4" s="1"/>
  <c r="N245" i="4" s="1" a="1"/>
  <c r="N245" i="4" s="1"/>
  <c r="N246" i="4" s="1" a="1"/>
  <c r="N246" i="4" s="1"/>
  <c r="N247" i="4" s="1" a="1"/>
  <c r="N247" i="4" s="1"/>
  <c r="N248" i="4" s="1" a="1"/>
  <c r="N248" i="4" s="1"/>
  <c r="N249" i="4" s="1" a="1"/>
  <c r="N249" i="4" s="1"/>
  <c r="N250" i="4" s="1" a="1"/>
  <c r="N250" i="4" s="1"/>
  <c r="B65" i="1" l="1"/>
  <c r="E65" i="1" s="1"/>
  <c r="D64" i="1"/>
  <c r="D71" i="1"/>
  <c r="B47" i="1"/>
  <c r="B56" i="1"/>
  <c r="E56" i="1" s="1"/>
  <c r="B49" i="1"/>
  <c r="E49" i="1" s="1"/>
  <c r="B57" i="1"/>
  <c r="E57" i="1" s="1"/>
  <c r="D58" i="1"/>
  <c r="D47" i="1"/>
  <c r="B38" i="1"/>
  <c r="B40" i="1"/>
  <c r="B54" i="1"/>
  <c r="E54" i="1" s="1"/>
  <c r="D74" i="1"/>
  <c r="B73" i="1"/>
  <c r="E73" i="1" s="1"/>
  <c r="B46" i="1"/>
  <c r="D69" i="1"/>
  <c r="B79" i="1"/>
  <c r="E79" i="1" s="1"/>
  <c r="B43" i="1"/>
  <c r="B71" i="1"/>
  <c r="E71" i="1" s="1"/>
  <c r="B80" i="1"/>
  <c r="E80" i="1" s="1"/>
  <c r="D67" i="1"/>
  <c r="D68" i="1"/>
  <c r="D54" i="1"/>
  <c r="D73" i="1"/>
  <c r="D40" i="1"/>
  <c r="D72" i="1"/>
  <c r="D49" i="1"/>
  <c r="B39" i="1"/>
  <c r="B51" i="1"/>
  <c r="E51" i="1" s="1"/>
  <c r="D41" i="1"/>
  <c r="D59" i="1"/>
  <c r="B64" i="1"/>
  <c r="E64" i="1" s="1"/>
  <c r="D45" i="1"/>
  <c r="D63" i="1"/>
  <c r="B41" i="1"/>
  <c r="B42" i="1"/>
  <c r="B61" i="1"/>
  <c r="E61" i="1" s="1"/>
  <c r="D52" i="1"/>
  <c r="B70" i="1"/>
  <c r="E70" i="1" s="1"/>
  <c r="D43" i="1"/>
  <c r="D70" i="1"/>
  <c r="D78" i="1"/>
  <c r="J80" i="1" s="1"/>
  <c r="D62" i="1"/>
  <c r="D53" i="1"/>
  <c r="B59" i="1"/>
  <c r="E59" i="1" s="1"/>
  <c r="B55" i="1"/>
  <c r="E55" i="1" s="1"/>
  <c r="B68" i="1"/>
  <c r="E68" i="1" s="1"/>
  <c r="B62" i="1"/>
  <c r="E62" i="1" s="1"/>
  <c r="B60" i="1"/>
  <c r="E60" i="1" s="1"/>
  <c r="D57" i="1"/>
  <c r="D77" i="1"/>
  <c r="B45" i="1"/>
  <c r="B67" i="1"/>
  <c r="E67" i="1" s="1"/>
  <c r="B74" i="1"/>
  <c r="E74" i="1" s="1"/>
  <c r="D55" i="1"/>
  <c r="B63" i="1"/>
  <c r="E63" i="1" s="1"/>
  <c r="D51" i="1"/>
  <c r="B69" i="1"/>
  <c r="E69" i="1" s="1"/>
  <c r="D56" i="1"/>
  <c r="B72" i="1"/>
  <c r="E72" i="1" s="1"/>
  <c r="D79" i="1"/>
  <c r="J81" i="1" s="1"/>
  <c r="D65" i="1"/>
  <c r="D48" i="1"/>
  <c r="B52" i="1"/>
  <c r="E52" i="1" s="1"/>
  <c r="D39" i="1"/>
  <c r="B77" i="1"/>
  <c r="E77" i="1" s="1"/>
  <c r="B66" i="1"/>
  <c r="E66" i="1" s="1"/>
  <c r="D46" i="1"/>
  <c r="B78" i="1"/>
  <c r="E78" i="1" s="1"/>
  <c r="B76" i="1"/>
  <c r="E76" i="1" s="1"/>
  <c r="D66" i="1"/>
  <c r="D80" i="1"/>
  <c r="H80" i="1" s="1"/>
  <c r="B44" i="1"/>
  <c r="B75" i="1"/>
  <c r="E75" i="1" s="1"/>
  <c r="D76" i="1"/>
  <c r="B58" i="1"/>
  <c r="E58" i="1" s="1"/>
  <c r="B50" i="1"/>
  <c r="E50" i="1" s="1"/>
  <c r="D61" i="1"/>
  <c r="D75" i="1"/>
  <c r="D38" i="1"/>
  <c r="C38" i="1" s="1"/>
  <c r="D60" i="1"/>
  <c r="D44" i="1"/>
  <c r="B53" i="1"/>
  <c r="E53" i="1" s="1"/>
  <c r="B48" i="1"/>
  <c r="D50" i="1"/>
  <c r="D42" i="1"/>
  <c r="C42" i="1" s="1"/>
  <c r="G63" i="1" l="1"/>
  <c r="G70" i="1"/>
  <c r="G71" i="1"/>
  <c r="G57" i="1"/>
  <c r="G72" i="1"/>
  <c r="G62" i="1"/>
  <c r="G54" i="1"/>
  <c r="G53" i="1"/>
  <c r="G66" i="1"/>
  <c r="G75" i="1"/>
  <c r="G76" i="1"/>
  <c r="A77" i="1"/>
  <c r="G77" i="1"/>
  <c r="G69" i="1"/>
  <c r="G74" i="1"/>
  <c r="G55" i="1"/>
  <c r="G73" i="1"/>
  <c r="G58" i="1"/>
  <c r="G52" i="1"/>
  <c r="G64" i="1"/>
  <c r="A80" i="1"/>
  <c r="G80" i="1"/>
  <c r="G68" i="1"/>
  <c r="G50" i="1"/>
  <c r="A78" i="1"/>
  <c r="G78" i="1"/>
  <c r="G67" i="1"/>
  <c r="G60" i="1"/>
  <c r="G59" i="1"/>
  <c r="G61" i="1"/>
  <c r="G51" i="1"/>
  <c r="G79" i="1"/>
  <c r="G56" i="1"/>
  <c r="G65" i="1"/>
  <c r="C55" i="1"/>
  <c r="A68" i="1"/>
  <c r="A71" i="1"/>
  <c r="A57" i="1"/>
  <c r="A52" i="1"/>
  <c r="A76" i="1"/>
  <c r="A73" i="1"/>
  <c r="A72" i="1"/>
  <c r="A64" i="1"/>
  <c r="A53" i="1"/>
  <c r="A66" i="1"/>
  <c r="A69" i="1"/>
  <c r="A67" i="1"/>
  <c r="A60" i="1"/>
  <c r="A61" i="1"/>
  <c r="C56" i="1"/>
  <c r="A65" i="1"/>
  <c r="C75" i="1"/>
  <c r="C48" i="1"/>
  <c r="A56" i="1"/>
  <c r="C31" i="1"/>
  <c r="C41" i="1"/>
  <c r="A38" i="1"/>
  <c r="A39" i="1" s="1"/>
  <c r="C47" i="1"/>
  <c r="A74" i="1"/>
  <c r="C50" i="1"/>
  <c r="C60" i="1"/>
  <c r="C72" i="1"/>
  <c r="H78" i="1"/>
  <c r="A55" i="1"/>
  <c r="C53" i="1"/>
  <c r="C65" i="1"/>
  <c r="C40" i="1"/>
  <c r="A75" i="1"/>
  <c r="C78" i="1"/>
  <c r="F78" i="1" s="1"/>
  <c r="C63" i="1"/>
  <c r="J79" i="1"/>
  <c r="A70" i="1"/>
  <c r="C44" i="1"/>
  <c r="C74" i="1"/>
  <c r="C69" i="1"/>
  <c r="C59" i="1"/>
  <c r="A79" i="1"/>
  <c r="H79" i="1"/>
  <c r="A59" i="1"/>
  <c r="A63" i="1"/>
  <c r="A54" i="1"/>
  <c r="A62" i="1"/>
  <c r="A58" i="1"/>
  <c r="J82" i="1"/>
  <c r="C66" i="1"/>
  <c r="C77" i="1"/>
  <c r="F77" i="1" s="1"/>
  <c r="C62" i="1"/>
  <c r="C54" i="1"/>
  <c r="C39" i="1"/>
  <c r="C51" i="1"/>
  <c r="C70" i="1"/>
  <c r="C80" i="1"/>
  <c r="F80" i="1" s="1"/>
  <c r="C79" i="1"/>
  <c r="F79" i="1" s="1"/>
  <c r="H77" i="1"/>
  <c r="C67" i="1"/>
  <c r="C46" i="1"/>
  <c r="C43" i="1"/>
  <c r="C73" i="1"/>
  <c r="C58" i="1"/>
  <c r="C49" i="1"/>
  <c r="C71" i="1"/>
  <c r="C76" i="1"/>
  <c r="C61" i="1"/>
  <c r="C57" i="1"/>
  <c r="C52" i="1"/>
  <c r="C68" i="1"/>
  <c r="C64" i="1"/>
  <c r="C45" i="1"/>
  <c r="A40" i="1" l="1"/>
  <c r="A41" i="1" s="1"/>
  <c r="A42" i="1" s="1"/>
  <c r="A43" i="1" s="1"/>
  <c r="A44" i="1" s="1"/>
  <c r="A45" i="1" s="1"/>
  <c r="A46" i="1" s="1"/>
  <c r="A47" i="1" s="1"/>
  <c r="A48" i="1" s="1"/>
  <c r="A49" i="1" l="1"/>
  <c r="A50" i="1" l="1"/>
  <c r="A51" i="1" s="1"/>
  <c r="C32" i="1" l="1"/>
  <c r="K3" i="1" s="1"/>
  <c r="H64" i="1"/>
  <c r="H39" i="1"/>
  <c r="H63" i="1"/>
  <c r="H56" i="1"/>
  <c r="H76" i="1"/>
  <c r="H50" i="1"/>
  <c r="H57" i="1"/>
  <c r="H74" i="1"/>
  <c r="H48" i="1"/>
  <c r="H69" i="1"/>
  <c r="H54" i="1"/>
  <c r="H61" i="1"/>
  <c r="H73" i="1"/>
  <c r="H45" i="1"/>
  <c r="H41" i="1"/>
  <c r="H40" i="1"/>
  <c r="H67" i="1"/>
  <c r="H43" i="1"/>
  <c r="H60" i="1"/>
  <c r="H42" i="1"/>
  <c r="H52" i="1"/>
  <c r="H65" i="1"/>
  <c r="H70" i="1"/>
  <c r="H59" i="1"/>
  <c r="H55" i="1"/>
  <c r="H66" i="1"/>
  <c r="H58" i="1"/>
  <c r="H46" i="1"/>
  <c r="H49" i="1"/>
  <c r="H44" i="1"/>
  <c r="H53" i="1"/>
  <c r="H71" i="1"/>
  <c r="H38" i="1"/>
  <c r="C34" i="1"/>
  <c r="H62" i="1"/>
  <c r="H72" i="1"/>
  <c r="H75" i="1"/>
  <c r="H68" i="1"/>
  <c r="H47" i="1"/>
  <c r="K14" i="1" l="1"/>
  <c r="F51" i="1"/>
  <c r="F55" i="1"/>
  <c r="F59" i="1"/>
  <c r="F63" i="1"/>
  <c r="F67" i="1"/>
  <c r="F71" i="1"/>
  <c r="F75" i="1"/>
  <c r="F52" i="1"/>
  <c r="F56" i="1"/>
  <c r="F60" i="1"/>
  <c r="F64" i="1"/>
  <c r="F68" i="1"/>
  <c r="F72" i="1"/>
  <c r="F76" i="1"/>
  <c r="F49" i="1"/>
  <c r="G49" i="1" s="1"/>
  <c r="F53" i="1"/>
  <c r="F57" i="1"/>
  <c r="F61" i="1"/>
  <c r="F65" i="1"/>
  <c r="F69" i="1"/>
  <c r="F73" i="1"/>
  <c r="F50" i="1"/>
  <c r="F54" i="1"/>
  <c r="F58" i="1"/>
  <c r="F62" i="1"/>
  <c r="F66" i="1"/>
  <c r="F70" i="1"/>
  <c r="F74" i="1"/>
  <c r="K13" i="1"/>
  <c r="K12" i="1"/>
  <c r="K5" i="1"/>
  <c r="K4" i="1"/>
  <c r="E44" i="1" s="1"/>
  <c r="E46" i="1" l="1"/>
  <c r="E42" i="1"/>
  <c r="E45" i="1"/>
  <c r="F45" i="1" s="1"/>
  <c r="G45" i="1" s="1"/>
  <c r="E40" i="1"/>
  <c r="F40" i="1" s="1"/>
  <c r="G40" i="1" s="1"/>
  <c r="E48" i="1"/>
  <c r="F48" i="1" s="1"/>
  <c r="G48" i="1" s="1"/>
  <c r="E41" i="1"/>
  <c r="F41" i="1" s="1"/>
  <c r="G41" i="1" s="1"/>
  <c r="E47" i="1"/>
  <c r="E43" i="1"/>
  <c r="F43" i="1" s="1"/>
  <c r="G43" i="1" s="1"/>
  <c r="E39" i="1"/>
  <c r="E38" i="1"/>
  <c r="F38" i="1" s="1"/>
  <c r="G38" i="1" s="1"/>
  <c r="K8" i="1"/>
  <c r="K15" i="1" s="1"/>
  <c r="F47" i="1"/>
  <c r="G47" i="1" s="1"/>
  <c r="F46" i="1"/>
  <c r="G46" i="1" s="1"/>
  <c r="F42" i="1"/>
  <c r="G42" i="1" s="1"/>
  <c r="F44" i="1"/>
  <c r="G44" i="1" s="1"/>
  <c r="F39" i="1" l="1"/>
  <c r="G3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<sst xmlns="http://schemas.openxmlformats.org/spreadsheetml/2006/main" count="222" uniqueCount="154">
  <si>
    <t>RECONSTITUTION DE CARRIERE</t>
  </si>
  <si>
    <t xml:space="preserve">Informations </t>
  </si>
  <si>
    <t>Diplôme :</t>
  </si>
  <si>
    <t>Date d'obtention :</t>
  </si>
  <si>
    <t>Contrats de travail</t>
  </si>
  <si>
    <t>Lieu d'emploi</t>
  </si>
  <si>
    <t>Poste</t>
  </si>
  <si>
    <t>Date début</t>
  </si>
  <si>
    <t>Date fin</t>
  </si>
  <si>
    <t>Jours de travail</t>
  </si>
  <si>
    <t>soit</t>
  </si>
  <si>
    <t>ans</t>
  </si>
  <si>
    <t>Coefficient</t>
  </si>
  <si>
    <t>Date début d'ancienneté calculée :</t>
  </si>
  <si>
    <t>Coefficient calculé avec l'ancienneté :</t>
  </si>
  <si>
    <t>jours</t>
  </si>
  <si>
    <t xml:space="preserve">Coefficient </t>
  </si>
  <si>
    <t>Durée (années)</t>
  </si>
  <si>
    <t>Prochain changement au :</t>
  </si>
  <si>
    <t>Entrée à la Sauvegarde Isère le :</t>
  </si>
  <si>
    <t>MENSUEL</t>
  </si>
  <si>
    <t>NET</t>
  </si>
  <si>
    <t>Métier</t>
  </si>
  <si>
    <t>Mois</t>
  </si>
  <si>
    <t>Valeur du Point</t>
  </si>
  <si>
    <t>Internat</t>
  </si>
  <si>
    <t>Indemnités de sujetion supplémentaire en points</t>
  </si>
  <si>
    <t>Rémunération brute annuelle</t>
  </si>
  <si>
    <t>Prime d'internat ?</t>
  </si>
  <si>
    <t>OUI</t>
  </si>
  <si>
    <t>NON</t>
  </si>
  <si>
    <t>Pris en compte au 2/3</t>
  </si>
  <si>
    <t>Pris en compte à 100%</t>
  </si>
  <si>
    <t>coefficient de base :</t>
  </si>
  <si>
    <t>CCN 66 ou 51</t>
  </si>
  <si>
    <t>CCN66 ou 51 ?</t>
  </si>
  <si>
    <t>Cumul (année)</t>
  </si>
  <si>
    <t>libellé poste</t>
  </si>
  <si>
    <t>LAFORCADE</t>
  </si>
  <si>
    <t>SEGUR 2</t>
  </si>
  <si>
    <t>SOCIO EDUCATIFS</t>
  </si>
  <si>
    <t>NUMERO DE GRILLE</t>
  </si>
  <si>
    <t>ANCIENNETE</t>
  </si>
  <si>
    <t>COEFFICIENT</t>
  </si>
  <si>
    <t>INTERNAT</t>
  </si>
  <si>
    <t>ERGOTHERAPEUTE</t>
  </si>
  <si>
    <t>EDUCATEUR JEUNES ENFANTS</t>
  </si>
  <si>
    <t>EDUCATEUR SPECIALISE</t>
  </si>
  <si>
    <t>ORTHOPHONISTE</t>
  </si>
  <si>
    <t>PSYCHOMOTRICIEN</t>
  </si>
  <si>
    <t xml:space="preserve">OUVRIER QUALIFIE </t>
  </si>
  <si>
    <t>COORDONATEUR</t>
  </si>
  <si>
    <t>COMPTABLE/RH</t>
  </si>
  <si>
    <t>JURISTE</t>
  </si>
  <si>
    <t>INFIRMIER</t>
  </si>
  <si>
    <t>ASSISTANT COMPTABLE</t>
  </si>
  <si>
    <t>RESPONSABLE LOGISTIQUE C3N3</t>
  </si>
  <si>
    <t>DIRECTEUR DE POLE C1N1</t>
  </si>
  <si>
    <t>CHEF DE SERVICE EDUCATIF C2N2</t>
  </si>
  <si>
    <t>PSYCHIATRE Ø</t>
  </si>
  <si>
    <t>CHEF DE SERVICE EDUCATIF C2N3</t>
  </si>
  <si>
    <t>DIRECTEUR DE POLE ADJOINT C1N2</t>
  </si>
  <si>
    <t>CADRE C3N3</t>
  </si>
  <si>
    <t>DIRECTEUR SERVICE C1N2</t>
  </si>
  <si>
    <t>DIRECTEUR ETABLISSEMENT C1N1</t>
  </si>
  <si>
    <t>CADRE TECHNIQUE RH C3N2</t>
  </si>
  <si>
    <t>DAF C1N1</t>
  </si>
  <si>
    <t>DRH C1N1</t>
  </si>
  <si>
    <t>CADRE C3N2</t>
  </si>
  <si>
    <t>RESPONSABLE SIRH C3N1</t>
  </si>
  <si>
    <t>DIRECTEUR GENERAL CADRE HORS CLASSE</t>
  </si>
  <si>
    <t>PSYCHOLOGUE C3N1</t>
  </si>
  <si>
    <t>AIDE MEDICO PSYCHOLOGIQUE</t>
  </si>
  <si>
    <t>ANIMATEUR SOCIO EDUCATIF</t>
  </si>
  <si>
    <t>EDUCATEUR SPORTIF NIVEAU 4</t>
  </si>
  <si>
    <t>MAITRESSE DE MAISON</t>
  </si>
  <si>
    <t>MONITEUR EDUCATEUR</t>
  </si>
  <si>
    <t>TECHNICIEN QUALIFIE</t>
  </si>
  <si>
    <t>AGENT ADMINISTRATIF</t>
  </si>
  <si>
    <t>SURVEILLANT DE NUIT</t>
  </si>
  <si>
    <t>ASSISTANTE SOCIALE SPECIALISE</t>
  </si>
  <si>
    <t>AGENT DE SERVICE INTERIEUR</t>
  </si>
  <si>
    <t>MONITEUR ADJOINT D'ANIMATION</t>
  </si>
  <si>
    <t>ANIMATEUR</t>
  </si>
  <si>
    <t>AGENT ADMINISTRATIF PRINCIPAL</t>
  </si>
  <si>
    <t>EDUCATEUR TECHNIQUE SPECIALISE</t>
  </si>
  <si>
    <t>PROFESSEUR EPS</t>
  </si>
  <si>
    <t>SURVEILLANT DE NUIT QUALIFIE</t>
  </si>
  <si>
    <t>GESTIONNAIRE RH</t>
  </si>
  <si>
    <t>SECRETAIRE DE DIRECTION NIVEAU 2</t>
  </si>
  <si>
    <t>CONSEILLERE EN ECONOMIE SOCIALE ET FAMILIALE</t>
  </si>
  <si>
    <t>AGENT TECHNIQUE</t>
  </si>
  <si>
    <t>ACCOMPAGNANT EDUCATIF ET SOCIAL</t>
  </si>
  <si>
    <t>EDUCATEUR SPORTIF NIVEAU 3</t>
  </si>
  <si>
    <t>GESTIONNAIRE LOGISTIQUE</t>
  </si>
  <si>
    <t>CHEF CUISINIER</t>
  </si>
  <si>
    <t>TECHNICIEN SUPERIEUR</t>
  </si>
  <si>
    <t>MAITRESSE DE MAISON NON QUALIFIEE</t>
  </si>
  <si>
    <t>AGENT TECHNIQUE SUPERIEUR</t>
  </si>
  <si>
    <t>GESTIONNAIRE COMPTABLE</t>
  </si>
  <si>
    <t>ASSISTANT GRH</t>
  </si>
  <si>
    <t>COMPTABLE CLASSE 1</t>
  </si>
  <si>
    <t>EDUCATEUR SCOLAIRE</t>
  </si>
  <si>
    <t>ASSISTANT DG</t>
  </si>
  <si>
    <t>TECHNICIEN DE L'INTERVENTION SOCIALE ET FAMILIALE</t>
  </si>
  <si>
    <t>CORRESPONDANCE GRILLE METIER</t>
  </si>
  <si>
    <t>Sélectionner un métier</t>
  </si>
  <si>
    <t>Total</t>
  </si>
  <si>
    <t>Simone</t>
  </si>
  <si>
    <t>Indemnité de sujétion spéciale</t>
  </si>
  <si>
    <t>ISP Services généraux</t>
  </si>
  <si>
    <t>Prime CER CEF</t>
  </si>
  <si>
    <t>Temps de travail hebdomadaire moyen :</t>
  </si>
  <si>
    <t>DETAIL DU SALAIRE BRUT</t>
  </si>
  <si>
    <t>ELEMENT</t>
  </si>
  <si>
    <t>MONTANT</t>
  </si>
  <si>
    <t>Avantage en Nature</t>
  </si>
  <si>
    <t>Avantage en Nature :</t>
  </si>
  <si>
    <t>Soit une reprise de :</t>
  </si>
  <si>
    <t>Total Brut Mensuel</t>
  </si>
  <si>
    <t>Variables</t>
  </si>
  <si>
    <t>Valeur</t>
  </si>
  <si>
    <t>CADRE</t>
  </si>
  <si>
    <t>PRIME CER CEF</t>
  </si>
  <si>
    <t>Indemnité Supra conventionnel en point pour 1 ETP :</t>
  </si>
  <si>
    <t>ISP Service généraux</t>
  </si>
  <si>
    <t>Base brute</t>
  </si>
  <si>
    <t>ISSP non cadre</t>
  </si>
  <si>
    <t>Repos Compensateur Surveillant de Nuit</t>
  </si>
  <si>
    <t>Repos comp Trav  Nuit</t>
  </si>
  <si>
    <t>Repos compensateur SDN</t>
  </si>
  <si>
    <t>Prime socio-éducative</t>
  </si>
  <si>
    <t>ACCOMPAGNANT EDUCATIF ET SOCIAL ARS</t>
  </si>
  <si>
    <t>ERGOTHERAPEUTE ARS</t>
  </si>
  <si>
    <t>INFIRMIER ARS</t>
  </si>
  <si>
    <t>ORTHOPHONISTE ARS</t>
  </si>
  <si>
    <t>PSYCHOMOTRICIEN ARS</t>
  </si>
  <si>
    <t>AIDE MEDICO PSYCHOLOGIQUE ARS</t>
  </si>
  <si>
    <t>Astreinte mensualisée en point</t>
  </si>
  <si>
    <t>Astreinte mensualisée</t>
  </si>
  <si>
    <t>ISP Cadre ou statutaire</t>
  </si>
  <si>
    <t>Indemnité Supra conv</t>
  </si>
  <si>
    <t>Prime Laforcade</t>
  </si>
  <si>
    <t>Prime Segur 2</t>
  </si>
  <si>
    <t>Paris</t>
  </si>
  <si>
    <t>DIRECTEUR DE POLE C1N2</t>
  </si>
  <si>
    <t>DIRECTEUR ETABLISSEMENT C1N2</t>
  </si>
  <si>
    <t>DIRECTEUR SERVICE C1N3</t>
  </si>
  <si>
    <t>DRH C1N2</t>
  </si>
  <si>
    <t>PSYCHOLOGUE C3N2</t>
  </si>
  <si>
    <t>RESPONSABLE LOGISTIQUE C3N4</t>
  </si>
  <si>
    <t>RESPONSABLE SIRH C3N2</t>
  </si>
  <si>
    <t>SECRETAIRE DE DIRECTION NIVEAU 3</t>
  </si>
  <si>
    <t>Comptable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</si>
</sst>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0.00\ &quot;heures&quot;"/>
    <numFmt numFmtId="167" formatCode="0\ &quot;points&quot;"/>
    <numFmt numFmtId="168" formatCode="0.00\ &quot;€&quot;"/>
    <numFmt numFmtId="170" formatCode="#\ ##0.00;\-#\ ##0.00;;@"/>
  </numFmts>
  <fonts count="1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9" tint="-0.499984740745262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8"/>
      <name val="Arial"/>
      <family val="2"/>
    </font>
    <font>
      <b/>
      <i/>
      <sz val="10"/>
      <color theme="0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B0F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00B0F0"/>
      </right>
      <top style="thin">
        <color theme="0"/>
      </top>
      <bottom style="thin">
        <color theme="0"/>
      </bottom>
      <diagonal/>
    </border>
    <border>
      <left style="thin">
        <color rgb="FF00B0F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00B0F0"/>
      </right>
      <top style="thin">
        <color theme="0"/>
      </top>
      <bottom/>
      <diagonal/>
    </border>
    <border>
      <left style="thin">
        <color rgb="FF00B0F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rgb="FF00B0F0"/>
      </right>
      <top/>
      <bottom style="thin">
        <color theme="0"/>
      </bottom>
      <diagonal/>
    </border>
    <border>
      <left style="thin">
        <color rgb="FF00B0F0"/>
      </left>
      <right/>
      <top/>
      <bottom style="thin">
        <color theme="0"/>
      </bottom>
      <diagonal/>
    </border>
  </borders>
  <cellStyleXfs count="6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6" fillId="0" borderId="0"/>
    <xf numFmtId="0" fontId="11" fillId="0" borderId="0"/>
    <xf numFmtId="0" fontId="2" fillId="0" borderId="0"/>
  </cellStyleXfs>
  <cellXfs count="10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1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6" fillId="0" borderId="0" xfId="0" applyFont="1" applyAlignment="1">
      <alignment horizontal="center" vertical="center"/>
    </xf>
    <xf numFmtId="164" fontId="0" fillId="0" borderId="0" xfId="0" applyNumberFormat="1"/>
    <xf numFmtId="0" fontId="6" fillId="0" borderId="0" xfId="0" applyFont="1"/>
    <xf numFmtId="0" fontId="6" fillId="0" borderId="0" xfId="0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right" vertical="center"/>
    </xf>
    <xf numFmtId="2" fontId="0" fillId="0" borderId="0" xfId="0" applyNumberFormat="1"/>
    <xf numFmtId="2" fontId="0" fillId="0" borderId="0" xfId="0" applyNumberFormat="1" applyAlignment="1">
      <alignment vertical="center"/>
    </xf>
    <xf numFmtId="2" fontId="5" fillId="0" borderId="0" xfId="0" applyNumberFormat="1" applyFont="1" applyAlignment="1">
      <alignment vertical="center"/>
    </xf>
    <xf numFmtId="2" fontId="6" fillId="0" borderId="0" xfId="0" applyNumberFormat="1" applyFont="1"/>
    <xf numFmtId="1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14" fontId="6" fillId="0" borderId="1" xfId="0" applyNumberFormat="1" applyFont="1" applyBorder="1" applyAlignment="1">
      <alignment vertical="center"/>
    </xf>
    <xf numFmtId="14" fontId="0" fillId="0" borderId="0" xfId="0" applyNumberFormat="1"/>
    <xf numFmtId="2" fontId="0" fillId="0" borderId="0" xfId="0" applyNumberFormat="1" applyAlignment="1">
      <alignment horizontal="center"/>
    </xf>
    <xf numFmtId="2" fontId="9" fillId="0" borderId="0" xfId="0" applyNumberFormat="1" applyFont="1" applyFill="1" applyAlignment="1">
      <alignment vertical="center"/>
    </xf>
    <xf numFmtId="2" fontId="10" fillId="0" borderId="0" xfId="0" applyNumberFormat="1" applyFont="1" applyAlignment="1">
      <alignment vertic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43" fontId="0" fillId="0" borderId="0" xfId="1" applyFont="1" applyBorder="1"/>
    <xf numFmtId="10" fontId="0" fillId="0" borderId="0" xfId="2" applyNumberFormat="1" applyFont="1"/>
    <xf numFmtId="0" fontId="6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0" xfId="5" applyAlignment="1">
      <alignment horizontal="center"/>
    </xf>
    <xf numFmtId="0" fontId="2" fillId="0" borderId="0" xfId="5"/>
    <xf numFmtId="0" fontId="2" fillId="0" borderId="2" xfId="5" applyBorder="1" applyAlignment="1">
      <alignment horizontal="center" vertical="center"/>
    </xf>
    <xf numFmtId="0" fontId="2" fillId="0" borderId="2" xfId="5" applyBorder="1" applyAlignment="1">
      <alignment horizontal="center"/>
    </xf>
    <xf numFmtId="0" fontId="2" fillId="0" borderId="3" xfId="5" applyBorder="1" applyAlignment="1">
      <alignment horizontal="center"/>
    </xf>
    <xf numFmtId="0" fontId="2" fillId="0" borderId="2" xfId="5" applyFont="1" applyFill="1" applyBorder="1" applyAlignment="1">
      <alignment horizontal="center"/>
    </xf>
    <xf numFmtId="0" fontId="2" fillId="0" borderId="3" xfId="5" applyFont="1" applyFill="1" applyBorder="1" applyAlignment="1">
      <alignment horizontal="center"/>
    </xf>
    <xf numFmtId="0" fontId="2" fillId="0" borderId="4" xfId="5" applyFont="1" applyFill="1" applyBorder="1" applyAlignment="1">
      <alignment horizontal="center"/>
    </xf>
    <xf numFmtId="0" fontId="12" fillId="4" borderId="0" xfId="5" applyFont="1" applyFill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9" xfId="0" applyFont="1" applyBorder="1" applyAlignment="1">
      <alignment vertical="center"/>
    </xf>
    <xf numFmtId="14" fontId="0" fillId="0" borderId="9" xfId="0" applyNumberFormat="1" applyBorder="1" applyAlignment="1">
      <alignment vertical="center"/>
    </xf>
    <xf numFmtId="43" fontId="0" fillId="0" borderId="1" xfId="1" applyFont="1" applyBorder="1" applyAlignment="1">
      <alignment vertical="center"/>
    </xf>
    <xf numFmtId="43" fontId="0" fillId="0" borderId="9" xfId="1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43" fontId="0" fillId="0" borderId="6" xfId="1" applyFont="1" applyBorder="1" applyAlignment="1">
      <alignment vertical="center"/>
    </xf>
    <xf numFmtId="43" fontId="0" fillId="0" borderId="10" xfId="1" applyFont="1" applyBorder="1" applyAlignment="1">
      <alignment vertical="center"/>
    </xf>
    <xf numFmtId="165" fontId="0" fillId="0" borderId="9" xfId="0" applyNumberFormat="1" applyBorder="1" applyAlignment="1">
      <alignment vertical="center"/>
    </xf>
    <xf numFmtId="0" fontId="13" fillId="5" borderId="1" xfId="0" applyFont="1" applyFill="1" applyBorder="1" applyAlignment="1">
      <alignment horizontal="center" vertical="center" wrapText="1"/>
    </xf>
    <xf numFmtId="0" fontId="12" fillId="4" borderId="2" xfId="5" applyFont="1" applyFill="1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0" fontId="2" fillId="0" borderId="2" xfId="5" applyFont="1" applyFill="1" applyBorder="1" applyAlignment="1">
      <alignment horizontal="center" vertical="center" wrapText="1"/>
    </xf>
    <xf numFmtId="0" fontId="2" fillId="0" borderId="0" xfId="5" applyAlignment="1">
      <alignment horizontal="center" vertical="center" wrapText="1"/>
    </xf>
    <xf numFmtId="0" fontId="12" fillId="4" borderId="4" xfId="5" applyFont="1" applyFill="1" applyBorder="1" applyAlignment="1">
      <alignment horizontal="center" vertical="center" wrapText="1"/>
    </xf>
    <xf numFmtId="14" fontId="5" fillId="0" borderId="0" xfId="0" applyNumberFormat="1" applyFont="1"/>
    <xf numFmtId="0" fontId="3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center"/>
    </xf>
    <xf numFmtId="0" fontId="15" fillId="0" borderId="7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8" fillId="6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/>
    </xf>
    <xf numFmtId="14" fontId="7" fillId="6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14" fontId="7" fillId="7" borderId="0" xfId="0" applyNumberFormat="1" applyFont="1" applyFill="1" applyAlignment="1">
      <alignment vertical="center"/>
    </xf>
    <xf numFmtId="0" fontId="4" fillId="7" borderId="0" xfId="0" applyFont="1" applyFill="1" applyBorder="1" applyAlignment="1">
      <alignment horizontal="center" vertical="center"/>
    </xf>
    <xf numFmtId="14" fontId="6" fillId="7" borderId="0" xfId="0" applyNumberFormat="1" applyFont="1" applyFill="1" applyAlignment="1">
      <alignment horizontal="center" vertical="center"/>
    </xf>
    <xf numFmtId="0" fontId="1" fillId="0" borderId="0" xfId="5" applyFont="1"/>
    <xf numFmtId="14" fontId="5" fillId="8" borderId="0" xfId="0" applyNumberFormat="1" applyFont="1" applyFill="1" applyAlignment="1">
      <alignment vertical="center"/>
    </xf>
    <xf numFmtId="0" fontId="12" fillId="4" borderId="12" xfId="5" applyNumberFormat="1" applyFont="1" applyFill="1" applyBorder="1" applyAlignment="1">
      <alignment horizontal="center" vertical="center" wrapText="1"/>
    </xf>
    <xf numFmtId="166" fontId="7" fillId="7" borderId="0" xfId="0" applyNumberFormat="1" applyFont="1" applyFill="1" applyAlignment="1">
      <alignment vertical="center"/>
    </xf>
    <xf numFmtId="0" fontId="2" fillId="0" borderId="0" xfId="5" applyFill="1"/>
    <xf numFmtId="0" fontId="1" fillId="0" borderId="0" xfId="5" applyFont="1" applyFill="1"/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3" fontId="11" fillId="0" borderId="0" xfId="1" applyFont="1" applyBorder="1"/>
    <xf numFmtId="0" fontId="5" fillId="6" borderId="0" xfId="0" applyNumberFormat="1" applyFont="1" applyFill="1" applyAlignment="1">
      <alignment horizontal="center"/>
    </xf>
    <xf numFmtId="165" fontId="0" fillId="0" borderId="10" xfId="0" applyNumberFormat="1" applyFont="1" applyBorder="1" applyAlignment="1">
      <alignment vertical="center"/>
    </xf>
    <xf numFmtId="167" fontId="7" fillId="7" borderId="0" xfId="0" applyNumberFormat="1" applyFont="1" applyFill="1" applyAlignment="1">
      <alignment vertical="center"/>
    </xf>
    <xf numFmtId="168" fontId="7" fillId="7" borderId="0" xfId="0" applyNumberFormat="1" applyFont="1" applyFill="1" applyAlignment="1">
      <alignment vertical="center"/>
    </xf>
    <xf numFmtId="0" fontId="15" fillId="0" borderId="11" xfId="0" applyFont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/>
    </xf>
    <xf numFmtId="170" fontId="13" fillId="0" borderId="13" xfId="1" applyNumberFormat="1" applyFont="1" applyFill="1" applyBorder="1"/>
    <xf numFmtId="0" fontId="13" fillId="0" borderId="15" xfId="0" applyFont="1" applyFill="1" applyBorder="1" applyAlignment="1">
      <alignment horizontal="left"/>
    </xf>
    <xf numFmtId="0" fontId="13" fillId="0" borderId="14" xfId="0" applyFont="1" applyFill="1" applyBorder="1" applyAlignment="1">
      <alignment horizontal="left"/>
    </xf>
    <xf numFmtId="0" fontId="13" fillId="0" borderId="16" xfId="0" applyFont="1" applyFill="1" applyBorder="1" applyAlignment="1">
      <alignment horizontal="left"/>
    </xf>
    <xf numFmtId="0" fontId="13" fillId="0" borderId="17" xfId="0" applyFont="1" applyFill="1" applyBorder="1" applyAlignment="1">
      <alignment horizontal="left"/>
    </xf>
    <xf numFmtId="0" fontId="13" fillId="0" borderId="18" xfId="0" applyFont="1" applyFill="1" applyBorder="1" applyAlignment="1">
      <alignment horizontal="left"/>
    </xf>
    <xf numFmtId="0" fontId="13" fillId="0" borderId="17" xfId="0" applyFont="1" applyFill="1" applyBorder="1"/>
    <xf numFmtId="170" fontId="13" fillId="0" borderId="19" xfId="1" applyNumberFormat="1" applyFont="1" applyFill="1" applyBorder="1"/>
    <xf numFmtId="0" fontId="13" fillId="0" borderId="18" xfId="0" applyFont="1" applyFill="1" applyBorder="1"/>
    <xf numFmtId="0" fontId="13" fillId="0" borderId="17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170" fontId="13" fillId="0" borderId="20" xfId="1" applyNumberFormat="1" applyFont="1" applyFill="1" applyBorder="1"/>
    <xf numFmtId="0" fontId="13" fillId="0" borderId="21" xfId="0" applyFont="1" applyFill="1" applyBorder="1" applyAlignment="1">
      <alignment horizontal="left"/>
    </xf>
    <xf numFmtId="0" fontId="13" fillId="0" borderId="22" xfId="0" applyFont="1" applyFill="1" applyBorder="1" applyAlignment="1">
      <alignment horizontal="left"/>
    </xf>
    <xf numFmtId="0" fontId="13" fillId="0" borderId="13" xfId="0" applyFont="1" applyFill="1" applyBorder="1" applyAlignment="1">
      <alignment horizontal="center"/>
    </xf>
    <xf numFmtId="0" fontId="17" fillId="0" borderId="15" xfId="0" applyFont="1" applyFill="1" applyBorder="1" applyAlignment="1">
      <alignment horizontal="left" vertical="center"/>
    </xf>
    <xf numFmtId="0" fontId="17" fillId="0" borderId="14" xfId="0" applyFont="1" applyFill="1" applyBorder="1" applyAlignment="1">
      <alignment horizontal="left" vertical="center"/>
    </xf>
    <xf numFmtId="170" fontId="17" fillId="0" borderId="13" xfId="1" applyNumberFormat="1" applyFont="1" applyFill="1" applyBorder="1" applyAlignment="1">
      <alignment vertical="center"/>
    </xf>
  </cellXfs>
  <cellStyles count="6">
    <cellStyle name="Milliers" xfId="1" builtinId="3"/>
    <cellStyle name="Normal" xfId="0" builtinId="0"/>
    <cellStyle name="Normal 2" xfId="4" xr:uid="{A6DDD6C8-05C9-4B0D-9267-270409494059}"/>
    <cellStyle name="Normal 3" xfId="3" xr:uid="{BB586E4F-B8A2-4DA4-91C1-48E65E75E21C}"/>
    <cellStyle name="Normal 4" xfId="5" xr:uid="{549D2D4B-8B22-46AE-953C-BFCA564316BD}"/>
    <cellStyle name="Pourcentage" xfId="2" builtinId="5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color rgb="FF00B0F0"/>
      </font>
      <fill>
        <patternFill>
          <bgColor theme="1"/>
        </patternFill>
      </fill>
      <border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</dxf>
    <dxf>
      <font>
        <b/>
        <i val="0"/>
        <color theme="1"/>
      </font>
      <fill>
        <patternFill>
          <bgColor theme="7" tint="0.59996337778862885"/>
        </patternFill>
      </fill>
    </dxf>
    <dxf>
      <numFmt numFmtId="35" formatCode="_-* #,##0.00_-;\-* #,##0.00_-;_-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3FB0166-BF16-4479-90C8-E01BAAFC95FF}" name="Carriere" displayName="Carriere" ref="A15:H23" totalsRowCount="1" headerRowDxfId="27" dataDxfId="39" headerRowBorderDxfId="40" tableBorderDxfId="38" totalsRowBorderDxfId="37">
  <autoFilter ref="A15:H22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B11E76C-1358-4D8E-9062-388C1245AE71}" name="CCN 66 ou 51" totalsRowLabel="Total" dataDxfId="18" totalsRowDxfId="7"/>
    <tableColumn id="2" xr3:uid="{8EDB74EE-3976-4FA1-B04D-941BE8C6B8C7}" name="Lieu d'emploi" dataDxfId="17" totalsRowDxfId="6"/>
    <tableColumn id="3" xr3:uid="{4AD2F048-680E-4447-B82D-D6E0A1D14BB1}" name="Poste" dataDxfId="16" totalsRowDxfId="5"/>
    <tableColumn id="4" xr3:uid="{BCB813ED-9608-4ED1-9C2F-1A10D886AD3D}" name="Date début" dataDxfId="15" totalsRowDxfId="4"/>
    <tableColumn id="5" xr3:uid="{463FA0C8-0292-4637-8AF7-FDAC7237C6DC}" name="Date fin" dataDxfId="14" totalsRowDxfId="3"/>
    <tableColumn id="6" xr3:uid="{6F6FFD26-F9BC-4AF2-8FB1-F3479F281C23}" name="Jours de travail" totalsRowFunction="sum" dataDxfId="13" totalsRowDxfId="2" dataCellStyle="Milliers">
      <calculatedColumnFormula>IF(OR(ISBLANK(Carriere[[#This Row],[Date début]]),ISBLANK(Carriere[[#This Row],[Date fin]])),"",(Carriere[[#This Row],[Date fin]]-Carriere[[#This Row],[Date début]]+1))</calculatedColumnFormula>
    </tableColumn>
    <tableColumn id="7" xr3:uid="{711CC4BD-3955-4D45-95C0-2706ACDDC4BC}" name="Pris en compte au 2/3" totalsRowFunction="sum" dataDxfId="12" totalsRowDxfId="1" dataCellStyle="Milliers">
      <calculatedColumnFormula>IFERROR(IF($A16="non",$F16/3*2,""),"")</calculatedColumnFormula>
    </tableColumn>
    <tableColumn id="8" xr3:uid="{BA859742-E2AF-4E64-B213-92132F8947C7}" name="Pris en compte à 100%" totalsRowFunction="sum" totalsRowDxfId="0" dataCellStyle="Milliers">
      <calculatedColumnFormula>IF($A16="oui",$F16,"")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14887-007F-4F80-A871-5917D3045413}" name="Postes" displayName="Postes" ref="A1:I133" totalsRowShown="0" headerRowDxfId="36" dataDxfId="34" headerRowBorderDxfId="35" headerRowCellStyle="Normal 4">
  <autoFilter ref="A1:I133" xr:uid="{230288E1-5B2B-4DDA-BA46-7046905C5295}"/>
  <tableColumns count="9">
    <tableColumn id="1" xr3:uid="{040C2C2B-EF3B-4007-A9EC-7C03BCD99323}" name="libellé poste" dataDxfId="33" dataCellStyle="Normal 4"/>
    <tableColumn id="7" xr3:uid="{FACC1372-BE8B-4905-B207-B4B3C06EB0A7}" name="INTERNAT" dataCellStyle="Normal 4"/>
    <tableColumn id="9" xr3:uid="{81799AEA-0A63-4814-9736-C842849AFF1D}" name="CADRE" dataCellStyle="Normal 4"/>
    <tableColumn id="8" xr3:uid="{2F4D9839-50DC-4898-AB53-50340708B99B}" name="NUMERO DE GRILLE" dataCellStyle="Normal 4"/>
    <tableColumn id="2" xr3:uid="{CE2CAEDC-33FA-4AB8-B797-FAAE1982BF1C}" name="LAFORCADE" dataDxfId="32"/>
    <tableColumn id="3" xr3:uid="{D28B27DB-75A8-49DC-82F5-A9776822F09B}" name="SEGUR 2" dataDxfId="31"/>
    <tableColumn id="4" xr3:uid="{A225ADB0-036C-4B5C-A5A0-2D9308ABDE4B}" name="SOCIO EDUCATIFS" dataDxfId="30"/>
    <tableColumn id="5" xr3:uid="{F9B0CE6B-8CFE-42CE-B105-1F7D54D2751D}" name="Repos Compensateur Surveillant de Nuit" dataDxfId="29"/>
    <tableColumn id="6" xr3:uid="{9CC16B53-176C-403B-ADAA-DB7FC0D0CAC7}" name="ISP Services généraux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BA0B30-299B-4ABA-B1BB-39A11C03D599}" name="Grille" displayName="Grille" ref="K1:N250" totalsRowShown="0" dataDxfId="24" tableBorderDxfId="23">
  <autoFilter ref="K1:N250" xr:uid="{2D457707-2D56-4A81-A364-05D4B49FF0B8}"/>
  <tableColumns count="4">
    <tableColumn id="1" xr3:uid="{93F98A2F-9CE2-4071-9F7F-8C5990C60C49}" name="NUMERO DE GRILLE" dataDxfId="22"/>
    <tableColumn id="2" xr3:uid="{91005ABE-A87C-49FA-BD89-06E43661B654}" name="ANCIENNETE" dataDxfId="21"/>
    <tableColumn id="3" xr3:uid="{0547F2E5-24E7-404F-9A41-5FD7039562FA}" name="COEFFICIENT" dataDxfId="20"/>
    <tableColumn id="4" xr3:uid="{6D98693D-6C14-40A9-A5EC-333BFD6DD9F5}" name="CORRESPONDANCE GRILLE METIER" dataDxfId="19">
      <calculatedColumnFormula array="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GRILLE]],MAX($N$1:N1)+1)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9350B97-6843-44A6-88E5-608CF3F1D26B}" name="Prime_Internat" displayName="Prime_Internat" ref="P1:P3" totalsRowShown="0">
  <autoFilter ref="P1:P3" xr:uid="{FA7D3E93-D1E8-4295-9425-8C9C30A89461}"/>
  <tableColumns count="1">
    <tableColumn id="1" xr3:uid="{5419EDE4-A127-4C40-A127-60E0C906ECC6}" name="Prime d'internat ?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9F58CA2-C1FD-49F8-897C-E6E56E2D0FBE}" name="Variables" displayName="Variables" ref="R1:S4" totalsRowShown="0" headerRowDxfId="26" headerRowCellStyle="Normal 4">
  <autoFilter ref="R1:S4" xr:uid="{99F58CA2-C1FD-49F8-897C-E6E56E2D0FBE}"/>
  <tableColumns count="2">
    <tableColumn id="1" xr3:uid="{48C4B431-3BDF-47A2-941A-FF9B1787453A}" name="Variables"/>
    <tableColumn id="2" xr3:uid="{83F97647-E5DF-4A53-ABE0-A049FF9EE7CB}" name="Valeur">
      <calculatedColumnFormula>9.21/100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7D4958-CB69-4187-85FA-C424E8A20B03}" name="Prime_CER" displayName="Prime_CER" ref="Y1:Y3" totalsRowShown="0">
  <autoFilter ref="Y1:Y3" xr:uid="{7B7D4958-CB69-4187-85FA-C424E8A20B03}"/>
  <tableColumns count="1">
    <tableColumn id="1" xr3:uid="{E1360247-52D3-4A0F-9DA6-D2F3F74FD445}" name="Prime CER CEF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9183E3-DB79-4B88-8E96-85218FEB21D6}" name="CCN66_OU_51" displayName="CCN66_OU_51" ref="U1:U3" totalsRowShown="0" headerRowDxfId="25" headerRowCellStyle="Normal 4">
  <autoFilter ref="U1:U3" xr:uid="{719183E3-DB79-4B88-8E96-85218FEB21D6}"/>
  <tableColumns count="1">
    <tableColumn id="1" xr3:uid="{47BB4178-EFBE-400C-AD5E-11CE51B842DB}" name="CCN66 ou 51 ?"/>
  </tableColumns>
  <tableStyleInfo name="TableStyleMedium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Texture grunge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67000"/>
                <a:shade val="65000"/>
              </a:schemeClr>
              <a:schemeClr val="phClr">
                <a:tint val="10000"/>
                <a:satMod val="130000"/>
              </a:schemeClr>
            </a:duotone>
          </a:blip>
          <a:tile tx="0" ty="0" sx="60000" sy="59000" flip="none" algn="b"/>
        </a:blipFill>
        <a:blipFill rotWithShape="1">
          <a:blip xmlns:r="http://schemas.openxmlformats.org/officeDocument/2006/relationships" r:embed="rId1">
            <a:duotone>
              <a:schemeClr val="phClr">
                <a:shade val="30000"/>
                <a:satMod val="115000"/>
              </a:schemeClr>
              <a:schemeClr val="phClr">
                <a:tint val="34000"/>
              </a:schemeClr>
            </a:duotone>
          </a:blip>
          <a:tile tx="0" ty="0" sx="60000" sy="59000" flip="none" algn="b"/>
        </a:blipFill>
      </a:fillStyleLst>
      <a:lnStyleLst>
        <a:ln w="6350" cap="flat" cmpd="sng" algn="ctr">
          <a:solidFill>
            <a:schemeClr val="phClr">
              <a:tint val="7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softEdge rad="12700"/>
          </a:effectLst>
        </a:effectStyle>
        <a:effectStyle>
          <a:effectLst>
            <a:outerShdw blurRad="50800" dist="19050" dir="5400000" algn="tl" rotWithShape="0">
              <a:srgbClr val="000000">
                <a:alpha val="60000"/>
              </a:srgbClr>
            </a:outerShdw>
            <a:softEdge rad="12700"/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pageSetUpPr fitToPage="1"/>
  </sheetPr>
  <dimension ref="A1:K82"/>
  <sheetViews>
    <sheetView showGridLines="0" showZeros="0" tabSelected="1" topLeftCell="A28" zoomScaleNormal="100" workbookViewId="0">
      <selection activeCell="C17" sqref="C17"/>
    </sheetView>
  </sheetViews>
  <sheetFormatPr baseColWidth="10" defaultRowHeight="13.2" x14ac:dyDescent="0.25"/>
  <cols>
    <col min="1" max="1" width="10.5546875" customWidth="1"/>
    <col min="2" max="2" width="32.33203125" bestFit="1" customWidth="1"/>
    <col min="3" max="3" width="53.109375" bestFit="1" customWidth="1"/>
    <col min="4" max="6" width="14.5546875" customWidth="1"/>
    <col min="7" max="7" width="15.6640625" customWidth="1"/>
    <col min="8" max="8" width="14" customWidth="1"/>
    <col min="10" max="10" width="10" customWidth="1"/>
    <col min="11" max="11" width="15.77734375" customWidth="1"/>
  </cols>
  <sheetData>
    <row r="1" spans="1:11" ht="17.399999999999999" x14ac:dyDescent="0.3">
      <c r="A1" s="62" t="s">
        <v>0</v>
      </c>
      <c r="B1" s="62"/>
      <c r="C1" s="62"/>
      <c r="D1" s="62"/>
      <c r="E1" s="62"/>
      <c r="F1" s="62"/>
      <c r="G1" s="62"/>
      <c r="H1" s="62"/>
      <c r="I1" s="89" t="s">
        <v>113</v>
      </c>
      <c r="J1" s="89"/>
      <c r="K1" s="89"/>
    </row>
    <row r="2" spans="1:11" x14ac:dyDescent="0.25">
      <c r="B2" s="1"/>
      <c r="C2" s="1"/>
      <c r="D2" s="1"/>
      <c r="E2" s="1"/>
      <c r="F2" s="1"/>
      <c r="G2" s="1"/>
      <c r="I2" s="99" t="s">
        <v>114</v>
      </c>
      <c r="J2" s="100"/>
      <c r="K2" s="104" t="s">
        <v>115</v>
      </c>
    </row>
    <row r="3" spans="1:11" ht="15.6" x14ac:dyDescent="0.25">
      <c r="A3" s="73" t="s">
        <v>108</v>
      </c>
      <c r="B3" s="73"/>
      <c r="C3" s="73"/>
      <c r="D3" s="73"/>
      <c r="E3" s="73"/>
      <c r="F3" s="73"/>
      <c r="G3" s="73"/>
      <c r="H3" s="73"/>
      <c r="I3" s="94" t="s">
        <v>126</v>
      </c>
      <c r="J3" s="95"/>
      <c r="K3" s="97">
        <f>IFERROR(IF(Internat="Prime d'internat ?","Prime Internat ?",Coefficient_calculé_avec_l_ancienneté*Valeur_du_Point*Temps_travail_hebdo/35),"")</f>
        <v>2483.7600000000002</v>
      </c>
    </row>
    <row r="4" spans="1:11" x14ac:dyDescent="0.25">
      <c r="B4" s="1"/>
      <c r="C4" s="1"/>
      <c r="D4" s="1"/>
      <c r="E4" s="1"/>
      <c r="F4" s="1"/>
      <c r="G4" s="1"/>
      <c r="I4" s="96" t="s">
        <v>127</v>
      </c>
      <c r="J4" s="98"/>
      <c r="K4" s="90">
        <f>IFERROR(IF(INDEX(Postes[CADRE],MATCH(Metier,Postes[libellé poste],0),1)=TRUE,"",Base_brute*Taux_ISSP),"")</f>
        <v>228.75429600000007</v>
      </c>
    </row>
    <row r="5" spans="1:11" ht="18.75" customHeight="1" x14ac:dyDescent="0.25">
      <c r="A5" s="63" t="s">
        <v>1</v>
      </c>
      <c r="B5" s="63"/>
      <c r="C5" s="63"/>
      <c r="D5" s="63"/>
      <c r="E5" s="63"/>
      <c r="F5" s="63"/>
      <c r="G5" s="63"/>
      <c r="H5" s="63"/>
      <c r="I5" s="99" t="s">
        <v>140</v>
      </c>
      <c r="J5" s="100"/>
      <c r="K5" s="97">
        <f>IF(Base_brute="","",ISSUPL*Valeur_du_Point)</f>
        <v>0</v>
      </c>
    </row>
    <row r="6" spans="1:11" x14ac:dyDescent="0.25">
      <c r="B6" s="2"/>
      <c r="C6" s="2"/>
      <c r="D6" s="2"/>
      <c r="E6" s="2"/>
      <c r="F6" s="2"/>
      <c r="G6" s="1"/>
      <c r="I6" s="94" t="s">
        <v>125</v>
      </c>
      <c r="J6" s="95"/>
      <c r="K6" s="90" t="str">
        <f>IFERROR(IF(INDEX(Postes[ISP Services généraux],MATCH(Metier,Postes[libellé poste],0),1)=FALSE,"",7*Temps_travail_hebdo/35*Valeur_du_Point),"")</f>
        <v/>
      </c>
    </row>
    <row r="7" spans="1:11" x14ac:dyDescent="0.25">
      <c r="B7" s="3" t="s">
        <v>2</v>
      </c>
      <c r="C7" s="72"/>
      <c r="D7" s="1" t="s">
        <v>111</v>
      </c>
      <c r="E7" s="4"/>
      <c r="F7" s="1"/>
      <c r="G7" s="76" t="b">
        <v>1</v>
      </c>
      <c r="I7" s="91" t="s">
        <v>123</v>
      </c>
      <c r="J7" s="93"/>
      <c r="K7" s="101">
        <f>IF(prime_CEF_CER="Prime CER CEF","Prime CER CEF ?",prime_CEF_CER*40*Valeur_du_Point*Temps_travail_hebdo/35)</f>
        <v>157.20000000000002</v>
      </c>
    </row>
    <row r="8" spans="1:11" x14ac:dyDescent="0.25">
      <c r="B8" s="3" t="s">
        <v>3</v>
      </c>
      <c r="C8" s="74"/>
      <c r="D8" s="1" t="s">
        <v>112</v>
      </c>
      <c r="E8" s="5"/>
      <c r="F8" s="1"/>
      <c r="G8" s="78">
        <v>35</v>
      </c>
      <c r="I8" s="91" t="s">
        <v>129</v>
      </c>
      <c r="J8" s="92"/>
      <c r="K8" s="90" t="str">
        <f>IF(INDEX(Postes[Repos Compensateur Surveillant de Nuit],MATCH(Metier,Postes[libellé poste],0),1)=FALSE,"",(Base_brute+ISSP_NON_CADRE+ISP_SG+IF(ISNUMBER(Montant_Prime_CER_CEF),Montant_Prime_CER_CEF,0))*Taux_Repos_compensateur_SDN)</f>
        <v/>
      </c>
    </row>
    <row r="9" spans="1:11" x14ac:dyDescent="0.25">
      <c r="B9" s="3" t="s">
        <v>22</v>
      </c>
      <c r="C9" s="76" t="s">
        <v>136</v>
      </c>
      <c r="D9" s="1" t="s">
        <v>124</v>
      </c>
      <c r="E9" s="5"/>
      <c r="F9" s="1"/>
      <c r="G9" s="86">
        <v>35</v>
      </c>
      <c r="I9" s="102" t="s">
        <v>131</v>
      </c>
      <c r="J9" s="103"/>
      <c r="K9" s="90" t="str">
        <f>IFERROR(IF(INDEX(Postes[SOCIO EDUCATIFS],MATCH(Metier,Postes[libellé poste],0),1)=FALSE,"",238*Temps_travail_hebdo/35),"")</f>
        <v/>
      </c>
    </row>
    <row r="10" spans="1:11" x14ac:dyDescent="0.25">
      <c r="B10" s="3" t="s">
        <v>25</v>
      </c>
      <c r="C10" s="76" t="b">
        <v>1</v>
      </c>
      <c r="D10" s="1" t="s">
        <v>117</v>
      </c>
      <c r="E10" s="5"/>
      <c r="F10" s="1"/>
      <c r="G10" s="87"/>
      <c r="I10" s="94" t="s">
        <v>142</v>
      </c>
      <c r="J10" s="95"/>
      <c r="K10" s="97">
        <f>IFERROR(IF(INDEX(Postes[LAFORCADE],MATCH(Metier,Postes[libellé poste],0),1)=FALSE,"",238*Temps_travail_hebdo/35),"")</f>
        <v>238</v>
      </c>
    </row>
    <row r="11" spans="1:11" ht="26.4" x14ac:dyDescent="0.25">
      <c r="B11" s="32" t="s">
        <v>26</v>
      </c>
      <c r="C11" s="86"/>
      <c r="D11" s="1" t="s">
        <v>138</v>
      </c>
      <c r="E11" s="5"/>
      <c r="F11" s="1"/>
      <c r="G11" s="86"/>
      <c r="I11" s="91" t="s">
        <v>143</v>
      </c>
      <c r="J11" s="92"/>
      <c r="K11" s="90">
        <f>IFERROR(IF(INDEX(Postes[SEGUR 2],MATCH(Metier,Postes[libellé poste],0),1)=FALSE,"",38*Temps_travail_hebdo/35),"")</f>
        <v>38</v>
      </c>
    </row>
    <row r="12" spans="1:11" x14ac:dyDescent="0.25">
      <c r="B12" s="3"/>
      <c r="C12" s="3"/>
      <c r="D12" s="1"/>
      <c r="E12" s="5"/>
      <c r="F12" s="1"/>
      <c r="G12" s="1"/>
      <c r="I12" s="91" t="s">
        <v>141</v>
      </c>
      <c r="J12" s="92"/>
      <c r="K12" s="90">
        <f>IF(Base_brute="","",ISCONV*Valeur_du_Point*Temps_travail_hebdo/35)</f>
        <v>137.55000000000001</v>
      </c>
    </row>
    <row r="13" spans="1:11" ht="15.6" x14ac:dyDescent="0.25">
      <c r="A13" s="63" t="s">
        <v>4</v>
      </c>
      <c r="B13" s="63"/>
      <c r="C13" s="63"/>
      <c r="D13" s="63"/>
      <c r="E13" s="63"/>
      <c r="F13" s="63"/>
      <c r="G13" s="63"/>
      <c r="H13" s="63"/>
      <c r="I13" s="91" t="s">
        <v>139</v>
      </c>
      <c r="J13" s="93"/>
      <c r="K13" s="90">
        <f>IF(Base_brute="","",+Astreinte_mensualisee*Valeur_du_Point)</f>
        <v>0</v>
      </c>
    </row>
    <row r="14" spans="1:11" x14ac:dyDescent="0.25">
      <c r="B14" s="1"/>
      <c r="C14" s="1"/>
      <c r="D14" s="1"/>
      <c r="E14" s="1"/>
      <c r="F14" s="1"/>
      <c r="G14" s="1"/>
      <c r="I14" s="91" t="s">
        <v>116</v>
      </c>
      <c r="J14" s="93"/>
      <c r="K14" s="90">
        <f>IF(Base_brute="","",AN)</f>
        <v>0</v>
      </c>
    </row>
    <row r="15" spans="1:11" ht="39.6" x14ac:dyDescent="0.25">
      <c r="A15" s="65" t="s">
        <v>34</v>
      </c>
      <c r="B15" s="65" t="s">
        <v>5</v>
      </c>
      <c r="C15" s="65" t="s">
        <v>6</v>
      </c>
      <c r="D15" s="65" t="s">
        <v>7</v>
      </c>
      <c r="E15" s="65" t="s">
        <v>8</v>
      </c>
      <c r="F15" s="65" t="s">
        <v>9</v>
      </c>
      <c r="G15" s="65" t="s">
        <v>31</v>
      </c>
      <c r="H15" s="88" t="s">
        <v>32</v>
      </c>
      <c r="I15" s="105" t="s">
        <v>119</v>
      </c>
      <c r="J15" s="106"/>
      <c r="K15" s="107">
        <f>SUM(K3:K14)</f>
        <v>3283.2642960000003</v>
      </c>
    </row>
    <row r="16" spans="1:11" ht="21" customHeight="1" x14ac:dyDescent="0.25">
      <c r="A16" s="43" t="s">
        <v>29</v>
      </c>
      <c r="B16" s="6" t="s">
        <v>144</v>
      </c>
      <c r="C16" s="7" t="s">
        <v>153</v>
      </c>
      <c r="D16" s="22">
        <v>38353</v>
      </c>
      <c r="E16" s="8">
        <v>43831</v>
      </c>
      <c r="F16" s="50">
        <f>IF(OR(ISBLANK(Carriere[[#This Row],[Date début]]),ISBLANK(Carriere[[#This Row],[Date fin]])),"",(Carriere[[#This Row],[Date fin]]-Carriere[[#This Row],[Date début]]+1))</f>
        <v>5479</v>
      </c>
      <c r="G16" s="48" t="str">
        <f t="shared" ref="G16:G22" si="0">IFERROR(IF($A16="non",$F16/3*2,""),"")</f>
        <v/>
      </c>
      <c r="H16" s="51">
        <f>IF($A16="oui",$F16,"")</f>
        <v>5479</v>
      </c>
    </row>
    <row r="17" spans="1:11" ht="21" customHeight="1" x14ac:dyDescent="0.25">
      <c r="A17" s="43" t="s">
        <v>29</v>
      </c>
      <c r="B17" s="6"/>
      <c r="C17" s="7"/>
      <c r="D17" s="22"/>
      <c r="E17" s="8"/>
      <c r="F17" s="50" t="str">
        <f>IF(OR(ISBLANK(Carriere[[#This Row],[Date début]]),ISBLANK(Carriere[[#This Row],[Date fin]])),"",(Carriere[[#This Row],[Date fin]]-Carriere[[#This Row],[Date début]]+1))</f>
        <v/>
      </c>
      <c r="G17" s="48" t="str">
        <f t="shared" si="0"/>
        <v/>
      </c>
      <c r="H17" s="51" t="str">
        <f t="shared" ref="H17:H22" si="1">IF($A17="oui",$F17,"")</f>
        <v/>
      </c>
      <c r="I17" s="29"/>
    </row>
    <row r="18" spans="1:11" ht="21" customHeight="1" x14ac:dyDescent="0.25">
      <c r="A18" s="43" t="s">
        <v>29</v>
      </c>
      <c r="B18" s="6"/>
      <c r="C18" s="7"/>
      <c r="D18" s="22"/>
      <c r="E18" s="8"/>
      <c r="F18" s="50" t="str">
        <f>IF(OR(ISBLANK(Carriere[[#This Row],[Date début]]),ISBLANK(Carriere[[#This Row],[Date fin]])),"",(Carriere[[#This Row],[Date fin]]-Carriere[[#This Row],[Date début]]+1))</f>
        <v/>
      </c>
      <c r="G18" s="48" t="str">
        <f t="shared" si="0"/>
        <v/>
      </c>
      <c r="H18" s="51" t="str">
        <f t="shared" si="1"/>
        <v/>
      </c>
    </row>
    <row r="19" spans="1:11" ht="21" customHeight="1" x14ac:dyDescent="0.25">
      <c r="A19" s="43" t="s">
        <v>29</v>
      </c>
      <c r="B19" s="6"/>
      <c r="C19" s="7"/>
      <c r="D19" s="22"/>
      <c r="E19" s="8"/>
      <c r="F19" s="50" t="str">
        <f>IF(OR(ISBLANK(Carriere[[#This Row],[Date début]]),ISBLANK(Carriere[[#This Row],[Date fin]])),"",(Carriere[[#This Row],[Date fin]]-Carriere[[#This Row],[Date début]]+1))</f>
        <v/>
      </c>
      <c r="G19" s="48" t="str">
        <f t="shared" si="0"/>
        <v/>
      </c>
      <c r="H19" s="51" t="str">
        <f>IF($A19="oui",$F19,"")</f>
        <v/>
      </c>
    </row>
    <row r="20" spans="1:11" ht="21" customHeight="1" x14ac:dyDescent="0.25">
      <c r="A20" s="43" t="s">
        <v>29</v>
      </c>
      <c r="B20" s="6"/>
      <c r="C20" s="33"/>
      <c r="D20" s="22"/>
      <c r="E20" s="8"/>
      <c r="F20" s="50" t="str">
        <f>IF(OR(ISBLANK(Carriere[[#This Row],[Date début]]),ISBLANK(Carriere[[#This Row],[Date fin]])),"",(Carriere[[#This Row],[Date fin]]-Carriere[[#This Row],[Date début]]+1))</f>
        <v/>
      </c>
      <c r="G20" s="48" t="str">
        <f t="shared" si="0"/>
        <v/>
      </c>
      <c r="H20" s="51" t="str">
        <f t="shared" si="1"/>
        <v/>
      </c>
    </row>
    <row r="21" spans="1:11" ht="21" customHeight="1" x14ac:dyDescent="0.25">
      <c r="A21" s="43" t="s">
        <v>29</v>
      </c>
      <c r="B21" s="6"/>
      <c r="C21" s="7"/>
      <c r="D21" s="22"/>
      <c r="E21" s="8"/>
      <c r="F21" s="50" t="str">
        <f>IF(OR(ISBLANK(Carriere[[#This Row],[Date début]]),ISBLANK(Carriere[[#This Row],[Date fin]])),"",(Carriere[[#This Row],[Date fin]]-Carriere[[#This Row],[Date début]]+1))</f>
        <v/>
      </c>
      <c r="G21" s="48" t="str">
        <f t="shared" si="0"/>
        <v/>
      </c>
      <c r="H21" s="51" t="str">
        <f t="shared" si="1"/>
        <v/>
      </c>
    </row>
    <row r="22" spans="1:11" ht="21" customHeight="1" x14ac:dyDescent="0.25">
      <c r="A22" s="43" t="s">
        <v>29</v>
      </c>
      <c r="B22" s="45"/>
      <c r="C22" s="46"/>
      <c r="D22" s="22"/>
      <c r="E22" s="47"/>
      <c r="F22" s="50" t="str">
        <f>IF(OR(ISBLANK(Carriere[[#This Row],[Date début]]),ISBLANK(Carriere[[#This Row],[Date fin]])),"",(Carriere[[#This Row],[Date fin]]-Carriere[[#This Row],[Date début]]+1))</f>
        <v/>
      </c>
      <c r="G22" s="49" t="str">
        <f t="shared" si="0"/>
        <v/>
      </c>
      <c r="H22" s="52" t="str">
        <f t="shared" si="1"/>
        <v/>
      </c>
    </row>
    <row r="23" spans="1:11" x14ac:dyDescent="0.25">
      <c r="A23" s="44" t="s">
        <v>107</v>
      </c>
      <c r="B23" s="45"/>
      <c r="C23" s="46"/>
      <c r="D23" s="46"/>
      <c r="E23" s="45"/>
      <c r="F23" s="53">
        <f>SUBTOTAL(109,Carriere[Jours de travail])</f>
        <v>5479</v>
      </c>
      <c r="G23" s="53">
        <f>SUBTOTAL(109,Carriere[Pris en compte au 2/3])</f>
        <v>0</v>
      </c>
      <c r="H23" s="85">
        <f>SUBTOTAL(109,Carriere[Pris en compte à 100%])</f>
        <v>5479</v>
      </c>
    </row>
    <row r="24" spans="1:11" x14ac:dyDescent="0.25">
      <c r="B24" s="1"/>
      <c r="C24" s="1"/>
      <c r="D24" s="1"/>
      <c r="E24" s="1"/>
      <c r="F24" s="17" t="str">
        <f>ROUND(Carriere[[#Totals],[Jours de travail]]/365,2)&amp;" ans"</f>
        <v>15,01 ans</v>
      </c>
      <c r="G24" s="19">
        <f>Carriere[[#Totals],[Pris en compte au 2/3]]+Carriere[[#Totals],[Pris en compte à 100%]]</f>
        <v>5479</v>
      </c>
      <c r="H24" s="10" t="s">
        <v>15</v>
      </c>
    </row>
    <row r="25" spans="1:11" x14ac:dyDescent="0.25">
      <c r="B25" s="1"/>
      <c r="C25" s="1"/>
      <c r="D25" s="9" t="s">
        <v>10</v>
      </c>
      <c r="E25" s="15">
        <f>(+Carriere[[#Totals],[Pris en compte à 100%]]+Carriere[[#Totals],[Pris en compte au 2/3]])/365</f>
        <v>15.010958904109589</v>
      </c>
      <c r="F25" s="11" t="s">
        <v>11</v>
      </c>
      <c r="G25" s="3"/>
      <c r="H25" s="18"/>
    </row>
    <row r="26" spans="1:11" s="1" customFormat="1" ht="15.6" x14ac:dyDescent="0.25">
      <c r="A26" s="63" t="s">
        <v>12</v>
      </c>
      <c r="B26" s="63"/>
      <c r="C26" s="63"/>
      <c r="D26" s="63"/>
      <c r="E26" s="63"/>
      <c r="F26" s="63"/>
      <c r="G26" s="63"/>
      <c r="H26" s="63"/>
      <c r="I26"/>
      <c r="J26"/>
      <c r="K26"/>
    </row>
    <row r="27" spans="1:11" s="1" customFormat="1" x14ac:dyDescent="0.25">
      <c r="I27" s="11"/>
      <c r="J27"/>
      <c r="K27"/>
    </row>
    <row r="28" spans="1:11" s="1" customFormat="1" x14ac:dyDescent="0.25">
      <c r="B28" s="12" t="s">
        <v>19</v>
      </c>
      <c r="C28" s="71">
        <v>45230</v>
      </c>
      <c r="E28" s="16"/>
      <c r="G28" s="16"/>
      <c r="I28"/>
      <c r="J28"/>
      <c r="K28"/>
    </row>
    <row r="29" spans="1:11" s="1" customFormat="1" x14ac:dyDescent="0.25">
      <c r="B29" s="12"/>
      <c r="C29" s="13"/>
      <c r="E29" s="16"/>
    </row>
    <row r="30" spans="1:11" s="1" customFormat="1" x14ac:dyDescent="0.25">
      <c r="B30" s="14" t="s">
        <v>13</v>
      </c>
      <c r="C30" s="67">
        <f>C28-G24</f>
        <v>39751</v>
      </c>
      <c r="D30" s="5"/>
      <c r="E30" s="16"/>
    </row>
    <row r="31" spans="1:11" s="1" customFormat="1" x14ac:dyDescent="0.25">
      <c r="B31" s="14" t="s">
        <v>33</v>
      </c>
      <c r="C31" s="68">
        <f>IF(ISBLANK(B38),"",B38)</f>
        <v>446</v>
      </c>
    </row>
    <row r="32" spans="1:11" s="1" customFormat="1" x14ac:dyDescent="0.25">
      <c r="B32" s="21" t="s">
        <v>14</v>
      </c>
      <c r="C32" s="84">
        <f>IFERROR(INDEX(Tableau_remuneration,MATCH(C30+G24,A37:A60,1),2),"")</f>
        <v>632</v>
      </c>
      <c r="D32" s="24"/>
      <c r="F32" s="25"/>
    </row>
    <row r="33" spans="1:11" s="1" customFormat="1" x14ac:dyDescent="0.25">
      <c r="B33" s="21"/>
      <c r="C33" s="20"/>
      <c r="F33" s="26"/>
    </row>
    <row r="34" spans="1:11" s="1" customFormat="1" x14ac:dyDescent="0.25">
      <c r="B34" s="12" t="s">
        <v>18</v>
      </c>
      <c r="C34" s="69">
        <f>IFERROR(DATE(YEAR(INDEX($A$38:$C$60,MATCH($C$30+$G$24,$A$38:$A$60,1),1))+INDEX(A38:C60,MATCH(INDEX($A$38:$C$60,MATCH($C$30+$G$24,$A$38:$A$60,1),1),A38:A47,0),3),MONTH(INDEX($A$38:$C$60,MATCH($C$30+$G$24,$A$38:$A$60,1),1)),DAY(INDEX($A$38:$C$60,MATCH($C$30+$G$24,$A$38:$A$60,1),1))),"")</f>
        <v>45931</v>
      </c>
    </row>
    <row r="35" spans="1:11" s="1" customFormat="1" x14ac:dyDescent="0.25">
      <c r="B35" s="66" t="s">
        <v>118</v>
      </c>
      <c r="C35" s="70" t="str">
        <f>DATEDIF(C30,C28,"y")&amp;" ans, "&amp;DATEDIF(C30,C28,"ym")&amp;" mois et "&amp;DATEDIF(C30,C28,"md")&amp;" jours"</f>
        <v>15 ans, 0 mois et 1 jours</v>
      </c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26.4" x14ac:dyDescent="0.25">
      <c r="A37" s="54" t="s">
        <v>23</v>
      </c>
      <c r="B37" s="54" t="s">
        <v>16</v>
      </c>
      <c r="C37" s="54" t="s">
        <v>17</v>
      </c>
      <c r="D37" s="54" t="s">
        <v>36</v>
      </c>
      <c r="E37" s="54" t="s">
        <v>27</v>
      </c>
      <c r="F37" s="54" t="s">
        <v>20</v>
      </c>
      <c r="G37" s="54" t="s">
        <v>21</v>
      </c>
      <c r="I37" s="1"/>
      <c r="J37" s="1"/>
      <c r="K37" s="1"/>
    </row>
    <row r="38" spans="1:11" x14ac:dyDescent="0.25">
      <c r="A38" s="81">
        <f>IF(ISNUMBER(B38),DATE(YEAR(C30),MONTH($C$30),1),"")</f>
        <v>39722</v>
      </c>
      <c r="B38" s="82">
        <f>IFERROR(INDEX(Grille[],MATCH(ROW(A1),Grille[CORRESPONDANCE GRILLE METIER],0),3),"")</f>
        <v>446</v>
      </c>
      <c r="C38" s="82">
        <f>IFERROR(D38,"")</f>
        <v>1</v>
      </c>
      <c r="D38" s="82">
        <f>IFERROR(INDEX(Grille[],MATCH(ROW(A2),Grille[CORRESPONDANCE GRILLE METIER],0),2),"")</f>
        <v>1</v>
      </c>
      <c r="E38" s="83">
        <f>IF(ISNUMBER(B38),(B38*Valeur_du_Point*Temps_travail_hebdo/35+IF(INDEX(Postes[CADRE],MATCH(Metier,Postes[libellé poste],0),1)=TRUE,0,B38*Valeur_du_Point*Taux_ISSP*Temps_travail_hebdo/35)+ISSUPL*Valeur_du_Point+IF(INDEX(Postes[ISP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29819.532456000001</v>
      </c>
      <c r="F38" s="83">
        <f>IF(ISNUMBER(E38),E38/12,"")</f>
        <v>2484.9610379999999</v>
      </c>
      <c r="G38" s="83">
        <f>IF(ISNUMBER(B38),(F38-AN)*0.77,"")</f>
        <v>1913.4199992599999</v>
      </c>
      <c r="H38" s="4" t="str">
        <f t="shared" ref="H38:H50" si="2">IFERROR(IF(INDEX($A$38:$C$60,MATCH($C$30+$G$24,$A$38:$A$60,1),1)=$A38,"SALAIRE ET COEFFICIENT RETENU",""),"")</f>
        <v/>
      </c>
      <c r="I38" s="1"/>
      <c r="J38" s="1"/>
      <c r="K38" s="1"/>
    </row>
    <row r="39" spans="1:11" x14ac:dyDescent="0.25">
      <c r="A39" s="81">
        <f t="shared" ref="A39:A80" si="3">IF(ISNUMBER(B39),DATE(YEAR(A38)+C38,MONTH($C$30),1),"")</f>
        <v>40087</v>
      </c>
      <c r="B39" s="82">
        <f>IFERROR(INDEX(Grille[],MATCH(ROW(A2),Grille[CORRESPONDANCE GRILLE METIER],0),3),"")</f>
        <v>459</v>
      </c>
      <c r="C39" s="82">
        <f>IFERROR(D39-D38,"")</f>
        <v>2</v>
      </c>
      <c r="D39" s="82">
        <f>IFERROR(INDEX(Grille[],MATCH(ROW(A3),Grille[CORRESPONDANCE GRILLE METIER],0),2),"")</f>
        <v>3</v>
      </c>
      <c r="E39" s="83">
        <f>IF(ISNUMBER(B39),(B39*Valeur_du_Point*Temps_travail_hebdo/35+IF(INDEX(Postes[CADRE],MATCH(Metier,Postes[libellé poste],0),1)=TRUE,0,B39*Valeur_du_Point*Taux_ISSP*Temps_travail_hebdo/35)+ISSUPL*Valeur_du_Point+IF(INDEX(Postes[ISP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30489.077124000003</v>
      </c>
      <c r="F39" s="83">
        <f t="shared" ref="F39:F49" si="4">IF(ISNUMBER(E39),E39/12,"")</f>
        <v>2540.7564270000003</v>
      </c>
      <c r="G39" s="83">
        <f>IF(ISNUMBER(B39),(F39-AN)*0.77,"")</f>
        <v>1956.3824487900004</v>
      </c>
      <c r="H39" s="4" t="str">
        <f t="shared" si="2"/>
        <v/>
      </c>
    </row>
    <row r="40" spans="1:11" x14ac:dyDescent="0.25">
      <c r="A40" s="81">
        <f t="shared" si="3"/>
        <v>40817</v>
      </c>
      <c r="B40" s="82">
        <f>IFERROR(INDEX(Grille[],MATCH(ROW(A3),Grille[CORRESPONDANCE GRILLE METIER],0),3),"")</f>
        <v>491</v>
      </c>
      <c r="C40" s="82">
        <f>IFERROR(D40-D39,"")</f>
        <v>2</v>
      </c>
      <c r="D40" s="82">
        <f>IFERROR(INDEX(Grille[],MATCH(ROW(A4),Grille[CORRESPONDANCE GRILLE METIER],0),2),"")</f>
        <v>5</v>
      </c>
      <c r="E40" s="83">
        <f>IF(ISNUMBER(B40),(B40*Valeur_du_Point*Temps_travail_hebdo/35+IF(INDEX(Postes[CADRE],MATCH(Metier,Postes[libellé poste],0),1)=TRUE,0,B40*Valeur_du_Point*Taux_ISSP*Temps_travail_hebdo/35)+ISSUPL*Valeur_du_Point+IF(INDEX(Postes[ISP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32137.187076000002</v>
      </c>
      <c r="F40" s="83">
        <f t="shared" si="4"/>
        <v>2678.098923</v>
      </c>
      <c r="G40" s="83">
        <f>IF(ISNUMBER(B40),(F40-AN)*0.77,"")</f>
        <v>2062.13617071</v>
      </c>
      <c r="H40" s="4" t="str">
        <f t="shared" si="2"/>
        <v/>
      </c>
    </row>
    <row r="41" spans="1:11" x14ac:dyDescent="0.25">
      <c r="A41" s="81">
        <f t="shared" si="3"/>
        <v>41548</v>
      </c>
      <c r="B41" s="82">
        <f>IFERROR(INDEX(Grille[],MATCH(ROW(A4),Grille[CORRESPONDANCE GRILLE METIER],0),3),"")</f>
        <v>517</v>
      </c>
      <c r="C41" s="82">
        <f t="shared" ref="C41:C80" si="5">IFERROR(D41-D40,"")</f>
        <v>2</v>
      </c>
      <c r="D41" s="82">
        <f>IFERROR(INDEX(Grille[],MATCH(ROW(A5),Grille[CORRESPONDANCE GRILLE METIER],0),2),"")</f>
        <v>7</v>
      </c>
      <c r="E41" s="83">
        <f>IF(ISNUMBER(B41),(B41*Valeur_du_Point*Temps_travail_hebdo/35+IF(INDEX(Postes[CADRE],MATCH(Metier,Postes[libellé poste],0),1)=TRUE,0,B41*Valeur_du_Point*Taux_ISSP*Temps_travail_hebdo/35)+ISSUPL*Valeur_du_Point+IF(INDEX(Postes[ISP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33476.276412000007</v>
      </c>
      <c r="F41" s="83">
        <f t="shared" si="4"/>
        <v>2789.6897010000007</v>
      </c>
      <c r="G41" s="83">
        <f>IF(ISNUMBER(B41),(F41-AN)*0.77,"")</f>
        <v>2148.0610697700004</v>
      </c>
      <c r="H41" s="4" t="str">
        <f t="shared" si="2"/>
        <v/>
      </c>
    </row>
    <row r="42" spans="1:11" x14ac:dyDescent="0.25">
      <c r="A42" s="81">
        <f t="shared" si="3"/>
        <v>42278</v>
      </c>
      <c r="B42" s="82">
        <f>IFERROR(INDEX(Grille[],MATCH(ROW(A5),Grille[CORRESPONDANCE GRILLE METIER],0),3),"")</f>
        <v>552</v>
      </c>
      <c r="C42" s="82">
        <f t="shared" si="5"/>
        <v>2</v>
      </c>
      <c r="D42" s="82">
        <f>IFERROR(INDEX(Grille[],MATCH(ROW(A6),Grille[CORRESPONDANCE GRILLE METIER],0),2),"")</f>
        <v>9</v>
      </c>
      <c r="E42" s="83">
        <f>IF(ISNUMBER(B42),(B42*Valeur_du_Point*Temps_travail_hebdo/35+IF(INDEX(Postes[CADRE],MATCH(Metier,Postes[libellé poste],0),1)=TRUE,0,B42*Valeur_du_Point*Taux_ISSP*Temps_travail_hebdo/35)+ISSUPL*Valeur_du_Point+IF(INDEX(Postes[ISP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35278.896672000003</v>
      </c>
      <c r="F42" s="83">
        <f t="shared" si="4"/>
        <v>2939.9080560000002</v>
      </c>
      <c r="G42" s="83">
        <f>IF(ISNUMBER(B42),(F42-AN)*0.77,"")</f>
        <v>2263.7292031200004</v>
      </c>
      <c r="H42" s="4" t="str">
        <f t="shared" si="2"/>
        <v/>
      </c>
      <c r="I42" s="23"/>
    </row>
    <row r="43" spans="1:11" x14ac:dyDescent="0.25">
      <c r="A43" s="81">
        <f t="shared" si="3"/>
        <v>43009</v>
      </c>
      <c r="B43" s="82">
        <f>IFERROR(INDEX(Grille[],MATCH(ROW(A6),Grille[CORRESPONDANCE GRILLE METIER],0),3),"")</f>
        <v>586</v>
      </c>
      <c r="C43" s="82">
        <f t="shared" si="5"/>
        <v>2</v>
      </c>
      <c r="D43" s="82">
        <f>IFERROR(INDEX(Grille[],MATCH(ROW(A7),Grille[CORRESPONDANCE GRILLE METIER],0),2),"")</f>
        <v>11</v>
      </c>
      <c r="E43" s="83">
        <f>IF(ISNUMBER(B43),(B43*Valeur_du_Point*Temps_travail_hebdo/35+IF(INDEX(Postes[CADRE],MATCH(Metier,Postes[libellé poste],0),1)=TRUE,0,B43*Valeur_du_Point*Taux_ISSP*Temps_travail_hebdo/35)+ISSUPL*Valeur_du_Point+IF(INDEX(Postes[ISP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37030.013496</v>
      </c>
      <c r="F43" s="83">
        <f t="shared" si="4"/>
        <v>3085.8344579999998</v>
      </c>
      <c r="G43" s="83">
        <f>IF(ISNUMBER(B43),(F43-AN)*0.77,"")</f>
        <v>2376.09253266</v>
      </c>
      <c r="H43" s="4" t="str">
        <f t="shared" si="2"/>
        <v/>
      </c>
      <c r="I43" s="23"/>
    </row>
    <row r="44" spans="1:11" x14ac:dyDescent="0.25">
      <c r="A44" s="81">
        <f t="shared" si="3"/>
        <v>43739</v>
      </c>
      <c r="B44" s="82">
        <f>IFERROR(INDEX(Grille[],MATCH(ROW(A7),Grille[CORRESPONDANCE GRILLE METIER],0),3),"")</f>
        <v>597</v>
      </c>
      <c r="C44" s="82">
        <f t="shared" si="5"/>
        <v>3</v>
      </c>
      <c r="D44" s="82">
        <f>IFERROR(INDEX(Grille[],MATCH(ROW(A8),Grille[CORRESPONDANCE GRILLE METIER],0),2),"")</f>
        <v>14</v>
      </c>
      <c r="E44" s="83">
        <f>IF(ISNUMBER(B44),(B44*Valeur_du_Point*Temps_travail_hebdo/35+IF(INDEX(Postes[CADRE],MATCH(Metier,Postes[libellé poste],0),1)=TRUE,0,B44*Valeur_du_Point*Taux_ISSP*Temps_travail_hebdo/35)+ISSUPL*Valeur_du_Point+IF(INDEX(Postes[ISP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37596.551292000004</v>
      </c>
      <c r="F44" s="83">
        <f t="shared" si="4"/>
        <v>3133.0459410000003</v>
      </c>
      <c r="G44" s="83">
        <f>IF(ISNUMBER(B44),(F44-AN)*0.77,"")</f>
        <v>2412.4453745700002</v>
      </c>
      <c r="H44" s="4" t="str">
        <f t="shared" si="2"/>
        <v/>
      </c>
    </row>
    <row r="45" spans="1:11" x14ac:dyDescent="0.25">
      <c r="A45" s="81">
        <f t="shared" si="3"/>
        <v>44835</v>
      </c>
      <c r="B45" s="82">
        <f>IFERROR(INDEX(Grille[],MATCH(ROW(A8),Grille[CORRESPONDANCE GRILLE METIER],0),3),"")</f>
        <v>632</v>
      </c>
      <c r="C45" s="82">
        <f t="shared" si="5"/>
        <v>3</v>
      </c>
      <c r="D45" s="82">
        <f>IFERROR(INDEX(Grille[],MATCH(ROW(A9),Grille[CORRESPONDANCE GRILLE METIER],0),2),"")</f>
        <v>17</v>
      </c>
      <c r="E45" s="83">
        <f>IF(ISNUMBER(B45),(B45*Valeur_du_Point*Temps_travail_hebdo/35+IF(INDEX(Postes[CADRE],MATCH(Metier,Postes[libellé poste],0),1)=TRUE,0,B45*Valeur_du_Point*Taux_ISSP*Temps_travail_hebdo/35)+ISSUPL*Valeur_du_Point+IF(INDEX(Postes[ISP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39399.171552</v>
      </c>
      <c r="F45" s="83">
        <f t="shared" si="4"/>
        <v>3283.2642959999998</v>
      </c>
      <c r="G45" s="83">
        <f>IF(ISNUMBER(B45),(F45-AN)*0.77,"")</f>
        <v>2528.1135079199998</v>
      </c>
      <c r="H45" s="4" t="str">
        <f t="shared" si="2"/>
        <v>SALAIRE ET COEFFICIENT RETENU</v>
      </c>
    </row>
    <row r="46" spans="1:11" x14ac:dyDescent="0.25">
      <c r="A46" s="81">
        <f t="shared" si="3"/>
        <v>45931</v>
      </c>
      <c r="B46" s="82">
        <f>IFERROR(INDEX(Grille[],MATCH(ROW(A9),Grille[CORRESPONDANCE GRILLE METIER],0),3),"")</f>
        <v>665</v>
      </c>
      <c r="C46" s="82">
        <f t="shared" si="5"/>
        <v>3</v>
      </c>
      <c r="D46" s="82">
        <f>IFERROR(INDEX(Grille[],MATCH(ROW(A10),Grille[CORRESPONDANCE GRILLE METIER],0),2),"")</f>
        <v>20</v>
      </c>
      <c r="E46" s="83">
        <f>IF(ISNUMBER(B46),(B46*Valeur_du_Point*Temps_travail_hebdo/35+IF(INDEX(Postes[CADRE],MATCH(Metier,Postes[libellé poste],0),1)=TRUE,0,B46*Valeur_du_Point*Taux_ISSP*Temps_travail_hebdo/35)+ISSUPL*Valeur_du_Point+IF(INDEX(Postes[ISP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41098.784940000005</v>
      </c>
      <c r="F46" s="83">
        <f t="shared" si="4"/>
        <v>3424.8987450000004</v>
      </c>
      <c r="G46" s="83">
        <f>IF(ISNUMBER(B46),(F46-AN)*0.77,"")</f>
        <v>2637.1720336500002</v>
      </c>
      <c r="H46" s="4" t="str">
        <f t="shared" si="2"/>
        <v/>
      </c>
    </row>
    <row r="47" spans="1:11" x14ac:dyDescent="0.25">
      <c r="A47" s="81">
        <f t="shared" si="3"/>
        <v>47027</v>
      </c>
      <c r="B47" s="82">
        <f>IFERROR(INDEX(Grille[],MATCH(ROW(A10),Grille[CORRESPONDANCE GRILLE METIER],0),3),"")</f>
        <v>698</v>
      </c>
      <c r="C47" s="82">
        <f t="shared" si="5"/>
        <v>4</v>
      </c>
      <c r="D47" s="82">
        <f>IFERROR(INDEX(Grille[],MATCH(ROW(A11),Grille[CORRESPONDANCE GRILLE METIER],0),2),"")</f>
        <v>24</v>
      </c>
      <c r="E47" s="83">
        <f>IF(ISNUMBER(B47),(B47*Valeur_du_Point*Temps_travail_hebdo/35+IF(INDEX(Postes[CADRE],MATCH(Metier,Postes[libellé poste],0),1)=TRUE,0,B47*Valeur_du_Point*Taux_ISSP*Temps_travail_hebdo/35)+ISSUPL*Valeur_du_Point+IF(INDEX(Postes[ISP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42798.39832800001</v>
      </c>
      <c r="F47" s="83">
        <f t="shared" si="4"/>
        <v>3566.533194000001</v>
      </c>
      <c r="G47" s="83">
        <f>IF(ISNUMBER(B47),(F47-AN)*0.77,"")</f>
        <v>2746.2305593800006</v>
      </c>
      <c r="H47" s="4" t="str">
        <f t="shared" si="2"/>
        <v/>
      </c>
    </row>
    <row r="48" spans="1:11" x14ac:dyDescent="0.25">
      <c r="A48" s="81">
        <f t="shared" si="3"/>
        <v>48488</v>
      </c>
      <c r="B48" s="82">
        <f>IFERROR(INDEX(Grille[],MATCH(ROW(A11),Grille[CORRESPONDANCE GRILLE METIER],0),3),"")</f>
        <v>735</v>
      </c>
      <c r="C48" s="82">
        <f t="shared" si="5"/>
        <v>4</v>
      </c>
      <c r="D48" s="82">
        <f>IFERROR(INDEX(Grille[],MATCH(ROW(A12),Grille[CORRESPONDANCE GRILLE METIER],0),2),"")</f>
        <v>28</v>
      </c>
      <c r="E48" s="83">
        <f>IF(ISNUMBER(B48),(B48*Valeur_du_Point*Temps_travail_hebdo/35+IF(INDEX(Postes[CADRE],MATCH(Metier,Postes[libellé poste],0),1)=TRUE,0,B48*Valeur_du_Point*Taux_ISSP*Temps_travail_hebdo/35)+ISSUPL*Valeur_du_Point+IF(INDEX(Postes[ISP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44704.025460000004</v>
      </c>
      <c r="F48" s="83">
        <f t="shared" si="4"/>
        <v>3725.3354550000004</v>
      </c>
      <c r="G48" s="83">
        <f>IF(ISNUMBER(B48),(F48-AN)*0.77,"")</f>
        <v>2868.5083003500004</v>
      </c>
      <c r="H48" s="4" t="str">
        <f t="shared" si="2"/>
        <v/>
      </c>
    </row>
    <row r="49" spans="1:10" x14ac:dyDescent="0.25">
      <c r="A49" s="81">
        <f t="shared" si="3"/>
        <v>49949</v>
      </c>
      <c r="B49" s="82">
        <f>IFERROR(INDEX(Grille[],MATCH(ROW(A12),Grille[CORRESPONDANCE GRILLE METIER],0),3),"")</f>
        <v>783</v>
      </c>
      <c r="C49" s="82" t="str">
        <f t="shared" si="5"/>
        <v/>
      </c>
      <c r="D49" s="82" t="str">
        <f>IFERROR(INDEX(Grille[],MATCH(ROW(A13),Grille[CORRESPONDANCE GRILLE METIER],0),2),"")</f>
        <v/>
      </c>
      <c r="E49" s="83">
        <f>IF(ISNUMBER(B49),(B49*Valeur_du_Point*Temps_travail_hebdo/35+IF(INDEX(Postes[CADRE],MATCH(Metier,Postes[libellé poste],0),1)=TRUE,0,B49*Valeur_du_Point*Taux_ISSP*Temps_travail_hebdo/35)+ISSUPL*Valeur_du_Point+IF(INDEX(Postes[ISP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>47176.190388000003</v>
      </c>
      <c r="F49" s="83">
        <f t="shared" si="4"/>
        <v>3931.3491990000002</v>
      </c>
      <c r="G49" s="83">
        <f>IF(ISNUMBER(B49),(F49-AN)*0.77,"")</f>
        <v>3027.1388832300004</v>
      </c>
      <c r="H49" s="4" t="str">
        <f t="shared" si="2"/>
        <v/>
      </c>
    </row>
    <row r="50" spans="1:10" x14ac:dyDescent="0.25">
      <c r="A50" s="27" t="str">
        <f t="shared" si="3"/>
        <v/>
      </c>
      <c r="B50" s="28" t="str">
        <f>IFERROR(INDEX(Grille[],MATCH(ROW(A13),Grille[CORRESPONDANCE GRILLE METIER],0),3),"")</f>
        <v/>
      </c>
      <c r="C50" s="28" t="str">
        <f t="shared" si="5"/>
        <v/>
      </c>
      <c r="D50" s="28" t="str">
        <f>IFERROR(INDEX(Grille[],MATCH(ROW(A14),Grille[CORRESPONDANCE GRILLE METIER],0),2),"")</f>
        <v/>
      </c>
      <c r="E50" s="83" t="str">
        <f>IF(ISNUMBER(B50),(B50*Valeur_du_Point*Temps_travail_hebdo/35+IF(INDEX(Postes[CADRE],MATCH(Metier,Postes[libellé poste],0),1)=TRUE,0,B50*Valeur_du_Point*Taux_ISSP*Temps_travail_hebdo/35)+ISSUPL*Valeur_du_Point+IF(INDEX(Postes[ISP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0" s="83" t="str">
        <f t="shared" ref="F50:F76" si="6">IF(ISNUMBER(E50),E50/12,"")</f>
        <v/>
      </c>
      <c r="G50" s="83" t="str">
        <f>IF(ISNUMBER(B50),(F50-AN)*0.77,"")</f>
        <v/>
      </c>
      <c r="H50" s="4" t="str">
        <f t="shared" si="2"/>
        <v/>
      </c>
      <c r="I50" s="30"/>
    </row>
    <row r="51" spans="1:10" x14ac:dyDescent="0.25">
      <c r="A51" s="27" t="str">
        <f t="shared" si="3"/>
        <v/>
      </c>
      <c r="B51" s="28" t="str">
        <f>IFERROR(INDEX(Grille[],MATCH(ROW(A14),Grille[CORRESPONDANCE GRILLE METIER],0),3),"")</f>
        <v/>
      </c>
      <c r="C51" s="28" t="str">
        <f t="shared" si="5"/>
        <v/>
      </c>
      <c r="D51" s="28" t="str">
        <f>IFERROR(INDEX(Grille[],MATCH(ROW(A15),Grille[CORRESPONDANCE GRILLE METIER],0),2),"")</f>
        <v/>
      </c>
      <c r="E51" s="83" t="str">
        <f>IF(ISNUMBER(B51),(B51*Valeur_du_Point*Temps_travail_hebdo/35+IF(INDEX(Postes[CADRE],MATCH(Metier,Postes[libellé poste],0),1)=TRUE,0,B51*Valeur_du_Point*Taux_ISSP*Temps_travail_hebdo/35)+ISSUPL*Valeur_du_Point+IF(INDEX(Postes[ISP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1" s="83" t="str">
        <f t="shared" si="6"/>
        <v/>
      </c>
      <c r="G51" s="83" t="str">
        <f>IF(ISNUMBER(B51),(F51-AN)*0.77,"")</f>
        <v/>
      </c>
      <c r="H51" s="61"/>
      <c r="I51" s="30"/>
    </row>
    <row r="52" spans="1:10" x14ac:dyDescent="0.25">
      <c r="A52" s="27" t="str">
        <f t="shared" si="3"/>
        <v/>
      </c>
      <c r="B52" s="28" t="str">
        <f>IFERROR(INDEX(Grille[],MATCH(ROW(A15),Grille[CORRESPONDANCE GRILLE METIER],0),3),"")</f>
        <v/>
      </c>
      <c r="C52" s="28" t="str">
        <f t="shared" si="5"/>
        <v/>
      </c>
      <c r="D52" s="28" t="str">
        <f>IFERROR(INDEX(Grille[],MATCH(ROW(A16),Grille[CORRESPONDANCE GRILLE METIER],0),2),"")</f>
        <v/>
      </c>
      <c r="E52" s="83" t="str">
        <f>IF(ISNUMBER(B52),(B52*Valeur_du_Point*Temps_travail_hebdo/35+IF(INDEX(Postes[CADRE],MATCH(Metier,Postes[libellé poste],0),1)=TRUE,0,B52*Valeur_du_Point*Taux_ISSP*Temps_travail_hebdo/35)+ISSUPL*Valeur_du_Point+IF(INDEX(Postes[ISP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2" s="83" t="str">
        <f t="shared" si="6"/>
        <v/>
      </c>
      <c r="G52" s="83" t="str">
        <f>IF(ISNUMBER(B52),(F52-AN)*0.77,"")</f>
        <v/>
      </c>
      <c r="H52" s="4" t="str">
        <f t="shared" ref="H52:H76" si="7">IFERROR(IF(INDEX($A$38:$C$60,MATCH($C$30+$G$24,$A$38:$A$60,1),1)=$A52,"SALAIRE ET COEFFICIENT RETENU",""),"")</f>
        <v/>
      </c>
      <c r="I52" s="30"/>
    </row>
    <row r="53" spans="1:10" x14ac:dyDescent="0.25">
      <c r="A53" s="27" t="str">
        <f t="shared" si="3"/>
        <v/>
      </c>
      <c r="B53" s="28" t="str">
        <f>IFERROR(INDEX(Grille[],MATCH(ROW(A16),Grille[CORRESPONDANCE GRILLE METIER],0),3),"")</f>
        <v/>
      </c>
      <c r="C53" s="28" t="str">
        <f t="shared" si="5"/>
        <v/>
      </c>
      <c r="D53" s="28" t="str">
        <f>IFERROR(INDEX(Grille[],MATCH(ROW(A17),Grille[CORRESPONDANCE GRILLE METIER],0),2),"")</f>
        <v/>
      </c>
      <c r="E53" s="83" t="str">
        <f>IF(ISNUMBER(B53),(B53*Valeur_du_Point*Temps_travail_hebdo/35+IF(INDEX(Postes[CADRE],MATCH(Metier,Postes[libellé poste],0),1)=TRUE,0,B53*Valeur_du_Point*Taux_ISSP*Temps_travail_hebdo/35)+ISSUPL*Valeur_du_Point+IF(INDEX(Postes[ISP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3" s="83" t="str">
        <f t="shared" si="6"/>
        <v/>
      </c>
      <c r="G53" s="83" t="str">
        <f>IF(ISNUMBER(B53),(F53-AN)*0.77,"")</f>
        <v/>
      </c>
      <c r="H53" s="4" t="str">
        <f t="shared" si="7"/>
        <v/>
      </c>
      <c r="I53" s="30"/>
    </row>
    <row r="54" spans="1:10" x14ac:dyDescent="0.25">
      <c r="A54" s="27" t="str">
        <f t="shared" si="3"/>
        <v/>
      </c>
      <c r="B54" s="28" t="str">
        <f>IFERROR(INDEX(Grille[],MATCH(ROW(A17),Grille[CORRESPONDANCE GRILLE METIER],0),3),"")</f>
        <v/>
      </c>
      <c r="C54" s="28" t="str">
        <f t="shared" si="5"/>
        <v/>
      </c>
      <c r="D54" s="28" t="str">
        <f>IFERROR(INDEX(Grille[],MATCH(ROW(A18),Grille[CORRESPONDANCE GRILLE METIER],0),2),"")</f>
        <v/>
      </c>
      <c r="E54" s="83" t="str">
        <f>IF(ISNUMBER(B54),(B54*Valeur_du_Point*Temps_travail_hebdo/35+IF(INDEX(Postes[CADRE],MATCH(Metier,Postes[libellé poste],0),1)=TRUE,0,B54*Valeur_du_Point*Taux_ISSP*Temps_travail_hebdo/35)+ISSUPL*Valeur_du_Point+IF(INDEX(Postes[ISP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4" s="83" t="str">
        <f t="shared" si="6"/>
        <v/>
      </c>
      <c r="G54" s="83" t="str">
        <f>IF(ISNUMBER(B54),(F54-AN)*0.77,"")</f>
        <v/>
      </c>
      <c r="H54" s="4" t="str">
        <f t="shared" si="7"/>
        <v/>
      </c>
      <c r="I54" s="30"/>
    </row>
    <row r="55" spans="1:10" x14ac:dyDescent="0.25">
      <c r="A55" s="27" t="str">
        <f t="shared" si="3"/>
        <v/>
      </c>
      <c r="B55" s="28" t="str">
        <f>IFERROR(INDEX(Grille[],MATCH(ROW(A18),Grille[CORRESPONDANCE GRILLE METIER],0),3),"")</f>
        <v/>
      </c>
      <c r="C55" s="28" t="str">
        <f t="shared" si="5"/>
        <v/>
      </c>
      <c r="D55" s="28" t="str">
        <f>IFERROR(INDEX(Grille[],MATCH(ROW(A19),Grille[CORRESPONDANCE GRILLE METIER],0),2),"")</f>
        <v/>
      </c>
      <c r="E55" s="83" t="str">
        <f>IF(ISNUMBER(B55),(B55*Valeur_du_Point*Temps_travail_hebdo/35+IF(INDEX(Postes[CADRE],MATCH(Metier,Postes[libellé poste],0),1)=TRUE,0,B55*Valeur_du_Point*Taux_ISSP*Temps_travail_hebdo/35)+ISSUPL*Valeur_du_Point+IF(INDEX(Postes[ISP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5" s="83" t="str">
        <f t="shared" si="6"/>
        <v/>
      </c>
      <c r="G55" s="83" t="str">
        <f>IF(ISNUMBER(B55),(F55-AN)*0.77,"")</f>
        <v/>
      </c>
      <c r="H55" s="4" t="str">
        <f t="shared" si="7"/>
        <v/>
      </c>
      <c r="I55" s="30"/>
    </row>
    <row r="56" spans="1:10" x14ac:dyDescent="0.25">
      <c r="A56" s="27" t="str">
        <f t="shared" si="3"/>
        <v/>
      </c>
      <c r="B56" s="28" t="str">
        <f>IFERROR(INDEX(Grille[],MATCH(ROW(A19),Grille[CORRESPONDANCE GRILLE METIER],0),3),"")</f>
        <v/>
      </c>
      <c r="C56" s="28" t="str">
        <f t="shared" si="5"/>
        <v/>
      </c>
      <c r="D56" s="28" t="str">
        <f>IFERROR(INDEX(Grille[],MATCH(ROW(A20),Grille[CORRESPONDANCE GRILLE METIER],0),2),"")</f>
        <v/>
      </c>
      <c r="E56" s="83" t="str">
        <f>IF(ISNUMBER(B56),(B56*Valeur_du_Point*Temps_travail_hebdo/35+IF(INDEX(Postes[CADRE],MATCH(Metier,Postes[libellé poste],0),1)=TRUE,0,B56*Valeur_du_Point*Taux_ISSP*Temps_travail_hebdo/35)+ISSUPL*Valeur_du_Point+IF(INDEX(Postes[ISP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6" s="83" t="str">
        <f t="shared" si="6"/>
        <v/>
      </c>
      <c r="G56" s="83" t="str">
        <f>IF(ISNUMBER(B56),(F56-AN)*0.77,"")</f>
        <v/>
      </c>
      <c r="H56" s="4" t="str">
        <f t="shared" si="7"/>
        <v/>
      </c>
      <c r="I56" s="30"/>
      <c r="J56" s="29"/>
    </row>
    <row r="57" spans="1:10" x14ac:dyDescent="0.25">
      <c r="A57" s="27" t="str">
        <f t="shared" si="3"/>
        <v/>
      </c>
      <c r="B57" s="28" t="str">
        <f>IFERROR(INDEX(Grille[],MATCH(ROW(A20),Grille[CORRESPONDANCE GRILLE METIER],0),3),"")</f>
        <v/>
      </c>
      <c r="C57" s="28" t="str">
        <f t="shared" si="5"/>
        <v/>
      </c>
      <c r="D57" s="28" t="str">
        <f>IFERROR(INDEX(Grille[],MATCH(ROW(A21),Grille[CORRESPONDANCE GRILLE METIER],0),2),"")</f>
        <v/>
      </c>
      <c r="E57" s="83" t="str">
        <f>IF(ISNUMBER(B57),(B57*Valeur_du_Point*Temps_travail_hebdo/35+IF(INDEX(Postes[CADRE],MATCH(Metier,Postes[libellé poste],0),1)=TRUE,0,B57*Valeur_du_Point*Taux_ISSP*Temps_travail_hebdo/35)+ISSUPL*Valeur_du_Point+IF(INDEX(Postes[ISP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7" s="83" t="str">
        <f t="shared" si="6"/>
        <v/>
      </c>
      <c r="G57" s="83" t="str">
        <f>IF(ISNUMBER(B57),(F57-AN)*0.77,"")</f>
        <v/>
      </c>
      <c r="H57" s="4" t="str">
        <f t="shared" si="7"/>
        <v/>
      </c>
      <c r="I57" s="30"/>
      <c r="J57" s="29"/>
    </row>
    <row r="58" spans="1:10" x14ac:dyDescent="0.25">
      <c r="A58" s="27" t="str">
        <f t="shared" si="3"/>
        <v/>
      </c>
      <c r="B58" s="28" t="str">
        <f>IFERROR(INDEX(Grille[],MATCH(ROW(A21),Grille[CORRESPONDANCE GRILLE METIER],0),3),"")</f>
        <v/>
      </c>
      <c r="C58" s="28" t="str">
        <f t="shared" si="5"/>
        <v/>
      </c>
      <c r="D58" s="28" t="str">
        <f>IFERROR(INDEX(Grille[],MATCH(ROW(A22),Grille[CORRESPONDANCE GRILLE METIER],0),2),"")</f>
        <v/>
      </c>
      <c r="E58" s="83" t="str">
        <f>IF(ISNUMBER(B58),(B58*Valeur_du_Point*Temps_travail_hebdo/35+IF(INDEX(Postes[CADRE],MATCH(Metier,Postes[libellé poste],0),1)=TRUE,0,B58*Valeur_du_Point*Taux_ISSP*Temps_travail_hebdo/35)+ISSUPL*Valeur_du_Point+IF(INDEX(Postes[ISP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8" s="83" t="str">
        <f t="shared" si="6"/>
        <v/>
      </c>
      <c r="G58" s="83" t="str">
        <f>IF(ISNUMBER(B58),(F58-AN)*0.77,"")</f>
        <v/>
      </c>
      <c r="H58" s="4" t="str">
        <f t="shared" si="7"/>
        <v/>
      </c>
      <c r="I58" s="30"/>
      <c r="J58" s="29"/>
    </row>
    <row r="59" spans="1:10" x14ac:dyDescent="0.25">
      <c r="A59" s="27" t="str">
        <f t="shared" si="3"/>
        <v/>
      </c>
      <c r="B59" s="28" t="str">
        <f>IFERROR(INDEX(Grille[],MATCH(ROW(A22),Grille[CORRESPONDANCE GRILLE METIER],0),3),"")</f>
        <v/>
      </c>
      <c r="C59" s="28" t="str">
        <f t="shared" si="5"/>
        <v/>
      </c>
      <c r="D59" s="28" t="str">
        <f>IFERROR(INDEX(Grille[],MATCH(ROW(A23),Grille[CORRESPONDANCE GRILLE METIER],0),2),"")</f>
        <v/>
      </c>
      <c r="E59" s="83" t="str">
        <f>IF(ISNUMBER(B59),(B59*Valeur_du_Point*Temps_travail_hebdo/35+IF(INDEX(Postes[CADRE],MATCH(Metier,Postes[libellé poste],0),1)=TRUE,0,B59*Valeur_du_Point*Taux_ISSP*Temps_travail_hebdo/35)+ISSUPL*Valeur_du_Point+IF(INDEX(Postes[ISP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59" s="83" t="str">
        <f t="shared" si="6"/>
        <v/>
      </c>
      <c r="G59" s="83" t="str">
        <f>IF(ISNUMBER(B59),(F59-AN)*0.77,"")</f>
        <v/>
      </c>
      <c r="H59" s="4" t="str">
        <f t="shared" si="7"/>
        <v/>
      </c>
      <c r="I59" s="30"/>
      <c r="J59" s="29"/>
    </row>
    <row r="60" spans="1:10" x14ac:dyDescent="0.25">
      <c r="A60" s="27" t="str">
        <f t="shared" si="3"/>
        <v/>
      </c>
      <c r="B60" s="28" t="str">
        <f>IFERROR(INDEX(Grille[],MATCH(ROW(A23),Grille[CORRESPONDANCE GRILLE METIER],0),3),"")</f>
        <v/>
      </c>
      <c r="C60" s="28" t="str">
        <f t="shared" si="5"/>
        <v/>
      </c>
      <c r="D60" s="28" t="str">
        <f>IFERROR(INDEX(Grille[],MATCH(ROW(A24),Grille[CORRESPONDANCE GRILLE METIER],0),2),"")</f>
        <v/>
      </c>
      <c r="E60" s="83" t="str">
        <f>IF(ISNUMBER(B60),(B60*Valeur_du_Point*Temps_travail_hebdo/35+IF(INDEX(Postes[CADRE],MATCH(Metier,Postes[libellé poste],0),1)=TRUE,0,B60*Valeur_du_Point*Taux_ISSP*Temps_travail_hebdo/35)+ISSUPL*Valeur_du_Point+IF(INDEX(Postes[ISP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0" s="83" t="str">
        <f t="shared" si="6"/>
        <v/>
      </c>
      <c r="G60" s="83" t="str">
        <f>IF(ISNUMBER(B60),(F60-AN)*0.77,"")</f>
        <v/>
      </c>
      <c r="H60" s="4" t="str">
        <f t="shared" si="7"/>
        <v/>
      </c>
      <c r="I60" s="30"/>
      <c r="J60" s="29"/>
    </row>
    <row r="61" spans="1:10" x14ac:dyDescent="0.25">
      <c r="A61" s="27" t="str">
        <f t="shared" si="3"/>
        <v/>
      </c>
      <c r="B61" s="28" t="str">
        <f>IFERROR(INDEX(Grille[],MATCH(ROW(A24),Grille[CORRESPONDANCE GRILLE METIER],0),3),"")</f>
        <v/>
      </c>
      <c r="C61" s="28" t="str">
        <f t="shared" si="5"/>
        <v/>
      </c>
      <c r="D61" s="28" t="str">
        <f>IFERROR(INDEX(Grille[],MATCH(ROW(A25),Grille[CORRESPONDANCE GRILLE METIER],0),2),"")</f>
        <v/>
      </c>
      <c r="E61" s="83" t="str">
        <f>IF(ISNUMBER(B61),(B61*Valeur_du_Point*Temps_travail_hebdo/35+IF(INDEX(Postes[CADRE],MATCH(Metier,Postes[libellé poste],0),1)=TRUE,0,B61*Valeur_du_Point*Taux_ISSP*Temps_travail_hebdo/35)+ISSUPL*Valeur_du_Point+IF(INDEX(Postes[ISP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1" s="83" t="str">
        <f t="shared" si="6"/>
        <v/>
      </c>
      <c r="G61" s="83" t="str">
        <f>IF(ISNUMBER(B61),(F61-AN)*0.77,"")</f>
        <v/>
      </c>
      <c r="H61" s="4" t="str">
        <f t="shared" si="7"/>
        <v/>
      </c>
      <c r="I61" s="30"/>
      <c r="J61" s="29"/>
    </row>
    <row r="62" spans="1:10" x14ac:dyDescent="0.25">
      <c r="A62" s="27" t="str">
        <f t="shared" si="3"/>
        <v/>
      </c>
      <c r="B62" s="28" t="str">
        <f>IFERROR(INDEX(Grille[],MATCH(ROW(A25),Grille[CORRESPONDANCE GRILLE METIER],0),3),"")</f>
        <v/>
      </c>
      <c r="C62" s="28" t="str">
        <f t="shared" si="5"/>
        <v/>
      </c>
      <c r="D62" s="28" t="str">
        <f>IFERROR(INDEX(Grille[],MATCH(ROW(A26),Grille[CORRESPONDANCE GRILLE METIER],0),2),"")</f>
        <v/>
      </c>
      <c r="E62" s="83" t="str">
        <f>IF(ISNUMBER(B62),(B62*Valeur_du_Point*Temps_travail_hebdo/35+IF(INDEX(Postes[CADRE],MATCH(Metier,Postes[libellé poste],0),1)=TRUE,0,B62*Valeur_du_Point*Taux_ISSP*Temps_travail_hebdo/35)+ISSUPL*Valeur_du_Point+IF(INDEX(Postes[ISP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2" s="83" t="str">
        <f t="shared" si="6"/>
        <v/>
      </c>
      <c r="G62" s="83" t="str">
        <f>IF(ISNUMBER(B62),(F62-AN)*0.77,"")</f>
        <v/>
      </c>
      <c r="H62" s="4" t="str">
        <f t="shared" si="7"/>
        <v/>
      </c>
      <c r="I62" s="30"/>
    </row>
    <row r="63" spans="1:10" x14ac:dyDescent="0.25">
      <c r="A63" s="27" t="str">
        <f t="shared" si="3"/>
        <v/>
      </c>
      <c r="B63" s="28" t="str">
        <f>IFERROR(INDEX(Grille[],MATCH(ROW(A26),Grille[CORRESPONDANCE GRILLE METIER],0),3),"")</f>
        <v/>
      </c>
      <c r="C63" s="28" t="str">
        <f t="shared" si="5"/>
        <v/>
      </c>
      <c r="D63" s="28" t="str">
        <f>IFERROR(INDEX(Grille[],MATCH(ROW(A27),Grille[CORRESPONDANCE GRILLE METIER],0),2),"")</f>
        <v/>
      </c>
      <c r="E63" s="83" t="str">
        <f>IF(ISNUMBER(B63),(B63*Valeur_du_Point*Temps_travail_hebdo/35+IF(INDEX(Postes[CADRE],MATCH(Metier,Postes[libellé poste],0),1)=TRUE,0,B63*Valeur_du_Point*Taux_ISSP*Temps_travail_hebdo/35)+ISSUPL*Valeur_du_Point+IF(INDEX(Postes[ISP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3" s="83" t="str">
        <f t="shared" si="6"/>
        <v/>
      </c>
      <c r="G63" s="83" t="str">
        <f>IF(ISNUMBER(B63),(F63-AN)*0.77,"")</f>
        <v/>
      </c>
      <c r="H63" s="4" t="str">
        <f t="shared" si="7"/>
        <v/>
      </c>
      <c r="I63" s="30"/>
    </row>
    <row r="64" spans="1:10" x14ac:dyDescent="0.25">
      <c r="A64" s="27" t="str">
        <f t="shared" si="3"/>
        <v/>
      </c>
      <c r="B64" s="28" t="str">
        <f>IFERROR(INDEX(Grille[],MATCH(ROW(A27),Grille[CORRESPONDANCE GRILLE METIER],0),3),"")</f>
        <v/>
      </c>
      <c r="C64" s="28" t="str">
        <f t="shared" si="5"/>
        <v/>
      </c>
      <c r="D64" s="28" t="str">
        <f>IFERROR(INDEX(Grille[],MATCH(ROW(A28),Grille[CORRESPONDANCE GRILLE METIER],0),2),"")</f>
        <v/>
      </c>
      <c r="E64" s="83" t="str">
        <f>IF(ISNUMBER(B64),(B64*Valeur_du_Point*Temps_travail_hebdo/35+IF(INDEX(Postes[CADRE],MATCH(Metier,Postes[libellé poste],0),1)=TRUE,0,B64*Valeur_du_Point*Taux_ISSP*Temps_travail_hebdo/35)+ISSUPL*Valeur_du_Point+IF(INDEX(Postes[ISP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4" s="83" t="str">
        <f t="shared" si="6"/>
        <v/>
      </c>
      <c r="G64" s="83" t="str">
        <f>IF(ISNUMBER(B64),(F64-AN)*0.77,"")</f>
        <v/>
      </c>
      <c r="H64" s="4" t="str">
        <f t="shared" si="7"/>
        <v/>
      </c>
      <c r="I64" s="30"/>
    </row>
    <row r="65" spans="1:10" x14ac:dyDescent="0.25">
      <c r="A65" s="27" t="str">
        <f t="shared" si="3"/>
        <v/>
      </c>
      <c r="B65" s="28" t="str">
        <f>IFERROR(INDEX(Grille[],MATCH(ROW(A28),Grille[CORRESPONDANCE GRILLE METIER],0),3),"")</f>
        <v/>
      </c>
      <c r="C65" s="28" t="str">
        <f t="shared" si="5"/>
        <v/>
      </c>
      <c r="D65" s="28" t="str">
        <f>IFERROR(INDEX(Grille[],MATCH(ROW(A29),Grille[CORRESPONDANCE GRILLE METIER],0),2),"")</f>
        <v/>
      </c>
      <c r="E65" s="83" t="str">
        <f>IF(ISNUMBER(B65),(B65*Valeur_du_Point*Temps_travail_hebdo/35+IF(INDEX(Postes[CADRE],MATCH(Metier,Postes[libellé poste],0),1)=TRUE,0,B65*Valeur_du_Point*Taux_ISSP*Temps_travail_hebdo/35)+ISSUPL*Valeur_du_Point+IF(INDEX(Postes[ISP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5" s="83" t="str">
        <f t="shared" si="6"/>
        <v/>
      </c>
      <c r="G65" s="83" t="str">
        <f>IF(ISNUMBER(B65),(F65-AN)*0.77,"")</f>
        <v/>
      </c>
      <c r="H65" s="4" t="str">
        <f t="shared" si="7"/>
        <v/>
      </c>
      <c r="I65" s="30"/>
    </row>
    <row r="66" spans="1:10" x14ac:dyDescent="0.25">
      <c r="A66" s="27" t="str">
        <f t="shared" si="3"/>
        <v/>
      </c>
      <c r="B66" s="28" t="str">
        <f>IFERROR(INDEX(Grille[],MATCH(ROW(A29),Grille[CORRESPONDANCE GRILLE METIER],0),3),"")</f>
        <v/>
      </c>
      <c r="C66" s="28" t="str">
        <f t="shared" si="5"/>
        <v/>
      </c>
      <c r="D66" s="28" t="str">
        <f>IFERROR(INDEX(Grille[],MATCH(ROW(A30),Grille[CORRESPONDANCE GRILLE METIER],0),2),"")</f>
        <v/>
      </c>
      <c r="E66" s="83" t="str">
        <f>IF(ISNUMBER(B66),(B66*Valeur_du_Point*Temps_travail_hebdo/35+IF(INDEX(Postes[CADRE],MATCH(Metier,Postes[libellé poste],0),1)=TRUE,0,B66*Valeur_du_Point*Taux_ISSP*Temps_travail_hebdo/35)+ISSUPL*Valeur_du_Point+IF(INDEX(Postes[ISP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6" s="83" t="str">
        <f t="shared" si="6"/>
        <v/>
      </c>
      <c r="G66" s="83" t="str">
        <f>IF(ISNUMBER(B66),(F66-AN)*0.77,"")</f>
        <v/>
      </c>
      <c r="H66" s="4" t="str">
        <f t="shared" si="7"/>
        <v/>
      </c>
      <c r="I66" s="30"/>
    </row>
    <row r="67" spans="1:10" x14ac:dyDescent="0.25">
      <c r="A67" s="27" t="str">
        <f t="shared" si="3"/>
        <v/>
      </c>
      <c r="B67" s="28" t="str">
        <f>IFERROR(INDEX(Grille[],MATCH(ROW(A30),Grille[CORRESPONDANCE GRILLE METIER],0),3),"")</f>
        <v/>
      </c>
      <c r="C67" s="28" t="str">
        <f t="shared" si="5"/>
        <v/>
      </c>
      <c r="D67" s="28" t="str">
        <f>IFERROR(INDEX(Grille[],MATCH(ROW(A31),Grille[CORRESPONDANCE GRILLE METIER],0),2),"")</f>
        <v/>
      </c>
      <c r="E67" s="83" t="str">
        <f>IF(ISNUMBER(B67),(B67*Valeur_du_Point*Temps_travail_hebdo/35+IF(INDEX(Postes[CADRE],MATCH(Metier,Postes[libellé poste],0),1)=TRUE,0,B67*Valeur_du_Point*Taux_ISSP*Temps_travail_hebdo/35)+ISSUPL*Valeur_du_Point+IF(INDEX(Postes[ISP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7" s="83" t="str">
        <f t="shared" si="6"/>
        <v/>
      </c>
      <c r="G67" s="83" t="str">
        <f>IF(ISNUMBER(B67),(F67-AN)*0.77,"")</f>
        <v/>
      </c>
      <c r="H67" s="4" t="str">
        <f t="shared" si="7"/>
        <v/>
      </c>
      <c r="I67" s="30"/>
    </row>
    <row r="68" spans="1:10" x14ac:dyDescent="0.25">
      <c r="A68" s="27" t="str">
        <f t="shared" si="3"/>
        <v/>
      </c>
      <c r="B68" s="28" t="str">
        <f>IFERROR(INDEX(Grille[],MATCH(ROW(A31),Grille[CORRESPONDANCE GRILLE METIER],0),3),"")</f>
        <v/>
      </c>
      <c r="C68" s="28" t="str">
        <f t="shared" si="5"/>
        <v/>
      </c>
      <c r="D68" s="28" t="str">
        <f>IFERROR(INDEX(Grille[],MATCH(ROW(A32),Grille[CORRESPONDANCE GRILLE METIER],0),2),"")</f>
        <v/>
      </c>
      <c r="E68" s="83" t="str">
        <f>IF(ISNUMBER(B68),(B68*Valeur_du_Point*Temps_travail_hebdo/35+IF(INDEX(Postes[CADRE],MATCH(Metier,Postes[libellé poste],0),1)=TRUE,0,B68*Valeur_du_Point*Taux_ISSP*Temps_travail_hebdo/35)+ISSUPL*Valeur_du_Point+IF(INDEX(Postes[ISP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8" s="83" t="str">
        <f t="shared" si="6"/>
        <v/>
      </c>
      <c r="G68" s="83" t="str">
        <f>IF(ISNUMBER(B68),(F68-AN)*0.77,"")</f>
        <v/>
      </c>
      <c r="H68" s="4" t="str">
        <f t="shared" si="7"/>
        <v/>
      </c>
      <c r="I68" s="30"/>
    </row>
    <row r="69" spans="1:10" x14ac:dyDescent="0.25">
      <c r="A69" s="27" t="str">
        <f t="shared" si="3"/>
        <v/>
      </c>
      <c r="B69" s="28" t="str">
        <f>IFERROR(INDEX(Grille[],MATCH(ROW(A32),Grille[CORRESPONDANCE GRILLE METIER],0),3),"")</f>
        <v/>
      </c>
      <c r="C69" s="28" t="str">
        <f t="shared" si="5"/>
        <v/>
      </c>
      <c r="D69" s="28" t="str">
        <f>IFERROR(INDEX(Grille[],MATCH(ROW(A33),Grille[CORRESPONDANCE GRILLE METIER],0),2),"")</f>
        <v/>
      </c>
      <c r="E69" s="83" t="str">
        <f>IF(ISNUMBER(B69),(B69*Valeur_du_Point*Temps_travail_hebdo/35+IF(INDEX(Postes[CADRE],MATCH(Metier,Postes[libellé poste],0),1)=TRUE,0,B69*Valeur_du_Point*Taux_ISSP*Temps_travail_hebdo/35)+ISSUPL*Valeur_du_Point+IF(INDEX(Postes[ISP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69" s="83" t="str">
        <f t="shared" si="6"/>
        <v/>
      </c>
      <c r="G69" s="83" t="str">
        <f>IF(ISNUMBER(B69),(F69-AN)*0.77,"")</f>
        <v/>
      </c>
      <c r="H69" s="4" t="str">
        <f t="shared" si="7"/>
        <v/>
      </c>
      <c r="I69" s="30"/>
    </row>
    <row r="70" spans="1:10" x14ac:dyDescent="0.25">
      <c r="A70" s="27" t="str">
        <f t="shared" si="3"/>
        <v/>
      </c>
      <c r="B70" s="28" t="str">
        <f>IFERROR(INDEX(Grille[],MATCH(ROW(A33),Grille[CORRESPONDANCE GRILLE METIER],0),3),"")</f>
        <v/>
      </c>
      <c r="C70" s="28" t="str">
        <f t="shared" si="5"/>
        <v/>
      </c>
      <c r="D70" s="28" t="str">
        <f>IFERROR(INDEX(Grille[],MATCH(ROW(A34),Grille[CORRESPONDANCE GRILLE METIER],0),2),"")</f>
        <v/>
      </c>
      <c r="E70" s="83" t="str">
        <f>IF(ISNUMBER(B70),(B70*Valeur_du_Point*Temps_travail_hebdo/35+IF(INDEX(Postes[CADRE],MATCH(Metier,Postes[libellé poste],0),1)=TRUE,0,B70*Valeur_du_Point*Taux_ISSP*Temps_travail_hebdo/35)+ISSUPL*Valeur_du_Point+IF(INDEX(Postes[ISP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0" s="83" t="str">
        <f t="shared" si="6"/>
        <v/>
      </c>
      <c r="G70" s="83" t="str">
        <f>IF(ISNUMBER(B70),(F70-AN)*0.77,"")</f>
        <v/>
      </c>
      <c r="H70" s="4" t="str">
        <f t="shared" si="7"/>
        <v/>
      </c>
      <c r="I70" s="30"/>
    </row>
    <row r="71" spans="1:10" x14ac:dyDescent="0.25">
      <c r="A71" s="27" t="str">
        <f t="shared" si="3"/>
        <v/>
      </c>
      <c r="B71" s="28" t="str">
        <f>IFERROR(INDEX(Grille[],MATCH(ROW(A34),Grille[CORRESPONDANCE GRILLE METIER],0),3),"")</f>
        <v/>
      </c>
      <c r="C71" s="28" t="str">
        <f t="shared" si="5"/>
        <v/>
      </c>
      <c r="D71" s="28" t="str">
        <f>IFERROR(INDEX(Grille[],MATCH(ROW(A35),Grille[CORRESPONDANCE GRILLE METIER],0),2),"")</f>
        <v/>
      </c>
      <c r="E71" s="83" t="str">
        <f>IF(ISNUMBER(B71),(B71*Valeur_du_Point*Temps_travail_hebdo/35+IF(INDEX(Postes[CADRE],MATCH(Metier,Postes[libellé poste],0),1)=TRUE,0,B71*Valeur_du_Point*Taux_ISSP*Temps_travail_hebdo/35)+ISSUPL*Valeur_du_Point+IF(INDEX(Postes[ISP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1" s="83" t="str">
        <f t="shared" si="6"/>
        <v/>
      </c>
      <c r="G71" s="83" t="str">
        <f>IF(ISNUMBER(B71),(F71-AN)*0.77,"")</f>
        <v/>
      </c>
      <c r="H71" s="4" t="str">
        <f t="shared" si="7"/>
        <v/>
      </c>
      <c r="I71" s="30"/>
    </row>
    <row r="72" spans="1:10" x14ac:dyDescent="0.25">
      <c r="A72" s="27" t="str">
        <f t="shared" si="3"/>
        <v/>
      </c>
      <c r="B72" s="28" t="str">
        <f>IFERROR(INDEX(Grille[],MATCH(ROW(A35),Grille[CORRESPONDANCE GRILLE METIER],0),3),"")</f>
        <v/>
      </c>
      <c r="C72" s="28" t="str">
        <f t="shared" si="5"/>
        <v/>
      </c>
      <c r="D72" s="28" t="str">
        <f>IFERROR(INDEX(Grille[],MATCH(ROW(A36),Grille[CORRESPONDANCE GRILLE METIER],0),2),"")</f>
        <v/>
      </c>
      <c r="E72" s="83" t="str">
        <f>IF(ISNUMBER(B72),(B72*Valeur_du_Point*Temps_travail_hebdo/35+IF(INDEX(Postes[CADRE],MATCH(Metier,Postes[libellé poste],0),1)=TRUE,0,B72*Valeur_du_Point*Taux_ISSP*Temps_travail_hebdo/35)+ISSUPL*Valeur_du_Point+IF(INDEX(Postes[ISP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2" s="83" t="str">
        <f t="shared" si="6"/>
        <v/>
      </c>
      <c r="G72" s="83" t="str">
        <f>IF(ISNUMBER(B72),(F72-AN)*0.77,"")</f>
        <v/>
      </c>
      <c r="H72" s="4" t="str">
        <f t="shared" si="7"/>
        <v/>
      </c>
      <c r="I72" s="30"/>
    </row>
    <row r="73" spans="1:10" x14ac:dyDescent="0.25">
      <c r="A73" s="27" t="str">
        <f t="shared" si="3"/>
        <v/>
      </c>
      <c r="B73" s="28" t="str">
        <f>IFERROR(INDEX(Grille[],MATCH(ROW(A36),Grille[CORRESPONDANCE GRILLE METIER],0),3),"")</f>
        <v/>
      </c>
      <c r="C73" s="28" t="str">
        <f t="shared" si="5"/>
        <v/>
      </c>
      <c r="D73" s="28" t="str">
        <f>IFERROR(INDEX(Grille[],MATCH(ROW(A37),Grille[CORRESPONDANCE GRILLE METIER],0),2),"")</f>
        <v/>
      </c>
      <c r="E73" s="83" t="str">
        <f>IF(ISNUMBER(B73),(B73*Valeur_du_Point*Temps_travail_hebdo/35+IF(INDEX(Postes[CADRE],MATCH(Metier,Postes[libellé poste],0),1)=TRUE,0,B73*Valeur_du_Point*Taux_ISSP*Temps_travail_hebdo/35)+ISSUPL*Valeur_du_Point+IF(INDEX(Postes[ISP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3" s="83" t="str">
        <f t="shared" si="6"/>
        <v/>
      </c>
      <c r="G73" s="83" t="str">
        <f>IF(ISNUMBER(B73),(F73-AN)*0.77,"")</f>
        <v/>
      </c>
      <c r="H73" s="4" t="str">
        <f t="shared" si="7"/>
        <v/>
      </c>
      <c r="I73" s="30"/>
    </row>
    <row r="74" spans="1:10" x14ac:dyDescent="0.25">
      <c r="A74" s="27" t="str">
        <f t="shared" si="3"/>
        <v/>
      </c>
      <c r="B74" s="28" t="str">
        <f>IFERROR(INDEX(Grille[],MATCH(ROW(A37),Grille[CORRESPONDANCE GRILLE METIER],0),3),"")</f>
        <v/>
      </c>
      <c r="C74" s="28" t="str">
        <f t="shared" si="5"/>
        <v/>
      </c>
      <c r="D74" s="28" t="str">
        <f>IFERROR(INDEX(Grille[],MATCH(ROW(A38),Grille[CORRESPONDANCE GRILLE METIER],0),2),"")</f>
        <v/>
      </c>
      <c r="E74" s="83" t="str">
        <f>IF(ISNUMBER(B74),(B74*Valeur_du_Point*Temps_travail_hebdo/35+IF(INDEX(Postes[CADRE],MATCH(Metier,Postes[libellé poste],0),1)=TRUE,0,B74*Valeur_du_Point*Taux_ISSP*Temps_travail_hebdo/35)+ISSUPL*Valeur_du_Point+IF(INDEX(Postes[ISP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4" s="83" t="str">
        <f t="shared" si="6"/>
        <v/>
      </c>
      <c r="G74" s="83" t="str">
        <f>IF(ISNUMBER(B74),(F74-AN)*0.77,"")</f>
        <v/>
      </c>
      <c r="H74" s="4" t="str">
        <f t="shared" si="7"/>
        <v/>
      </c>
      <c r="I74" s="30"/>
    </row>
    <row r="75" spans="1:10" x14ac:dyDescent="0.25">
      <c r="A75" s="27" t="str">
        <f t="shared" si="3"/>
        <v/>
      </c>
      <c r="B75" s="28" t="str">
        <f>IFERROR(INDEX(Grille[],MATCH(ROW(A38),Grille[CORRESPONDANCE GRILLE METIER],0),3),"")</f>
        <v/>
      </c>
      <c r="C75" s="28" t="str">
        <f t="shared" si="5"/>
        <v/>
      </c>
      <c r="D75" s="28" t="str">
        <f>IFERROR(INDEX(Grille[],MATCH(ROW(A39),Grille[CORRESPONDANCE GRILLE METIER],0),2),"")</f>
        <v/>
      </c>
      <c r="E75" s="83" t="str">
        <f>IF(ISNUMBER(B75),(B75*Valeur_du_Point*Temps_travail_hebdo/35+IF(INDEX(Postes[CADRE],MATCH(Metier,Postes[libellé poste],0),1)=TRUE,0,B75*Valeur_du_Point*Taux_ISSP*Temps_travail_hebdo/35)+ISSUPL*Valeur_du_Point+IF(INDEX(Postes[ISP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5" s="83" t="str">
        <f t="shared" si="6"/>
        <v/>
      </c>
      <c r="G75" s="83" t="str">
        <f>IF(ISNUMBER(B75),(F75-AN)*0.77,"")</f>
        <v/>
      </c>
      <c r="H75" s="4" t="str">
        <f t="shared" si="7"/>
        <v/>
      </c>
      <c r="I75" s="30"/>
    </row>
    <row r="76" spans="1:10" x14ac:dyDescent="0.25">
      <c r="A76" s="27" t="str">
        <f t="shared" si="3"/>
        <v/>
      </c>
      <c r="B76" s="28" t="str">
        <f>IFERROR(INDEX(Grille[],MATCH(ROW(A39),Grille[CORRESPONDANCE GRILLE METIER],0),3),"")</f>
        <v/>
      </c>
      <c r="C76" s="28" t="str">
        <f t="shared" si="5"/>
        <v/>
      </c>
      <c r="D76" s="28" t="str">
        <f>IFERROR(INDEX(Grille[],MATCH(ROW(A40),Grille[CORRESPONDANCE GRILLE METIER],0),2),"")</f>
        <v/>
      </c>
      <c r="E76" s="83" t="str">
        <f>IF(ISNUMBER(B76),(B76*Valeur_du_Point*Temps_travail_hebdo/35+IF(INDEX(Postes[CADRE],MATCH(Metier,Postes[libellé poste],0),1)=TRUE,0,B76*Valeur_du_Point*Taux_ISSP*Temps_travail_hebdo/35)+ISSUPL*Valeur_du_Point+IF(INDEX(Postes[ISP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6" s="83" t="str">
        <f t="shared" si="6"/>
        <v/>
      </c>
      <c r="G76" s="83" t="str">
        <f>IF(ISNUMBER(B76),(F76-AN)*0.77,"")</f>
        <v/>
      </c>
      <c r="H76" s="4" t="str">
        <f t="shared" si="7"/>
        <v/>
      </c>
      <c r="I76" s="30"/>
    </row>
    <row r="77" spans="1:10" x14ac:dyDescent="0.25">
      <c r="A77" s="27" t="str">
        <f t="shared" si="3"/>
        <v/>
      </c>
      <c r="B77" s="28" t="str">
        <f>IFERROR(INDEX(Grille[],MATCH(ROW(A40),Grille[CORRESPONDANCE GRILLE METIER],0),3),"")</f>
        <v/>
      </c>
      <c r="C77" s="28" t="str">
        <f t="shared" si="5"/>
        <v/>
      </c>
      <c r="D77" s="28" t="str">
        <f>IFERROR(INDEX(Grille[],MATCH(ROW(A41),Grille[CORRESPONDANCE GRILLE METIER],0),2),"")</f>
        <v/>
      </c>
      <c r="E77" s="83" t="str">
        <f>IF(ISNUMBER(B77),(B77*Valeur_du_Point*Temps_travail_hebdo/35+IF(INDEX(Postes[CADRE],MATCH(Metier,Postes[libellé poste],0),1)=TRUE,0,B77*Valeur_du_Point*Taux_ISSP*Temps_travail_hebdo/35)+ISSUPL*Valeur_du_Point+IF(INDEX(Postes[ISP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7" s="30" t="str">
        <f>IF(ISNUMBER(C77),(C77*#REF!)*12+$C$11*#REF!*12,"")</f>
        <v/>
      </c>
      <c r="G77" s="83" t="str">
        <f>IF(ISNUMBER(B77),(F77-AN)*0.77,"")</f>
        <v/>
      </c>
      <c r="H77" s="30" t="str">
        <f>IF(ISNUMBER(D77),(D77*#REF!)*12+210*#REF!*12,"")</f>
        <v/>
      </c>
      <c r="I77" s="30"/>
    </row>
    <row r="78" spans="1:10" x14ac:dyDescent="0.25">
      <c r="A78" s="27" t="str">
        <f t="shared" si="3"/>
        <v/>
      </c>
      <c r="B78" s="28" t="str">
        <f>IFERROR(INDEX(Grille[],MATCH(ROW(A41),Grille[CORRESPONDANCE GRILLE METIER],0),3),"")</f>
        <v/>
      </c>
      <c r="C78" s="28" t="str">
        <f t="shared" si="5"/>
        <v/>
      </c>
      <c r="D78" s="28" t="str">
        <f>IFERROR(INDEX(Grille[],MATCH(ROW(A42),Grille[CORRESPONDANCE GRILLE METIER],0),2),"")</f>
        <v/>
      </c>
      <c r="E78" s="83" t="str">
        <f>IF(ISNUMBER(B78),(B78*Valeur_du_Point*Temps_travail_hebdo/35+IF(INDEX(Postes[CADRE],MATCH(Metier,Postes[libellé poste],0),1)=TRUE,0,B78*Valeur_du_Point*Taux_ISSP*Temps_travail_hebdo/35)+ISSUPL*Valeur_du_Point+IF(INDEX(Postes[ISP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8" s="30" t="str">
        <f>IF(ISNUMBER(C78),(C78*#REF!)*12+$C$11*#REF!*12,"")</f>
        <v/>
      </c>
      <c r="G78" s="83" t="str">
        <f>IF(ISNUMBER(B78),(F78-AN)*0.77,"")</f>
        <v/>
      </c>
      <c r="H78" s="30" t="str">
        <f>IF(ISNUMBER(D78),(D78*#REF!)*12+210*#REF!*12,"")</f>
        <v/>
      </c>
      <c r="I78" s="30"/>
    </row>
    <row r="79" spans="1:10" x14ac:dyDescent="0.25">
      <c r="A79" s="27" t="str">
        <f t="shared" si="3"/>
        <v/>
      </c>
      <c r="B79" s="28" t="str">
        <f>IFERROR(INDEX(Grille[],MATCH(ROW(A42),Grille[CORRESPONDANCE GRILLE METIER],0),3),"")</f>
        <v/>
      </c>
      <c r="C79" s="28" t="str">
        <f t="shared" si="5"/>
        <v/>
      </c>
      <c r="D79" s="28" t="str">
        <f>IFERROR(INDEX(Grille[],MATCH(ROW(A43),Grille[CORRESPONDANCE GRILLE METIER],0),2),"")</f>
        <v/>
      </c>
      <c r="E79" s="83" t="str">
        <f>IF(ISNUMBER(B79),(B79*Valeur_du_Point*Temps_travail_hebdo/35+IF(INDEX(Postes[CADRE],MATCH(Metier,Postes[libellé poste],0),1)=TRUE,0,B79*Valeur_du_Point*Taux_ISSP*Temps_travail_hebdo/35)+ISSUPL*Valeur_du_Point+IF(INDEX(Postes[ISP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79" s="30" t="str">
        <f>IF(ISNUMBER(C79),(C79*#REF!)*12+$C$11*#REF!*12,"")</f>
        <v/>
      </c>
      <c r="G79" s="83" t="str">
        <f>IF(ISNUMBER(B79),(F79-AN)*0.77,"")</f>
        <v/>
      </c>
      <c r="H79" s="30" t="str">
        <f>IF(ISNUMBER(D79),(D79*#REF!)*12+210*#REF!*12,"")</f>
        <v/>
      </c>
      <c r="J79" s="30" t="str">
        <f>IF(ISNUMBER(D77),I79*0.77,"")</f>
        <v/>
      </c>
    </row>
    <row r="80" spans="1:10" x14ac:dyDescent="0.25">
      <c r="A80" s="27" t="str">
        <f t="shared" si="3"/>
        <v/>
      </c>
      <c r="B80" s="28" t="str">
        <f>IFERROR(INDEX(Grille[],MATCH(ROW(A43),Grille[CORRESPONDANCE GRILLE METIER],0),3),"")</f>
        <v/>
      </c>
      <c r="C80" s="28" t="str">
        <f t="shared" si="5"/>
        <v/>
      </c>
      <c r="D80" s="28" t="str">
        <f>IFERROR(INDEX(Grille[],MATCH(ROW(A44),Grille[CORRESPONDANCE GRILLE METIER],0),2),"")</f>
        <v/>
      </c>
      <c r="E80" s="83" t="str">
        <f>IF(ISNUMBER(B80),(B80*Valeur_du_Point*Temps_travail_hebdo/35+IF(INDEX(Postes[CADRE],MATCH(Metier,Postes[libellé poste],0),1)=TRUE,0,B80*Valeur_du_Point*Taux_ISSP*Temps_travail_hebdo/35)+ISSUPL*Valeur_du_Point+IF(INDEX(Postes[ISP Services généraux],MATCH(Metier,Postes[libellé poste],0),1)=FALSE,0,7*Temps_travail_hebdo/35*Valeur_du_Point)+IFERROR(prime_CEF_CER*40*Valeur_du_Point*Temps_travail_hebdo/35,0)+IF(INDEX(Postes[Repos Compensateur Surveillant de Nuit],MATCH(Metier,Postes[libellé poste],0),1)=FALSE,0,(Base_brute+ISSP_NON_CADRE+ISP_SG+IF(ISNUMBER(Montant_Prime_CER_CEF),Montant_Prime_CER_CEF,0))*Taux_Repos_compensateur_SDN)+IF(INDEX(Postes[SOCIO EDUCATIFS],MATCH(Metier,Postes[libellé poste],0),1)=FALSE,0,238*Temps_travail_hebdo/35)+IF(INDEX(Postes[LAFORCADE],MATCH(Metier,Postes[libellé poste],0),1)=FALSE,0,238*Temps_travail_hebdo/35)+IF(INDEX(Postes[SEGUR 2],MATCH(Metier,Postes[libellé poste],0),1)=FALSE,0,38*Temps_travail_hebdo/35)+ISCONV*Valeur_du_Point*Temps_travail_hebdo/35+Astreinte_mensualisee*Valeur_du_Point+AN)*12,"")</f>
        <v/>
      </c>
      <c r="F80" s="30" t="str">
        <f>IF(ISNUMBER(C80),(C80*#REF!)*12+$C$11*#REF!*12,"")</f>
        <v/>
      </c>
      <c r="G80" s="83" t="str">
        <f>IF(ISNUMBER(B80),(F80-AN)*0.77,"")</f>
        <v/>
      </c>
      <c r="H80" s="30" t="str">
        <f>IF(ISNUMBER(D80),(D80*#REF!)*12+210*#REF!*12,"")</f>
        <v/>
      </c>
      <c r="J80" s="30" t="str">
        <f>IF(ISNUMBER(D78),I80*0.77,"")</f>
        <v/>
      </c>
    </row>
    <row r="81" spans="5:10" x14ac:dyDescent="0.25">
      <c r="E81" s="83"/>
      <c r="J81" s="30" t="str">
        <f>IF(ISNUMBER(D79),I81*0.77,"")</f>
        <v/>
      </c>
    </row>
    <row r="82" spans="5:10" x14ac:dyDescent="0.25">
      <c r="J82" s="30" t="str">
        <f>IF(ISNUMBER(D80),I82*0.77,"")</f>
        <v/>
      </c>
    </row>
  </sheetData>
  <mergeCells count="19">
    <mergeCell ref="I12:J12"/>
    <mergeCell ref="I13:J13"/>
    <mergeCell ref="I14:J14"/>
    <mergeCell ref="I15:J15"/>
    <mergeCell ref="I7:J7"/>
    <mergeCell ref="I8:J8"/>
    <mergeCell ref="I9:J9"/>
    <mergeCell ref="I10:J10"/>
    <mergeCell ref="I11:J11"/>
    <mergeCell ref="I1:K1"/>
    <mergeCell ref="I2:J2"/>
    <mergeCell ref="I3:J3"/>
    <mergeCell ref="I5:J5"/>
    <mergeCell ref="I6:J6"/>
    <mergeCell ref="A1:H1"/>
    <mergeCell ref="A3:H3"/>
    <mergeCell ref="A5:H5"/>
    <mergeCell ref="A13:H13"/>
    <mergeCell ref="A26:H26"/>
  </mergeCells>
  <conditionalFormatting sqref="E38:G38 A38:C80 F39:F76 G39:G80 E38:E81">
    <cfRule type="expression" dxfId="11" priority="4">
      <formula>INDEX($A$38:$C$60,MATCH($C$30+$G$24,$A$38:$A$60,1),1)=$A38</formula>
    </cfRule>
  </conditionalFormatting>
  <conditionalFormatting sqref="D38:D80">
    <cfRule type="expression" dxfId="10" priority="9">
      <formula>INDEX($A$38:$C$60,MATCH($C$30+$G$24,$A$38:$A$60,1),1)=$A38</formula>
    </cfRule>
  </conditionalFormatting>
  <conditionalFormatting sqref="B39:B80 A38:G38 D48:D80 A39:D79 F39:F79 G39:G80 E38:E81">
    <cfRule type="expression" dxfId="9" priority="16">
      <formula>ISNUMBER($A38)</formula>
    </cfRule>
  </conditionalFormatting>
  <conditionalFormatting sqref="I2:K15">
    <cfRule type="expression" dxfId="8" priority="1">
      <formula>ISNUMBER($A$38)</formula>
    </cfRule>
  </conditionalFormatting>
  <dataValidations count="3">
    <dataValidation type="decimal" allowBlank="1" showInputMessage="1" showErrorMessage="1" sqref="G8" xr:uid="{33DFCB12-E7DF-4D20-9A75-3560E2E23186}">
      <formula1>0</formula1>
      <formula2>39</formula2>
    </dataValidation>
    <dataValidation type="date" operator="greaterThanOrEqual" allowBlank="1" showInputMessage="1" showErrorMessage="1" errorTitle="Date non cohérente" error="La date de fin doit être supérieure ou égale à la date de début" sqref="E16:E22" xr:uid="{493B4133-0FD8-41CE-AC8F-A494BD382643}">
      <formula1>D16</formula1>
    </dataValidation>
    <dataValidation type="date" operator="lessThanOrEqual" allowBlank="1" showInputMessage="1" showErrorMessage="1" errorTitle="date non cohérente" error="La date de début doit être inférieure ou égale à la date de fin." sqref="D16:D22" xr:uid="{298914BA-1C50-495F-9F25-D1B63E5BFD2B}">
      <formula1>E16</formula1>
    </dataValidation>
  </dataValidations>
  <pageMargins left="0.51181102362204722" right="0.51181102362204722" top="0.74803149606299213" bottom="0.74803149606299213" header="0.31496062992125984" footer="0.31496062992125984"/>
  <pageSetup paperSize="9" scale="43" orientation="landscape" r:id="rId1"/>
  <headerFooter>
    <oddFooter>&amp;C&amp;Z&amp;F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78DD481-57F9-4C3D-8854-18C4569EECC9}">
          <x14:formula1>
            <xm:f>OFFSET(Tables!$W$1,0,0,COUNTA(Tables!$W:$W))</xm:f>
          </x14:formula1>
          <xm:sqref>C9</xm:sqref>
        </x14:dataValidation>
        <x14:dataValidation type="list" allowBlank="1" showInputMessage="1" showErrorMessage="1" xr:uid="{EFF61AA5-8B36-47BF-9E78-43A670EA5B60}">
          <x14:formula1>
            <xm:f>OFFSET(Tables!$P$1,0,0,COUNTA(Tables!$P:$P))</xm:f>
          </x14:formula1>
          <xm:sqref>C10</xm:sqref>
        </x14:dataValidation>
        <x14:dataValidation type="list" allowBlank="1" showInputMessage="1" showErrorMessage="1" xr:uid="{DFF7E343-2624-4EFF-BE30-47F533C5C8E9}">
          <x14:formula1>
            <xm:f>OFFSET(Tables!$Y$1,0,0,COUNTA(Tables!$Y:$Y))</xm:f>
          </x14:formula1>
          <xm:sqref>G7</xm:sqref>
        </x14:dataValidation>
        <x14:dataValidation type="list" allowBlank="1" showInputMessage="1" showErrorMessage="1" xr:uid="{B9958F5E-2295-49E4-965A-7ED42E9C2624}">
          <x14:formula1>
            <xm:f>OFFSET(Tables!$U$1,0,0,COUNTA(Tables!$U:$U))</xm:f>
          </x14:formula1>
          <xm:sqref>A16:A22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6670-8D69-4E6B-85B1-526E917C0813}">
  <dimension ref="A1:Y250"/>
  <sheetViews>
    <sheetView zoomScale="110" zoomScaleNormal="110" workbookViewId="0">
      <selection activeCell="N2" sqref="N2"/>
    </sheetView>
  </sheetViews>
  <sheetFormatPr baseColWidth="10" defaultRowHeight="14.4" x14ac:dyDescent="0.3"/>
  <cols>
    <col min="1" max="1" width="48" style="35" bestFit="1" customWidth="1"/>
    <col min="2" max="2" width="9.77734375" style="35" customWidth="1"/>
    <col min="3" max="3" width="6.5546875" style="35" customWidth="1"/>
    <col min="4" max="4" width="9" style="35" customWidth="1"/>
    <col min="5" max="5" width="11.44140625" style="35" customWidth="1"/>
    <col min="6" max="6" width="9" style="35" customWidth="1"/>
    <col min="7" max="7" width="15.5546875" style="35" customWidth="1"/>
    <col min="8" max="8" width="13.5546875" style="35" customWidth="1"/>
    <col min="9" max="9" width="9" style="35" customWidth="1"/>
    <col min="10" max="10" width="3" style="35" customWidth="1"/>
    <col min="11" max="11" width="8.77734375" style="59" customWidth="1"/>
    <col min="12" max="12" width="12.109375" style="35" customWidth="1"/>
    <col min="13" max="13" width="12.21875" style="35" customWidth="1"/>
    <col min="14" max="14" width="17.5546875" style="35" customWidth="1"/>
    <col min="15" max="15" width="3.5546875" style="35" customWidth="1"/>
    <col min="16" max="16" width="16.33203125" style="35" customWidth="1"/>
    <col min="17" max="17" width="3" style="35" customWidth="1"/>
    <col min="18" max="18" width="25.5546875" style="35" bestFit="1" customWidth="1"/>
    <col min="19" max="19" width="11.5546875" style="35"/>
    <col min="20" max="20" width="4.21875" style="35" customWidth="1"/>
    <col min="21" max="21" width="14.88671875" style="35" customWidth="1"/>
    <col min="22" max="22" width="4.21875" style="35" customWidth="1"/>
    <col min="23" max="23" width="48" style="35" bestFit="1" customWidth="1"/>
    <col min="24" max="24" width="3.109375" style="35" customWidth="1"/>
    <col min="25" max="25" width="15.21875" style="35" bestFit="1" customWidth="1"/>
    <col min="26" max="16384" width="11.5546875" style="35"/>
  </cols>
  <sheetData>
    <row r="1" spans="1:25" ht="57.6" x14ac:dyDescent="0.3">
      <c r="A1" s="55" t="s">
        <v>37</v>
      </c>
      <c r="B1" s="42" t="s">
        <v>44</v>
      </c>
      <c r="C1" s="42" t="s">
        <v>122</v>
      </c>
      <c r="D1" s="42" t="s">
        <v>41</v>
      </c>
      <c r="E1" s="55" t="s">
        <v>38</v>
      </c>
      <c r="F1" s="55" t="s">
        <v>39</v>
      </c>
      <c r="G1" s="55" t="s">
        <v>40</v>
      </c>
      <c r="H1" s="60" t="s">
        <v>128</v>
      </c>
      <c r="I1" s="60" t="s">
        <v>110</v>
      </c>
      <c r="J1" s="34"/>
      <c r="K1" s="55" t="s">
        <v>41</v>
      </c>
      <c r="L1" s="55" t="s">
        <v>42</v>
      </c>
      <c r="M1" s="55" t="s">
        <v>43</v>
      </c>
      <c r="N1" s="55" t="s">
        <v>105</v>
      </c>
      <c r="P1" s="75" t="s">
        <v>28</v>
      </c>
      <c r="R1" s="75" t="s">
        <v>120</v>
      </c>
      <c r="S1" s="75" t="s">
        <v>121</v>
      </c>
      <c r="T1" s="80"/>
      <c r="U1" s="80" t="s">
        <v>35</v>
      </c>
      <c r="V1" s="80"/>
      <c r="W1" s="77" t="s">
        <v>106</v>
      </c>
      <c r="Y1" s="75" t="s">
        <v>111</v>
      </c>
    </row>
    <row r="2" spans="1:25" x14ac:dyDescent="0.3">
      <c r="A2" s="35" t="s">
        <v>92</v>
      </c>
      <c r="B2" s="35" t="b">
        <v>0</v>
      </c>
      <c r="C2" s="35" t="b">
        <v>0</v>
      </c>
      <c r="D2" s="35">
        <v>2</v>
      </c>
      <c r="E2" s="36" t="b">
        <v>0</v>
      </c>
      <c r="F2" s="36" t="b">
        <v>0</v>
      </c>
      <c r="G2" s="36" t="b">
        <v>1</v>
      </c>
      <c r="H2" s="36" t="b">
        <v>0</v>
      </c>
      <c r="I2" s="41" t="b">
        <v>0</v>
      </c>
      <c r="J2" s="34"/>
      <c r="K2" s="56">
        <v>1</v>
      </c>
      <c r="L2" s="36">
        <v>0</v>
      </c>
      <c r="M2" s="36">
        <v>446</v>
      </c>
      <c r="N2" s="41" cm="1">
        <f t="array" ref="N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GRILLE]],MAX($N$1:N1)+1)</f>
        <v>1</v>
      </c>
      <c r="P2" s="35" t="b">
        <v>1</v>
      </c>
      <c r="R2" t="s">
        <v>24</v>
      </c>
      <c r="S2">
        <v>3.93</v>
      </c>
      <c r="T2"/>
      <c r="U2" t="s">
        <v>29</v>
      </c>
      <c r="V2"/>
      <c r="W2" s="35" t="str" cm="1">
        <f t="array" ref="W2:W75">_xlfn.UNIQUE(Postes[libellé poste])</f>
        <v>ACCOMPAGNANT EDUCATIF ET SOCIAL</v>
      </c>
      <c r="Y2" s="35" t="b">
        <v>1</v>
      </c>
    </row>
    <row r="3" spans="1:25" x14ac:dyDescent="0.3">
      <c r="A3" s="35" t="s">
        <v>92</v>
      </c>
      <c r="B3" s="35" t="b">
        <v>1</v>
      </c>
      <c r="C3" s="35" t="b">
        <v>0</v>
      </c>
      <c r="D3" s="35">
        <v>17</v>
      </c>
      <c r="E3" s="37" t="b">
        <v>0</v>
      </c>
      <c r="F3" s="37" t="b">
        <v>0</v>
      </c>
      <c r="G3" s="37" t="b">
        <v>1</v>
      </c>
      <c r="H3" s="36" t="b">
        <v>0</v>
      </c>
      <c r="I3" s="41" t="b">
        <v>0</v>
      </c>
      <c r="J3" s="34"/>
      <c r="K3" s="56">
        <v>1</v>
      </c>
      <c r="L3" s="37">
        <v>1</v>
      </c>
      <c r="M3" s="37">
        <v>459</v>
      </c>
      <c r="N3" s="39" cm="1">
        <f t="array" ref="N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GRILLE]],MAX($N$1:N2)+1)</f>
        <v>2</v>
      </c>
      <c r="P3" s="35" t="b">
        <v>0</v>
      </c>
      <c r="R3" t="s">
        <v>109</v>
      </c>
      <c r="S3" s="31">
        <f>9.21/100</f>
        <v>9.2100000000000015E-2</v>
      </c>
      <c r="T3"/>
      <c r="U3" t="s">
        <v>30</v>
      </c>
      <c r="V3"/>
      <c r="W3" s="35" t="str">
        <v>ACCOMPAGNANT EDUCATIF ET SOCIAL ARS</v>
      </c>
      <c r="Y3" s="35" t="b">
        <v>0</v>
      </c>
    </row>
    <row r="4" spans="1:25" x14ac:dyDescent="0.3">
      <c r="A4" s="75" t="s">
        <v>132</v>
      </c>
      <c r="B4" s="35" t="b">
        <v>0</v>
      </c>
      <c r="C4" s="35" t="b">
        <v>0</v>
      </c>
      <c r="D4" s="35">
        <v>2</v>
      </c>
      <c r="E4" s="36" t="b">
        <v>1</v>
      </c>
      <c r="F4" s="36" t="b">
        <v>0</v>
      </c>
      <c r="G4" s="37" t="b">
        <v>0</v>
      </c>
      <c r="H4" s="36" t="b">
        <v>0</v>
      </c>
      <c r="I4" s="41" t="b">
        <v>0</v>
      </c>
      <c r="J4" s="34"/>
      <c r="K4" s="56">
        <v>1</v>
      </c>
      <c r="L4" s="37">
        <v>3</v>
      </c>
      <c r="M4" s="37">
        <v>491</v>
      </c>
      <c r="N4" s="39" cm="1">
        <f t="array" ref="N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GRILLE]],MAX($N$1:N3)+1)</f>
        <v>3</v>
      </c>
      <c r="R4" t="s">
        <v>130</v>
      </c>
      <c r="S4" s="31">
        <v>3.5000000000000003E-2</v>
      </c>
      <c r="W4" s="35" t="str">
        <v>AGENT ADMINISTRATIF</v>
      </c>
    </row>
    <row r="5" spans="1:25" x14ac:dyDescent="0.3">
      <c r="A5" s="75" t="s">
        <v>132</v>
      </c>
      <c r="B5" s="35" t="b">
        <v>1</v>
      </c>
      <c r="C5" s="35" t="b">
        <v>0</v>
      </c>
      <c r="D5" s="35">
        <v>17</v>
      </c>
      <c r="E5" s="37" t="b">
        <v>1</v>
      </c>
      <c r="F5" s="37" t="b">
        <v>0</v>
      </c>
      <c r="G5" s="37" t="b">
        <v>0</v>
      </c>
      <c r="H5" s="36" t="b">
        <v>0</v>
      </c>
      <c r="I5" s="41" t="b">
        <v>0</v>
      </c>
      <c r="J5" s="34"/>
      <c r="K5" s="56">
        <v>1</v>
      </c>
      <c r="L5" s="37">
        <v>5</v>
      </c>
      <c r="M5" s="37">
        <v>517</v>
      </c>
      <c r="N5" s="39" cm="1">
        <f t="array" ref="N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GRILLE]],MAX($N$1:N4)+1)</f>
        <v>4</v>
      </c>
      <c r="W5" s="35" t="str">
        <v>AGENT ADMINISTRATIF PRINCIPAL</v>
      </c>
    </row>
    <row r="6" spans="1:25" x14ac:dyDescent="0.3">
      <c r="A6" s="35" t="s">
        <v>78</v>
      </c>
      <c r="B6" s="35" t="b">
        <v>0</v>
      </c>
      <c r="C6" s="35" t="b">
        <v>0</v>
      </c>
      <c r="D6" s="35">
        <v>5</v>
      </c>
      <c r="E6" s="37" t="b">
        <v>0</v>
      </c>
      <c r="F6" s="37" t="b">
        <v>0</v>
      </c>
      <c r="G6" s="37" t="b">
        <v>0</v>
      </c>
      <c r="H6" s="36" t="b">
        <v>0</v>
      </c>
      <c r="I6" s="41" t="b">
        <v>0</v>
      </c>
      <c r="J6" s="34"/>
      <c r="K6" s="56">
        <v>1</v>
      </c>
      <c r="L6" s="37">
        <v>7</v>
      </c>
      <c r="M6" s="37">
        <v>552</v>
      </c>
      <c r="N6" s="39" cm="1">
        <f t="array" ref="N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GRILLE]],MAX($N$1:N5)+1)</f>
        <v>5</v>
      </c>
      <c r="W6" s="35" t="str">
        <v>AGENT DE SERVICE INTERIEUR</v>
      </c>
    </row>
    <row r="7" spans="1:25" x14ac:dyDescent="0.3">
      <c r="A7" s="35" t="s">
        <v>78</v>
      </c>
      <c r="B7" s="35" t="b">
        <v>1</v>
      </c>
      <c r="C7" s="35" t="b">
        <v>0</v>
      </c>
      <c r="D7" s="35">
        <v>5</v>
      </c>
      <c r="E7" s="37" t="b">
        <v>0</v>
      </c>
      <c r="F7" s="37" t="b">
        <v>0</v>
      </c>
      <c r="G7" s="37" t="b">
        <v>0</v>
      </c>
      <c r="H7" s="36" t="b">
        <v>0</v>
      </c>
      <c r="I7" s="41" t="b">
        <v>0</v>
      </c>
      <c r="J7" s="34"/>
      <c r="K7" s="56">
        <v>1</v>
      </c>
      <c r="L7" s="37">
        <v>9</v>
      </c>
      <c r="M7" s="37">
        <v>586</v>
      </c>
      <c r="N7" s="39" cm="1">
        <f t="array" ref="N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GRILLE]],MAX($N$1:N6)+1)</f>
        <v>6</v>
      </c>
      <c r="W7" s="35" t="str">
        <v>AGENT TECHNIQUE</v>
      </c>
    </row>
    <row r="8" spans="1:25" x14ac:dyDescent="0.3">
      <c r="A8" s="35" t="s">
        <v>84</v>
      </c>
      <c r="B8" s="35" t="b">
        <v>1</v>
      </c>
      <c r="C8" s="35" t="b">
        <v>0</v>
      </c>
      <c r="D8" s="35">
        <v>2</v>
      </c>
      <c r="E8" s="37" t="b">
        <v>0</v>
      </c>
      <c r="F8" s="37" t="b">
        <v>0</v>
      </c>
      <c r="G8" s="37" t="b">
        <v>0</v>
      </c>
      <c r="H8" s="36" t="b">
        <v>0</v>
      </c>
      <c r="I8" s="41" t="b">
        <v>0</v>
      </c>
      <c r="J8" s="34"/>
      <c r="K8" s="56">
        <v>1</v>
      </c>
      <c r="L8" s="37">
        <v>11</v>
      </c>
      <c r="M8" s="37">
        <v>597</v>
      </c>
      <c r="N8" s="39" cm="1">
        <f t="array" ref="N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GRILLE]],MAX($N$1:N7)+1)</f>
        <v>7</v>
      </c>
      <c r="W8" s="35" t="str">
        <v>AGENT TECHNIQUE SUPERIEUR</v>
      </c>
    </row>
    <row r="9" spans="1:25" x14ac:dyDescent="0.3">
      <c r="A9" s="35" t="s">
        <v>84</v>
      </c>
      <c r="B9" s="35" t="b">
        <v>0</v>
      </c>
      <c r="C9" s="35" t="b">
        <v>0</v>
      </c>
      <c r="D9" s="35">
        <v>2</v>
      </c>
      <c r="E9" s="37" t="b">
        <v>0</v>
      </c>
      <c r="F9" s="37" t="b">
        <v>0</v>
      </c>
      <c r="G9" s="37" t="b">
        <v>0</v>
      </c>
      <c r="H9" s="36" t="b">
        <v>0</v>
      </c>
      <c r="I9" s="41" t="b">
        <v>0</v>
      </c>
      <c r="J9" s="34"/>
      <c r="K9" s="56">
        <v>1</v>
      </c>
      <c r="L9" s="36">
        <v>14</v>
      </c>
      <c r="M9" s="36">
        <v>632</v>
      </c>
      <c r="N9" s="39" cm="1">
        <f t="array" ref="N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GRILLE]],MAX($N$1:N8)+1)</f>
        <v>8</v>
      </c>
      <c r="W9" s="35" t="str">
        <v>AIDE MEDICO PSYCHOLOGIQUE</v>
      </c>
    </row>
    <row r="10" spans="1:25" x14ac:dyDescent="0.3">
      <c r="A10" s="35" t="s">
        <v>81</v>
      </c>
      <c r="B10" s="35" t="b">
        <v>0</v>
      </c>
      <c r="C10" s="35" t="b">
        <v>0</v>
      </c>
      <c r="D10" s="35">
        <v>15</v>
      </c>
      <c r="E10" s="37" t="b">
        <v>0</v>
      </c>
      <c r="F10" s="37" t="b">
        <v>0</v>
      </c>
      <c r="G10" s="37" t="b">
        <v>0</v>
      </c>
      <c r="H10" s="36" t="b">
        <v>0</v>
      </c>
      <c r="I10" s="39" t="b">
        <v>1</v>
      </c>
      <c r="J10" s="34"/>
      <c r="K10" s="56">
        <v>1</v>
      </c>
      <c r="L10" s="37">
        <v>17</v>
      </c>
      <c r="M10" s="37">
        <v>665</v>
      </c>
      <c r="N10" s="39" cm="1">
        <f t="array" ref="N1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GRILLE]],MAX($N$1:N9)+1)</f>
        <v>9</v>
      </c>
      <c r="W10" s="35" t="str">
        <v>AIDE MEDICO PSYCHOLOGIQUE ARS</v>
      </c>
    </row>
    <row r="11" spans="1:25" x14ac:dyDescent="0.3">
      <c r="A11" s="35" t="s">
        <v>81</v>
      </c>
      <c r="B11" s="35" t="b">
        <v>1</v>
      </c>
      <c r="C11" s="35" t="b">
        <v>0</v>
      </c>
      <c r="D11" s="35">
        <v>16</v>
      </c>
      <c r="E11" s="37" t="b">
        <v>0</v>
      </c>
      <c r="F11" s="37" t="b">
        <v>0</v>
      </c>
      <c r="G11" s="37" t="b">
        <v>0</v>
      </c>
      <c r="H11" s="36" t="b">
        <v>0</v>
      </c>
      <c r="I11" s="39" t="b">
        <v>1</v>
      </c>
      <c r="J11" s="34"/>
      <c r="K11" s="56">
        <v>1</v>
      </c>
      <c r="L11" s="36">
        <v>20</v>
      </c>
      <c r="M11" s="36">
        <v>698</v>
      </c>
      <c r="N11" s="39" cm="1">
        <f t="array" ref="N1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GRILLE]],MAX($N$1:N10)+1)</f>
        <v>10</v>
      </c>
      <c r="W11" s="35" t="str">
        <v>ANIMATEUR</v>
      </c>
    </row>
    <row r="12" spans="1:25" x14ac:dyDescent="0.3">
      <c r="A12" s="35" t="s">
        <v>91</v>
      </c>
      <c r="B12" s="35" t="b">
        <v>0</v>
      </c>
      <c r="C12" s="35" t="b">
        <v>0</v>
      </c>
      <c r="D12" s="35">
        <v>2</v>
      </c>
      <c r="E12" s="37" t="b">
        <v>0</v>
      </c>
      <c r="F12" s="37" t="b">
        <v>0</v>
      </c>
      <c r="G12" s="37" t="b">
        <v>0</v>
      </c>
      <c r="H12" s="36" t="b">
        <v>0</v>
      </c>
      <c r="I12" s="39" t="b">
        <v>1</v>
      </c>
      <c r="J12" s="34"/>
      <c r="K12" s="56">
        <v>1</v>
      </c>
      <c r="L12" s="36">
        <v>24</v>
      </c>
      <c r="M12" s="36">
        <v>735</v>
      </c>
      <c r="N12" s="39" cm="1">
        <f t="array" ref="N1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GRILLE]],MAX($N$1:N11)+1)</f>
        <v>11</v>
      </c>
      <c r="W12" s="35" t="str">
        <v>ANIMATEUR SOCIO EDUCATIF</v>
      </c>
    </row>
    <row r="13" spans="1:25" x14ac:dyDescent="0.3">
      <c r="A13" s="35" t="s">
        <v>91</v>
      </c>
      <c r="B13" s="35" t="b">
        <v>1</v>
      </c>
      <c r="C13" s="35" t="b">
        <v>0</v>
      </c>
      <c r="D13" s="35">
        <v>18</v>
      </c>
      <c r="E13" s="37" t="b">
        <v>0</v>
      </c>
      <c r="F13" s="37" t="b">
        <v>0</v>
      </c>
      <c r="G13" s="37" t="b">
        <v>0</v>
      </c>
      <c r="H13" s="36" t="b">
        <v>0</v>
      </c>
      <c r="I13" s="39" t="b">
        <v>1</v>
      </c>
      <c r="J13" s="34"/>
      <c r="K13" s="56">
        <v>1</v>
      </c>
      <c r="L13" s="36">
        <v>28</v>
      </c>
      <c r="M13" s="36">
        <v>783</v>
      </c>
      <c r="N13" s="39" cm="1">
        <f t="array" ref="N1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GRILLE]],MAX($N$1:N12)+1)</f>
        <v>12</v>
      </c>
      <c r="W13" s="35" t="str">
        <v>ASSISTANT COMPTABLE</v>
      </c>
    </row>
    <row r="14" spans="1:25" x14ac:dyDescent="0.3">
      <c r="A14" s="35" t="s">
        <v>98</v>
      </c>
      <c r="B14" s="35" t="b">
        <v>0</v>
      </c>
      <c r="C14" s="35" t="b">
        <v>0</v>
      </c>
      <c r="D14" s="35">
        <v>6</v>
      </c>
      <c r="E14" s="37" t="b">
        <v>0</v>
      </c>
      <c r="F14" s="37" t="b">
        <v>0</v>
      </c>
      <c r="G14" s="37" t="b">
        <v>0</v>
      </c>
      <c r="H14" s="36" t="b">
        <v>0</v>
      </c>
      <c r="I14" s="39" t="b">
        <v>1</v>
      </c>
      <c r="J14" s="34"/>
      <c r="K14" s="56">
        <v>2</v>
      </c>
      <c r="L14" s="37">
        <v>0</v>
      </c>
      <c r="M14" s="37">
        <v>403</v>
      </c>
      <c r="N14" s="39" t="str" cm="1">
        <f t="array" ref="N1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GRILLE]],MAX($N$1:N13)+1)</f>
        <v/>
      </c>
      <c r="W14" s="35" t="str">
        <v>ASSISTANT DG</v>
      </c>
    </row>
    <row r="15" spans="1:25" x14ac:dyDescent="0.3">
      <c r="A15" s="35" t="s">
        <v>98</v>
      </c>
      <c r="B15" s="35" t="b">
        <v>1</v>
      </c>
      <c r="C15" s="35" t="b">
        <v>0</v>
      </c>
      <c r="D15" s="35">
        <v>7</v>
      </c>
      <c r="E15" s="38" t="b">
        <v>0</v>
      </c>
      <c r="F15" s="38" t="b">
        <v>0</v>
      </c>
      <c r="G15" s="38" t="b">
        <v>0</v>
      </c>
      <c r="H15" s="36" t="b">
        <v>0</v>
      </c>
      <c r="I15" s="39" t="b">
        <v>1</v>
      </c>
      <c r="J15" s="34"/>
      <c r="K15" s="56">
        <v>2</v>
      </c>
      <c r="L15" s="36">
        <v>1</v>
      </c>
      <c r="M15" s="36">
        <v>405</v>
      </c>
      <c r="N15" s="39" t="str" cm="1">
        <f t="array" ref="N1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GRILLE]],MAX($N$1:N14)+1)</f>
        <v/>
      </c>
      <c r="W15" s="35" t="str">
        <v>ASSISTANT GRH</v>
      </c>
    </row>
    <row r="16" spans="1:25" x14ac:dyDescent="0.3">
      <c r="A16" s="35" t="s">
        <v>72</v>
      </c>
      <c r="B16" s="35" t="b">
        <v>0</v>
      </c>
      <c r="C16" s="35" t="b">
        <v>0</v>
      </c>
      <c r="D16" s="35">
        <v>2</v>
      </c>
      <c r="E16" s="38" t="b">
        <v>0</v>
      </c>
      <c r="F16" s="38" t="b">
        <v>0</v>
      </c>
      <c r="G16" s="38" t="b">
        <v>1</v>
      </c>
      <c r="H16" s="36" t="b">
        <v>0</v>
      </c>
      <c r="I16" s="41" t="b">
        <v>0</v>
      </c>
      <c r="J16" s="34"/>
      <c r="K16" s="56">
        <v>2</v>
      </c>
      <c r="L16" s="36">
        <v>3</v>
      </c>
      <c r="M16" s="36">
        <v>418</v>
      </c>
      <c r="N16" s="39" t="str" cm="1">
        <f t="array" ref="N1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GRILLE]],MAX($N$1:N15)+1)</f>
        <v/>
      </c>
      <c r="W16" s="35" t="str">
        <v>ASSISTANTE SOCIALE SPECIALISE</v>
      </c>
    </row>
    <row r="17" spans="1:23" x14ac:dyDescent="0.3">
      <c r="A17" s="35" t="s">
        <v>72</v>
      </c>
      <c r="B17" s="35" t="b">
        <v>1</v>
      </c>
      <c r="C17" s="35" t="b">
        <v>0</v>
      </c>
      <c r="D17" s="35">
        <v>17</v>
      </c>
      <c r="E17" s="38" t="b">
        <v>0</v>
      </c>
      <c r="F17" s="38" t="b">
        <v>0</v>
      </c>
      <c r="G17" s="37" t="b">
        <v>1</v>
      </c>
      <c r="H17" s="36" t="b">
        <v>0</v>
      </c>
      <c r="I17" s="41" t="b">
        <v>0</v>
      </c>
      <c r="J17" s="34"/>
      <c r="K17" s="56">
        <v>2</v>
      </c>
      <c r="L17" s="36">
        <v>5</v>
      </c>
      <c r="M17" s="36">
        <v>432</v>
      </c>
      <c r="N17" s="39" t="str" cm="1">
        <f t="array" ref="N1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GRILLE]],MAX($N$1:N16)+1)</f>
        <v/>
      </c>
      <c r="W17" s="35" t="str">
        <v>CADRE C3N2</v>
      </c>
    </row>
    <row r="18" spans="1:23" x14ac:dyDescent="0.3">
      <c r="A18" s="75" t="s">
        <v>137</v>
      </c>
      <c r="B18" s="35" t="b">
        <v>0</v>
      </c>
      <c r="C18" s="35" t="b">
        <v>0</v>
      </c>
      <c r="D18" s="79">
        <v>2</v>
      </c>
      <c r="E18" s="38" t="b">
        <v>1</v>
      </c>
      <c r="F18" s="38" t="b">
        <v>0</v>
      </c>
      <c r="G18" s="64" t="b">
        <v>0</v>
      </c>
      <c r="H18" s="36" t="b">
        <v>0</v>
      </c>
      <c r="I18" s="41" t="b">
        <v>0</v>
      </c>
      <c r="K18" s="56">
        <v>2</v>
      </c>
      <c r="L18" s="36">
        <v>7</v>
      </c>
      <c r="M18" s="36">
        <v>448</v>
      </c>
      <c r="N18" s="39" t="str" cm="1">
        <f t="array" ref="N1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GRILLE]],MAX($N$1:N17)+1)</f>
        <v/>
      </c>
      <c r="W18" s="35" t="str">
        <v>CADRE C3N3</v>
      </c>
    </row>
    <row r="19" spans="1:23" x14ac:dyDescent="0.3">
      <c r="A19" s="75" t="s">
        <v>137</v>
      </c>
      <c r="B19" s="35" t="b">
        <v>1</v>
      </c>
      <c r="C19" s="35" t="b">
        <v>0</v>
      </c>
      <c r="D19" s="79">
        <v>17</v>
      </c>
      <c r="E19" s="38" t="b">
        <v>1</v>
      </c>
      <c r="F19" s="38" t="b">
        <v>0</v>
      </c>
      <c r="G19" s="64" t="b">
        <v>0</v>
      </c>
      <c r="H19" s="36" t="b">
        <v>0</v>
      </c>
      <c r="I19" s="41" t="b">
        <v>0</v>
      </c>
      <c r="K19" s="56">
        <v>2</v>
      </c>
      <c r="L19" s="37">
        <v>10</v>
      </c>
      <c r="M19" s="37">
        <v>461</v>
      </c>
      <c r="N19" s="39" t="str" cm="1">
        <f t="array" ref="N1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GRILLE]],MAX($N$1:N18)+1)</f>
        <v/>
      </c>
      <c r="W19" s="35" t="str">
        <v>CADRE TECHNIQUE RH C3N2</v>
      </c>
    </row>
    <row r="20" spans="1:23" x14ac:dyDescent="0.3">
      <c r="A20" s="35" t="s">
        <v>83</v>
      </c>
      <c r="B20" s="35" t="b">
        <v>0</v>
      </c>
      <c r="C20" s="35" t="b">
        <v>0</v>
      </c>
      <c r="D20" s="35">
        <v>6</v>
      </c>
      <c r="E20" s="37" t="b">
        <v>0</v>
      </c>
      <c r="F20" s="37" t="b">
        <v>0</v>
      </c>
      <c r="G20" s="37" t="b">
        <v>1</v>
      </c>
      <c r="H20" s="36" t="b">
        <v>0</v>
      </c>
      <c r="I20" s="41" t="b">
        <v>0</v>
      </c>
      <c r="K20" s="56">
        <v>2</v>
      </c>
      <c r="L20" s="36">
        <v>13</v>
      </c>
      <c r="M20" s="36">
        <v>474</v>
      </c>
      <c r="N20" s="39" t="str" cm="1">
        <f t="array" ref="N2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GRILLE]],MAX($N$1:N19)+1)</f>
        <v/>
      </c>
      <c r="W20" s="35" t="str">
        <v>CHEF CUISINIER</v>
      </c>
    </row>
    <row r="21" spans="1:23" x14ac:dyDescent="0.3">
      <c r="A21" s="35" t="s">
        <v>83</v>
      </c>
      <c r="B21" s="35" t="b">
        <v>1</v>
      </c>
      <c r="C21" s="35" t="b">
        <v>0</v>
      </c>
      <c r="D21" s="35">
        <v>7</v>
      </c>
      <c r="E21" s="37" t="b">
        <v>0</v>
      </c>
      <c r="F21" s="37" t="b">
        <v>0</v>
      </c>
      <c r="G21" s="37" t="b">
        <v>1</v>
      </c>
      <c r="H21" s="36" t="b">
        <v>0</v>
      </c>
      <c r="I21" s="41" t="b">
        <v>0</v>
      </c>
      <c r="K21" s="56">
        <v>2</v>
      </c>
      <c r="L21" s="37">
        <v>16</v>
      </c>
      <c r="M21" s="37">
        <v>486</v>
      </c>
      <c r="N21" s="39" t="str" cm="1">
        <f t="array" ref="N2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GRILLE]],MAX($N$1:N20)+1)</f>
        <v/>
      </c>
      <c r="W21" s="35" t="str">
        <v>CHEF DE SERVICE EDUCATIF C2N2</v>
      </c>
    </row>
    <row r="22" spans="1:23" x14ac:dyDescent="0.3">
      <c r="A22" s="35" t="s">
        <v>73</v>
      </c>
      <c r="B22" s="35" t="b">
        <v>0</v>
      </c>
      <c r="C22" s="35" t="b">
        <v>0</v>
      </c>
      <c r="D22" s="35">
        <v>8</v>
      </c>
      <c r="E22" s="37" t="b">
        <v>0</v>
      </c>
      <c r="F22" s="37" t="b">
        <v>0</v>
      </c>
      <c r="G22" s="37" t="b">
        <v>1</v>
      </c>
      <c r="H22" s="36" t="b">
        <v>0</v>
      </c>
      <c r="I22" s="41" t="b">
        <v>0</v>
      </c>
      <c r="K22" s="56">
        <v>2</v>
      </c>
      <c r="L22" s="37">
        <v>20</v>
      </c>
      <c r="M22" s="37">
        <v>498</v>
      </c>
      <c r="N22" s="39" t="str" cm="1">
        <f t="array" ref="N2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GRILLE]],MAX($N$1:N21)+1)</f>
        <v/>
      </c>
      <c r="W22" s="35" t="str">
        <v>CHEF DE SERVICE EDUCATIF C2N3</v>
      </c>
    </row>
    <row r="23" spans="1:23" x14ac:dyDescent="0.3">
      <c r="A23" s="35" t="s">
        <v>73</v>
      </c>
      <c r="B23" s="35" t="b">
        <v>1</v>
      </c>
      <c r="C23" s="35" t="b">
        <v>0</v>
      </c>
      <c r="D23" s="35">
        <v>1</v>
      </c>
      <c r="E23" s="37" t="b">
        <v>0</v>
      </c>
      <c r="F23" s="37" t="b">
        <v>0</v>
      </c>
      <c r="G23" s="37" t="b">
        <v>1</v>
      </c>
      <c r="H23" s="36" t="b">
        <v>0</v>
      </c>
      <c r="I23" s="41" t="b">
        <v>0</v>
      </c>
      <c r="K23" s="56">
        <v>2</v>
      </c>
      <c r="L23" s="37">
        <v>24</v>
      </c>
      <c r="M23" s="37">
        <v>516</v>
      </c>
      <c r="N23" s="39" t="str" cm="1">
        <f t="array" ref="N2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GRILLE]],MAX($N$1:N22)+1)</f>
        <v/>
      </c>
      <c r="W23" s="35" t="str">
        <v>COMPTABLE CLASSE 1</v>
      </c>
    </row>
    <row r="24" spans="1:23" x14ac:dyDescent="0.3">
      <c r="A24" s="35" t="s">
        <v>55</v>
      </c>
      <c r="B24" s="35" t="b">
        <v>0</v>
      </c>
      <c r="C24" s="35" t="b">
        <v>0</v>
      </c>
      <c r="D24" s="35">
        <v>6</v>
      </c>
      <c r="E24" s="38" t="b">
        <v>0</v>
      </c>
      <c r="F24" s="38" t="b">
        <v>0</v>
      </c>
      <c r="G24" s="38" t="b">
        <v>0</v>
      </c>
      <c r="H24" s="36" t="b">
        <v>0</v>
      </c>
      <c r="I24" s="41" t="b">
        <v>0</v>
      </c>
      <c r="K24" s="56">
        <v>2</v>
      </c>
      <c r="L24" s="37">
        <v>28</v>
      </c>
      <c r="M24" s="37">
        <v>530</v>
      </c>
      <c r="N24" s="39" t="str" cm="1">
        <f t="array" ref="N2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GRILLE]],MAX($N$1:N23)+1)</f>
        <v/>
      </c>
      <c r="W24" s="35" t="str">
        <v>COMPTABLE/RH</v>
      </c>
    </row>
    <row r="25" spans="1:23" x14ac:dyDescent="0.3">
      <c r="A25" s="35" t="s">
        <v>55</v>
      </c>
      <c r="B25" s="35" t="b">
        <v>1</v>
      </c>
      <c r="C25" s="35" t="b">
        <v>0</v>
      </c>
      <c r="D25" s="35">
        <v>6</v>
      </c>
      <c r="E25" s="38" t="b">
        <v>0</v>
      </c>
      <c r="F25" s="38" t="b">
        <v>0</v>
      </c>
      <c r="G25" s="38" t="b">
        <v>0</v>
      </c>
      <c r="H25" s="36" t="b">
        <v>0</v>
      </c>
      <c r="I25" s="41" t="b">
        <v>0</v>
      </c>
      <c r="K25" s="56">
        <v>3</v>
      </c>
      <c r="L25" s="36">
        <v>0</v>
      </c>
      <c r="M25" s="36">
        <v>770</v>
      </c>
      <c r="N25" s="39" t="str" cm="1">
        <f t="array" ref="N2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GRILLE]],MAX($N$1:N24)+1)</f>
        <v/>
      </c>
      <c r="W25" s="35" t="str">
        <v>CONSEILLERE EN ECONOMIE SOCIALE ET FAMILIALE</v>
      </c>
    </row>
    <row r="26" spans="1:23" x14ac:dyDescent="0.3">
      <c r="A26" s="35" t="s">
        <v>103</v>
      </c>
      <c r="B26" s="35" t="b">
        <v>0</v>
      </c>
      <c r="C26" s="35" t="b">
        <v>0</v>
      </c>
      <c r="D26" s="35">
        <v>8</v>
      </c>
      <c r="E26" s="38" t="b">
        <v>0</v>
      </c>
      <c r="F26" s="38" t="b">
        <v>0</v>
      </c>
      <c r="G26" s="38" t="b">
        <v>0</v>
      </c>
      <c r="H26" s="36" t="b">
        <v>0</v>
      </c>
      <c r="I26" s="41" t="b">
        <v>0</v>
      </c>
      <c r="K26" s="56">
        <v>3</v>
      </c>
      <c r="L26" s="36">
        <v>3</v>
      </c>
      <c r="M26" s="36">
        <v>793.1</v>
      </c>
      <c r="N26" s="39" t="str" cm="1">
        <f t="array" ref="N2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GRILLE]],MAX($N$1:N25)+1)</f>
        <v/>
      </c>
      <c r="W26" s="35" t="str">
        <v>COORDONATEUR</v>
      </c>
    </row>
    <row r="27" spans="1:23" x14ac:dyDescent="0.3">
      <c r="A27" s="79" t="s">
        <v>103</v>
      </c>
      <c r="B27" s="79" t="b">
        <v>1</v>
      </c>
      <c r="C27" s="79" t="b">
        <v>0</v>
      </c>
      <c r="D27" s="79">
        <v>8</v>
      </c>
      <c r="E27" s="64" t="b">
        <v>0</v>
      </c>
      <c r="F27" s="64" t="b">
        <v>0</v>
      </c>
      <c r="G27" s="64" t="b">
        <v>0</v>
      </c>
      <c r="H27" s="64" t="b">
        <v>0</v>
      </c>
      <c r="I27" s="64" t="b">
        <v>0</v>
      </c>
      <c r="K27" s="56">
        <v>3</v>
      </c>
      <c r="L27" s="36">
        <v>6</v>
      </c>
      <c r="M27" s="36">
        <v>816.2</v>
      </c>
      <c r="N27" s="39" t="str" cm="1">
        <f t="array" ref="N2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GRILLE]],MAX($N$1:N26)+1)</f>
        <v/>
      </c>
      <c r="W27" s="35" t="str">
        <v>DAF C1N1</v>
      </c>
    </row>
    <row r="28" spans="1:23" x14ac:dyDescent="0.3">
      <c r="A28" s="35" t="s">
        <v>100</v>
      </c>
      <c r="B28" s="35" t="b">
        <v>0</v>
      </c>
      <c r="C28" s="35" t="b">
        <v>0</v>
      </c>
      <c r="D28" s="35">
        <v>6</v>
      </c>
      <c r="E28" s="38" t="b">
        <v>0</v>
      </c>
      <c r="F28" s="38" t="b">
        <v>0</v>
      </c>
      <c r="G28" s="38" t="b">
        <v>0</v>
      </c>
      <c r="H28" s="36" t="b">
        <v>0</v>
      </c>
      <c r="I28" s="41" t="b">
        <v>0</v>
      </c>
      <c r="K28" s="56">
        <v>3</v>
      </c>
      <c r="L28" s="37">
        <v>9</v>
      </c>
      <c r="M28" s="37">
        <v>839.3</v>
      </c>
      <c r="N28" s="39" t="str" cm="1">
        <f t="array" ref="N2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GRILLE]],MAX($N$1:N27)+1)</f>
        <v/>
      </c>
      <c r="W28" s="35" t="str">
        <v>DIRECTEUR DE POLE ADJOINT C1N2</v>
      </c>
    </row>
    <row r="29" spans="1:23" x14ac:dyDescent="0.3">
      <c r="A29" s="79" t="s">
        <v>100</v>
      </c>
      <c r="B29" s="79" t="b">
        <v>1</v>
      </c>
      <c r="C29" s="79" t="b">
        <v>0</v>
      </c>
      <c r="D29" s="79">
        <v>6</v>
      </c>
      <c r="E29" s="64" t="b">
        <v>0</v>
      </c>
      <c r="F29" s="64" t="b">
        <v>0</v>
      </c>
      <c r="G29" s="64" t="b">
        <v>0</v>
      </c>
      <c r="H29" s="64" t="b">
        <v>0</v>
      </c>
      <c r="I29" s="64" t="b">
        <v>0</v>
      </c>
      <c r="K29" s="56">
        <v>3</v>
      </c>
      <c r="L29" s="36">
        <v>12</v>
      </c>
      <c r="M29" s="36">
        <v>862.4</v>
      </c>
      <c r="N29" s="39" t="str" cm="1">
        <f t="array" ref="N2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GRILLE]],MAX($N$1:N28)+1)</f>
        <v/>
      </c>
      <c r="W29" s="35" t="str">
        <v>DIRECTEUR DE POLE C1N1</v>
      </c>
    </row>
    <row r="30" spans="1:23" x14ac:dyDescent="0.3">
      <c r="A30" s="35" t="s">
        <v>80</v>
      </c>
      <c r="B30" s="35" t="b">
        <v>1</v>
      </c>
      <c r="C30" s="35" t="b">
        <v>0</v>
      </c>
      <c r="D30" s="35">
        <v>1</v>
      </c>
      <c r="E30" s="37" t="b">
        <v>0</v>
      </c>
      <c r="F30" s="38" t="b">
        <v>0</v>
      </c>
      <c r="G30" s="37" t="b">
        <v>1</v>
      </c>
      <c r="H30" s="36" t="b">
        <v>0</v>
      </c>
      <c r="I30" s="41" t="b">
        <v>0</v>
      </c>
      <c r="K30" s="56">
        <v>3</v>
      </c>
      <c r="L30" s="37">
        <v>15</v>
      </c>
      <c r="M30" s="37">
        <v>885.5</v>
      </c>
      <c r="N30" s="39" t="str" cm="1">
        <f t="array" ref="N3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GRILLE]],MAX($N$1:N29)+1)</f>
        <v/>
      </c>
      <c r="W30" s="35" t="str">
        <v>DIRECTEUR DE POLE C1N2</v>
      </c>
    </row>
    <row r="31" spans="1:23" x14ac:dyDescent="0.3">
      <c r="A31" s="35" t="s">
        <v>80</v>
      </c>
      <c r="B31" s="35" t="b">
        <v>0</v>
      </c>
      <c r="C31" s="35" t="b">
        <v>0</v>
      </c>
      <c r="D31" s="35">
        <v>8</v>
      </c>
      <c r="E31" s="37" t="b">
        <v>0</v>
      </c>
      <c r="F31" s="38" t="b">
        <v>0</v>
      </c>
      <c r="G31" s="38" t="b">
        <v>1</v>
      </c>
      <c r="H31" s="36" t="b">
        <v>0</v>
      </c>
      <c r="I31" s="41" t="b">
        <v>0</v>
      </c>
      <c r="K31" s="56">
        <v>3</v>
      </c>
      <c r="L31" s="36">
        <v>18</v>
      </c>
      <c r="M31" s="36">
        <v>908.6</v>
      </c>
      <c r="N31" s="39" t="str" cm="1">
        <f t="array" ref="N3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GRILLE]],MAX($N$1:N30)+1)</f>
        <v/>
      </c>
      <c r="W31" s="35" t="str">
        <v>DIRECTEUR ETABLISSEMENT C1N1</v>
      </c>
    </row>
    <row r="32" spans="1:23" x14ac:dyDescent="0.3">
      <c r="A32" s="35" t="s">
        <v>68</v>
      </c>
      <c r="B32" s="35" t="b">
        <v>0</v>
      </c>
      <c r="C32" s="35" t="b">
        <v>1</v>
      </c>
      <c r="D32" s="35">
        <v>10</v>
      </c>
      <c r="E32" s="64" t="b">
        <v>0</v>
      </c>
      <c r="F32" s="64" t="b">
        <v>0</v>
      </c>
      <c r="G32" s="64" t="b">
        <v>0</v>
      </c>
      <c r="H32" s="36" t="b">
        <v>0</v>
      </c>
      <c r="I32" s="64" t="b">
        <v>0</v>
      </c>
      <c r="K32" s="56">
        <v>3</v>
      </c>
      <c r="L32" s="37">
        <v>21</v>
      </c>
      <c r="M32" s="37">
        <v>931.7</v>
      </c>
      <c r="N32" s="39" t="str" cm="1">
        <f t="array" ref="N3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GRILLE]],MAX($N$1:N31)+1)</f>
        <v/>
      </c>
      <c r="W32" s="35" t="str">
        <v>DIRECTEUR ETABLISSEMENT C1N2</v>
      </c>
    </row>
    <row r="33" spans="1:23" x14ac:dyDescent="0.3">
      <c r="A33" s="79" t="s">
        <v>68</v>
      </c>
      <c r="B33" s="79" t="b">
        <v>1</v>
      </c>
      <c r="C33" s="79" t="b">
        <v>1</v>
      </c>
      <c r="D33" s="79">
        <v>10</v>
      </c>
      <c r="E33" s="64" t="b">
        <v>0</v>
      </c>
      <c r="F33" s="64" t="b">
        <v>0</v>
      </c>
      <c r="G33" s="64" t="b">
        <v>0</v>
      </c>
      <c r="H33" s="64" t="b">
        <v>0</v>
      </c>
      <c r="I33" s="64" t="b">
        <v>0</v>
      </c>
      <c r="K33" s="56">
        <v>3</v>
      </c>
      <c r="L33" s="36">
        <v>24</v>
      </c>
      <c r="M33" s="36">
        <v>954.8</v>
      </c>
      <c r="N33" s="39" t="str" cm="1">
        <f t="array" ref="N3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GRILLE]],MAX($N$1:N32)+1)</f>
        <v/>
      </c>
      <c r="W33" s="35" t="str">
        <v>DIRECTEUR GENERAL CADRE HORS CLASSE</v>
      </c>
    </row>
    <row r="34" spans="1:23" x14ac:dyDescent="0.3">
      <c r="A34" s="35" t="s">
        <v>62</v>
      </c>
      <c r="B34" s="35" t="b">
        <v>0</v>
      </c>
      <c r="C34" s="35" t="b">
        <v>1</v>
      </c>
      <c r="D34" s="35">
        <v>13</v>
      </c>
      <c r="E34" s="64" t="b">
        <v>0</v>
      </c>
      <c r="F34" s="64" t="b">
        <v>0</v>
      </c>
      <c r="G34" s="64" t="b">
        <v>0</v>
      </c>
      <c r="H34" s="36" t="b">
        <v>0</v>
      </c>
      <c r="I34" s="64" t="b">
        <v>0</v>
      </c>
      <c r="K34" s="56">
        <v>3</v>
      </c>
      <c r="L34" s="36">
        <v>28</v>
      </c>
      <c r="M34" s="36">
        <v>985.6</v>
      </c>
      <c r="N34" s="39" t="str" cm="1">
        <f t="array" ref="N3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GRILLE]],MAX($N$1:N33)+1)</f>
        <v/>
      </c>
      <c r="W34" s="35" t="str">
        <v>DIRECTEUR SERVICE C1N2</v>
      </c>
    </row>
    <row r="35" spans="1:23" x14ac:dyDescent="0.3">
      <c r="A35" s="79" t="s">
        <v>62</v>
      </c>
      <c r="B35" s="79" t="b">
        <v>1</v>
      </c>
      <c r="C35" s="79" t="b">
        <v>1</v>
      </c>
      <c r="D35" s="79">
        <v>13</v>
      </c>
      <c r="E35" s="64" t="b">
        <v>0</v>
      </c>
      <c r="F35" s="64" t="b">
        <v>0</v>
      </c>
      <c r="G35" s="64" t="b">
        <v>0</v>
      </c>
      <c r="H35" s="64" t="b">
        <v>0</v>
      </c>
      <c r="I35" s="64" t="b">
        <v>0</v>
      </c>
      <c r="K35" s="56">
        <v>4</v>
      </c>
      <c r="L35" s="37">
        <v>0</v>
      </c>
      <c r="M35" s="37">
        <v>800</v>
      </c>
      <c r="N35" s="39" t="str" cm="1">
        <f t="array" ref="N3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GRILLE]],MAX($N$1:N34)+1)</f>
        <v/>
      </c>
      <c r="W35" s="35" t="str">
        <v>DIRECTEUR SERVICE C1N3</v>
      </c>
    </row>
    <row r="36" spans="1:23" x14ac:dyDescent="0.3">
      <c r="A36" s="35" t="s">
        <v>65</v>
      </c>
      <c r="B36" s="35" t="b">
        <v>0</v>
      </c>
      <c r="C36" s="35" t="b">
        <v>1</v>
      </c>
      <c r="D36" s="35">
        <v>10</v>
      </c>
      <c r="E36" s="64" t="b">
        <v>0</v>
      </c>
      <c r="F36" s="64" t="b">
        <v>0</v>
      </c>
      <c r="G36" s="64" t="b">
        <v>0</v>
      </c>
      <c r="H36" s="36" t="b">
        <v>0</v>
      </c>
      <c r="I36" s="64" t="b">
        <v>0</v>
      </c>
      <c r="K36" s="56">
        <v>4</v>
      </c>
      <c r="L36" s="36">
        <v>3</v>
      </c>
      <c r="M36" s="36">
        <v>824</v>
      </c>
      <c r="N36" s="39" t="str" cm="1">
        <f t="array" ref="N3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GRILLE]],MAX($N$1:N35)+1)</f>
        <v/>
      </c>
      <c r="W36" s="35" t="str">
        <v>DRH C1N1</v>
      </c>
    </row>
    <row r="37" spans="1:23" x14ac:dyDescent="0.3">
      <c r="A37" s="79" t="s">
        <v>65</v>
      </c>
      <c r="B37" s="79" t="b">
        <v>1</v>
      </c>
      <c r="C37" s="79" t="b">
        <v>1</v>
      </c>
      <c r="D37" s="79">
        <v>10</v>
      </c>
      <c r="E37" s="64" t="b">
        <v>0</v>
      </c>
      <c r="F37" s="64" t="b">
        <v>0</v>
      </c>
      <c r="G37" s="64" t="b">
        <v>0</v>
      </c>
      <c r="H37" s="64" t="b">
        <v>0</v>
      </c>
      <c r="I37" s="64" t="b">
        <v>0</v>
      </c>
      <c r="K37" s="56">
        <v>4</v>
      </c>
      <c r="L37" s="37">
        <v>6</v>
      </c>
      <c r="M37" s="37">
        <v>848</v>
      </c>
      <c r="N37" s="39" t="str" cm="1">
        <f t="array" ref="N3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GRILLE]],MAX($N$1:N36)+1)</f>
        <v/>
      </c>
      <c r="W37" s="35" t="str">
        <v>DRH C1N2</v>
      </c>
    </row>
    <row r="38" spans="1:23" x14ac:dyDescent="0.3">
      <c r="A38" s="35" t="s">
        <v>95</v>
      </c>
      <c r="B38" s="35" t="b">
        <v>0</v>
      </c>
      <c r="C38" s="35" t="b">
        <v>0</v>
      </c>
      <c r="D38" s="35">
        <v>2</v>
      </c>
      <c r="E38" s="64" t="b">
        <v>0</v>
      </c>
      <c r="F38" s="64" t="b">
        <v>0</v>
      </c>
      <c r="G38" s="37" t="b">
        <v>0</v>
      </c>
      <c r="H38" s="36" t="b">
        <v>0</v>
      </c>
      <c r="I38" s="64" t="b">
        <v>1</v>
      </c>
      <c r="K38" s="56">
        <v>4</v>
      </c>
      <c r="L38" s="36">
        <v>9</v>
      </c>
      <c r="M38" s="36">
        <v>872</v>
      </c>
      <c r="N38" s="39" t="str" cm="1">
        <f t="array" ref="N3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GRILLE]],MAX($N$1:N37)+1)</f>
        <v/>
      </c>
      <c r="W38" s="35" t="str">
        <v>EDUCATEUR JEUNES ENFANTS</v>
      </c>
    </row>
    <row r="39" spans="1:23" x14ac:dyDescent="0.3">
      <c r="A39" s="35" t="s">
        <v>95</v>
      </c>
      <c r="B39" s="35" t="b">
        <v>1</v>
      </c>
      <c r="C39" s="35" t="b">
        <v>0</v>
      </c>
      <c r="D39" s="35">
        <v>18</v>
      </c>
      <c r="E39" s="64" t="b">
        <v>0</v>
      </c>
      <c r="F39" s="64" t="b">
        <v>0</v>
      </c>
      <c r="G39" s="37" t="b">
        <v>0</v>
      </c>
      <c r="H39" s="36" t="b">
        <v>0</v>
      </c>
      <c r="I39" s="64" t="b">
        <v>1</v>
      </c>
      <c r="K39" s="56">
        <v>4</v>
      </c>
      <c r="L39" s="37">
        <v>12</v>
      </c>
      <c r="M39" s="37">
        <v>896</v>
      </c>
      <c r="N39" s="39" t="str" cm="1">
        <f t="array" ref="N3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GRILLE]],MAX($N$1:N38)+1)</f>
        <v/>
      </c>
      <c r="W39" s="35" t="str">
        <v>EDUCATEUR SCOLAIRE</v>
      </c>
    </row>
    <row r="40" spans="1:23" x14ac:dyDescent="0.3">
      <c r="A40" s="35" t="s">
        <v>58</v>
      </c>
      <c r="B40" s="35" t="b">
        <v>0</v>
      </c>
      <c r="C40" s="35" t="b">
        <v>1</v>
      </c>
      <c r="D40" s="35">
        <v>3</v>
      </c>
      <c r="E40" s="64" t="b">
        <v>0</v>
      </c>
      <c r="F40" s="64" t="b">
        <v>0</v>
      </c>
      <c r="G40" s="64" t="b">
        <v>1</v>
      </c>
      <c r="H40" s="36" t="b">
        <v>0</v>
      </c>
      <c r="I40" s="64" t="b">
        <v>0</v>
      </c>
      <c r="K40" s="56">
        <v>4</v>
      </c>
      <c r="L40" s="36">
        <v>15</v>
      </c>
      <c r="M40" s="36">
        <v>920</v>
      </c>
      <c r="N40" s="39" t="str" cm="1">
        <f t="array" ref="N4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GRILLE]],MAX($N$1:N39)+1)</f>
        <v/>
      </c>
      <c r="W40" s="35" t="str">
        <v>EDUCATEUR SPECIALISE</v>
      </c>
    </row>
    <row r="41" spans="1:23" x14ac:dyDescent="0.3">
      <c r="A41" s="75" t="s">
        <v>58</v>
      </c>
      <c r="B41" s="35" t="b">
        <v>1</v>
      </c>
      <c r="C41" s="35" t="b">
        <v>1</v>
      </c>
      <c r="D41" s="35">
        <v>3</v>
      </c>
      <c r="E41" s="64" t="b">
        <v>0</v>
      </c>
      <c r="F41" s="64" t="b">
        <v>0</v>
      </c>
      <c r="G41" s="64" t="b">
        <v>1</v>
      </c>
      <c r="H41" s="36" t="b">
        <v>0</v>
      </c>
      <c r="I41" s="64" t="b">
        <v>0</v>
      </c>
      <c r="K41" s="56">
        <v>4</v>
      </c>
      <c r="L41" s="37">
        <v>18</v>
      </c>
      <c r="M41" s="37">
        <v>944</v>
      </c>
      <c r="N41" s="39" t="str" cm="1">
        <f t="array" ref="N4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GRILLE]],MAX($N$1:N40)+1)</f>
        <v/>
      </c>
      <c r="W41" s="35" t="str">
        <v>EDUCATEUR SPORTIF NIVEAU 3</v>
      </c>
    </row>
    <row r="42" spans="1:23" x14ac:dyDescent="0.3">
      <c r="A42" s="35" t="s">
        <v>60</v>
      </c>
      <c r="B42" s="35" t="b">
        <v>0</v>
      </c>
      <c r="C42" s="35" t="b">
        <v>1</v>
      </c>
      <c r="D42" s="35">
        <v>10</v>
      </c>
      <c r="E42" s="64" t="b">
        <v>0</v>
      </c>
      <c r="F42" s="64" t="b">
        <v>0</v>
      </c>
      <c r="G42" s="64" t="b">
        <v>1</v>
      </c>
      <c r="H42" s="36" t="b">
        <v>0</v>
      </c>
      <c r="I42" s="64" t="b">
        <v>0</v>
      </c>
      <c r="K42" s="56">
        <v>4</v>
      </c>
      <c r="L42" s="36">
        <v>21</v>
      </c>
      <c r="M42" s="36">
        <v>968</v>
      </c>
      <c r="N42" s="39" t="str" cm="1">
        <f t="array" ref="N4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GRILLE]],MAX($N$1:N41)+1)</f>
        <v/>
      </c>
      <c r="W42" s="35" t="str">
        <v>EDUCATEUR SPORTIF NIVEAU 4</v>
      </c>
    </row>
    <row r="43" spans="1:23" x14ac:dyDescent="0.3">
      <c r="A43" s="75" t="s">
        <v>60</v>
      </c>
      <c r="B43" s="35" t="b">
        <v>1</v>
      </c>
      <c r="C43" s="35" t="b">
        <v>1</v>
      </c>
      <c r="D43" s="35">
        <v>10</v>
      </c>
      <c r="E43" s="64" t="b">
        <v>0</v>
      </c>
      <c r="F43" s="64" t="b">
        <v>0</v>
      </c>
      <c r="G43" s="64" t="b">
        <v>1</v>
      </c>
      <c r="H43" s="36" t="b">
        <v>0</v>
      </c>
      <c r="I43" s="64" t="b">
        <v>0</v>
      </c>
      <c r="K43" s="56">
        <v>4</v>
      </c>
      <c r="L43" s="37">
        <v>24</v>
      </c>
      <c r="M43" s="37">
        <v>992</v>
      </c>
      <c r="N43" s="39" t="str" cm="1">
        <f t="array" ref="N4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GRILLE]],MAX($N$1:N42)+1)</f>
        <v/>
      </c>
      <c r="W43" s="35" t="str">
        <v>EDUCATEUR TECHNIQUE SPECIALISE</v>
      </c>
    </row>
    <row r="44" spans="1:23" x14ac:dyDescent="0.3">
      <c r="A44" s="35" t="s">
        <v>101</v>
      </c>
      <c r="B44" s="35" t="b">
        <v>0</v>
      </c>
      <c r="C44" s="35" t="b">
        <v>0</v>
      </c>
      <c r="D44" s="35">
        <v>8</v>
      </c>
      <c r="E44" s="64" t="b">
        <v>0</v>
      </c>
      <c r="F44" s="64" t="b">
        <v>0</v>
      </c>
      <c r="G44" s="38" t="b">
        <v>0</v>
      </c>
      <c r="H44" s="36" t="b">
        <v>0</v>
      </c>
      <c r="I44" s="64" t="b">
        <v>0</v>
      </c>
      <c r="K44" s="56">
        <v>4</v>
      </c>
      <c r="L44" s="36">
        <v>28</v>
      </c>
      <c r="M44" s="36">
        <v>1024</v>
      </c>
      <c r="N44" s="39" t="str" cm="1">
        <f t="array" ref="N4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GRILLE]],MAX($N$1:N43)+1)</f>
        <v/>
      </c>
      <c r="W44" s="35" t="str">
        <v>ERGOTHERAPEUTE</v>
      </c>
    </row>
    <row r="45" spans="1:23" x14ac:dyDescent="0.3">
      <c r="A45" s="75" t="s">
        <v>101</v>
      </c>
      <c r="B45" s="35" t="b">
        <v>1</v>
      </c>
      <c r="C45" s="35" t="b">
        <v>0</v>
      </c>
      <c r="D45" s="35">
        <v>8</v>
      </c>
      <c r="E45" s="64" t="b">
        <v>0</v>
      </c>
      <c r="F45" s="64" t="b">
        <v>0</v>
      </c>
      <c r="G45" s="38" t="b">
        <v>0</v>
      </c>
      <c r="H45" s="36" t="b">
        <v>0</v>
      </c>
      <c r="I45" s="64" t="b">
        <v>0</v>
      </c>
      <c r="K45" s="56">
        <v>5</v>
      </c>
      <c r="L45" s="37">
        <v>0</v>
      </c>
      <c r="M45" s="37">
        <v>403</v>
      </c>
      <c r="N45" s="39" t="str" cm="1">
        <f t="array" ref="N4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GRILLE]],MAX($N$1:N44)+1)</f>
        <v/>
      </c>
      <c r="W45" s="35" t="str">
        <v>ERGOTHERAPEUTE ARS</v>
      </c>
    </row>
    <row r="46" spans="1:23" x14ac:dyDescent="0.3">
      <c r="A46" s="35" t="s">
        <v>52</v>
      </c>
      <c r="B46" s="35" t="b">
        <v>0</v>
      </c>
      <c r="C46" s="35" t="b">
        <v>0</v>
      </c>
      <c r="D46" s="35">
        <v>6</v>
      </c>
      <c r="E46" s="64" t="b">
        <v>0</v>
      </c>
      <c r="F46" s="64" t="b">
        <v>0</v>
      </c>
      <c r="G46" s="38" t="b">
        <v>0</v>
      </c>
      <c r="H46" s="36" t="b">
        <v>0</v>
      </c>
      <c r="I46" s="64" t="b">
        <v>0</v>
      </c>
      <c r="K46" s="56">
        <v>5</v>
      </c>
      <c r="L46" s="37">
        <v>7</v>
      </c>
      <c r="M46" s="37">
        <v>415</v>
      </c>
      <c r="N46" s="39" t="str" cm="1">
        <f t="array" ref="N4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GRILLE]],MAX($N$1:N45)+1)</f>
        <v/>
      </c>
      <c r="W46" s="35" t="str">
        <v>GESTIONNAIRE COMPTABLE</v>
      </c>
    </row>
    <row r="47" spans="1:23" x14ac:dyDescent="0.3">
      <c r="A47" s="35" t="s">
        <v>52</v>
      </c>
      <c r="B47" s="35" t="b">
        <v>1</v>
      </c>
      <c r="C47" s="35" t="b">
        <v>0</v>
      </c>
      <c r="D47" s="35">
        <v>6</v>
      </c>
      <c r="E47" s="64" t="b">
        <v>0</v>
      </c>
      <c r="F47" s="64" t="b">
        <v>0</v>
      </c>
      <c r="G47" s="38" t="b">
        <v>0</v>
      </c>
      <c r="H47" s="36" t="b">
        <v>0</v>
      </c>
      <c r="I47" s="64" t="b">
        <v>0</v>
      </c>
      <c r="K47" s="56">
        <v>5</v>
      </c>
      <c r="L47" s="37">
        <v>10</v>
      </c>
      <c r="M47" s="37">
        <v>432</v>
      </c>
      <c r="N47" s="39" t="str" cm="1">
        <f t="array" ref="N4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GRILLE]],MAX($N$1:N46)+1)</f>
        <v/>
      </c>
      <c r="W47" s="35" t="str">
        <v>GESTIONNAIRE LOGISTIQUE</v>
      </c>
    </row>
    <row r="48" spans="1:23" x14ac:dyDescent="0.3">
      <c r="A48" s="35" t="s">
        <v>90</v>
      </c>
      <c r="B48" s="35" t="b">
        <v>1</v>
      </c>
      <c r="C48" s="35" t="b">
        <v>0</v>
      </c>
      <c r="D48" s="35">
        <v>1</v>
      </c>
      <c r="E48" s="37" t="b">
        <v>0</v>
      </c>
      <c r="F48" s="37" t="b">
        <v>0</v>
      </c>
      <c r="G48" s="37" t="b">
        <v>1</v>
      </c>
      <c r="H48" s="36" t="b">
        <v>0</v>
      </c>
      <c r="I48" s="64" t="b">
        <v>0</v>
      </c>
      <c r="K48" s="56">
        <v>5</v>
      </c>
      <c r="L48" s="37">
        <v>13</v>
      </c>
      <c r="M48" s="37">
        <v>448</v>
      </c>
      <c r="N48" s="39" t="str" cm="1">
        <f t="array" ref="N4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GRILLE]],MAX($N$1:N47)+1)</f>
        <v/>
      </c>
      <c r="W48" s="35" t="str">
        <v>GESTIONNAIRE RH</v>
      </c>
    </row>
    <row r="49" spans="1:23" x14ac:dyDescent="0.3">
      <c r="A49" s="35" t="s">
        <v>90</v>
      </c>
      <c r="B49" s="35" t="b">
        <v>0</v>
      </c>
      <c r="C49" s="35" t="b">
        <v>0</v>
      </c>
      <c r="D49" s="35">
        <v>8</v>
      </c>
      <c r="E49" s="64" t="b">
        <v>0</v>
      </c>
      <c r="F49" s="64" t="b">
        <v>0</v>
      </c>
      <c r="G49" s="64" t="b">
        <v>1</v>
      </c>
      <c r="H49" s="36" t="b">
        <v>0</v>
      </c>
      <c r="I49" s="64" t="b">
        <v>0</v>
      </c>
      <c r="K49" s="56">
        <v>5</v>
      </c>
      <c r="L49" s="37">
        <v>16</v>
      </c>
      <c r="M49" s="37">
        <v>462</v>
      </c>
      <c r="N49" s="39" t="str" cm="1">
        <f t="array" ref="N4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GRILLE]],MAX($N$1:N48)+1)</f>
        <v/>
      </c>
      <c r="W49" s="35" t="str">
        <v>INFIRMIER</v>
      </c>
    </row>
    <row r="50" spans="1:23" x14ac:dyDescent="0.3">
      <c r="A50" s="35" t="s">
        <v>51</v>
      </c>
      <c r="B50" s="35" t="b">
        <v>1</v>
      </c>
      <c r="C50" s="35" t="b">
        <v>0</v>
      </c>
      <c r="D50" s="35">
        <v>1</v>
      </c>
      <c r="E50" s="37" t="b">
        <v>0</v>
      </c>
      <c r="F50" s="37" t="b">
        <v>0</v>
      </c>
      <c r="G50" s="37" t="b">
        <v>1</v>
      </c>
      <c r="H50" s="36" t="b">
        <v>0</v>
      </c>
      <c r="I50" s="64" t="b">
        <v>0</v>
      </c>
      <c r="K50" s="56">
        <v>5</v>
      </c>
      <c r="L50" s="37">
        <v>20</v>
      </c>
      <c r="M50" s="37">
        <v>479</v>
      </c>
      <c r="N50" s="39" t="str" cm="1">
        <f t="array" ref="N5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GRILLE]],MAX($N$1:N49)+1)</f>
        <v/>
      </c>
      <c r="W50" s="35" t="str">
        <v>INFIRMIER ARS</v>
      </c>
    </row>
    <row r="51" spans="1:23" x14ac:dyDescent="0.3">
      <c r="A51" s="35" t="s">
        <v>51</v>
      </c>
      <c r="B51" s="35" t="b">
        <v>0</v>
      </c>
      <c r="C51" s="35" t="b">
        <v>0</v>
      </c>
      <c r="D51" s="35">
        <v>8</v>
      </c>
      <c r="E51" s="64" t="b">
        <v>0</v>
      </c>
      <c r="F51" s="64" t="b">
        <v>0</v>
      </c>
      <c r="G51" s="64" t="b">
        <v>1</v>
      </c>
      <c r="H51" s="36" t="b">
        <v>0</v>
      </c>
      <c r="I51" s="64" t="b">
        <v>0</v>
      </c>
      <c r="K51" s="56">
        <v>5</v>
      </c>
      <c r="L51" s="37">
        <v>24</v>
      </c>
      <c r="M51" s="37">
        <v>493</v>
      </c>
      <c r="N51" s="39" t="str" cm="1">
        <f t="array" ref="N5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GRILLE]],MAX($N$1:N50)+1)</f>
        <v/>
      </c>
      <c r="W51" s="35" t="str">
        <v>JURISTE</v>
      </c>
    </row>
    <row r="52" spans="1:23" x14ac:dyDescent="0.3">
      <c r="A52" s="35" t="s">
        <v>66</v>
      </c>
      <c r="B52" s="35" t="b">
        <v>0</v>
      </c>
      <c r="C52" s="35" t="b">
        <v>1</v>
      </c>
      <c r="D52" s="35">
        <v>9</v>
      </c>
      <c r="E52" s="64" t="b">
        <v>0</v>
      </c>
      <c r="F52" s="64" t="b">
        <v>0</v>
      </c>
      <c r="G52" s="64" t="b">
        <v>0</v>
      </c>
      <c r="H52" s="36" t="b">
        <v>0</v>
      </c>
      <c r="I52" s="64" t="b">
        <v>0</v>
      </c>
      <c r="K52" s="57">
        <v>5</v>
      </c>
      <c r="L52" s="38">
        <v>28</v>
      </c>
      <c r="M52" s="37">
        <v>501</v>
      </c>
      <c r="N52" s="39" t="str" cm="1">
        <f t="array" ref="N5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GRILLE]],MAX($N$1:N51)+1)</f>
        <v/>
      </c>
      <c r="W52" s="35" t="str">
        <v>MAITRESSE DE MAISON</v>
      </c>
    </row>
    <row r="53" spans="1:23" x14ac:dyDescent="0.3">
      <c r="A53" s="79" t="s">
        <v>66</v>
      </c>
      <c r="B53" s="79" t="b">
        <v>1</v>
      </c>
      <c r="C53" s="79" t="b">
        <v>1</v>
      </c>
      <c r="D53" s="79">
        <v>9</v>
      </c>
      <c r="E53" s="64" t="b">
        <v>0</v>
      </c>
      <c r="F53" s="64" t="b">
        <v>0</v>
      </c>
      <c r="G53" s="64" t="b">
        <v>0</v>
      </c>
      <c r="H53" s="64" t="b">
        <v>0</v>
      </c>
      <c r="I53" s="64" t="b">
        <v>0</v>
      </c>
      <c r="K53" s="57">
        <v>6</v>
      </c>
      <c r="L53" s="37">
        <v>0</v>
      </c>
      <c r="M53" s="38">
        <v>411</v>
      </c>
      <c r="N53" s="39" t="str" cm="1">
        <f t="array" ref="N5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GRILLE]],MAX($N$1:N52)+1)</f>
        <v/>
      </c>
      <c r="W53" s="35" t="str">
        <v>MAITRESSE DE MAISON NON QUALIFIEE</v>
      </c>
    </row>
    <row r="54" spans="1:23" x14ac:dyDescent="0.3">
      <c r="A54" s="35" t="s">
        <v>61</v>
      </c>
      <c r="B54" s="35" t="b">
        <v>0</v>
      </c>
      <c r="C54" s="35" t="b">
        <v>1</v>
      </c>
      <c r="D54" s="35">
        <v>11</v>
      </c>
      <c r="E54" s="64" t="b">
        <v>0</v>
      </c>
      <c r="F54" s="64" t="b">
        <v>0</v>
      </c>
      <c r="G54" s="64" t="b">
        <v>0</v>
      </c>
      <c r="H54" s="36" t="b">
        <v>0</v>
      </c>
      <c r="I54" s="64" t="b">
        <v>0</v>
      </c>
      <c r="K54" s="56">
        <v>6</v>
      </c>
      <c r="L54" s="36">
        <v>1</v>
      </c>
      <c r="M54" s="37">
        <v>424</v>
      </c>
      <c r="N54" s="39" t="str" cm="1">
        <f t="array" ref="N5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GRILLE]],MAX($N$1:N53)+1)</f>
        <v/>
      </c>
      <c r="W54" s="35" t="str">
        <v>MONITEUR ADJOINT D'ANIMATION</v>
      </c>
    </row>
    <row r="55" spans="1:23" x14ac:dyDescent="0.3">
      <c r="A55" s="75" t="s">
        <v>61</v>
      </c>
      <c r="B55" s="35" t="b">
        <v>1</v>
      </c>
      <c r="C55" s="35" t="b">
        <v>1</v>
      </c>
      <c r="D55" s="35">
        <v>11</v>
      </c>
      <c r="E55" s="64" t="b">
        <v>0</v>
      </c>
      <c r="F55" s="64" t="b">
        <v>0</v>
      </c>
      <c r="G55" s="64" t="b">
        <v>0</v>
      </c>
      <c r="H55" s="36" t="b">
        <v>0</v>
      </c>
      <c r="I55" s="64" t="b">
        <v>0</v>
      </c>
      <c r="K55" s="57">
        <v>6</v>
      </c>
      <c r="L55" s="37">
        <v>2</v>
      </c>
      <c r="M55" s="37">
        <v>438</v>
      </c>
      <c r="N55" s="39" t="str" cm="1">
        <f t="array" ref="N5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GRILLE]],MAX($N$1:N54)+1)</f>
        <v/>
      </c>
      <c r="W55" s="35" t="str">
        <v>MONITEUR EDUCATEUR</v>
      </c>
    </row>
    <row r="56" spans="1:23" x14ac:dyDescent="0.3">
      <c r="A56" s="35" t="s">
        <v>57</v>
      </c>
      <c r="B56" s="35" t="b">
        <v>0</v>
      </c>
      <c r="C56" s="35" t="b">
        <v>1</v>
      </c>
      <c r="D56" s="35">
        <v>9</v>
      </c>
      <c r="E56" s="64" t="b">
        <v>0</v>
      </c>
      <c r="F56" s="64" t="b">
        <v>0</v>
      </c>
      <c r="G56" s="64" t="b">
        <v>0</v>
      </c>
      <c r="H56" s="36" t="b">
        <v>0</v>
      </c>
      <c r="I56" s="64" t="b">
        <v>0</v>
      </c>
      <c r="K56" s="56">
        <v>6</v>
      </c>
      <c r="L56" s="36">
        <v>3</v>
      </c>
      <c r="M56" s="37">
        <v>453</v>
      </c>
      <c r="N56" s="39" t="str" cm="1">
        <f t="array" ref="N5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GRILLE]],MAX($N$1:N55)+1)</f>
        <v/>
      </c>
      <c r="W56" s="35" t="str">
        <v>ORTHOPHONISTE</v>
      </c>
    </row>
    <row r="57" spans="1:23" x14ac:dyDescent="0.3">
      <c r="A57" s="35" t="s">
        <v>145</v>
      </c>
      <c r="B57" s="35" t="b">
        <v>1</v>
      </c>
      <c r="C57" s="35" t="b">
        <v>1</v>
      </c>
      <c r="D57" s="35">
        <v>9</v>
      </c>
      <c r="E57" s="64" t="b">
        <v>0</v>
      </c>
      <c r="F57" s="64" t="b">
        <v>0</v>
      </c>
      <c r="G57" s="64" t="b">
        <v>0</v>
      </c>
      <c r="H57" s="36" t="b">
        <v>0</v>
      </c>
      <c r="I57" s="64" t="b">
        <v>0</v>
      </c>
      <c r="K57" s="56">
        <v>6</v>
      </c>
      <c r="L57" s="36">
        <v>5</v>
      </c>
      <c r="M57" s="37">
        <v>465</v>
      </c>
      <c r="N57" s="39" t="str" cm="1">
        <f t="array" ref="N5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GRILLE]],MAX($N$1:N56)+1)</f>
        <v/>
      </c>
      <c r="W57" s="35" t="str">
        <v>ORTHOPHONISTE ARS</v>
      </c>
    </row>
    <row r="58" spans="1:23" x14ac:dyDescent="0.3">
      <c r="A58" s="35" t="s">
        <v>64</v>
      </c>
      <c r="B58" s="35" t="b">
        <v>0</v>
      </c>
      <c r="C58" s="35" t="b">
        <v>1</v>
      </c>
      <c r="D58" s="35">
        <v>9</v>
      </c>
      <c r="E58" s="64" t="b">
        <v>0</v>
      </c>
      <c r="F58" s="64" t="b">
        <v>0</v>
      </c>
      <c r="G58" s="64" t="b">
        <v>0</v>
      </c>
      <c r="H58" s="36" t="b">
        <v>0</v>
      </c>
      <c r="I58" s="64" t="b">
        <v>0</v>
      </c>
      <c r="K58" s="56">
        <v>6</v>
      </c>
      <c r="L58" s="36">
        <v>7</v>
      </c>
      <c r="M58" s="37">
        <v>482</v>
      </c>
      <c r="N58" s="39" t="str" cm="1">
        <f t="array" ref="N5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GRILLE]],MAX($N$1:N57)+1)</f>
        <v/>
      </c>
      <c r="W58" s="35" t="str">
        <v xml:space="preserve">OUVRIER QUALIFIE </v>
      </c>
    </row>
    <row r="59" spans="1:23" x14ac:dyDescent="0.3">
      <c r="A59" s="35" t="s">
        <v>146</v>
      </c>
      <c r="B59" s="35" t="b">
        <v>1</v>
      </c>
      <c r="C59" s="35" t="b">
        <v>1</v>
      </c>
      <c r="D59" s="35">
        <v>9</v>
      </c>
      <c r="E59" s="64" t="b">
        <v>0</v>
      </c>
      <c r="F59" s="64" t="b">
        <v>0</v>
      </c>
      <c r="G59" s="64" t="b">
        <v>0</v>
      </c>
      <c r="H59" s="36" t="b">
        <v>0</v>
      </c>
      <c r="I59" s="64" t="b">
        <v>0</v>
      </c>
      <c r="K59" s="56">
        <v>6</v>
      </c>
      <c r="L59" s="36">
        <v>9</v>
      </c>
      <c r="M59" s="37">
        <v>501</v>
      </c>
      <c r="N59" s="39" t="str" cm="1">
        <f t="array" ref="N5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GRILLE]],MAX($N$1:N58)+1)</f>
        <v/>
      </c>
      <c r="W59" s="35" t="str">
        <v>PROFESSEUR EPS</v>
      </c>
    </row>
    <row r="60" spans="1:23" x14ac:dyDescent="0.3">
      <c r="A60" s="35" t="s">
        <v>70</v>
      </c>
      <c r="B60" s="35" t="b">
        <v>0</v>
      </c>
      <c r="C60" s="35" t="b">
        <v>1</v>
      </c>
      <c r="D60" s="35">
        <v>12</v>
      </c>
      <c r="E60" s="64" t="b">
        <v>0</v>
      </c>
      <c r="F60" s="64" t="b">
        <v>0</v>
      </c>
      <c r="G60" s="64" t="b">
        <v>0</v>
      </c>
      <c r="H60" s="36" t="b">
        <v>0</v>
      </c>
      <c r="I60" s="64" t="b">
        <v>0</v>
      </c>
      <c r="K60" s="57">
        <v>6</v>
      </c>
      <c r="L60" s="37">
        <v>12</v>
      </c>
      <c r="M60" s="37">
        <v>513</v>
      </c>
      <c r="N60" s="39" t="str" cm="1">
        <f t="array" ref="N6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GRILLE]],MAX($N$1:N59)+1)</f>
        <v/>
      </c>
      <c r="W60" s="35" t="str">
        <v>PSYCHIATRE Ø</v>
      </c>
    </row>
    <row r="61" spans="1:23" x14ac:dyDescent="0.3">
      <c r="A61" s="35" t="s">
        <v>70</v>
      </c>
      <c r="B61" s="35" t="b">
        <v>1</v>
      </c>
      <c r="C61" s="35" t="b">
        <v>1</v>
      </c>
      <c r="D61" s="35">
        <v>12</v>
      </c>
      <c r="E61" s="64" t="b">
        <v>0</v>
      </c>
      <c r="F61" s="64" t="b">
        <v>0</v>
      </c>
      <c r="G61" s="64" t="b">
        <v>0</v>
      </c>
      <c r="H61" s="36" t="b">
        <v>0</v>
      </c>
      <c r="I61" s="64" t="b">
        <v>0</v>
      </c>
      <c r="K61" s="56">
        <v>6</v>
      </c>
      <c r="L61" s="36">
        <v>15</v>
      </c>
      <c r="M61" s="37">
        <v>527</v>
      </c>
      <c r="N61" s="39" t="str" cm="1">
        <f t="array" ref="N6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GRILLE]],MAX($N$1:N60)+1)</f>
        <v/>
      </c>
      <c r="W61" s="35" t="str">
        <v>PSYCHOLOGUE C3N1</v>
      </c>
    </row>
    <row r="62" spans="1:23" x14ac:dyDescent="0.3">
      <c r="A62" s="35" t="s">
        <v>63</v>
      </c>
      <c r="B62" s="35" t="b">
        <v>0</v>
      </c>
      <c r="C62" s="35" t="b">
        <v>1</v>
      </c>
      <c r="D62" s="35">
        <v>11</v>
      </c>
      <c r="E62" s="64" t="b">
        <v>0</v>
      </c>
      <c r="F62" s="64" t="b">
        <v>0</v>
      </c>
      <c r="G62" s="64" t="b">
        <v>0</v>
      </c>
      <c r="H62" s="36" t="b">
        <v>0</v>
      </c>
      <c r="I62" s="64" t="b">
        <v>0</v>
      </c>
      <c r="K62" s="57">
        <v>6</v>
      </c>
      <c r="L62" s="37">
        <v>18</v>
      </c>
      <c r="M62" s="37">
        <v>556</v>
      </c>
      <c r="N62" s="39" t="str" cm="1">
        <f t="array" ref="N6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GRILLE]],MAX($N$1:N61)+1)</f>
        <v/>
      </c>
      <c r="W62" s="35" t="str">
        <v>PSYCHOLOGUE C3N2</v>
      </c>
    </row>
    <row r="63" spans="1:23" x14ac:dyDescent="0.3">
      <c r="A63" s="35" t="s">
        <v>147</v>
      </c>
      <c r="B63" s="35" t="b">
        <v>1</v>
      </c>
      <c r="C63" s="35" t="b">
        <v>1</v>
      </c>
      <c r="D63" s="35">
        <v>11</v>
      </c>
      <c r="E63" s="64" t="b">
        <v>0</v>
      </c>
      <c r="F63" s="64" t="b">
        <v>0</v>
      </c>
      <c r="G63" s="64" t="b">
        <v>0</v>
      </c>
      <c r="H63" s="36" t="b">
        <v>0</v>
      </c>
      <c r="I63" s="64" t="b">
        <v>0</v>
      </c>
      <c r="K63" s="56">
        <v>6</v>
      </c>
      <c r="L63" s="36">
        <v>21</v>
      </c>
      <c r="M63" s="37">
        <v>587</v>
      </c>
      <c r="N63" s="39" t="str" cm="1">
        <f t="array" ref="N6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GRILLE]],MAX($N$1:N62)+1)</f>
        <v/>
      </c>
      <c r="W63" s="35" t="str">
        <v>PSYCHOMOTRICIEN</v>
      </c>
    </row>
    <row r="64" spans="1:23" x14ac:dyDescent="0.3">
      <c r="A64" s="35" t="s">
        <v>67</v>
      </c>
      <c r="B64" s="35" t="b">
        <v>0</v>
      </c>
      <c r="C64" s="35" t="b">
        <v>1</v>
      </c>
      <c r="D64" s="35">
        <v>9</v>
      </c>
      <c r="E64" s="64" t="b">
        <v>0</v>
      </c>
      <c r="F64" s="64" t="b">
        <v>0</v>
      </c>
      <c r="G64" s="64" t="b">
        <v>0</v>
      </c>
      <c r="H64" s="36" t="b">
        <v>0</v>
      </c>
      <c r="I64" s="64" t="b">
        <v>0</v>
      </c>
      <c r="K64" s="57">
        <v>6</v>
      </c>
      <c r="L64" s="37">
        <v>24</v>
      </c>
      <c r="M64" s="37">
        <v>617</v>
      </c>
      <c r="N64" s="39" t="str" cm="1">
        <f t="array" ref="N6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GRILLE]],MAX($N$1:N63)+1)</f>
        <v/>
      </c>
      <c r="W64" s="35" t="str">
        <v>PSYCHOMOTRICIEN ARS</v>
      </c>
    </row>
    <row r="65" spans="1:23" x14ac:dyDescent="0.3">
      <c r="A65" s="35" t="s">
        <v>148</v>
      </c>
      <c r="B65" s="35" t="b">
        <v>1</v>
      </c>
      <c r="C65" s="35" t="b">
        <v>1</v>
      </c>
      <c r="D65" s="35">
        <v>9</v>
      </c>
      <c r="E65" s="64" t="b">
        <v>0</v>
      </c>
      <c r="F65" s="64" t="b">
        <v>0</v>
      </c>
      <c r="G65" s="64" t="b">
        <v>0</v>
      </c>
      <c r="H65" s="36" t="b">
        <v>0</v>
      </c>
      <c r="I65" s="64" t="b">
        <v>0</v>
      </c>
      <c r="K65" s="57">
        <v>6</v>
      </c>
      <c r="L65" s="37">
        <v>28</v>
      </c>
      <c r="M65" s="38">
        <v>652</v>
      </c>
      <c r="N65" s="39" t="str" cm="1">
        <f t="array" ref="N6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GRILLE]],MAX($N$1:N64)+1)</f>
        <v/>
      </c>
      <c r="W65" s="35" t="str">
        <v>RESPONSABLE LOGISTIQUE C3N3</v>
      </c>
    </row>
    <row r="66" spans="1:23" x14ac:dyDescent="0.3">
      <c r="A66" s="35" t="s">
        <v>46</v>
      </c>
      <c r="B66" s="35" t="b">
        <v>1</v>
      </c>
      <c r="C66" s="35" t="b">
        <v>0</v>
      </c>
      <c r="D66" s="35">
        <v>1</v>
      </c>
      <c r="E66" s="37" t="b">
        <v>0</v>
      </c>
      <c r="F66" s="37" t="b">
        <v>0</v>
      </c>
      <c r="G66" s="37" t="b">
        <v>1</v>
      </c>
      <c r="H66" s="36" t="b">
        <v>0</v>
      </c>
      <c r="I66" s="64" t="b">
        <v>0</v>
      </c>
      <c r="K66" s="56">
        <v>7</v>
      </c>
      <c r="L66" s="37">
        <v>0</v>
      </c>
      <c r="M66" s="37">
        <v>421</v>
      </c>
      <c r="N66" s="39" t="str" cm="1">
        <f t="array" ref="N6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GRILLE]],MAX($N$1:N65)+1)</f>
        <v/>
      </c>
      <c r="W66" s="35" t="str">
        <v>RESPONSABLE LOGISTIQUE C3N4</v>
      </c>
    </row>
    <row r="67" spans="1:23" x14ac:dyDescent="0.3">
      <c r="A67" s="35" t="s">
        <v>46</v>
      </c>
      <c r="B67" s="35" t="b">
        <v>0</v>
      </c>
      <c r="C67" s="35" t="b">
        <v>0</v>
      </c>
      <c r="D67" s="35">
        <v>8</v>
      </c>
      <c r="E67" s="64" t="b">
        <v>0</v>
      </c>
      <c r="F67" s="64" t="b">
        <v>0</v>
      </c>
      <c r="G67" s="64" t="b">
        <v>1</v>
      </c>
      <c r="H67" s="36" t="b">
        <v>0</v>
      </c>
      <c r="I67" s="64" t="b">
        <v>0</v>
      </c>
      <c r="K67" s="56">
        <v>7</v>
      </c>
      <c r="L67" s="37">
        <v>1</v>
      </c>
      <c r="M67" s="37">
        <v>434</v>
      </c>
      <c r="N67" s="39" t="str" cm="1">
        <f t="array" ref="N6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GRILLE]],MAX($N$1:N66)+1)</f>
        <v/>
      </c>
      <c r="W67" s="35" t="str">
        <v>RESPONSABLE SIRH C3N1</v>
      </c>
    </row>
    <row r="68" spans="1:23" x14ac:dyDescent="0.3">
      <c r="A68" s="35" t="s">
        <v>102</v>
      </c>
      <c r="B68" s="35" t="b">
        <v>1</v>
      </c>
      <c r="C68" s="35" t="b">
        <v>0</v>
      </c>
      <c r="D68" s="35">
        <v>1</v>
      </c>
      <c r="E68" s="37" t="b">
        <v>0</v>
      </c>
      <c r="F68" s="37" t="b">
        <v>0</v>
      </c>
      <c r="G68" s="37" t="b">
        <v>1</v>
      </c>
      <c r="H68" s="36" t="b">
        <v>0</v>
      </c>
      <c r="I68" s="64" t="b">
        <v>0</v>
      </c>
      <c r="K68" s="56">
        <v>7</v>
      </c>
      <c r="L68" s="37">
        <v>2</v>
      </c>
      <c r="M68" s="37">
        <v>450</v>
      </c>
      <c r="N68" s="39" t="str" cm="1">
        <f t="array" ref="N6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GRILLE]],MAX($N$1:N67)+1)</f>
        <v/>
      </c>
      <c r="W68" s="35" t="str">
        <v>RESPONSABLE SIRH C3N2</v>
      </c>
    </row>
    <row r="69" spans="1:23" x14ac:dyDescent="0.3">
      <c r="A69" s="35" t="s">
        <v>102</v>
      </c>
      <c r="B69" s="35" t="b">
        <v>0</v>
      </c>
      <c r="C69" s="35" t="b">
        <v>0</v>
      </c>
      <c r="D69" s="35">
        <v>8</v>
      </c>
      <c r="E69" s="64" t="b">
        <v>0</v>
      </c>
      <c r="F69" s="64" t="b">
        <v>0</v>
      </c>
      <c r="G69" s="64" t="b">
        <v>1</v>
      </c>
      <c r="H69" s="36" t="b">
        <v>0</v>
      </c>
      <c r="I69" s="64" t="b">
        <v>0</v>
      </c>
      <c r="K69" s="56">
        <v>7</v>
      </c>
      <c r="L69" s="37">
        <v>3</v>
      </c>
      <c r="M69" s="37">
        <v>464</v>
      </c>
      <c r="N69" s="39" t="str" cm="1">
        <f t="array" ref="N6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GRILLE]],MAX($N$1:N68)+1)</f>
        <v/>
      </c>
      <c r="W69" s="35" t="str">
        <v>SECRETAIRE DE DIRECTION NIVEAU 2</v>
      </c>
    </row>
    <row r="70" spans="1:23" x14ac:dyDescent="0.3">
      <c r="A70" s="35" t="s">
        <v>47</v>
      </c>
      <c r="B70" s="35" t="b">
        <v>1</v>
      </c>
      <c r="C70" s="35" t="b">
        <v>0</v>
      </c>
      <c r="D70" s="35">
        <v>1</v>
      </c>
      <c r="E70" s="37" t="b">
        <v>0</v>
      </c>
      <c r="F70" s="37" t="b">
        <v>0</v>
      </c>
      <c r="G70" s="37" t="b">
        <v>1</v>
      </c>
      <c r="H70" s="36" t="b">
        <v>0</v>
      </c>
      <c r="I70" s="64" t="b">
        <v>0</v>
      </c>
      <c r="K70" s="56">
        <v>7</v>
      </c>
      <c r="L70" s="37">
        <v>5</v>
      </c>
      <c r="M70" s="37">
        <v>476</v>
      </c>
      <c r="N70" s="39" t="str" cm="1">
        <f t="array" ref="N7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GRILLE]],MAX($N$1:N69)+1)</f>
        <v/>
      </c>
      <c r="W70" s="35" t="str">
        <v>SECRETAIRE DE DIRECTION NIVEAU 3</v>
      </c>
    </row>
    <row r="71" spans="1:23" x14ac:dyDescent="0.3">
      <c r="A71" s="35" t="s">
        <v>47</v>
      </c>
      <c r="B71" s="35" t="b">
        <v>0</v>
      </c>
      <c r="C71" s="35" t="b">
        <v>0</v>
      </c>
      <c r="D71" s="35">
        <v>8</v>
      </c>
      <c r="E71" s="64" t="b">
        <v>0</v>
      </c>
      <c r="F71" s="64" t="b">
        <v>0</v>
      </c>
      <c r="G71" s="64" t="b">
        <v>1</v>
      </c>
      <c r="H71" s="36" t="b">
        <v>0</v>
      </c>
      <c r="I71" s="64" t="b">
        <v>0</v>
      </c>
      <c r="K71" s="56">
        <v>7</v>
      </c>
      <c r="L71" s="37">
        <v>7</v>
      </c>
      <c r="M71" s="37">
        <v>493</v>
      </c>
      <c r="N71" s="39" t="str" cm="1">
        <f t="array" ref="N7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GRILLE]],MAX($N$1:N70)+1)</f>
        <v/>
      </c>
      <c r="W71" s="35" t="str">
        <v>SURVEILLANT DE NUIT</v>
      </c>
    </row>
    <row r="72" spans="1:23" x14ac:dyDescent="0.3">
      <c r="A72" s="35" t="s">
        <v>93</v>
      </c>
      <c r="B72" s="35" t="b">
        <v>1</v>
      </c>
      <c r="C72" s="35" t="b">
        <v>0</v>
      </c>
      <c r="D72" s="35">
        <v>1</v>
      </c>
      <c r="E72" s="37" t="b">
        <v>0</v>
      </c>
      <c r="F72" s="37" t="b">
        <v>0</v>
      </c>
      <c r="G72" s="37" t="b">
        <v>1</v>
      </c>
      <c r="H72" s="36" t="b">
        <v>0</v>
      </c>
      <c r="I72" s="64" t="b">
        <v>0</v>
      </c>
      <c r="K72" s="56">
        <v>7</v>
      </c>
      <c r="L72" s="37">
        <v>8</v>
      </c>
      <c r="M72" s="37">
        <v>493</v>
      </c>
      <c r="N72" s="39" t="str" cm="1">
        <f t="array" ref="N7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GRILLE]],MAX($N$1:N71)+1)</f>
        <v/>
      </c>
      <c r="W72" s="35" t="str">
        <v>SURVEILLANT DE NUIT QUALIFIE</v>
      </c>
    </row>
    <row r="73" spans="1:23" x14ac:dyDescent="0.3">
      <c r="A73" s="35" t="s">
        <v>93</v>
      </c>
      <c r="B73" s="35" t="b">
        <v>0</v>
      </c>
      <c r="C73" s="35" t="b">
        <v>0</v>
      </c>
      <c r="D73" s="35">
        <v>8</v>
      </c>
      <c r="E73" s="64" t="b">
        <v>0</v>
      </c>
      <c r="F73" s="64" t="b">
        <v>0</v>
      </c>
      <c r="G73" s="64" t="b">
        <v>1</v>
      </c>
      <c r="H73" s="36" t="b">
        <v>0</v>
      </c>
      <c r="I73" s="64" t="b">
        <v>0</v>
      </c>
      <c r="K73" s="56">
        <v>7</v>
      </c>
      <c r="L73" s="37">
        <v>9</v>
      </c>
      <c r="M73" s="37">
        <v>513</v>
      </c>
      <c r="N73" s="39" t="str" cm="1">
        <f t="array" ref="N7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GRILLE]],MAX($N$1:N72)+1)</f>
        <v/>
      </c>
      <c r="W73" s="35" t="str">
        <v>TECHNICIEN QUALIFIE</v>
      </c>
    </row>
    <row r="74" spans="1:23" x14ac:dyDescent="0.3">
      <c r="A74" s="35" t="s">
        <v>74</v>
      </c>
      <c r="B74" s="35" t="b">
        <v>1</v>
      </c>
      <c r="C74" s="35" t="b">
        <v>0</v>
      </c>
      <c r="D74" s="35">
        <v>7</v>
      </c>
      <c r="E74" s="64" t="b">
        <v>0</v>
      </c>
      <c r="F74" s="64" t="b">
        <v>0</v>
      </c>
      <c r="G74" s="37" t="b">
        <v>1</v>
      </c>
      <c r="H74" s="36" t="b">
        <v>0</v>
      </c>
      <c r="I74" s="64" t="b">
        <v>0</v>
      </c>
      <c r="K74" s="56">
        <v>7</v>
      </c>
      <c r="L74" s="37">
        <v>12</v>
      </c>
      <c r="M74" s="37">
        <v>525</v>
      </c>
      <c r="N74" s="39" t="str" cm="1">
        <f t="array" ref="N7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GRILLE]],MAX($N$1:N73)+1)</f>
        <v/>
      </c>
      <c r="W74" s="35" t="str">
        <v>TECHNICIEN SUPERIEUR</v>
      </c>
    </row>
    <row r="75" spans="1:23" x14ac:dyDescent="0.3">
      <c r="A75" s="35" t="s">
        <v>74</v>
      </c>
      <c r="B75" s="35" t="b">
        <v>0</v>
      </c>
      <c r="C75" s="35" t="b">
        <v>0</v>
      </c>
      <c r="D75" s="35">
        <v>6</v>
      </c>
      <c r="E75" s="64" t="b">
        <v>0</v>
      </c>
      <c r="F75" s="64" t="b">
        <v>0</v>
      </c>
      <c r="G75" s="64" t="b">
        <v>1</v>
      </c>
      <c r="H75" s="36" t="b">
        <v>0</v>
      </c>
      <c r="I75" s="64" t="b">
        <v>0</v>
      </c>
      <c r="K75" s="56">
        <v>7</v>
      </c>
      <c r="L75" s="37">
        <v>15</v>
      </c>
      <c r="M75" s="37">
        <v>539</v>
      </c>
      <c r="N75" s="39" t="str" cm="1">
        <f t="array" ref="N7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GRILLE]],MAX($N$1:N74)+1)</f>
        <v/>
      </c>
      <c r="W75" s="35" t="str">
        <v>TECHNICIEN DE L'INTERVENTION SOCIALE ET FAMILIALE</v>
      </c>
    </row>
    <row r="76" spans="1:23" x14ac:dyDescent="0.3">
      <c r="A76" s="35" t="s">
        <v>85</v>
      </c>
      <c r="B76" s="35" t="b">
        <v>1</v>
      </c>
      <c r="C76" s="35" t="b">
        <v>0</v>
      </c>
      <c r="D76" s="35">
        <v>1</v>
      </c>
      <c r="E76" s="37" t="b">
        <v>0</v>
      </c>
      <c r="F76" s="37" t="b">
        <v>0</v>
      </c>
      <c r="G76" s="37" t="b">
        <v>1</v>
      </c>
      <c r="H76" s="36" t="b">
        <v>0</v>
      </c>
      <c r="I76" s="64" t="b">
        <v>0</v>
      </c>
      <c r="K76" s="56">
        <v>7</v>
      </c>
      <c r="L76" s="37">
        <v>18</v>
      </c>
      <c r="M76" s="37">
        <v>568</v>
      </c>
      <c r="N76" s="39" t="str" cm="1">
        <f t="array" ref="N7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GRILLE]],MAX($N$1:N75)+1)</f>
        <v/>
      </c>
    </row>
    <row r="77" spans="1:23" x14ac:dyDescent="0.3">
      <c r="A77" s="35" t="s">
        <v>85</v>
      </c>
      <c r="B77" s="35" t="b">
        <v>0</v>
      </c>
      <c r="C77" s="35" t="b">
        <v>0</v>
      </c>
      <c r="D77" s="35">
        <v>8</v>
      </c>
      <c r="E77" s="64" t="b">
        <v>0</v>
      </c>
      <c r="F77" s="64" t="b">
        <v>0</v>
      </c>
      <c r="G77" s="64" t="b">
        <v>1</v>
      </c>
      <c r="H77" s="36" t="b">
        <v>0</v>
      </c>
      <c r="I77" s="64" t="b">
        <v>0</v>
      </c>
      <c r="K77" s="56">
        <v>7</v>
      </c>
      <c r="L77" s="37">
        <v>21</v>
      </c>
      <c r="M77" s="37">
        <v>600</v>
      </c>
      <c r="N77" s="39" t="str" cm="1">
        <f t="array" ref="N7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GRILLE]],MAX($N$1:N76)+1)</f>
        <v/>
      </c>
    </row>
    <row r="78" spans="1:23" x14ac:dyDescent="0.3">
      <c r="A78" s="35" t="s">
        <v>45</v>
      </c>
      <c r="B78" s="35" t="b">
        <v>1</v>
      </c>
      <c r="C78" s="35" t="b">
        <v>0</v>
      </c>
      <c r="D78" s="35">
        <v>1</v>
      </c>
      <c r="E78" s="37" t="b">
        <v>0</v>
      </c>
      <c r="F78" s="37" t="b">
        <v>0</v>
      </c>
      <c r="G78" s="37" t="b">
        <v>1</v>
      </c>
      <c r="H78" s="36" t="b">
        <v>0</v>
      </c>
      <c r="I78" s="64" t="b">
        <v>0</v>
      </c>
      <c r="K78" s="56">
        <v>7</v>
      </c>
      <c r="L78" s="37">
        <v>24</v>
      </c>
      <c r="M78" s="37">
        <v>635</v>
      </c>
      <c r="N78" s="39" t="str" cm="1">
        <f t="array" ref="N7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GRILLE]],MAX($N$1:N77)+1)</f>
        <v/>
      </c>
    </row>
    <row r="79" spans="1:23" x14ac:dyDescent="0.3">
      <c r="A79" s="35" t="s">
        <v>45</v>
      </c>
      <c r="B79" s="35" t="b">
        <v>0</v>
      </c>
      <c r="C79" s="35" t="b">
        <v>0</v>
      </c>
      <c r="D79" s="35">
        <v>8</v>
      </c>
      <c r="E79" s="64" t="b">
        <v>0</v>
      </c>
      <c r="F79" s="64" t="b">
        <v>0</v>
      </c>
      <c r="G79" s="64" t="b">
        <v>1</v>
      </c>
      <c r="H79" s="36" t="b">
        <v>0</v>
      </c>
      <c r="I79" s="64" t="b">
        <v>0</v>
      </c>
      <c r="K79" s="56">
        <v>7</v>
      </c>
      <c r="L79" s="38">
        <v>28</v>
      </c>
      <c r="M79" s="38">
        <v>665</v>
      </c>
      <c r="N79" s="39" t="str" cm="1">
        <f t="array" ref="N7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GRILLE]],MAX($N$1:N78)+1)</f>
        <v/>
      </c>
    </row>
    <row r="80" spans="1:23" x14ac:dyDescent="0.3">
      <c r="A80" s="75" t="s">
        <v>133</v>
      </c>
      <c r="B80" s="35" t="b">
        <v>1</v>
      </c>
      <c r="C80" s="35" t="b">
        <v>0</v>
      </c>
      <c r="D80" s="35">
        <v>1</v>
      </c>
      <c r="E80" s="37" t="b">
        <v>1</v>
      </c>
      <c r="F80" s="37" t="b">
        <v>1</v>
      </c>
      <c r="G80" s="37" t="b">
        <v>0</v>
      </c>
      <c r="H80" s="36" t="b">
        <v>0</v>
      </c>
      <c r="I80" s="64" t="b">
        <v>0</v>
      </c>
      <c r="K80" s="56">
        <v>8</v>
      </c>
      <c r="L80" s="37">
        <v>0</v>
      </c>
      <c r="M80" s="37">
        <v>434</v>
      </c>
      <c r="N80" s="39" t="str" cm="1">
        <f t="array" ref="N8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GRILLE]],MAX($N$1:N79)+1)</f>
        <v/>
      </c>
    </row>
    <row r="81" spans="1:14" x14ac:dyDescent="0.3">
      <c r="A81" s="75" t="s">
        <v>133</v>
      </c>
      <c r="B81" s="35" t="b">
        <v>0</v>
      </c>
      <c r="C81" s="35" t="b">
        <v>0</v>
      </c>
      <c r="D81" s="35">
        <v>8</v>
      </c>
      <c r="E81" s="64" t="b">
        <v>1</v>
      </c>
      <c r="F81" s="64" t="b">
        <v>1</v>
      </c>
      <c r="G81" s="64" t="b">
        <v>0</v>
      </c>
      <c r="H81" s="36" t="b">
        <v>0</v>
      </c>
      <c r="I81" s="64" t="b">
        <v>0</v>
      </c>
      <c r="K81" s="56">
        <v>8</v>
      </c>
      <c r="L81" s="38">
        <v>1</v>
      </c>
      <c r="M81" s="38">
        <v>447</v>
      </c>
      <c r="N81" s="39" t="str" cm="1">
        <f t="array" ref="N8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GRILLE]],MAX($N$1:N80)+1)</f>
        <v/>
      </c>
    </row>
    <row r="82" spans="1:14" x14ac:dyDescent="0.3">
      <c r="A82" s="35" t="s">
        <v>99</v>
      </c>
      <c r="B82" s="35" t="b">
        <v>0</v>
      </c>
      <c r="C82" s="35" t="b">
        <v>0</v>
      </c>
      <c r="D82" s="35">
        <v>8</v>
      </c>
      <c r="E82" s="64" t="b">
        <v>0</v>
      </c>
      <c r="F82" s="64" t="b">
        <v>0</v>
      </c>
      <c r="G82" s="64" t="b">
        <v>1</v>
      </c>
      <c r="H82" s="36" t="b">
        <v>0</v>
      </c>
      <c r="I82" s="64" t="b">
        <v>0</v>
      </c>
      <c r="K82" s="56">
        <v>8</v>
      </c>
      <c r="L82" s="38">
        <v>3</v>
      </c>
      <c r="M82" s="38">
        <v>478</v>
      </c>
      <c r="N82" s="39" t="str" cm="1">
        <f t="array" ref="N8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GRILLE]],MAX($N$1:N81)+1)</f>
        <v/>
      </c>
    </row>
    <row r="83" spans="1:14" x14ac:dyDescent="0.3">
      <c r="A83" s="35" t="s">
        <v>99</v>
      </c>
      <c r="B83" s="35" t="b">
        <v>1</v>
      </c>
      <c r="C83" s="35" t="b">
        <v>0</v>
      </c>
      <c r="D83" s="35">
        <v>8</v>
      </c>
      <c r="E83" s="64" t="b">
        <v>0</v>
      </c>
      <c r="F83" s="64" t="b">
        <v>0</v>
      </c>
      <c r="G83" s="64" t="b">
        <v>1</v>
      </c>
      <c r="H83" s="36" t="b">
        <v>0</v>
      </c>
      <c r="I83" s="64" t="b">
        <v>0</v>
      </c>
      <c r="K83" s="56">
        <v>8</v>
      </c>
      <c r="L83" s="38">
        <v>5</v>
      </c>
      <c r="M83" s="38">
        <v>503</v>
      </c>
      <c r="N83" s="39" t="str" cm="1">
        <f t="array" ref="N8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GRILLE]],MAX($N$1:N82)+1)</f>
        <v/>
      </c>
    </row>
    <row r="84" spans="1:14" x14ac:dyDescent="0.3">
      <c r="A84" s="35" t="s">
        <v>94</v>
      </c>
      <c r="B84" s="35" t="b">
        <v>0</v>
      </c>
      <c r="C84" s="35" t="b">
        <v>0</v>
      </c>
      <c r="D84" s="35">
        <v>8</v>
      </c>
      <c r="E84" s="64" t="b">
        <v>0</v>
      </c>
      <c r="F84" s="64" t="b">
        <v>0</v>
      </c>
      <c r="G84" s="64" t="b">
        <v>1</v>
      </c>
      <c r="H84" s="36" t="b">
        <v>0</v>
      </c>
      <c r="I84" s="64" t="b">
        <v>0</v>
      </c>
      <c r="K84" s="56">
        <v>8</v>
      </c>
      <c r="L84" s="38">
        <v>7</v>
      </c>
      <c r="M84" s="38">
        <v>537</v>
      </c>
      <c r="N84" s="39" t="str" cm="1">
        <f t="array" ref="N8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GRILLE]],MAX($N$1:N83)+1)</f>
        <v/>
      </c>
    </row>
    <row r="85" spans="1:14" x14ac:dyDescent="0.3">
      <c r="A85" s="35" t="s">
        <v>94</v>
      </c>
      <c r="B85" s="35" t="b">
        <v>1</v>
      </c>
      <c r="C85" s="35" t="b">
        <v>0</v>
      </c>
      <c r="D85" s="35">
        <v>8</v>
      </c>
      <c r="E85" s="64" t="b">
        <v>0</v>
      </c>
      <c r="F85" s="64" t="b">
        <v>0</v>
      </c>
      <c r="G85" s="64" t="b">
        <v>1</v>
      </c>
      <c r="H85" s="36" t="b">
        <v>0</v>
      </c>
      <c r="I85" s="64" t="b">
        <v>0</v>
      </c>
      <c r="K85" s="56">
        <v>8</v>
      </c>
      <c r="L85" s="38">
        <v>9</v>
      </c>
      <c r="M85" s="38">
        <v>570</v>
      </c>
      <c r="N85" s="39" t="str" cm="1">
        <f t="array" ref="N8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GRILLE]],MAX($N$1:N84)+1)</f>
        <v/>
      </c>
    </row>
    <row r="86" spans="1:14" x14ac:dyDescent="0.3">
      <c r="A86" s="35" t="s">
        <v>88</v>
      </c>
      <c r="B86" s="35" t="b">
        <v>0</v>
      </c>
      <c r="C86" s="35" t="b">
        <v>0</v>
      </c>
      <c r="D86" s="35">
        <v>8</v>
      </c>
      <c r="E86" s="64" t="b">
        <v>0</v>
      </c>
      <c r="F86" s="64" t="b">
        <v>0</v>
      </c>
      <c r="G86" s="64" t="b">
        <v>1</v>
      </c>
      <c r="H86" s="36" t="b">
        <v>0</v>
      </c>
      <c r="I86" s="64" t="b">
        <v>0</v>
      </c>
      <c r="K86" s="56">
        <v>8</v>
      </c>
      <c r="L86" s="38">
        <v>11</v>
      </c>
      <c r="M86" s="38">
        <v>581</v>
      </c>
      <c r="N86" s="39" t="str" cm="1">
        <f t="array" ref="N8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GRILLE]],MAX($N$1:N85)+1)</f>
        <v/>
      </c>
    </row>
    <row r="87" spans="1:14" x14ac:dyDescent="0.3">
      <c r="A87" s="35" t="s">
        <v>88</v>
      </c>
      <c r="B87" s="35" t="b">
        <v>1</v>
      </c>
      <c r="C87" s="35" t="b">
        <v>0</v>
      </c>
      <c r="D87" s="35">
        <v>9</v>
      </c>
      <c r="E87" s="64" t="b">
        <v>0</v>
      </c>
      <c r="F87" s="64" t="b">
        <v>0</v>
      </c>
      <c r="G87" s="64" t="b">
        <v>1</v>
      </c>
      <c r="H87" s="36" t="b">
        <v>0</v>
      </c>
      <c r="I87" s="64" t="b">
        <v>0</v>
      </c>
      <c r="K87" s="56">
        <v>8</v>
      </c>
      <c r="L87" s="37">
        <v>14</v>
      </c>
      <c r="M87" s="37">
        <v>615</v>
      </c>
      <c r="N87" s="39" t="str" cm="1">
        <f t="array" ref="N8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GRILLE]],MAX($N$1:N86)+1)</f>
        <v/>
      </c>
    </row>
    <row r="88" spans="1:14" x14ac:dyDescent="0.3">
      <c r="A88" s="35" t="s">
        <v>54</v>
      </c>
      <c r="B88" s="35" t="b">
        <v>1</v>
      </c>
      <c r="C88" s="35" t="b">
        <v>0</v>
      </c>
      <c r="D88" s="35">
        <v>1</v>
      </c>
      <c r="E88" s="37" t="b">
        <v>0</v>
      </c>
      <c r="F88" s="37" t="b">
        <v>0</v>
      </c>
      <c r="G88" s="37" t="b">
        <v>1</v>
      </c>
      <c r="H88" s="36" t="b">
        <v>0</v>
      </c>
      <c r="I88" s="64" t="b">
        <v>0</v>
      </c>
      <c r="K88" s="56">
        <v>8</v>
      </c>
      <c r="L88" s="38">
        <v>17</v>
      </c>
      <c r="M88" s="38">
        <v>647</v>
      </c>
      <c r="N88" s="39" t="str" cm="1">
        <f t="array" ref="N8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GRILLE]],MAX($N$1:N87)+1)</f>
        <v/>
      </c>
    </row>
    <row r="89" spans="1:14" x14ac:dyDescent="0.3">
      <c r="A89" s="35" t="s">
        <v>54</v>
      </c>
      <c r="B89" s="35" t="b">
        <v>0</v>
      </c>
      <c r="C89" s="35" t="b">
        <v>0</v>
      </c>
      <c r="D89" s="79">
        <v>8</v>
      </c>
      <c r="E89" s="37" t="b">
        <v>0</v>
      </c>
      <c r="F89" s="37" t="b">
        <v>0</v>
      </c>
      <c r="G89" s="37" t="b">
        <v>1</v>
      </c>
      <c r="H89" s="36" t="b">
        <v>0</v>
      </c>
      <c r="I89" s="64" t="b">
        <v>0</v>
      </c>
      <c r="K89" s="56">
        <v>8</v>
      </c>
      <c r="L89" s="37">
        <v>20</v>
      </c>
      <c r="M89" s="37">
        <v>679</v>
      </c>
      <c r="N89" s="39" t="str" cm="1">
        <f t="array" ref="N8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GRILLE]],MAX($N$1:N88)+1)</f>
        <v/>
      </c>
    </row>
    <row r="90" spans="1:14" x14ac:dyDescent="0.3">
      <c r="A90" s="75" t="s">
        <v>134</v>
      </c>
      <c r="B90" s="35" t="b">
        <v>1</v>
      </c>
      <c r="C90" s="35" t="b">
        <v>0</v>
      </c>
      <c r="D90" s="79">
        <v>1</v>
      </c>
      <c r="E90" s="64" t="b">
        <v>1</v>
      </c>
      <c r="F90" s="37" t="b">
        <v>1</v>
      </c>
      <c r="G90" s="64" t="b">
        <v>0</v>
      </c>
      <c r="H90" s="36" t="b">
        <v>0</v>
      </c>
      <c r="I90" s="64" t="b">
        <v>0</v>
      </c>
      <c r="K90" s="56">
        <v>8</v>
      </c>
      <c r="L90" s="37">
        <v>24</v>
      </c>
      <c r="M90" s="37">
        <v>715</v>
      </c>
      <c r="N90" s="39" t="str" cm="1">
        <f t="array" ref="N9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GRILLE]],MAX($N$1:N89)+1)</f>
        <v/>
      </c>
    </row>
    <row r="91" spans="1:14" x14ac:dyDescent="0.3">
      <c r="A91" s="75" t="s">
        <v>134</v>
      </c>
      <c r="B91" s="35" t="b">
        <v>0</v>
      </c>
      <c r="C91" s="35" t="b">
        <v>0</v>
      </c>
      <c r="D91" s="79">
        <v>8</v>
      </c>
      <c r="E91" s="64" t="b">
        <v>1</v>
      </c>
      <c r="F91" s="37" t="b">
        <v>1</v>
      </c>
      <c r="G91" s="64" t="b">
        <v>0</v>
      </c>
      <c r="H91" s="36" t="b">
        <v>0</v>
      </c>
      <c r="I91" s="64" t="b">
        <v>0</v>
      </c>
      <c r="K91" s="56">
        <v>8</v>
      </c>
      <c r="L91" s="37">
        <v>28</v>
      </c>
      <c r="M91" s="37">
        <v>762</v>
      </c>
      <c r="N91" s="39" t="str" cm="1">
        <f t="array" ref="N9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GRILLE]],MAX($N$1:N90)+1)</f>
        <v/>
      </c>
    </row>
    <row r="92" spans="1:14" x14ac:dyDescent="0.3">
      <c r="A92" s="35" t="s">
        <v>53</v>
      </c>
      <c r="B92" s="35" t="b">
        <v>0</v>
      </c>
      <c r="C92" s="35" t="b">
        <v>0</v>
      </c>
      <c r="D92" s="35">
        <v>8</v>
      </c>
      <c r="E92" s="64" t="b">
        <v>0</v>
      </c>
      <c r="F92" s="64" t="b">
        <v>0</v>
      </c>
      <c r="G92" s="64" t="b">
        <v>1</v>
      </c>
      <c r="H92" s="36" t="b">
        <v>0</v>
      </c>
      <c r="I92" s="64" t="b">
        <v>0</v>
      </c>
      <c r="K92" s="56">
        <v>9</v>
      </c>
      <c r="L92" s="37">
        <v>0</v>
      </c>
      <c r="M92" s="37">
        <v>870</v>
      </c>
      <c r="N92" s="39" t="str" cm="1">
        <f t="array" ref="N9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GRILLE]],MAX($N$1:N91)+1)</f>
        <v/>
      </c>
    </row>
    <row r="93" spans="1:14" x14ac:dyDescent="0.3">
      <c r="A93" s="35" t="s">
        <v>53</v>
      </c>
      <c r="B93" s="35" t="b">
        <v>1</v>
      </c>
      <c r="C93" s="35" t="b">
        <v>0</v>
      </c>
      <c r="D93" s="35">
        <v>9</v>
      </c>
      <c r="E93" s="64" t="b">
        <v>0</v>
      </c>
      <c r="F93" s="64" t="b">
        <v>0</v>
      </c>
      <c r="G93" s="64" t="b">
        <v>1</v>
      </c>
      <c r="H93" s="36" t="b">
        <v>0</v>
      </c>
      <c r="I93" s="64" t="b">
        <v>0</v>
      </c>
      <c r="K93" s="56">
        <v>9</v>
      </c>
      <c r="L93" s="37">
        <v>3</v>
      </c>
      <c r="M93" s="37">
        <v>896.1</v>
      </c>
      <c r="N93" s="39" t="str" cm="1">
        <f t="array" ref="N9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GRILLE]],MAX($N$1:N92)+1)</f>
        <v/>
      </c>
    </row>
    <row r="94" spans="1:14" x14ac:dyDescent="0.3">
      <c r="A94" s="35" t="s">
        <v>75</v>
      </c>
      <c r="B94" s="35" t="b">
        <v>1</v>
      </c>
      <c r="C94" s="35" t="b">
        <v>0</v>
      </c>
      <c r="D94" s="35">
        <v>20</v>
      </c>
      <c r="E94" s="64" t="b">
        <v>0</v>
      </c>
      <c r="F94" s="64" t="b">
        <v>0</v>
      </c>
      <c r="G94" s="64" t="b">
        <v>1</v>
      </c>
      <c r="H94" s="36" t="b">
        <v>0</v>
      </c>
      <c r="I94" s="64" t="b">
        <v>1</v>
      </c>
      <c r="K94" s="56">
        <v>9</v>
      </c>
      <c r="L94" s="37">
        <v>6</v>
      </c>
      <c r="M94" s="37">
        <v>922.2</v>
      </c>
      <c r="N94" s="39" t="str" cm="1">
        <f t="array" ref="N9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GRILLE]],MAX($N$1:N93)+1)</f>
        <v/>
      </c>
    </row>
    <row r="95" spans="1:14" x14ac:dyDescent="0.3">
      <c r="A95" s="35" t="s">
        <v>75</v>
      </c>
      <c r="B95" s="35" t="b">
        <v>0</v>
      </c>
      <c r="C95" s="35" t="b">
        <v>0</v>
      </c>
      <c r="D95" s="35">
        <v>19</v>
      </c>
      <c r="E95" s="64" t="b">
        <v>0</v>
      </c>
      <c r="F95" s="64" t="b">
        <v>0</v>
      </c>
      <c r="G95" s="64" t="b">
        <v>1</v>
      </c>
      <c r="H95" s="36" t="b">
        <v>0</v>
      </c>
      <c r="I95" s="64" t="b">
        <v>1</v>
      </c>
      <c r="K95" s="56">
        <v>9</v>
      </c>
      <c r="L95" s="37">
        <v>9</v>
      </c>
      <c r="M95" s="37">
        <v>948.3</v>
      </c>
      <c r="N95" s="39" t="str" cm="1">
        <f t="array" ref="N9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GRILLE]],MAX($N$1:N94)+1)</f>
        <v/>
      </c>
    </row>
    <row r="96" spans="1:14" x14ac:dyDescent="0.3">
      <c r="A96" s="35" t="s">
        <v>97</v>
      </c>
      <c r="B96" s="35" t="b">
        <v>1</v>
      </c>
      <c r="C96" s="35" t="b">
        <v>0</v>
      </c>
      <c r="D96" s="35">
        <v>16</v>
      </c>
      <c r="E96" s="64" t="b">
        <v>0</v>
      </c>
      <c r="F96" s="64" t="b">
        <v>0</v>
      </c>
      <c r="G96" s="64" t="b">
        <v>1</v>
      </c>
      <c r="H96" s="36" t="b">
        <v>0</v>
      </c>
      <c r="I96" s="64" t="b">
        <v>1</v>
      </c>
      <c r="K96" s="56">
        <v>9</v>
      </c>
      <c r="L96" s="37">
        <v>12</v>
      </c>
      <c r="M96" s="37">
        <v>974.4</v>
      </c>
      <c r="N96" s="39" t="str" cm="1">
        <f t="array" ref="N9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GRILLE]],MAX($N$1:N95)+1)</f>
        <v/>
      </c>
    </row>
    <row r="97" spans="1:14" x14ac:dyDescent="0.3">
      <c r="A97" s="35" t="s">
        <v>97</v>
      </c>
      <c r="B97" s="35" t="b">
        <v>0</v>
      </c>
      <c r="C97" s="35" t="b">
        <v>0</v>
      </c>
      <c r="D97" s="35">
        <v>15</v>
      </c>
      <c r="E97" s="64" t="b">
        <v>0</v>
      </c>
      <c r="F97" s="64" t="b">
        <v>0</v>
      </c>
      <c r="G97" s="64" t="b">
        <v>1</v>
      </c>
      <c r="H97" s="36" t="b">
        <v>0</v>
      </c>
      <c r="I97" s="64" t="b">
        <v>1</v>
      </c>
      <c r="K97" s="56">
        <v>9</v>
      </c>
      <c r="L97" s="37">
        <v>15</v>
      </c>
      <c r="M97" s="37">
        <v>1000.5</v>
      </c>
      <c r="N97" s="39" t="str" cm="1">
        <f t="array" ref="N9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GRILLE]],MAX($N$1:N96)+1)</f>
        <v/>
      </c>
    </row>
    <row r="98" spans="1:14" x14ac:dyDescent="0.3">
      <c r="A98" s="35" t="s">
        <v>82</v>
      </c>
      <c r="B98" s="35" t="b">
        <v>1</v>
      </c>
      <c r="C98" s="35" t="b">
        <v>0</v>
      </c>
      <c r="D98" s="35">
        <v>22</v>
      </c>
      <c r="E98" s="64" t="b">
        <v>0</v>
      </c>
      <c r="F98" s="64" t="b">
        <v>0</v>
      </c>
      <c r="G98" s="64" t="b">
        <v>1</v>
      </c>
      <c r="H98" s="36" t="b">
        <v>0</v>
      </c>
      <c r="I98" s="64" t="b">
        <v>0</v>
      </c>
      <c r="K98" s="56">
        <v>9</v>
      </c>
      <c r="L98" s="37">
        <v>18</v>
      </c>
      <c r="M98" s="37">
        <v>1026.5999999999999</v>
      </c>
      <c r="N98" s="39" t="str" cm="1">
        <f t="array" ref="N9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GRILLE]],MAX($N$1:N97)+1)</f>
        <v/>
      </c>
    </row>
    <row r="99" spans="1:14" x14ac:dyDescent="0.3">
      <c r="A99" s="35" t="s">
        <v>82</v>
      </c>
      <c r="B99" s="35" t="b">
        <v>0</v>
      </c>
      <c r="C99" s="35" t="b">
        <v>0</v>
      </c>
      <c r="D99" s="35">
        <v>21</v>
      </c>
      <c r="E99" s="64" t="b">
        <v>0</v>
      </c>
      <c r="F99" s="64" t="b">
        <v>0</v>
      </c>
      <c r="G99" s="64" t="b">
        <v>1</v>
      </c>
      <c r="H99" s="36" t="b">
        <v>0</v>
      </c>
      <c r="I99" s="64" t="b">
        <v>0</v>
      </c>
      <c r="K99" s="56">
        <v>9</v>
      </c>
      <c r="L99" s="37">
        <v>21</v>
      </c>
      <c r="M99" s="37">
        <v>1052.7</v>
      </c>
      <c r="N99" s="39" t="str" cm="1">
        <f t="array" ref="N9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GRILLE]],MAX($N$1:N98)+1)</f>
        <v/>
      </c>
    </row>
    <row r="100" spans="1:14" x14ac:dyDescent="0.3">
      <c r="A100" s="35" t="s">
        <v>76</v>
      </c>
      <c r="B100" s="35" t="b">
        <v>1</v>
      </c>
      <c r="C100" s="35" t="b">
        <v>0</v>
      </c>
      <c r="D100" s="35">
        <v>7</v>
      </c>
      <c r="E100" s="64" t="b">
        <v>0</v>
      </c>
      <c r="F100" s="64" t="b">
        <v>0</v>
      </c>
      <c r="G100" s="64" t="b">
        <v>1</v>
      </c>
      <c r="H100" s="36" t="b">
        <v>0</v>
      </c>
      <c r="I100" s="64" t="b">
        <v>0</v>
      </c>
      <c r="K100" s="56">
        <v>9</v>
      </c>
      <c r="L100" s="37">
        <v>24</v>
      </c>
      <c r="M100" s="37">
        <v>1078.8</v>
      </c>
      <c r="N100" s="39" t="str" cm="1">
        <f t="array" ref="N10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GRILLE]],MAX($N$1:N99)+1)</f>
        <v/>
      </c>
    </row>
    <row r="101" spans="1:14" x14ac:dyDescent="0.3">
      <c r="A101" s="35" t="s">
        <v>76</v>
      </c>
      <c r="B101" s="35" t="b">
        <v>0</v>
      </c>
      <c r="C101" s="35" t="b">
        <v>0</v>
      </c>
      <c r="D101" s="35">
        <v>6</v>
      </c>
      <c r="E101" s="64" t="b">
        <v>0</v>
      </c>
      <c r="F101" s="64" t="b">
        <v>0</v>
      </c>
      <c r="G101" s="64" t="b">
        <v>1</v>
      </c>
      <c r="H101" s="36" t="b">
        <v>0</v>
      </c>
      <c r="I101" s="64" t="b">
        <v>0</v>
      </c>
      <c r="K101" s="57">
        <v>9</v>
      </c>
      <c r="L101" s="38">
        <v>28</v>
      </c>
      <c r="M101" s="38">
        <v>1113.5999999999999</v>
      </c>
      <c r="N101" s="39" t="str" cm="1">
        <f t="array" ref="N10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GRILLE]],MAX($N$1:N100)+1)</f>
        <v/>
      </c>
    </row>
    <row r="102" spans="1:14" x14ac:dyDescent="0.3">
      <c r="A102" s="35" t="s">
        <v>48</v>
      </c>
      <c r="B102" s="35" t="b">
        <v>1</v>
      </c>
      <c r="C102" s="35" t="b">
        <v>0</v>
      </c>
      <c r="D102" s="35">
        <v>1</v>
      </c>
      <c r="E102" s="37" t="b">
        <v>0</v>
      </c>
      <c r="F102" s="37" t="b">
        <v>0</v>
      </c>
      <c r="G102" s="37" t="b">
        <v>1</v>
      </c>
      <c r="H102" s="36" t="b">
        <v>0</v>
      </c>
      <c r="I102" s="64" t="b">
        <v>0</v>
      </c>
      <c r="K102" s="56">
        <v>10</v>
      </c>
      <c r="L102" s="37">
        <v>0</v>
      </c>
      <c r="M102" s="37">
        <v>720</v>
      </c>
      <c r="N102" s="39" t="str" cm="1">
        <f t="array" ref="N10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GRILLE]],MAX($N$1:N101)+1)</f>
        <v/>
      </c>
    </row>
    <row r="103" spans="1:14" x14ac:dyDescent="0.3">
      <c r="A103" s="35" t="s">
        <v>48</v>
      </c>
      <c r="B103" s="35" t="b">
        <v>0</v>
      </c>
      <c r="C103" s="35" t="b">
        <v>0</v>
      </c>
      <c r="D103" s="79">
        <v>8</v>
      </c>
      <c r="E103" s="37" t="b">
        <v>0</v>
      </c>
      <c r="F103" s="37" t="b">
        <v>0</v>
      </c>
      <c r="G103" s="37" t="b">
        <v>1</v>
      </c>
      <c r="H103" s="36" t="b">
        <v>0</v>
      </c>
      <c r="I103" s="64" t="b">
        <v>0</v>
      </c>
      <c r="K103" s="56">
        <v>10</v>
      </c>
      <c r="L103" s="37">
        <v>3</v>
      </c>
      <c r="M103" s="37">
        <v>741.6</v>
      </c>
      <c r="N103" s="39" t="str" cm="1">
        <f t="array" ref="N10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GRILLE]],MAX($N$1:N102)+1)</f>
        <v/>
      </c>
    </row>
    <row r="104" spans="1:14" x14ac:dyDescent="0.3">
      <c r="A104" s="75" t="s">
        <v>135</v>
      </c>
      <c r="B104" s="35" t="b">
        <v>1</v>
      </c>
      <c r="C104" s="35" t="b">
        <v>0</v>
      </c>
      <c r="D104" s="79">
        <v>1</v>
      </c>
      <c r="E104" s="64" t="b">
        <v>1</v>
      </c>
      <c r="F104" s="37" t="b">
        <v>1</v>
      </c>
      <c r="G104" s="64" t="b">
        <v>0</v>
      </c>
      <c r="H104" s="36" t="b">
        <v>0</v>
      </c>
      <c r="I104" s="64" t="b">
        <v>0</v>
      </c>
      <c r="K104" s="56">
        <v>10</v>
      </c>
      <c r="L104" s="37">
        <v>6</v>
      </c>
      <c r="M104" s="37">
        <v>763.2</v>
      </c>
      <c r="N104" s="39" t="str" cm="1">
        <f t="array" ref="N10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GRILLE]],MAX($N$1:N103)+1)</f>
        <v/>
      </c>
    </row>
    <row r="105" spans="1:14" x14ac:dyDescent="0.3">
      <c r="A105" s="75" t="s">
        <v>135</v>
      </c>
      <c r="B105" s="35" t="b">
        <v>0</v>
      </c>
      <c r="C105" s="35" t="b">
        <v>0</v>
      </c>
      <c r="D105" s="79">
        <v>8</v>
      </c>
      <c r="E105" s="64" t="b">
        <v>1</v>
      </c>
      <c r="F105" s="37" t="b">
        <v>1</v>
      </c>
      <c r="G105" s="64" t="b">
        <v>0</v>
      </c>
      <c r="H105" s="36" t="b">
        <v>0</v>
      </c>
      <c r="I105" s="64" t="b">
        <v>0</v>
      </c>
      <c r="K105" s="56">
        <v>10</v>
      </c>
      <c r="L105" s="37">
        <v>9</v>
      </c>
      <c r="M105" s="37">
        <v>784.8</v>
      </c>
      <c r="N105" s="39" t="str" cm="1">
        <f t="array" ref="N10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GRILLE]],MAX($N$1:N104)+1)</f>
        <v/>
      </c>
    </row>
    <row r="106" spans="1:14" x14ac:dyDescent="0.3">
      <c r="A106" s="35" t="s">
        <v>50</v>
      </c>
      <c r="B106" s="35" t="b">
        <v>0</v>
      </c>
      <c r="C106" s="35" t="b">
        <v>0</v>
      </c>
      <c r="D106" s="35">
        <v>5</v>
      </c>
      <c r="E106" s="64" t="b">
        <v>0</v>
      </c>
      <c r="F106" s="64" t="b">
        <v>0</v>
      </c>
      <c r="G106" s="64" t="b">
        <v>0</v>
      </c>
      <c r="H106" s="36" t="b">
        <v>0</v>
      </c>
      <c r="I106" s="64" t="b">
        <v>1</v>
      </c>
      <c r="K106" s="56">
        <v>10</v>
      </c>
      <c r="L106" s="37">
        <v>12</v>
      </c>
      <c r="M106" s="37">
        <v>806.4</v>
      </c>
      <c r="N106" s="39" t="str" cm="1">
        <f t="array" ref="N10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GRILLE]],MAX($N$1:N105)+1)</f>
        <v/>
      </c>
    </row>
    <row r="107" spans="1:14" x14ac:dyDescent="0.3">
      <c r="A107" s="35" t="s">
        <v>50</v>
      </c>
      <c r="B107" s="35" t="b">
        <v>1</v>
      </c>
      <c r="C107" s="35" t="b">
        <v>0</v>
      </c>
      <c r="D107" s="35">
        <v>5</v>
      </c>
      <c r="E107" s="64" t="b">
        <v>0</v>
      </c>
      <c r="F107" s="64" t="b">
        <v>0</v>
      </c>
      <c r="G107" s="64" t="b">
        <v>0</v>
      </c>
      <c r="H107" s="36" t="b">
        <v>0</v>
      </c>
      <c r="I107" s="64" t="b">
        <v>1</v>
      </c>
      <c r="K107" s="56">
        <v>10</v>
      </c>
      <c r="L107" s="37">
        <v>15</v>
      </c>
      <c r="M107" s="37">
        <v>828</v>
      </c>
      <c r="N107" s="39" t="str" cm="1">
        <f t="array" ref="N10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GRILLE]],MAX($N$1:N106)+1)</f>
        <v/>
      </c>
    </row>
    <row r="108" spans="1:14" x14ac:dyDescent="0.3">
      <c r="A108" s="35" t="s">
        <v>86</v>
      </c>
      <c r="B108" s="35" t="b">
        <v>0</v>
      </c>
      <c r="C108" s="35" t="b">
        <v>0</v>
      </c>
      <c r="D108" s="35">
        <v>23</v>
      </c>
      <c r="E108" s="64" t="b">
        <v>0</v>
      </c>
      <c r="F108" s="64" t="b">
        <v>0</v>
      </c>
      <c r="G108" s="64" t="b">
        <v>1</v>
      </c>
      <c r="H108" s="36" t="b">
        <v>0</v>
      </c>
      <c r="I108" s="64" t="b">
        <v>0</v>
      </c>
      <c r="K108" s="56">
        <v>10</v>
      </c>
      <c r="L108" s="37">
        <v>13</v>
      </c>
      <c r="M108" s="37">
        <v>846.9</v>
      </c>
      <c r="N108" s="39" t="str" cm="1">
        <f t="array" ref="N10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GRILLE]],MAX($N$1:N107)+1)</f>
        <v/>
      </c>
    </row>
    <row r="109" spans="1:14" x14ac:dyDescent="0.3">
      <c r="A109" s="35" t="s">
        <v>86</v>
      </c>
      <c r="B109" s="35" t="b">
        <v>1</v>
      </c>
      <c r="C109" s="35" t="b">
        <v>0</v>
      </c>
      <c r="D109" s="35">
        <v>23</v>
      </c>
      <c r="E109" s="64" t="b">
        <v>0</v>
      </c>
      <c r="F109" s="64" t="b">
        <v>0</v>
      </c>
      <c r="G109" s="64" t="b">
        <v>1</v>
      </c>
      <c r="H109" s="36" t="b">
        <v>0</v>
      </c>
      <c r="I109" s="64" t="b">
        <v>0</v>
      </c>
      <c r="K109" s="56">
        <v>10</v>
      </c>
      <c r="L109" s="37">
        <v>21</v>
      </c>
      <c r="M109" s="37">
        <v>871.2</v>
      </c>
      <c r="N109" s="39" t="str" cm="1">
        <f t="array" ref="N10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GRILLE]],MAX($N$1:N108)+1)</f>
        <v/>
      </c>
    </row>
    <row r="110" spans="1:14" x14ac:dyDescent="0.3">
      <c r="A110" s="35" t="s">
        <v>59</v>
      </c>
      <c r="B110" s="35" t="b">
        <v>0</v>
      </c>
      <c r="C110" s="35" t="b">
        <v>1</v>
      </c>
      <c r="D110" s="35">
        <v>14</v>
      </c>
      <c r="E110" s="64" t="b">
        <v>0</v>
      </c>
      <c r="F110" s="64" t="b">
        <v>0</v>
      </c>
      <c r="G110" s="64" t="b">
        <v>0</v>
      </c>
      <c r="H110" s="36" t="b">
        <v>0</v>
      </c>
      <c r="I110" s="64" t="b">
        <v>0</v>
      </c>
      <c r="K110" s="56">
        <v>10</v>
      </c>
      <c r="L110" s="37">
        <v>24</v>
      </c>
      <c r="M110" s="37">
        <v>892.8</v>
      </c>
      <c r="N110" s="39" t="str" cm="1">
        <f t="array" ref="N11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GRILLE]],MAX($N$1:N109)+1)</f>
        <v/>
      </c>
    </row>
    <row r="111" spans="1:14" x14ac:dyDescent="0.3">
      <c r="A111" s="35" t="s">
        <v>59</v>
      </c>
      <c r="B111" s="35" t="b">
        <v>1</v>
      </c>
      <c r="C111" s="35" t="b">
        <v>1</v>
      </c>
      <c r="D111" s="35">
        <v>14</v>
      </c>
      <c r="E111" s="64" t="b">
        <v>0</v>
      </c>
      <c r="F111" s="64" t="b">
        <v>0</v>
      </c>
      <c r="G111" s="64" t="b">
        <v>0</v>
      </c>
      <c r="H111" s="36" t="b">
        <v>0</v>
      </c>
      <c r="I111" s="64" t="b">
        <v>0</v>
      </c>
      <c r="K111" s="57">
        <v>10</v>
      </c>
      <c r="L111" s="38">
        <v>28</v>
      </c>
      <c r="M111" s="38">
        <v>921.6</v>
      </c>
      <c r="N111" s="39" t="str" cm="1">
        <f t="array" ref="N11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GRILLE]],MAX($N$1:N110)+1)</f>
        <v/>
      </c>
    </row>
    <row r="112" spans="1:14" x14ac:dyDescent="0.3">
      <c r="A112" s="35" t="s">
        <v>71</v>
      </c>
      <c r="B112" s="35" t="b">
        <v>0</v>
      </c>
      <c r="C112" s="35" t="b">
        <v>1</v>
      </c>
      <c r="D112" s="35">
        <v>4</v>
      </c>
      <c r="E112" s="64" t="b">
        <v>0</v>
      </c>
      <c r="F112" s="64" t="b">
        <v>0</v>
      </c>
      <c r="G112" s="64" t="b">
        <v>1</v>
      </c>
      <c r="H112" s="36" t="b">
        <v>0</v>
      </c>
      <c r="I112" s="64" t="b">
        <v>0</v>
      </c>
      <c r="K112" s="56">
        <v>10</v>
      </c>
      <c r="L112" s="37">
        <v>21</v>
      </c>
      <c r="M112" s="37">
        <v>871.2</v>
      </c>
      <c r="N112" s="39" t="str" cm="1">
        <f t="array" ref="N11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GRILLE]],MAX($N$1:N111)+1)</f>
        <v/>
      </c>
    </row>
    <row r="113" spans="1:14" x14ac:dyDescent="0.3">
      <c r="A113" s="35" t="s">
        <v>149</v>
      </c>
      <c r="B113" s="35" t="b">
        <v>1</v>
      </c>
      <c r="C113" s="35" t="b">
        <v>1</v>
      </c>
      <c r="D113" s="35">
        <v>4</v>
      </c>
      <c r="E113" s="64" t="b">
        <v>0</v>
      </c>
      <c r="F113" s="64" t="b">
        <v>0</v>
      </c>
      <c r="G113" s="64" t="b">
        <v>1</v>
      </c>
      <c r="H113" s="36" t="b">
        <v>0</v>
      </c>
      <c r="I113" s="64" t="b">
        <v>0</v>
      </c>
      <c r="K113" s="56">
        <v>10</v>
      </c>
      <c r="L113" s="37">
        <v>24</v>
      </c>
      <c r="M113" s="37">
        <v>892.8</v>
      </c>
      <c r="N113" s="39" t="str" cm="1">
        <f t="array" ref="N11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GRILLE]],MAX($N$1:N112)+1)</f>
        <v/>
      </c>
    </row>
    <row r="114" spans="1:14" x14ac:dyDescent="0.3">
      <c r="A114" s="35" t="s">
        <v>49</v>
      </c>
      <c r="B114" s="35" t="b">
        <v>1</v>
      </c>
      <c r="C114" s="35" t="b">
        <v>0</v>
      </c>
      <c r="D114" s="35">
        <v>1</v>
      </c>
      <c r="E114" s="37" t="b">
        <v>0</v>
      </c>
      <c r="F114" s="37" t="b">
        <v>0</v>
      </c>
      <c r="G114" s="37" t="b">
        <v>1</v>
      </c>
      <c r="H114" s="36" t="b">
        <v>0</v>
      </c>
      <c r="I114" s="64" t="b">
        <v>0</v>
      </c>
      <c r="K114" s="57">
        <v>10</v>
      </c>
      <c r="L114" s="38">
        <v>28</v>
      </c>
      <c r="M114" s="38">
        <v>921.6</v>
      </c>
      <c r="N114" s="39" t="str" cm="1">
        <f t="array" ref="N11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GRILLE]],MAX($N$1:N113)+1)</f>
        <v/>
      </c>
    </row>
    <row r="115" spans="1:14" x14ac:dyDescent="0.3">
      <c r="A115" s="35" t="s">
        <v>49</v>
      </c>
      <c r="B115" s="79" t="b">
        <v>0</v>
      </c>
      <c r="C115" s="35" t="b">
        <v>0</v>
      </c>
      <c r="D115" s="79">
        <v>8</v>
      </c>
      <c r="E115" s="37" t="b">
        <v>0</v>
      </c>
      <c r="F115" s="37" t="b">
        <v>0</v>
      </c>
      <c r="G115" s="37" t="b">
        <v>1</v>
      </c>
      <c r="H115" s="36" t="b">
        <v>0</v>
      </c>
      <c r="I115" s="64" t="b">
        <v>0</v>
      </c>
      <c r="K115" s="57">
        <v>11</v>
      </c>
      <c r="L115" s="38">
        <v>0</v>
      </c>
      <c r="M115" s="38">
        <v>800</v>
      </c>
      <c r="N115" s="39" t="str" cm="1">
        <f t="array" ref="N11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GRILLE]],MAX($N$1:N114)+1)</f>
        <v/>
      </c>
    </row>
    <row r="116" spans="1:14" x14ac:dyDescent="0.3">
      <c r="A116" s="75" t="s">
        <v>136</v>
      </c>
      <c r="B116" s="35" t="b">
        <v>1</v>
      </c>
      <c r="C116" s="35" t="b">
        <v>0</v>
      </c>
      <c r="D116" s="79">
        <v>1</v>
      </c>
      <c r="E116" s="64" t="b">
        <v>1</v>
      </c>
      <c r="F116" s="37" t="b">
        <v>1</v>
      </c>
      <c r="G116" s="64" t="b">
        <v>0</v>
      </c>
      <c r="H116" s="36" t="b">
        <v>0</v>
      </c>
      <c r="I116" s="64" t="b">
        <v>0</v>
      </c>
      <c r="K116" s="57">
        <v>11</v>
      </c>
      <c r="L116" s="38">
        <v>3</v>
      </c>
      <c r="M116" s="38">
        <v>824</v>
      </c>
      <c r="N116" s="39" t="str" cm="1">
        <f t="array" ref="N11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GRILLE]],MAX($N$1:N115)+1)</f>
        <v/>
      </c>
    </row>
    <row r="117" spans="1:14" x14ac:dyDescent="0.3">
      <c r="A117" s="75" t="s">
        <v>136</v>
      </c>
      <c r="B117" s="79" t="b">
        <v>0</v>
      </c>
      <c r="C117" s="35" t="b">
        <v>0</v>
      </c>
      <c r="D117" s="79">
        <v>8</v>
      </c>
      <c r="E117" s="64" t="b">
        <v>1</v>
      </c>
      <c r="F117" s="37" t="b">
        <v>1</v>
      </c>
      <c r="G117" s="64" t="b">
        <v>0</v>
      </c>
      <c r="H117" s="36" t="b">
        <v>0</v>
      </c>
      <c r="I117" s="64" t="b">
        <v>0</v>
      </c>
      <c r="K117" s="57">
        <v>11</v>
      </c>
      <c r="L117" s="38">
        <v>6</v>
      </c>
      <c r="M117" s="38">
        <v>848</v>
      </c>
      <c r="N117" s="39" t="str" cm="1">
        <f t="array" ref="N11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GRILLE]],MAX($N$1:N116)+1)</f>
        <v/>
      </c>
    </row>
    <row r="118" spans="1:14" x14ac:dyDescent="0.3">
      <c r="A118" s="35" t="s">
        <v>56</v>
      </c>
      <c r="B118" s="35" t="b">
        <v>0</v>
      </c>
      <c r="C118" s="35" t="b">
        <v>1</v>
      </c>
      <c r="D118" s="35">
        <v>13</v>
      </c>
      <c r="E118" s="64" t="b">
        <v>0</v>
      </c>
      <c r="F118" s="64" t="b">
        <v>0</v>
      </c>
      <c r="G118" s="64" t="b">
        <v>0</v>
      </c>
      <c r="H118" s="36" t="b">
        <v>0</v>
      </c>
      <c r="I118" s="64" t="b">
        <v>0</v>
      </c>
      <c r="K118" s="57">
        <v>11</v>
      </c>
      <c r="L118" s="38">
        <v>9</v>
      </c>
      <c r="M118" s="38">
        <v>872</v>
      </c>
      <c r="N118" s="39" t="str" cm="1">
        <f t="array" ref="N11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GRILLE]],MAX($N$1:N117)+1)</f>
        <v/>
      </c>
    </row>
    <row r="119" spans="1:14" x14ac:dyDescent="0.3">
      <c r="A119" s="35" t="s">
        <v>150</v>
      </c>
      <c r="B119" s="35" t="b">
        <v>1</v>
      </c>
      <c r="C119" s="35" t="b">
        <v>1</v>
      </c>
      <c r="D119" s="35">
        <v>13</v>
      </c>
      <c r="E119" s="64" t="b">
        <v>0</v>
      </c>
      <c r="F119" s="64" t="b">
        <v>0</v>
      </c>
      <c r="G119" s="64" t="b">
        <v>0</v>
      </c>
      <c r="H119" s="36" t="b">
        <v>0</v>
      </c>
      <c r="I119" s="64" t="b">
        <v>0</v>
      </c>
      <c r="K119" s="57">
        <v>11</v>
      </c>
      <c r="L119" s="38">
        <v>12</v>
      </c>
      <c r="M119" s="38">
        <v>896</v>
      </c>
      <c r="N119" s="39" t="str" cm="1">
        <f t="array" ref="N11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GRILLE]],MAX($N$1:N118)+1)</f>
        <v/>
      </c>
    </row>
    <row r="120" spans="1:14" x14ac:dyDescent="0.3">
      <c r="A120" s="35" t="s">
        <v>69</v>
      </c>
      <c r="B120" s="35" t="b">
        <v>0</v>
      </c>
      <c r="C120" s="35" t="b">
        <v>1</v>
      </c>
      <c r="D120" s="35">
        <v>4</v>
      </c>
      <c r="E120" s="64" t="b">
        <v>0</v>
      </c>
      <c r="F120" s="64" t="b">
        <v>0</v>
      </c>
      <c r="G120" s="64" t="b">
        <v>0</v>
      </c>
      <c r="H120" s="36" t="b">
        <v>0</v>
      </c>
      <c r="I120" s="64" t="b">
        <v>0</v>
      </c>
      <c r="K120" s="57">
        <v>11</v>
      </c>
      <c r="L120" s="38">
        <v>15</v>
      </c>
      <c r="M120" s="38">
        <v>920</v>
      </c>
      <c r="N120" s="39" t="str" cm="1">
        <f t="array" ref="N12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GRILLE]],MAX($N$1:N119)+1)</f>
        <v/>
      </c>
    </row>
    <row r="121" spans="1:14" x14ac:dyDescent="0.3">
      <c r="A121" s="35" t="s">
        <v>151</v>
      </c>
      <c r="B121" s="35" t="b">
        <v>1</v>
      </c>
      <c r="C121" s="35" t="b">
        <v>1</v>
      </c>
      <c r="D121" s="35">
        <v>4</v>
      </c>
      <c r="E121" s="64" t="b">
        <v>0</v>
      </c>
      <c r="F121" s="64" t="b">
        <v>0</v>
      </c>
      <c r="G121" s="64" t="b">
        <v>0</v>
      </c>
      <c r="H121" s="36" t="b">
        <v>0</v>
      </c>
      <c r="I121" s="64" t="b">
        <v>0</v>
      </c>
      <c r="K121" s="57">
        <v>11</v>
      </c>
      <c r="L121" s="38">
        <v>18</v>
      </c>
      <c r="M121" s="38">
        <v>944</v>
      </c>
      <c r="N121" s="39" t="str" cm="1">
        <f t="array" ref="N12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GRILLE]],MAX($N$1:N120)+1)</f>
        <v/>
      </c>
    </row>
    <row r="122" spans="1:14" x14ac:dyDescent="0.3">
      <c r="A122" s="35" t="s">
        <v>89</v>
      </c>
      <c r="B122" s="35" t="b">
        <v>0</v>
      </c>
      <c r="C122" s="35" t="b">
        <v>0</v>
      </c>
      <c r="D122" s="35">
        <v>8</v>
      </c>
      <c r="E122" s="64" t="b">
        <v>0</v>
      </c>
      <c r="F122" s="64" t="b">
        <v>0</v>
      </c>
      <c r="G122" s="38" t="b">
        <v>0</v>
      </c>
      <c r="H122" s="36" t="b">
        <v>0</v>
      </c>
      <c r="I122" s="64" t="b">
        <v>0</v>
      </c>
      <c r="K122" s="57">
        <v>11</v>
      </c>
      <c r="L122" s="38">
        <v>21</v>
      </c>
      <c r="M122" s="38">
        <v>968</v>
      </c>
      <c r="N122" s="39" t="str" cm="1">
        <f t="array" ref="N12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GRILLE]],MAX($N$1:N121)+1)</f>
        <v/>
      </c>
    </row>
    <row r="123" spans="1:14" x14ac:dyDescent="0.3">
      <c r="A123" s="35" t="s">
        <v>152</v>
      </c>
      <c r="B123" s="35" t="b">
        <v>1</v>
      </c>
      <c r="C123" s="35" t="b">
        <v>0</v>
      </c>
      <c r="D123" s="35">
        <v>8</v>
      </c>
      <c r="E123" s="64" t="b">
        <v>0</v>
      </c>
      <c r="F123" s="64" t="b">
        <v>0</v>
      </c>
      <c r="G123" s="38" t="b">
        <v>0</v>
      </c>
      <c r="H123" s="36" t="b">
        <v>0</v>
      </c>
      <c r="I123" s="64" t="b">
        <v>0</v>
      </c>
      <c r="K123" s="57">
        <v>11</v>
      </c>
      <c r="L123" s="38">
        <v>24</v>
      </c>
      <c r="M123" s="38">
        <v>992</v>
      </c>
      <c r="N123" s="39" t="str" cm="1">
        <f t="array" ref="N12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GRILLE]],MAX($N$1:N122)+1)</f>
        <v/>
      </c>
    </row>
    <row r="124" spans="1:14" x14ac:dyDescent="0.3">
      <c r="A124" s="35" t="s">
        <v>79</v>
      </c>
      <c r="B124" s="35" t="b">
        <v>1</v>
      </c>
      <c r="C124" s="35" t="b">
        <v>0</v>
      </c>
      <c r="D124" s="35">
        <v>16</v>
      </c>
      <c r="E124" s="64" t="b">
        <v>0</v>
      </c>
      <c r="F124" s="64" t="b">
        <v>0</v>
      </c>
      <c r="G124" s="64" t="b">
        <v>1</v>
      </c>
      <c r="H124" s="36" t="b">
        <v>1</v>
      </c>
      <c r="I124" s="64" t="b">
        <v>1</v>
      </c>
      <c r="K124" s="57">
        <v>11</v>
      </c>
      <c r="L124" s="38">
        <v>28</v>
      </c>
      <c r="M124" s="38">
        <v>1024</v>
      </c>
      <c r="N124" s="39" t="str" cm="1">
        <f t="array" ref="N12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GRILLE]],MAX($N$1:N123)+1)</f>
        <v/>
      </c>
    </row>
    <row r="125" spans="1:14" x14ac:dyDescent="0.3">
      <c r="A125" s="35" t="s">
        <v>79</v>
      </c>
      <c r="B125" s="35" t="b">
        <v>0</v>
      </c>
      <c r="C125" s="35" t="b">
        <v>0</v>
      </c>
      <c r="D125" s="35">
        <v>15</v>
      </c>
      <c r="E125" s="64" t="b">
        <v>0</v>
      </c>
      <c r="F125" s="64" t="b">
        <v>0</v>
      </c>
      <c r="G125" s="64" t="b">
        <v>1</v>
      </c>
      <c r="H125" s="36" t="b">
        <v>1</v>
      </c>
      <c r="I125" s="64" t="b">
        <v>1</v>
      </c>
      <c r="K125" s="58">
        <v>12</v>
      </c>
      <c r="L125" s="39">
        <v>0</v>
      </c>
      <c r="M125" s="39">
        <v>1000</v>
      </c>
      <c r="N125" s="39" t="str" cm="1">
        <f t="array" ref="N12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GRILLE]],MAX($N$1:N124)+1)</f>
        <v/>
      </c>
    </row>
    <row r="126" spans="1:14" x14ac:dyDescent="0.3">
      <c r="A126" s="35" t="s">
        <v>87</v>
      </c>
      <c r="B126" s="35" t="b">
        <v>1</v>
      </c>
      <c r="C126" s="35" t="b">
        <v>0</v>
      </c>
      <c r="D126" s="35">
        <v>20</v>
      </c>
      <c r="E126" s="64" t="b">
        <v>0</v>
      </c>
      <c r="F126" s="64" t="b">
        <v>0</v>
      </c>
      <c r="G126" s="64" t="b">
        <v>1</v>
      </c>
      <c r="H126" s="36" t="b">
        <v>1</v>
      </c>
      <c r="I126" s="64" t="b">
        <v>1</v>
      </c>
      <c r="K126" s="58">
        <v>12</v>
      </c>
      <c r="L126" s="39">
        <v>3</v>
      </c>
      <c r="M126" s="39">
        <v>1030</v>
      </c>
      <c r="N126" s="39" t="str" cm="1">
        <f t="array" ref="N12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GRILLE]],MAX($N$1:N125)+1)</f>
        <v/>
      </c>
    </row>
    <row r="127" spans="1:14" x14ac:dyDescent="0.3">
      <c r="A127" s="35" t="s">
        <v>87</v>
      </c>
      <c r="B127" s="35" t="b">
        <v>0</v>
      </c>
      <c r="C127" s="35" t="b">
        <v>0</v>
      </c>
      <c r="D127" s="35">
        <v>19</v>
      </c>
      <c r="E127" s="64" t="b">
        <v>0</v>
      </c>
      <c r="F127" s="64" t="b">
        <v>0</v>
      </c>
      <c r="G127" s="64" t="b">
        <v>1</v>
      </c>
      <c r="H127" s="36" t="b">
        <v>1</v>
      </c>
      <c r="I127" s="64" t="b">
        <v>1</v>
      </c>
      <c r="K127" s="58">
        <v>12</v>
      </c>
      <c r="L127" s="39">
        <v>6</v>
      </c>
      <c r="M127" s="39">
        <v>1060</v>
      </c>
      <c r="N127" s="39" t="str" cm="1">
        <f t="array" ref="N12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GRILLE]],MAX($N$1:N126)+1)</f>
        <v/>
      </c>
    </row>
    <row r="128" spans="1:14" x14ac:dyDescent="0.3">
      <c r="A128" s="35" t="s">
        <v>77</v>
      </c>
      <c r="B128" s="35" t="b">
        <v>0</v>
      </c>
      <c r="C128" s="35" t="b">
        <v>0</v>
      </c>
      <c r="D128" s="35">
        <v>6</v>
      </c>
      <c r="E128" s="64" t="b">
        <v>0</v>
      </c>
      <c r="F128" s="64" t="b">
        <v>0</v>
      </c>
      <c r="G128" s="38" t="b">
        <v>0</v>
      </c>
      <c r="H128" s="36" t="b">
        <v>0</v>
      </c>
      <c r="I128" s="64" t="b">
        <v>0</v>
      </c>
      <c r="K128" s="58">
        <v>12</v>
      </c>
      <c r="L128" s="39">
        <v>9</v>
      </c>
      <c r="M128" s="39">
        <v>1090</v>
      </c>
      <c r="N128" s="39" t="str" cm="1">
        <f t="array" ref="N12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GRILLE]],MAX($N$1:N127)+1)</f>
        <v/>
      </c>
    </row>
    <row r="129" spans="1:14" x14ac:dyDescent="0.3">
      <c r="A129" s="35" t="s">
        <v>77</v>
      </c>
      <c r="B129" s="35" t="b">
        <v>1</v>
      </c>
      <c r="C129" s="35" t="b">
        <v>0</v>
      </c>
      <c r="D129" s="35">
        <v>6</v>
      </c>
      <c r="E129" s="64" t="b">
        <v>0</v>
      </c>
      <c r="F129" s="64" t="b">
        <v>0</v>
      </c>
      <c r="G129" s="38" t="b">
        <v>0</v>
      </c>
      <c r="H129" s="36" t="b">
        <v>0</v>
      </c>
      <c r="I129" s="64" t="b">
        <v>0</v>
      </c>
      <c r="K129" s="58">
        <v>12</v>
      </c>
      <c r="L129" s="39">
        <v>12</v>
      </c>
      <c r="M129" s="39">
        <v>1120</v>
      </c>
      <c r="N129" s="39" t="str" cm="1">
        <f t="array" ref="N12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GRILLE]],MAX($N$1:N128)+1)</f>
        <v/>
      </c>
    </row>
    <row r="130" spans="1:14" x14ac:dyDescent="0.3">
      <c r="A130" s="35" t="s">
        <v>96</v>
      </c>
      <c r="B130" s="35" t="b">
        <v>0</v>
      </c>
      <c r="C130" s="35" t="b">
        <v>0</v>
      </c>
      <c r="D130" s="35">
        <v>8</v>
      </c>
      <c r="E130" s="64" t="b">
        <v>0</v>
      </c>
      <c r="F130" s="64" t="b">
        <v>0</v>
      </c>
      <c r="G130" s="38" t="b">
        <v>0</v>
      </c>
      <c r="H130" s="36" t="b">
        <v>0</v>
      </c>
      <c r="I130" s="64" t="b">
        <v>0</v>
      </c>
      <c r="K130" s="58">
        <v>12</v>
      </c>
      <c r="L130" s="39">
        <v>15</v>
      </c>
      <c r="M130" s="39">
        <v>1150</v>
      </c>
      <c r="N130" s="39" t="str" cm="1">
        <f t="array" ref="N13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GRILLE]],MAX($N$1:N129)+1)</f>
        <v/>
      </c>
    </row>
    <row r="131" spans="1:14" x14ac:dyDescent="0.3">
      <c r="A131" s="35" t="s">
        <v>96</v>
      </c>
      <c r="B131" s="35" t="b">
        <v>1</v>
      </c>
      <c r="C131" s="35" t="b">
        <v>0</v>
      </c>
      <c r="D131" s="35">
        <v>8</v>
      </c>
      <c r="E131" s="64" t="b">
        <v>0</v>
      </c>
      <c r="F131" s="64" t="b">
        <v>0</v>
      </c>
      <c r="G131" s="38" t="b">
        <v>0</v>
      </c>
      <c r="H131" s="36" t="b">
        <v>0</v>
      </c>
      <c r="I131" s="64" t="b">
        <v>0</v>
      </c>
      <c r="K131" s="58">
        <v>12</v>
      </c>
      <c r="L131" s="39">
        <v>18</v>
      </c>
      <c r="M131" s="39">
        <v>1180</v>
      </c>
      <c r="N131" s="39" t="str" cm="1">
        <f t="array" ref="N13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GRILLE]],MAX($N$1:N130)+1)</f>
        <v/>
      </c>
    </row>
    <row r="132" spans="1:14" x14ac:dyDescent="0.3">
      <c r="A132" s="35" t="s">
        <v>104</v>
      </c>
      <c r="B132" s="35" t="b">
        <v>1</v>
      </c>
      <c r="C132" s="35" t="b">
        <v>0</v>
      </c>
      <c r="D132" s="35">
        <v>7</v>
      </c>
      <c r="E132" s="64" t="b">
        <v>0</v>
      </c>
      <c r="F132" s="64" t="b">
        <v>0</v>
      </c>
      <c r="G132" s="64" t="b">
        <v>1</v>
      </c>
      <c r="H132" s="36" t="b">
        <v>0</v>
      </c>
      <c r="I132" s="64" t="b">
        <v>0</v>
      </c>
      <c r="K132" s="58">
        <v>12</v>
      </c>
      <c r="L132" s="39">
        <v>21</v>
      </c>
      <c r="M132" s="39">
        <v>1210</v>
      </c>
      <c r="N132" s="39" t="str" cm="1">
        <f t="array" ref="N13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GRILLE]],MAX($N$1:N131)+1)</f>
        <v/>
      </c>
    </row>
    <row r="133" spans="1:14" x14ac:dyDescent="0.3">
      <c r="A133" s="35" t="s">
        <v>104</v>
      </c>
      <c r="B133" s="35" t="b">
        <v>0</v>
      </c>
      <c r="C133" s="35" t="b">
        <v>0</v>
      </c>
      <c r="D133" s="35">
        <v>6</v>
      </c>
      <c r="E133" s="64" t="b">
        <v>0</v>
      </c>
      <c r="F133" s="64" t="b">
        <v>0</v>
      </c>
      <c r="G133" s="64" t="b">
        <v>1</v>
      </c>
      <c r="H133" s="36" t="b">
        <v>0</v>
      </c>
      <c r="I133" s="64" t="b">
        <v>0</v>
      </c>
      <c r="K133" s="58">
        <v>12</v>
      </c>
      <c r="L133" s="39">
        <v>24</v>
      </c>
      <c r="M133" s="39">
        <v>1240</v>
      </c>
      <c r="N133" s="39" t="str" cm="1">
        <f t="array" ref="N13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GRILLE]],MAX($N$1:N132)+1)</f>
        <v/>
      </c>
    </row>
    <row r="134" spans="1:14" x14ac:dyDescent="0.3">
      <c r="K134" s="58">
        <v>12</v>
      </c>
      <c r="L134" s="40">
        <v>28</v>
      </c>
      <c r="M134" s="40">
        <v>1280</v>
      </c>
      <c r="N134" s="39" t="str" cm="1">
        <f t="array" ref="N13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GRILLE]],MAX($N$1:N133)+1)</f>
        <v/>
      </c>
    </row>
    <row r="135" spans="1:14" x14ac:dyDescent="0.3">
      <c r="K135" s="58">
        <v>13</v>
      </c>
      <c r="L135" s="39">
        <v>0</v>
      </c>
      <c r="M135" s="39">
        <v>680</v>
      </c>
      <c r="N135" s="39" t="str" cm="1">
        <f t="array" ref="N13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GRILLE]],MAX($N$1:N134)+1)</f>
        <v/>
      </c>
    </row>
    <row r="136" spans="1:14" x14ac:dyDescent="0.3">
      <c r="K136" s="58">
        <v>13</v>
      </c>
      <c r="L136" s="39">
        <v>3</v>
      </c>
      <c r="M136" s="39">
        <v>700.4</v>
      </c>
      <c r="N136" s="39" t="str" cm="1">
        <f t="array" ref="N13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GRILLE]],MAX($N$1:N135)+1)</f>
        <v/>
      </c>
    </row>
    <row r="137" spans="1:14" x14ac:dyDescent="0.3">
      <c r="K137" s="58">
        <v>13</v>
      </c>
      <c r="L137" s="39">
        <v>6</v>
      </c>
      <c r="M137" s="39">
        <v>720.8</v>
      </c>
      <c r="N137" s="39" t="str" cm="1">
        <f t="array" ref="N13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GRILLE]],MAX($N$1:N136)+1)</f>
        <v/>
      </c>
    </row>
    <row r="138" spans="1:14" x14ac:dyDescent="0.3">
      <c r="K138" s="58">
        <v>13</v>
      </c>
      <c r="L138" s="39">
        <v>9</v>
      </c>
      <c r="M138" s="39">
        <v>741.2</v>
      </c>
      <c r="N138" s="39" t="str" cm="1">
        <f t="array" ref="N13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GRILLE]],MAX($N$1:N137)+1)</f>
        <v/>
      </c>
    </row>
    <row r="139" spans="1:14" x14ac:dyDescent="0.3">
      <c r="K139" s="58">
        <v>13</v>
      </c>
      <c r="L139" s="39">
        <v>12</v>
      </c>
      <c r="M139" s="39">
        <v>761.6</v>
      </c>
      <c r="N139" s="39" t="str" cm="1">
        <f t="array" ref="N13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GRILLE]],MAX($N$1:N138)+1)</f>
        <v/>
      </c>
    </row>
    <row r="140" spans="1:14" x14ac:dyDescent="0.3">
      <c r="K140" s="58">
        <v>13</v>
      </c>
      <c r="L140" s="39">
        <v>15</v>
      </c>
      <c r="M140" s="39">
        <v>782</v>
      </c>
      <c r="N140" s="39" t="str" cm="1">
        <f t="array" ref="N14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GRILLE]],MAX($N$1:N139)+1)</f>
        <v/>
      </c>
    </row>
    <row r="141" spans="1:14" x14ac:dyDescent="0.3">
      <c r="K141" s="58">
        <v>13</v>
      </c>
      <c r="L141" s="39">
        <v>18</v>
      </c>
      <c r="M141" s="39">
        <v>802.4</v>
      </c>
      <c r="N141" s="39" t="str" cm="1">
        <f t="array" ref="N14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GRILLE]],MAX($N$1:N140)+1)</f>
        <v/>
      </c>
    </row>
    <row r="142" spans="1:14" x14ac:dyDescent="0.3">
      <c r="K142" s="58">
        <v>13</v>
      </c>
      <c r="L142" s="39">
        <v>21</v>
      </c>
      <c r="M142" s="39">
        <v>822.8</v>
      </c>
      <c r="N142" s="39" t="str" cm="1">
        <f t="array" ref="N14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GRILLE]],MAX($N$1:N141)+1)</f>
        <v/>
      </c>
    </row>
    <row r="143" spans="1:14" x14ac:dyDescent="0.3">
      <c r="K143" s="58">
        <v>13</v>
      </c>
      <c r="L143" s="39">
        <v>24</v>
      </c>
      <c r="M143" s="39">
        <v>843.2</v>
      </c>
      <c r="N143" s="39" t="str" cm="1">
        <f t="array" ref="N14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GRILLE]],MAX($N$1:N142)+1)</f>
        <v/>
      </c>
    </row>
    <row r="144" spans="1:14" x14ac:dyDescent="0.3">
      <c r="K144" s="58">
        <v>13</v>
      </c>
      <c r="L144" s="40">
        <v>28</v>
      </c>
      <c r="M144" s="40">
        <v>870.4</v>
      </c>
      <c r="N144" s="39" t="str" cm="1">
        <f t="array" ref="N14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GRILLE]],MAX($N$1:N143)+1)</f>
        <v/>
      </c>
    </row>
    <row r="145" spans="11:14" x14ac:dyDescent="0.3">
      <c r="K145" s="58">
        <v>14</v>
      </c>
      <c r="L145" s="39">
        <v>0</v>
      </c>
      <c r="M145" s="39">
        <v>1228</v>
      </c>
      <c r="N145" s="39" t="str" cm="1">
        <f t="array" ref="N14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GRILLE]],MAX($N$1:N144)+1)</f>
        <v/>
      </c>
    </row>
    <row r="146" spans="11:14" x14ac:dyDescent="0.3">
      <c r="K146" s="58">
        <v>14</v>
      </c>
      <c r="L146" s="39">
        <v>3</v>
      </c>
      <c r="M146" s="39">
        <v>1324</v>
      </c>
      <c r="N146" s="39" t="str" cm="1">
        <f t="array" ref="N14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GRILLE]],MAX($N$1:N145)+1)</f>
        <v/>
      </c>
    </row>
    <row r="147" spans="11:14" x14ac:dyDescent="0.3">
      <c r="K147" s="58">
        <v>14</v>
      </c>
      <c r="L147" s="39">
        <v>6</v>
      </c>
      <c r="M147" s="39">
        <v>1409</v>
      </c>
      <c r="N147" s="39" t="str" cm="1">
        <f t="array" ref="N14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GRILLE]],MAX($N$1:N146)+1)</f>
        <v/>
      </c>
    </row>
    <row r="148" spans="11:14" x14ac:dyDescent="0.3">
      <c r="K148" s="58">
        <v>14</v>
      </c>
      <c r="L148" s="39">
        <v>9</v>
      </c>
      <c r="M148" s="39">
        <v>1504</v>
      </c>
      <c r="N148" s="39" t="str" cm="1">
        <f t="array" ref="N14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GRILLE]],MAX($N$1:N147)+1)</f>
        <v/>
      </c>
    </row>
    <row r="149" spans="11:14" x14ac:dyDescent="0.3">
      <c r="K149" s="58">
        <v>14</v>
      </c>
      <c r="L149" s="39">
        <v>12</v>
      </c>
      <c r="M149" s="39">
        <v>1609</v>
      </c>
      <c r="N149" s="39" t="str" cm="1">
        <f t="array" ref="N14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GRILLE]],MAX($N$1:N148)+1)</f>
        <v/>
      </c>
    </row>
    <row r="150" spans="11:14" x14ac:dyDescent="0.3">
      <c r="K150" s="58">
        <v>14</v>
      </c>
      <c r="L150" s="39">
        <v>15</v>
      </c>
      <c r="M150" s="39">
        <v>1690</v>
      </c>
      <c r="N150" s="39" t="str" cm="1">
        <f t="array" ref="N15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GRILLE]],MAX($N$1:N149)+1)</f>
        <v/>
      </c>
    </row>
    <row r="151" spans="11:14" x14ac:dyDescent="0.3">
      <c r="K151" s="58">
        <v>14</v>
      </c>
      <c r="L151" s="39">
        <v>18</v>
      </c>
      <c r="M151" s="39">
        <v>1754</v>
      </c>
      <c r="N151" s="39" t="str" cm="1">
        <f t="array" ref="N15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GRILLE]],MAX($N$1:N150)+1)</f>
        <v/>
      </c>
    </row>
    <row r="152" spans="11:14" x14ac:dyDescent="0.3">
      <c r="K152" s="58">
        <v>14</v>
      </c>
      <c r="L152" s="39">
        <v>21</v>
      </c>
      <c r="M152" s="39">
        <v>2024</v>
      </c>
      <c r="N152" s="39" t="str" cm="1">
        <f t="array" ref="N15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GRILLE]],MAX($N$1:N151)+1)</f>
        <v/>
      </c>
    </row>
    <row r="153" spans="11:14" x14ac:dyDescent="0.3">
      <c r="K153" s="58">
        <v>14</v>
      </c>
      <c r="L153" s="39">
        <v>24</v>
      </c>
      <c r="M153" s="39">
        <v>2075</v>
      </c>
      <c r="N153" s="39" t="str" cm="1">
        <f t="array" ref="N15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GRILLE]],MAX($N$1:N152)+1)</f>
        <v/>
      </c>
    </row>
    <row r="154" spans="11:14" x14ac:dyDescent="0.3">
      <c r="K154" s="58">
        <v>14</v>
      </c>
      <c r="L154" s="40">
        <v>28</v>
      </c>
      <c r="M154" s="40">
        <v>2125</v>
      </c>
      <c r="N154" s="39" t="str" cm="1">
        <f t="array" ref="N15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GRILLE]],MAX($N$1:N153)+1)</f>
        <v/>
      </c>
    </row>
    <row r="155" spans="11:14" x14ac:dyDescent="0.3">
      <c r="K155" s="58">
        <v>15</v>
      </c>
      <c r="L155" s="39">
        <v>0</v>
      </c>
      <c r="M155" s="39">
        <v>403</v>
      </c>
      <c r="N155" s="39" t="str" cm="1">
        <f t="array" ref="N15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GRILLE]],MAX($N$1:N154)+1)</f>
        <v/>
      </c>
    </row>
    <row r="156" spans="11:14" x14ac:dyDescent="0.3">
      <c r="K156" s="58">
        <v>15</v>
      </c>
      <c r="L156" s="39">
        <v>1</v>
      </c>
      <c r="M156" s="39">
        <v>403</v>
      </c>
      <c r="N156" s="39" t="str" cm="1">
        <f t="array" ref="N15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GRILLE]],MAX($N$1:N155)+1)</f>
        <v/>
      </c>
    </row>
    <row r="157" spans="11:14" x14ac:dyDescent="0.3">
      <c r="K157" s="58">
        <v>15</v>
      </c>
      <c r="L157" s="39">
        <v>3</v>
      </c>
      <c r="M157" s="39">
        <v>403</v>
      </c>
      <c r="N157" s="39" t="str" cm="1">
        <f t="array" ref="N15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GRILLE]],MAX($N$1:N156)+1)</f>
        <v/>
      </c>
    </row>
    <row r="158" spans="11:14" x14ac:dyDescent="0.3">
      <c r="K158" s="58">
        <v>15</v>
      </c>
      <c r="L158" s="39">
        <v>5</v>
      </c>
      <c r="M158" s="39">
        <v>403</v>
      </c>
      <c r="N158" s="39" t="str" cm="1">
        <f t="array" ref="N15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GRILLE]],MAX($N$1:N157)+1)</f>
        <v/>
      </c>
    </row>
    <row r="159" spans="11:14" x14ac:dyDescent="0.3">
      <c r="K159" s="58">
        <v>15</v>
      </c>
      <c r="L159" s="39">
        <v>7</v>
      </c>
      <c r="M159" s="39">
        <v>403</v>
      </c>
      <c r="N159" s="39" t="str" cm="1">
        <f t="array" ref="N15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GRILLE]],MAX($N$1:N158)+1)</f>
        <v/>
      </c>
    </row>
    <row r="160" spans="11:14" x14ac:dyDescent="0.3">
      <c r="K160" s="58">
        <v>15</v>
      </c>
      <c r="L160" s="39">
        <v>10</v>
      </c>
      <c r="M160" s="39">
        <v>403</v>
      </c>
      <c r="N160" s="39" t="str" cm="1">
        <f t="array" ref="N16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GRILLE]],MAX($N$1:N159)+1)</f>
        <v/>
      </c>
    </row>
    <row r="161" spans="11:14" x14ac:dyDescent="0.3">
      <c r="K161" s="58">
        <v>15</v>
      </c>
      <c r="L161" s="39">
        <v>13</v>
      </c>
      <c r="M161" s="39">
        <v>406</v>
      </c>
      <c r="N161" s="39" t="str" cm="1">
        <f t="array" ref="N16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GRILLE]],MAX($N$1:N160)+1)</f>
        <v/>
      </c>
    </row>
    <row r="162" spans="11:14" x14ac:dyDescent="0.3">
      <c r="K162" s="58">
        <v>15</v>
      </c>
      <c r="L162" s="39">
        <v>16</v>
      </c>
      <c r="M162" s="39">
        <v>415</v>
      </c>
      <c r="N162" s="39" t="str" cm="1">
        <f t="array" ref="N16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GRILLE]],MAX($N$1:N161)+1)</f>
        <v/>
      </c>
    </row>
    <row r="163" spans="11:14" x14ac:dyDescent="0.3">
      <c r="K163" s="58">
        <v>15</v>
      </c>
      <c r="L163" s="39">
        <v>20</v>
      </c>
      <c r="M163" s="39">
        <v>421</v>
      </c>
      <c r="N163" s="39" t="str" cm="1">
        <f t="array" ref="N16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GRILLE]],MAX($N$1:N162)+1)</f>
        <v/>
      </c>
    </row>
    <row r="164" spans="11:14" x14ac:dyDescent="0.3">
      <c r="K164" s="58">
        <v>15</v>
      </c>
      <c r="L164" s="39">
        <v>24</v>
      </c>
      <c r="M164" s="39">
        <v>432</v>
      </c>
      <c r="N164" s="39" t="str" cm="1">
        <f t="array" ref="N16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GRILLE]],MAX($N$1:N163)+1)</f>
        <v/>
      </c>
    </row>
    <row r="165" spans="11:14" x14ac:dyDescent="0.3">
      <c r="K165" s="58">
        <v>15</v>
      </c>
      <c r="L165" s="40">
        <v>28</v>
      </c>
      <c r="M165" s="40">
        <v>445</v>
      </c>
      <c r="N165" s="39" t="str" cm="1">
        <f t="array" ref="N16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GRILLE]],MAX($N$1:N164)+1)</f>
        <v/>
      </c>
    </row>
    <row r="166" spans="11:14" x14ac:dyDescent="0.3">
      <c r="K166" s="58">
        <v>16</v>
      </c>
      <c r="L166" s="39">
        <v>0</v>
      </c>
      <c r="M166" s="39">
        <v>413</v>
      </c>
      <c r="N166" s="39" t="str" cm="1">
        <f t="array" ref="N16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GRILLE]],MAX($N$1:N165)+1)</f>
        <v/>
      </c>
    </row>
    <row r="167" spans="11:14" x14ac:dyDescent="0.3">
      <c r="K167" s="58">
        <v>16</v>
      </c>
      <c r="L167" s="39">
        <v>1</v>
      </c>
      <c r="M167" s="39">
        <v>413</v>
      </c>
      <c r="N167" s="39" t="str" cm="1">
        <f t="array" ref="N16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GRILLE]],MAX($N$1:N166)+1)</f>
        <v/>
      </c>
    </row>
    <row r="168" spans="11:14" x14ac:dyDescent="0.3">
      <c r="K168" s="58">
        <v>16</v>
      </c>
      <c r="L168" s="39">
        <v>3</v>
      </c>
      <c r="M168" s="39">
        <v>413</v>
      </c>
      <c r="N168" s="39" t="str" cm="1">
        <f t="array" ref="N16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GRILLE]],MAX($N$1:N167)+1)</f>
        <v/>
      </c>
    </row>
    <row r="169" spans="11:14" x14ac:dyDescent="0.3">
      <c r="K169" s="58">
        <v>16</v>
      </c>
      <c r="L169" s="39">
        <v>5</v>
      </c>
      <c r="M169" s="39">
        <v>413</v>
      </c>
      <c r="N169" s="39" t="str" cm="1">
        <f t="array" ref="N16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GRILLE]],MAX($N$1:N168)+1)</f>
        <v/>
      </c>
    </row>
    <row r="170" spans="11:14" x14ac:dyDescent="0.3">
      <c r="K170" s="58">
        <v>16</v>
      </c>
      <c r="L170" s="39">
        <v>7</v>
      </c>
      <c r="M170" s="39">
        <v>413</v>
      </c>
      <c r="N170" s="39" t="str" cm="1">
        <f t="array" ref="N17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GRILLE]],MAX($N$1:N169)+1)</f>
        <v/>
      </c>
    </row>
    <row r="171" spans="11:14" x14ac:dyDescent="0.3">
      <c r="K171" s="58">
        <v>16</v>
      </c>
      <c r="L171" s="39">
        <v>10</v>
      </c>
      <c r="M171" s="39">
        <v>413</v>
      </c>
      <c r="N171" s="39" t="str" cm="1">
        <f t="array" ref="N17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GRILLE]],MAX($N$1:N170)+1)</f>
        <v/>
      </c>
    </row>
    <row r="172" spans="11:14" x14ac:dyDescent="0.3">
      <c r="K172" s="58">
        <v>16</v>
      </c>
      <c r="L172" s="39">
        <v>13</v>
      </c>
      <c r="M172" s="39">
        <v>415</v>
      </c>
      <c r="N172" s="39" t="str" cm="1">
        <f t="array" ref="N17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GRILLE]],MAX($N$1:N171)+1)</f>
        <v/>
      </c>
    </row>
    <row r="173" spans="11:14" x14ac:dyDescent="0.3">
      <c r="K173" s="58">
        <v>16</v>
      </c>
      <c r="L173" s="39">
        <v>16</v>
      </c>
      <c r="M173" s="39">
        <v>425</v>
      </c>
      <c r="N173" s="39" t="str" cm="1">
        <f t="array" ref="N17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GRILLE]],MAX($N$1:N172)+1)</f>
        <v/>
      </c>
    </row>
    <row r="174" spans="11:14" x14ac:dyDescent="0.3">
      <c r="K174" s="58">
        <v>16</v>
      </c>
      <c r="L174" s="39">
        <v>20</v>
      </c>
      <c r="M174" s="39">
        <v>431</v>
      </c>
      <c r="N174" s="39" t="str" cm="1">
        <f t="array" ref="N17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GRILLE]],MAX($N$1:N173)+1)</f>
        <v/>
      </c>
    </row>
    <row r="175" spans="11:14" x14ac:dyDescent="0.3">
      <c r="K175" s="58">
        <v>16</v>
      </c>
      <c r="L175" s="39">
        <v>24</v>
      </c>
      <c r="M175" s="39">
        <v>442</v>
      </c>
      <c r="N175" s="39" t="str" cm="1">
        <f t="array" ref="N17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GRILLE]],MAX($N$1:N174)+1)</f>
        <v/>
      </c>
    </row>
    <row r="176" spans="11:14" x14ac:dyDescent="0.3">
      <c r="K176" s="58">
        <v>16</v>
      </c>
      <c r="L176" s="40">
        <v>28</v>
      </c>
      <c r="M176" s="40">
        <v>455</v>
      </c>
      <c r="N176" s="39" t="str" cm="1">
        <f t="array" ref="N17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GRILLE]],MAX($N$1:N175)+1)</f>
        <v/>
      </c>
    </row>
    <row r="177" spans="11:14" x14ac:dyDescent="0.3">
      <c r="K177" s="58">
        <v>17</v>
      </c>
      <c r="L177" s="39">
        <v>0</v>
      </c>
      <c r="M177" s="39">
        <v>413</v>
      </c>
      <c r="N177" s="39" t="str" cm="1">
        <f t="array" ref="N17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GRILLE]],MAX($N$1:N176)+1)</f>
        <v/>
      </c>
    </row>
    <row r="178" spans="11:14" x14ac:dyDescent="0.3">
      <c r="K178" s="58">
        <v>17</v>
      </c>
      <c r="L178" s="39">
        <v>1</v>
      </c>
      <c r="M178" s="39">
        <v>414</v>
      </c>
      <c r="N178" s="39" t="str" cm="1">
        <f t="array" ref="N17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GRILLE]],MAX($N$1:N177)+1)</f>
        <v/>
      </c>
    </row>
    <row r="179" spans="11:14" x14ac:dyDescent="0.3">
      <c r="K179" s="58">
        <v>17</v>
      </c>
      <c r="L179" s="39">
        <v>3</v>
      </c>
      <c r="M179" s="39">
        <v>429</v>
      </c>
      <c r="N179" s="39" t="str" cm="1">
        <f t="array" ref="N17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GRILLE]],MAX($N$1:N178)+1)</f>
        <v/>
      </c>
    </row>
    <row r="180" spans="11:14" x14ac:dyDescent="0.3">
      <c r="K180" s="58">
        <v>17</v>
      </c>
      <c r="L180" s="39">
        <v>5</v>
      </c>
      <c r="M180" s="39">
        <v>446</v>
      </c>
      <c r="N180" s="39" t="str" cm="1">
        <f t="array" ref="N18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GRILLE]],MAX($N$1:N179)+1)</f>
        <v/>
      </c>
    </row>
    <row r="181" spans="11:14" x14ac:dyDescent="0.3">
      <c r="K181" s="58">
        <v>17</v>
      </c>
      <c r="L181" s="39">
        <v>7</v>
      </c>
      <c r="M181" s="39">
        <v>460</v>
      </c>
      <c r="N181" s="39" t="str" cm="1">
        <f t="array" ref="N18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GRILLE]],MAX($N$1:N180)+1)</f>
        <v/>
      </c>
    </row>
    <row r="182" spans="11:14" x14ac:dyDescent="0.3">
      <c r="K182" s="58">
        <v>17</v>
      </c>
      <c r="L182" s="39">
        <v>10</v>
      </c>
      <c r="M182" s="39">
        <v>473</v>
      </c>
      <c r="N182" s="39" t="str" cm="1">
        <f t="array" ref="N18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GRILLE]],MAX($N$1:N181)+1)</f>
        <v/>
      </c>
    </row>
    <row r="183" spans="11:14" x14ac:dyDescent="0.3">
      <c r="K183" s="58">
        <v>17</v>
      </c>
      <c r="L183" s="39">
        <v>13</v>
      </c>
      <c r="M183" s="39">
        <v>486</v>
      </c>
      <c r="N183" s="39" t="str" cm="1">
        <f t="array" ref="N18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GRILLE]],MAX($N$1:N182)+1)</f>
        <v/>
      </c>
    </row>
    <row r="184" spans="11:14" x14ac:dyDescent="0.3">
      <c r="K184" s="58">
        <v>17</v>
      </c>
      <c r="L184" s="39">
        <v>16</v>
      </c>
      <c r="M184" s="39">
        <v>499</v>
      </c>
      <c r="N184" s="39" t="str" cm="1">
        <f t="array" ref="N18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GRILLE]],MAX($N$1:N183)+1)</f>
        <v/>
      </c>
    </row>
    <row r="185" spans="11:14" x14ac:dyDescent="0.3">
      <c r="K185" s="58">
        <v>17</v>
      </c>
      <c r="L185" s="39">
        <v>20</v>
      </c>
      <c r="M185" s="39">
        <v>511</v>
      </c>
      <c r="N185" s="39" t="str" cm="1">
        <f t="array" ref="N18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GRILLE]],MAX($N$1:N184)+1)</f>
        <v/>
      </c>
    </row>
    <row r="186" spans="11:14" x14ac:dyDescent="0.3">
      <c r="K186" s="58">
        <v>17</v>
      </c>
      <c r="L186" s="39">
        <v>24</v>
      </c>
      <c r="M186" s="39">
        <v>528</v>
      </c>
      <c r="N186" s="39" t="str" cm="1">
        <f t="array" ref="N18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GRILLE]],MAX($N$1:N185)+1)</f>
        <v/>
      </c>
    </row>
    <row r="187" spans="11:14" x14ac:dyDescent="0.3">
      <c r="K187" s="58">
        <v>17</v>
      </c>
      <c r="L187" s="40">
        <v>28</v>
      </c>
      <c r="M187" s="40">
        <v>544</v>
      </c>
      <c r="N187" s="39" t="str" cm="1">
        <f t="array" ref="N18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GRILLE]],MAX($N$1:N186)+1)</f>
        <v/>
      </c>
    </row>
    <row r="188" spans="11:14" x14ac:dyDescent="0.3">
      <c r="K188" s="58">
        <v>18</v>
      </c>
      <c r="L188" s="39">
        <v>0</v>
      </c>
      <c r="M188" s="39">
        <v>413</v>
      </c>
      <c r="N188" s="39" t="str" cm="1">
        <f t="array" ref="N18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GRILLE]],MAX($N$1:N187)+1)</f>
        <v/>
      </c>
    </row>
    <row r="189" spans="11:14" x14ac:dyDescent="0.3">
      <c r="K189" s="58">
        <v>18</v>
      </c>
      <c r="L189" s="39">
        <v>1</v>
      </c>
      <c r="M189" s="39">
        <v>414</v>
      </c>
      <c r="N189" s="39" t="str" cm="1">
        <f t="array" ref="N18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GRILLE]],MAX($N$1:N188)+1)</f>
        <v/>
      </c>
    </row>
    <row r="190" spans="11:14" x14ac:dyDescent="0.3">
      <c r="K190" s="58">
        <v>18</v>
      </c>
      <c r="L190" s="39">
        <v>3</v>
      </c>
      <c r="M190" s="39">
        <v>429</v>
      </c>
      <c r="N190" s="39" t="str" cm="1">
        <f t="array" ref="N19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GRILLE]],MAX($N$1:N189)+1)</f>
        <v/>
      </c>
    </row>
    <row r="191" spans="11:14" x14ac:dyDescent="0.3">
      <c r="K191" s="58">
        <v>18</v>
      </c>
      <c r="L191" s="39">
        <v>5</v>
      </c>
      <c r="M191" s="39">
        <v>446</v>
      </c>
      <c r="N191" s="39" t="str" cm="1">
        <f t="array" ref="N19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GRILLE]],MAX($N$1:N190)+1)</f>
        <v/>
      </c>
    </row>
    <row r="192" spans="11:14" x14ac:dyDescent="0.3">
      <c r="K192" s="58">
        <v>18</v>
      </c>
      <c r="L192" s="39">
        <v>7</v>
      </c>
      <c r="M192" s="39">
        <v>460</v>
      </c>
      <c r="N192" s="39" t="str" cm="1">
        <f t="array" ref="N19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GRILLE]],MAX($N$1:N191)+1)</f>
        <v/>
      </c>
    </row>
    <row r="193" spans="11:14" x14ac:dyDescent="0.3">
      <c r="K193" s="58">
        <v>18</v>
      </c>
      <c r="L193" s="39">
        <v>10</v>
      </c>
      <c r="M193" s="39">
        <v>473</v>
      </c>
      <c r="N193" s="39" t="str" cm="1">
        <f t="array" ref="N19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GRILLE]],MAX($N$1:N192)+1)</f>
        <v/>
      </c>
    </row>
    <row r="194" spans="11:14" x14ac:dyDescent="0.3">
      <c r="K194" s="58">
        <v>18</v>
      </c>
      <c r="L194" s="39">
        <v>13</v>
      </c>
      <c r="M194" s="39">
        <v>486</v>
      </c>
      <c r="N194" s="39" t="str" cm="1">
        <f t="array" ref="N19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GRILLE]],MAX($N$1:N193)+1)</f>
        <v/>
      </c>
    </row>
    <row r="195" spans="11:14" x14ac:dyDescent="0.3">
      <c r="K195" s="58">
        <v>18</v>
      </c>
      <c r="L195" s="39">
        <v>16</v>
      </c>
      <c r="M195" s="39">
        <v>499</v>
      </c>
      <c r="N195" s="39" t="str" cm="1">
        <f t="array" ref="N19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GRILLE]],MAX($N$1:N194)+1)</f>
        <v/>
      </c>
    </row>
    <row r="196" spans="11:14" x14ac:dyDescent="0.3">
      <c r="K196" s="58">
        <v>18</v>
      </c>
      <c r="L196" s="39">
        <v>20</v>
      </c>
      <c r="M196" s="39">
        <v>511</v>
      </c>
      <c r="N196" s="39" t="str" cm="1">
        <f t="array" ref="N19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GRILLE]],MAX($N$1:N195)+1)</f>
        <v/>
      </c>
    </row>
    <row r="197" spans="11:14" x14ac:dyDescent="0.3">
      <c r="K197" s="58">
        <v>18</v>
      </c>
      <c r="L197" s="39">
        <v>24</v>
      </c>
      <c r="M197" s="39">
        <v>528</v>
      </c>
      <c r="N197" s="39" t="str" cm="1">
        <f t="array" ref="N19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GRILLE]],MAX($N$1:N196)+1)</f>
        <v/>
      </c>
    </row>
    <row r="198" spans="11:14" x14ac:dyDescent="0.3">
      <c r="K198" s="58">
        <v>18</v>
      </c>
      <c r="L198" s="40">
        <v>28</v>
      </c>
      <c r="M198" s="40">
        <v>544</v>
      </c>
      <c r="N198" s="39" t="str" cm="1">
        <f t="array" ref="N19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GRILLE]],MAX($N$1:N197)+1)</f>
        <v/>
      </c>
    </row>
    <row r="199" spans="11:14" x14ac:dyDescent="0.3">
      <c r="K199" s="58">
        <v>19</v>
      </c>
      <c r="L199" s="39">
        <v>0</v>
      </c>
      <c r="M199" s="39">
        <v>403</v>
      </c>
      <c r="N199" s="39" t="str" cm="1">
        <f t="array" ref="N19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GRILLE]],MAX($N$1:N198)+1)</f>
        <v/>
      </c>
    </row>
    <row r="200" spans="11:14" x14ac:dyDescent="0.3">
      <c r="K200" s="58">
        <v>19</v>
      </c>
      <c r="L200" s="39">
        <v>1</v>
      </c>
      <c r="M200" s="39">
        <v>403</v>
      </c>
      <c r="N200" s="39" t="str" cm="1">
        <f t="array" ref="N20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GRILLE]],MAX($N$1:N199)+1)</f>
        <v/>
      </c>
    </row>
    <row r="201" spans="11:14" x14ac:dyDescent="0.3">
      <c r="K201" s="58">
        <v>19</v>
      </c>
      <c r="L201" s="39">
        <v>3</v>
      </c>
      <c r="M201" s="39">
        <v>403</v>
      </c>
      <c r="N201" s="39" t="str" cm="1">
        <f t="array" ref="N20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GRILLE]],MAX($N$1:N200)+1)</f>
        <v/>
      </c>
    </row>
    <row r="202" spans="11:14" x14ac:dyDescent="0.3">
      <c r="K202" s="58">
        <v>19</v>
      </c>
      <c r="L202" s="39">
        <v>5</v>
      </c>
      <c r="M202" s="39">
        <v>403</v>
      </c>
      <c r="N202" s="39" t="str" cm="1">
        <f t="array" ref="N20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GRILLE]],MAX($N$1:N201)+1)</f>
        <v/>
      </c>
    </row>
    <row r="203" spans="11:14" x14ac:dyDescent="0.3">
      <c r="K203" s="58">
        <v>19</v>
      </c>
      <c r="L203" s="39">
        <v>7</v>
      </c>
      <c r="M203" s="39">
        <v>415</v>
      </c>
      <c r="N203" s="39" t="str" cm="1">
        <f t="array" ref="N20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GRILLE]],MAX($N$1:N202)+1)</f>
        <v/>
      </c>
    </row>
    <row r="204" spans="11:14" x14ac:dyDescent="0.3">
      <c r="K204" s="58">
        <v>19</v>
      </c>
      <c r="L204" s="39">
        <v>10</v>
      </c>
      <c r="M204" s="39">
        <v>432</v>
      </c>
      <c r="N204" s="39" t="str" cm="1">
        <f t="array" ref="N20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GRILLE]],MAX($N$1:N203)+1)</f>
        <v/>
      </c>
    </row>
    <row r="205" spans="11:14" x14ac:dyDescent="0.3">
      <c r="K205" s="58">
        <v>19</v>
      </c>
      <c r="L205" s="39">
        <v>13</v>
      </c>
      <c r="M205" s="39">
        <v>448</v>
      </c>
      <c r="N205" s="39" t="str" cm="1">
        <f t="array" ref="N20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GRILLE]],MAX($N$1:N204)+1)</f>
        <v/>
      </c>
    </row>
    <row r="206" spans="11:14" x14ac:dyDescent="0.3">
      <c r="K206" s="58">
        <v>19</v>
      </c>
      <c r="L206" s="39">
        <v>16</v>
      </c>
      <c r="M206" s="39">
        <v>462</v>
      </c>
      <c r="N206" s="39" t="str" cm="1">
        <f t="array" ref="N20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GRILLE]],MAX($N$1:N205)+1)</f>
        <v/>
      </c>
    </row>
    <row r="207" spans="11:14" x14ac:dyDescent="0.3">
      <c r="K207" s="58">
        <v>19</v>
      </c>
      <c r="L207" s="39">
        <v>20</v>
      </c>
      <c r="M207" s="39">
        <v>479</v>
      </c>
      <c r="N207" s="39" t="str" cm="1">
        <f t="array" ref="N20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GRILLE]],MAX($N$1:N206)+1)</f>
        <v/>
      </c>
    </row>
    <row r="208" spans="11:14" x14ac:dyDescent="0.3">
      <c r="K208" s="58">
        <v>19</v>
      </c>
      <c r="L208" s="39">
        <v>24</v>
      </c>
      <c r="M208" s="39">
        <v>493</v>
      </c>
      <c r="N208" s="39" t="str" cm="1">
        <f t="array" ref="N20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GRILLE]],MAX($N$1:N207)+1)</f>
        <v/>
      </c>
    </row>
    <row r="209" spans="11:14" x14ac:dyDescent="0.3">
      <c r="K209" s="58">
        <v>19</v>
      </c>
      <c r="L209" s="40">
        <v>28</v>
      </c>
      <c r="M209" s="40">
        <v>501</v>
      </c>
      <c r="N209" s="39" t="str" cm="1">
        <f t="array" ref="N20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GRILLE]],MAX($N$1:N208)+1)</f>
        <v/>
      </c>
    </row>
    <row r="210" spans="11:14" x14ac:dyDescent="0.3">
      <c r="K210" s="58">
        <v>20</v>
      </c>
      <c r="L210" s="39">
        <v>0</v>
      </c>
      <c r="M210" s="39">
        <v>413</v>
      </c>
      <c r="N210" s="39" t="str" cm="1">
        <f t="array" ref="N21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GRILLE]],MAX($N$1:N209)+1)</f>
        <v/>
      </c>
    </row>
    <row r="211" spans="11:14" x14ac:dyDescent="0.3">
      <c r="K211" s="58">
        <v>20</v>
      </c>
      <c r="L211" s="39">
        <v>1</v>
      </c>
      <c r="M211" s="39">
        <v>413</v>
      </c>
      <c r="N211" s="39" t="str" cm="1">
        <f t="array" ref="N21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GRILLE]],MAX($N$1:N210)+1)</f>
        <v/>
      </c>
    </row>
    <row r="212" spans="11:14" x14ac:dyDescent="0.3">
      <c r="K212" s="58">
        <v>20</v>
      </c>
      <c r="L212" s="39">
        <v>3</v>
      </c>
      <c r="M212" s="39">
        <v>413</v>
      </c>
      <c r="N212" s="39" t="str" cm="1">
        <f t="array" ref="N21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GRILLE]],MAX($N$1:N211)+1)</f>
        <v/>
      </c>
    </row>
    <row r="213" spans="11:14" x14ac:dyDescent="0.3">
      <c r="K213" s="58">
        <v>20</v>
      </c>
      <c r="L213" s="39">
        <v>5</v>
      </c>
      <c r="M213" s="39">
        <v>413</v>
      </c>
      <c r="N213" s="39" t="str" cm="1">
        <f t="array" ref="N21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GRILLE]],MAX($N$1:N212)+1)</f>
        <v/>
      </c>
    </row>
    <row r="214" spans="11:14" x14ac:dyDescent="0.3">
      <c r="K214" s="58">
        <v>20</v>
      </c>
      <c r="L214" s="39">
        <v>7</v>
      </c>
      <c r="M214" s="39">
        <v>425</v>
      </c>
      <c r="N214" s="39" t="str" cm="1">
        <f t="array" ref="N21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GRILLE]],MAX($N$1:N213)+1)</f>
        <v/>
      </c>
    </row>
    <row r="215" spans="11:14" x14ac:dyDescent="0.3">
      <c r="K215" s="58">
        <v>20</v>
      </c>
      <c r="L215" s="39">
        <v>10</v>
      </c>
      <c r="M215" s="39">
        <v>442</v>
      </c>
      <c r="N215" s="39" t="str" cm="1">
        <f t="array" ref="N21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GRILLE]],MAX($N$1:N214)+1)</f>
        <v/>
      </c>
    </row>
    <row r="216" spans="11:14" x14ac:dyDescent="0.3">
      <c r="K216" s="58">
        <v>20</v>
      </c>
      <c r="L216" s="39">
        <v>13</v>
      </c>
      <c r="M216" s="39">
        <v>458</v>
      </c>
      <c r="N216" s="39" t="str" cm="1">
        <f t="array" ref="N21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GRILLE]],MAX($N$1:N215)+1)</f>
        <v/>
      </c>
    </row>
    <row r="217" spans="11:14" x14ac:dyDescent="0.3">
      <c r="K217" s="58">
        <v>20</v>
      </c>
      <c r="L217" s="39">
        <v>16</v>
      </c>
      <c r="M217" s="39">
        <v>472</v>
      </c>
      <c r="N217" s="39" t="str" cm="1">
        <f t="array" ref="N21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GRILLE]],MAX($N$1:N216)+1)</f>
        <v/>
      </c>
    </row>
    <row r="218" spans="11:14" x14ac:dyDescent="0.3">
      <c r="K218" s="58">
        <v>20</v>
      </c>
      <c r="L218" s="39">
        <v>20</v>
      </c>
      <c r="M218" s="39">
        <v>489</v>
      </c>
      <c r="N218" s="39" t="str" cm="1">
        <f t="array" ref="N21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GRILLE]],MAX($N$1:N217)+1)</f>
        <v/>
      </c>
    </row>
    <row r="219" spans="11:14" x14ac:dyDescent="0.3">
      <c r="K219" s="58">
        <v>20</v>
      </c>
      <c r="L219" s="39">
        <v>24</v>
      </c>
      <c r="M219" s="39">
        <v>504</v>
      </c>
      <c r="N219" s="39" t="str" cm="1">
        <f t="array" ref="N21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GRILLE]],MAX($N$1:N218)+1)</f>
        <v/>
      </c>
    </row>
    <row r="220" spans="11:14" x14ac:dyDescent="0.3">
      <c r="K220" s="58">
        <v>20</v>
      </c>
      <c r="L220" s="40">
        <v>28</v>
      </c>
      <c r="M220" s="40">
        <v>512</v>
      </c>
      <c r="N220" s="39" t="str" cm="1">
        <f t="array" ref="N22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GRILLE]],MAX($N$1:N219)+1)</f>
        <v/>
      </c>
    </row>
    <row r="221" spans="11:14" x14ac:dyDescent="0.3">
      <c r="K221" s="58">
        <v>21</v>
      </c>
      <c r="L221" s="39">
        <v>0</v>
      </c>
      <c r="M221" s="39">
        <v>403</v>
      </c>
      <c r="N221" s="39" t="str" cm="1">
        <f t="array" ref="N22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GRILLE]],MAX($N$1:N220)+1)</f>
        <v/>
      </c>
    </row>
    <row r="222" spans="11:14" x14ac:dyDescent="0.3">
      <c r="K222" s="58">
        <v>21</v>
      </c>
      <c r="L222" s="39">
        <v>1</v>
      </c>
      <c r="M222" s="39">
        <v>403</v>
      </c>
      <c r="N222" s="39" t="str" cm="1">
        <f t="array" ref="N22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GRILLE]],MAX($N$1:N221)+1)</f>
        <v/>
      </c>
    </row>
    <row r="223" spans="11:14" x14ac:dyDescent="0.3">
      <c r="K223" s="58">
        <v>21</v>
      </c>
      <c r="L223" s="39">
        <v>3</v>
      </c>
      <c r="M223" s="39">
        <v>403</v>
      </c>
      <c r="N223" s="39" t="str" cm="1">
        <f t="array" ref="N22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GRILLE]],MAX($N$1:N222)+1)</f>
        <v/>
      </c>
    </row>
    <row r="224" spans="11:14" x14ac:dyDescent="0.3">
      <c r="K224" s="58">
        <v>21</v>
      </c>
      <c r="L224" s="39">
        <v>6</v>
      </c>
      <c r="M224" s="39">
        <v>403</v>
      </c>
      <c r="N224" s="39" t="str" cm="1">
        <f t="array" ref="N22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GRILLE]],MAX($N$1:N223)+1)</f>
        <v/>
      </c>
    </row>
    <row r="225" spans="11:14" x14ac:dyDescent="0.3">
      <c r="K225" s="58">
        <v>21</v>
      </c>
      <c r="L225" s="39">
        <v>9</v>
      </c>
      <c r="M225" s="39">
        <v>411</v>
      </c>
      <c r="N225" s="39" t="str" cm="1">
        <f t="array" ref="N22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GRILLE]],MAX($N$1:N224)+1)</f>
        <v/>
      </c>
    </row>
    <row r="226" spans="11:14" x14ac:dyDescent="0.3">
      <c r="K226" s="58">
        <v>21</v>
      </c>
      <c r="L226" s="39">
        <v>13</v>
      </c>
      <c r="M226" s="39">
        <v>425</v>
      </c>
      <c r="N226" s="39" t="str" cm="1">
        <f t="array" ref="N22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GRILLE]],MAX($N$1:N225)+1)</f>
        <v/>
      </c>
    </row>
    <row r="227" spans="11:14" x14ac:dyDescent="0.3">
      <c r="K227" s="58">
        <v>21</v>
      </c>
      <c r="L227" s="39">
        <v>17</v>
      </c>
      <c r="M227" s="39">
        <v>448</v>
      </c>
      <c r="N227" s="39" t="str" cm="1">
        <f t="array" ref="N22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GRILLE]],MAX($N$1:N226)+1)</f>
        <v/>
      </c>
    </row>
    <row r="228" spans="11:14" x14ac:dyDescent="0.3">
      <c r="K228" s="58">
        <v>21</v>
      </c>
      <c r="L228" s="39">
        <v>21</v>
      </c>
      <c r="M228" s="39">
        <v>469</v>
      </c>
      <c r="N228" s="39" t="str" cm="1">
        <f t="array" ref="N22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GRILLE]],MAX($N$1:N227)+1)</f>
        <v/>
      </c>
    </row>
    <row r="229" spans="11:14" x14ac:dyDescent="0.3">
      <c r="K229" s="58">
        <v>21</v>
      </c>
      <c r="L229" s="39">
        <v>25</v>
      </c>
      <c r="M229" s="39">
        <v>490</v>
      </c>
      <c r="N229" s="39" t="str" cm="1">
        <f t="array" ref="N22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GRILLE]],MAX($N$1:N228)+1)</f>
        <v/>
      </c>
    </row>
    <row r="230" spans="11:14" x14ac:dyDescent="0.3">
      <c r="K230" s="58">
        <v>22</v>
      </c>
      <c r="L230" s="39">
        <v>0</v>
      </c>
      <c r="M230" s="39">
        <v>413</v>
      </c>
      <c r="N230" s="39" t="str" cm="1">
        <f t="array" ref="N23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GRILLE]],MAX($N$1:N229)+1)</f>
        <v/>
      </c>
    </row>
    <row r="231" spans="11:14" x14ac:dyDescent="0.3">
      <c r="K231" s="58">
        <v>22</v>
      </c>
      <c r="L231" s="39">
        <v>1</v>
      </c>
      <c r="M231" s="39">
        <v>413</v>
      </c>
      <c r="N231" s="39" t="str" cm="1">
        <f t="array" ref="N23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GRILLE]],MAX($N$1:N230)+1)</f>
        <v/>
      </c>
    </row>
    <row r="232" spans="11:14" x14ac:dyDescent="0.3">
      <c r="K232" s="58">
        <v>22</v>
      </c>
      <c r="L232" s="39">
        <v>3</v>
      </c>
      <c r="M232" s="39">
        <v>413</v>
      </c>
      <c r="N232" s="39" t="str" cm="1">
        <f t="array" ref="N23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GRILLE]],MAX($N$1:N231)+1)</f>
        <v/>
      </c>
    </row>
    <row r="233" spans="11:14" x14ac:dyDescent="0.3">
      <c r="K233" s="58">
        <v>22</v>
      </c>
      <c r="L233" s="39">
        <v>6</v>
      </c>
      <c r="M233" s="39">
        <v>413</v>
      </c>
      <c r="N233" s="39" t="str" cm="1">
        <f t="array" ref="N23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GRILLE]],MAX($N$1:N232)+1)</f>
        <v/>
      </c>
    </row>
    <row r="234" spans="11:14" x14ac:dyDescent="0.3">
      <c r="K234" s="58">
        <v>22</v>
      </c>
      <c r="L234" s="39">
        <v>9</v>
      </c>
      <c r="M234" s="39">
        <v>422</v>
      </c>
      <c r="N234" s="39" t="str" cm="1">
        <f t="array" ref="N23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GRILLE]],MAX($N$1:N233)+1)</f>
        <v/>
      </c>
    </row>
    <row r="235" spans="11:14" x14ac:dyDescent="0.3">
      <c r="K235" s="58">
        <v>22</v>
      </c>
      <c r="L235" s="39">
        <v>13</v>
      </c>
      <c r="M235" s="39">
        <v>437</v>
      </c>
      <c r="N235" s="39" t="str" cm="1">
        <f t="array" ref="N23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GRILLE]],MAX($N$1:N234)+1)</f>
        <v/>
      </c>
    </row>
    <row r="236" spans="11:14" x14ac:dyDescent="0.3">
      <c r="K236" s="58">
        <v>22</v>
      </c>
      <c r="L236" s="39">
        <v>17</v>
      </c>
      <c r="M236" s="39">
        <v>460</v>
      </c>
      <c r="N236" s="39" t="str" cm="1">
        <f t="array" ref="N23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GRILLE]],MAX($N$1:N235)+1)</f>
        <v/>
      </c>
    </row>
    <row r="237" spans="11:14" x14ac:dyDescent="0.3">
      <c r="K237" s="58">
        <v>22</v>
      </c>
      <c r="L237" s="39">
        <v>21</v>
      </c>
      <c r="M237" s="39">
        <v>482</v>
      </c>
      <c r="N237" s="39" t="str" cm="1">
        <f t="array" ref="N23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GRILLE]],MAX($N$1:N236)+1)</f>
        <v/>
      </c>
    </row>
    <row r="238" spans="11:14" x14ac:dyDescent="0.3">
      <c r="K238" s="58">
        <v>22</v>
      </c>
      <c r="L238" s="40">
        <v>25</v>
      </c>
      <c r="M238" s="40">
        <v>503</v>
      </c>
      <c r="N238" s="39" t="str" cm="1">
        <f t="array" ref="N23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GRILLE]],MAX($N$1:N237)+1)</f>
        <v/>
      </c>
    </row>
    <row r="239" spans="11:14" x14ac:dyDescent="0.3">
      <c r="K239" s="58">
        <v>23</v>
      </c>
      <c r="L239" s="39">
        <v>0</v>
      </c>
      <c r="M239" s="39">
        <v>454</v>
      </c>
      <c r="N239" s="39" t="str" cm="1">
        <f t="array" ref="N23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GRILLE]],MAX($N$1:N238)+1)</f>
        <v/>
      </c>
    </row>
    <row r="240" spans="11:14" x14ac:dyDescent="0.3">
      <c r="K240" s="58">
        <v>23</v>
      </c>
      <c r="L240" s="39">
        <v>1</v>
      </c>
      <c r="M240" s="39">
        <v>467</v>
      </c>
      <c r="N240" s="39" t="str" cm="1">
        <f t="array" ref="N24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GRILLE]],MAX($N$1:N239)+1)</f>
        <v/>
      </c>
    </row>
    <row r="241" spans="11:14" x14ac:dyDescent="0.3">
      <c r="K241" s="58">
        <v>23</v>
      </c>
      <c r="L241" s="39">
        <v>3</v>
      </c>
      <c r="M241" s="39">
        <v>498</v>
      </c>
      <c r="N241" s="39" t="str" cm="1">
        <f t="array" ref="N241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GRILLE]],MAX($N$1:N240)+1)</f>
        <v/>
      </c>
    </row>
    <row r="242" spans="11:14" x14ac:dyDescent="0.3">
      <c r="K242" s="58">
        <v>23</v>
      </c>
      <c r="L242" s="39">
        <v>5</v>
      </c>
      <c r="M242" s="39">
        <v>523</v>
      </c>
      <c r="N242" s="39" t="str" cm="1">
        <f t="array" ref="N242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GRILLE]],MAX($N$1:N241)+1)</f>
        <v/>
      </c>
    </row>
    <row r="243" spans="11:14" x14ac:dyDescent="0.3">
      <c r="K243" s="58">
        <v>23</v>
      </c>
      <c r="L243" s="39">
        <v>7</v>
      </c>
      <c r="M243" s="39">
        <v>557</v>
      </c>
      <c r="N243" s="39" t="str" cm="1">
        <f t="array" ref="N243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GRILLE]],MAX($N$1:N242)+1)</f>
        <v/>
      </c>
    </row>
    <row r="244" spans="11:14" x14ac:dyDescent="0.3">
      <c r="K244" s="58">
        <v>23</v>
      </c>
      <c r="L244" s="39">
        <v>9</v>
      </c>
      <c r="M244" s="39">
        <v>590</v>
      </c>
      <c r="N244" s="39" t="str" cm="1">
        <f t="array" ref="N244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GRILLE]],MAX($N$1:N243)+1)</f>
        <v/>
      </c>
    </row>
    <row r="245" spans="11:14" x14ac:dyDescent="0.3">
      <c r="K245" s="58">
        <v>23</v>
      </c>
      <c r="L245" s="39">
        <v>11</v>
      </c>
      <c r="M245" s="39">
        <v>601</v>
      </c>
      <c r="N245" s="39" t="str" cm="1">
        <f t="array" ref="N245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GRILLE]],MAX($N$1:N244)+1)</f>
        <v/>
      </c>
    </row>
    <row r="246" spans="11:14" x14ac:dyDescent="0.3">
      <c r="K246" s="58">
        <v>23</v>
      </c>
      <c r="L246" s="39">
        <v>14</v>
      </c>
      <c r="M246" s="39">
        <v>635</v>
      </c>
      <c r="N246" s="39" t="str" cm="1">
        <f t="array" ref="N246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GRILLE]],MAX($N$1:N245)+1)</f>
        <v/>
      </c>
    </row>
    <row r="247" spans="11:14" x14ac:dyDescent="0.3">
      <c r="K247" s="58">
        <v>23</v>
      </c>
      <c r="L247" s="39">
        <v>17</v>
      </c>
      <c r="M247" s="39">
        <v>667</v>
      </c>
      <c r="N247" s="39" t="str" cm="1">
        <f t="array" ref="N247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GRILLE]],MAX($N$1:N246)+1)</f>
        <v/>
      </c>
    </row>
    <row r="248" spans="11:14" x14ac:dyDescent="0.3">
      <c r="K248" s="58">
        <v>23</v>
      </c>
      <c r="L248" s="39">
        <v>20</v>
      </c>
      <c r="M248" s="39">
        <v>669</v>
      </c>
      <c r="N248" s="39" t="str" cm="1">
        <f t="array" ref="N248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GRILLE]],MAX($N$1:N247)+1)</f>
        <v/>
      </c>
    </row>
    <row r="249" spans="11:14" x14ac:dyDescent="0.3">
      <c r="K249" s="58">
        <v>23</v>
      </c>
      <c r="L249" s="40">
        <v>24</v>
      </c>
      <c r="M249" s="40">
        <v>735</v>
      </c>
      <c r="N249" s="39" t="str" cm="1">
        <f t="array" ref="N249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GRILLE]],MAX($N$1:N248)+1)</f>
        <v/>
      </c>
    </row>
    <row r="250" spans="11:14" x14ac:dyDescent="0.3">
      <c r="K250" s="58">
        <v>23</v>
      </c>
      <c r="L250" s="40">
        <v>28</v>
      </c>
      <c r="M250" s="40">
        <v>782</v>
      </c>
      <c r="N250" s="40" t="str" cm="1">
        <f t="array" ref="N250">_xlfn.IFS(Metier=$W$1,"",INDEX(Postes[NUMERO DE GRILLE],MATCH(Metier&amp;Internat,Postes[libellé poste]&amp;Postes[INTERNAT],0),1)&lt;&gt;Grille[[#This Row],[NUMERO DE GRILLE]],"",INDEX(Postes[NUMERO DE GRILLE],MATCH(Metier&amp;Internat,Postes[libellé poste]&amp;Postes[INTERNAT],0),1)=Grille[[#This Row],[NUMERO DE GRILLE]],MAX($N$1:N249)+1)</f>
        <v/>
      </c>
    </row>
  </sheetData>
  <phoneticPr fontId="14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2953306F08EE4BB331144FB19D12A9" ma:contentTypeVersion="14" ma:contentTypeDescription="Crée un document." ma:contentTypeScope="" ma:versionID="b3f17f1bb5f54408c45009794ac449f7">
  <xsd:schema xmlns:xsd="http://www.w3.org/2001/XMLSchema" xmlns:xs="http://www.w3.org/2001/XMLSchema" xmlns:p="http://schemas.microsoft.com/office/2006/metadata/properties" xmlns:ns2="ca7d484f-fa46-4473-a38a-1cc4900ee171" xmlns:ns3="cf33fd48-6ff0-488e-ad3a-9773ec4dd56d" targetNamespace="http://schemas.microsoft.com/office/2006/metadata/properties" ma:root="true" ma:fieldsID="9d70752ec2522678ab8a7679ea66c0ec" ns2:_="" ns3:_="">
    <xsd:import namespace="ca7d484f-fa46-4473-a38a-1cc4900ee171"/>
    <xsd:import namespace="cf33fd48-6ff0-488e-ad3a-9773ec4dd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d484f-fa46-4473-a38a-1cc4900ee1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d8f9f738-371c-47c1-b639-72b3dbab7000}" ma:internalName="TaxCatchAll" ma:showField="CatchAllData" ma:web="ca7d484f-fa46-4473-a38a-1cc4900ee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3fd48-6ff0-488e-ad3a-9773ec4dd56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7df39b0-cd1e-4ff5-9bea-8463e76f44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78D4F7-16F8-4FBB-96EF-0775FC34C6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447729-A119-49AB-8EDE-A3D92A9E74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d484f-fa46-4473-a38a-1cc4900ee171"/>
    <ds:schemaRef ds:uri="cf33fd48-6ff0-488e-ad3a-9773ec4d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Reconstitution</vt:lpstr>
      <vt:lpstr>Tables</vt:lpstr>
      <vt:lpstr>AN</vt:lpstr>
      <vt:lpstr>Astreinte_mensualisee</vt:lpstr>
      <vt:lpstr>Base_brute</vt:lpstr>
      <vt:lpstr>Coefficient_calculé_avec_l_ancienneté</vt:lpstr>
      <vt:lpstr>Internat</vt:lpstr>
      <vt:lpstr>ISCONV</vt:lpstr>
      <vt:lpstr>ISP_SG</vt:lpstr>
      <vt:lpstr>ISSP_NON_CADRE</vt:lpstr>
      <vt:lpstr>ISSUPL</vt:lpstr>
      <vt:lpstr>Metier</vt:lpstr>
      <vt:lpstr>Montant_Prime_CER_CEF</vt:lpstr>
      <vt:lpstr>prime_CEF_CER</vt:lpstr>
      <vt:lpstr>RP_COMP_Nuit</vt:lpstr>
      <vt:lpstr>Tableau_remuneration</vt:lpstr>
      <vt:lpstr>Taux_ISSP</vt:lpstr>
      <vt:lpstr>Taux_Repos_compensateur_SDN</vt:lpstr>
      <vt:lpstr>Temps_travail_hebdo</vt:lpstr>
      <vt:lpstr>Valeur_du_Point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BAYLE</dc:creator>
  <cp:lastModifiedBy>frédéric WILHELM</cp:lastModifiedBy>
  <cp:lastPrinted>2022-06-15T09:18:26Z</cp:lastPrinted>
  <dcterms:created xsi:type="dcterms:W3CDTF">2014-08-22T09:04:29Z</dcterms:created>
  <dcterms:modified xsi:type="dcterms:W3CDTF">2023-11-02T16:40:18Z</dcterms:modified>
</cp:coreProperties>
</file>