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mptable\Desktop\DOSSIER REMPLACEMENT\"/>
    </mc:Choice>
  </mc:AlternateContent>
  <bookViews>
    <workbookView xWindow="-120" yWindow="-120" windowWidth="29040" windowHeight="17640" tabRatio="686" activeTab="12"/>
  </bookViews>
  <sheets>
    <sheet name="Janvier" sheetId="4" r:id="rId1"/>
    <sheet name="Février" sheetId="5" r:id="rId2"/>
    <sheet name="Mai" sheetId="19" r:id="rId3"/>
    <sheet name="Mars" sheetId="17" r:id="rId4"/>
    <sheet name="Avril" sheetId="18"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stagiaires" sheetId="16" r:id="rId13"/>
  </sheets>
  <definedNames>
    <definedName name="AnnéeCalendrier">Janvier!$AH$4</definedName>
    <definedName name="CléMaladie">Janvier!$J$2</definedName>
    <definedName name="CléPersonnalisée1">Janvier!$M$2</definedName>
    <definedName name="CléPersonnalisée2">Janvier!$R$2</definedName>
    <definedName name="CléPersonnel">Janvier!$F$2</definedName>
    <definedName name="CléPrésence" comment="Présence">Janvier!$C$2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_xlnm.Print_Titles" localSheetId="7">Août!$4:$6</definedName>
    <definedName name="_xlnm.Print_Titles" localSheetId="4">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2">Mai!$4:$6</definedName>
    <definedName name="_xlnm.Print_Titles" localSheetId="3">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4">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2">Mai!$B$4</definedName>
    <definedName name="NomMois" localSheetId="3">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du stagiaire ]]</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NomStagiaires[[#Headers],[Noms des stagiaires]]</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G4" i="16" l="1"/>
  <c r="G5" i="16"/>
  <c r="G6" i="16"/>
  <c r="G7" i="16"/>
  <c r="G8" i="16"/>
  <c r="AI11" i="4"/>
  <c r="AI10" i="4"/>
  <c r="AI9" i="4"/>
  <c r="AI8" i="4"/>
  <c r="AH8" i="4"/>
  <c r="AH9" i="4"/>
  <c r="AH10" i="4"/>
  <c r="AH11" i="4"/>
  <c r="AI7" i="4"/>
  <c r="AI12" i="4" l="1"/>
  <c r="AE5" i="5" l="1"/>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7" i="25" l="1"/>
  <c r="AH8" i="25"/>
  <c r="AH9" i="25"/>
  <c r="AH10" i="25"/>
  <c r="AH11" i="25"/>
  <c r="AH7" i="23"/>
  <c r="AH8" i="23"/>
  <c r="AH9" i="23"/>
  <c r="AH10" i="23"/>
  <c r="AH11" i="23"/>
  <c r="AH7" i="20"/>
  <c r="AH8" i="20"/>
  <c r="AH9" i="20"/>
  <c r="AH10" i="20"/>
  <c r="AH11" i="20"/>
  <c r="AH7" i="18"/>
  <c r="AH8" i="18"/>
  <c r="AH9" i="18"/>
  <c r="AH10" i="18"/>
  <c r="AH11" i="18"/>
  <c r="AD12" i="15"/>
  <c r="AE12" i="15"/>
  <c r="AF12" i="15"/>
  <c r="AG12" i="15"/>
  <c r="AE12" i="25"/>
  <c r="AF12" i="25"/>
  <c r="AG12" i="25"/>
  <c r="AE12" i="24"/>
  <c r="AF12" i="24"/>
  <c r="AG12" i="24"/>
  <c r="AE12" i="23"/>
  <c r="AF12" i="23"/>
  <c r="AG12" i="23"/>
  <c r="AF12" i="22"/>
  <c r="AG12" i="22"/>
  <c r="AF12" i="21"/>
  <c r="AG12" i="21"/>
  <c r="AF12" i="20"/>
  <c r="AG12" i="20"/>
  <c r="AF12" i="19"/>
  <c r="AG12" i="19"/>
  <c r="AG12" i="18"/>
  <c r="AF12" i="18"/>
  <c r="AF12" i="17"/>
  <c r="AG12" i="17"/>
  <c r="B12" i="23" l="1"/>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4" i="25"/>
  <c r="B1" i="25"/>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11" i="24"/>
  <c r="AH10" i="24"/>
  <c r="AH9" i="24"/>
  <c r="AH8" i="24"/>
  <c r="AH7" i="24"/>
  <c r="AH4" i="24"/>
  <c r="B1" i="24"/>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H4" i="23"/>
  <c r="B1" i="23"/>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11" i="22"/>
  <c r="AH10" i="22"/>
  <c r="AH9" i="22"/>
  <c r="AH8" i="22"/>
  <c r="AH7" i="22"/>
  <c r="AH4" i="22"/>
  <c r="B1" i="22"/>
  <c r="AE12" i="21"/>
  <c r="AD12" i="21"/>
  <c r="AC12" i="21"/>
  <c r="AB12" i="21"/>
  <c r="AA12" i="21"/>
  <c r="Z12" i="21"/>
  <c r="Y12" i="21"/>
  <c r="X12" i="21"/>
  <c r="W12" i="21"/>
  <c r="V12" i="21"/>
  <c r="U12" i="21"/>
  <c r="T12" i="21"/>
  <c r="S12" i="21"/>
  <c r="R12" i="21"/>
  <c r="Q12" i="21"/>
  <c r="P12" i="21"/>
  <c r="O12" i="21"/>
  <c r="N12" i="21"/>
  <c r="M12" i="21"/>
  <c r="L12" i="21"/>
  <c r="K12" i="21"/>
  <c r="J12" i="21"/>
  <c r="I12" i="21"/>
  <c r="H12" i="21"/>
  <c r="G12" i="21"/>
  <c r="F12" i="21"/>
  <c r="E12" i="21"/>
  <c r="D12" i="21"/>
  <c r="C12" i="21"/>
  <c r="B12" i="21"/>
  <c r="AH11" i="21"/>
  <c r="AH10" i="21"/>
  <c r="AH9" i="21"/>
  <c r="AH8" i="21"/>
  <c r="AH7" i="21"/>
  <c r="AH4" i="21"/>
  <c r="B1" i="21"/>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B12" i="20"/>
  <c r="AH4" i="20"/>
  <c r="B1" i="20"/>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11" i="19"/>
  <c r="AH10" i="19"/>
  <c r="AH9" i="19"/>
  <c r="AH8" i="19"/>
  <c r="AH7" i="19"/>
  <c r="AH4" i="19"/>
  <c r="B1" i="19"/>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2" i="18"/>
  <c r="AH4" i="18"/>
  <c r="B1" i="18"/>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11" i="17"/>
  <c r="AH10" i="17"/>
  <c r="AH9" i="17"/>
  <c r="AH8" i="17"/>
  <c r="AH7" i="17"/>
  <c r="AH4" i="17"/>
  <c r="B1" i="17"/>
  <c r="B1" i="15"/>
  <c r="B1" i="5"/>
  <c r="AH12" i="17" l="1"/>
  <c r="AH12" i="21"/>
  <c r="AH12" i="22"/>
  <c r="AH12" i="25"/>
  <c r="AH12" i="20"/>
  <c r="AH12" i="19"/>
  <c r="AH12" i="24"/>
  <c r="AH4" i="15" l="1"/>
  <c r="C12" i="4" l="1"/>
  <c r="D12" i="4"/>
  <c r="E12" i="4"/>
  <c r="F12" i="4"/>
  <c r="G12" i="4"/>
  <c r="H12" i="4"/>
  <c r="I12" i="4"/>
  <c r="J12" i="4"/>
  <c r="K12" i="4"/>
  <c r="L12" i="4"/>
  <c r="M12" i="4"/>
  <c r="N12" i="4"/>
  <c r="O12" i="4"/>
  <c r="P12" i="4"/>
  <c r="Q12" i="4"/>
  <c r="R12" i="4"/>
  <c r="S12" i="4"/>
  <c r="T12" i="4"/>
  <c r="U12" i="4"/>
  <c r="V12" i="4"/>
  <c r="W12" i="4"/>
  <c r="X12" i="4"/>
  <c r="Y12" i="4"/>
  <c r="Z12" i="4"/>
  <c r="AA12" i="4"/>
  <c r="AB12" i="4"/>
  <c r="AC12" i="4"/>
  <c r="AD12" i="4"/>
  <c r="AE12" i="4"/>
  <c r="AF12" i="4"/>
  <c r="AG12" i="4"/>
  <c r="AH7" i="15" l="1"/>
  <c r="AH8" i="15"/>
  <c r="AH9" i="15"/>
  <c r="AH10" i="15"/>
  <c r="AH11" i="15"/>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B12" i="15" l="1"/>
  <c r="B12" i="5"/>
  <c r="B12" i="4"/>
  <c r="AH11" i="5" l="1"/>
  <c r="AH10" i="5"/>
  <c r="AH9" i="5"/>
  <c r="AE12" i="5"/>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AH8" i="5"/>
  <c r="AH7" i="5"/>
  <c r="AH12" i="5" l="1"/>
  <c r="AH12" i="4" l="1"/>
</calcChain>
</file>

<file path=xl/sharedStrings.xml><?xml version="1.0" encoding="utf-8"?>
<sst xmlns="http://schemas.openxmlformats.org/spreadsheetml/2006/main" count="603" uniqueCount="74">
  <si>
    <t>Janvier</t>
  </si>
  <si>
    <t>Nom de l’employé</t>
  </si>
  <si>
    <t>1</t>
  </si>
  <si>
    <t>2</t>
  </si>
  <si>
    <t>3</t>
  </si>
  <si>
    <t>P</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</si>
  <si>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</si>
  <si>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</si>
  <si>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</si>
  <si>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</si>
  <si>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</si>
  <si>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</si>
  <si>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</si>
  <si>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</si>
  <si>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</si>
  <si>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</si>
  <si>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</si>
  <si>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</si>
  <si>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</si>
  <si>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</si>
  <si>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</si>
  <si>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</si>
  <si>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</si>
  <si>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</si>
  <si>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</si>
  <si>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</si>
  <si>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</si>
  <si>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</si>
  <si>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</si>
  <si>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</si>
  <si>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</si>
  <si>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</si>
  <si>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</si>
  <si>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</si>
  <si>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</si>
  <si>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</si>
  <si>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</si>
  <si>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</si>
  <si>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</si>
  <si>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</si>
  <si>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</si>
  <si>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</si>
  <si>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</si>
  <si>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</si>
  <si>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</si>
  <si>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</si>
  <si>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</si>
  <si>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</si>
  <si>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</si>
  <si>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Calendrier des stagiaires - ESAT JACQUEMART</t>
  </si>
  <si>
    <t>Présent</t>
  </si>
  <si>
    <t>ABS</t>
  </si>
  <si>
    <t xml:space="preserve">Nom du stagiaire </t>
  </si>
  <si>
    <t>Noms des stagiaires</t>
  </si>
  <si>
    <t>Stagiaire 2</t>
  </si>
  <si>
    <t>Stagiaire 3</t>
  </si>
  <si>
    <t>Stagiaire 4</t>
  </si>
  <si>
    <t>Stagiaire 5</t>
  </si>
  <si>
    <t>Dates de présence</t>
  </si>
  <si>
    <t>Clé de motif de présence</t>
  </si>
  <si>
    <t>Stagiaire 1</t>
  </si>
  <si>
    <t>Début de Stage</t>
  </si>
  <si>
    <t>Fin de Stage</t>
  </si>
  <si>
    <t>Adresse Facturation</t>
  </si>
  <si>
    <t>Atelier</t>
  </si>
  <si>
    <t>Période de facturation</t>
  </si>
  <si>
    <t>PR</t>
  </si>
  <si>
    <t>Présence + Repas</t>
  </si>
  <si>
    <t>Absence</t>
  </si>
  <si>
    <t xml:space="preserve">PR </t>
  </si>
  <si>
    <t>Total  Jours P</t>
  </si>
  <si>
    <t>Total Jours PR</t>
  </si>
  <si>
    <t>Total Présence Repas sur l'année</t>
  </si>
  <si>
    <t>Dupont Albert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</si>
</sst>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 numFmtId="167" formatCode="[$-40C]mmm\-yy;@"/>
  </numFmts>
  <fonts count="20"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1"/>
      <name val="Calibri"/>
      <scheme val="minor"/>
    </font>
  </fonts>
  <fills count="3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42">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7" fillId="0" borderId="0" xfId="27" applyProtection="1">
      <alignment horizontal="center"/>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0" fillId="2" borderId="0" xfId="21" applyFont="1" applyBorder="1" applyAlignment="1" applyProtection="1">
      <alignment horizontal="left" vertical="center" indent="1"/>
    </xf>
    <xf numFmtId="0" fontId="0" fillId="0" borderId="0" xfId="26" applyFont="1" applyFill="1" applyBorder="1">
      <alignment horizontal="left" vertical="center" wrapText="1" indent="2"/>
    </xf>
    <xf numFmtId="0" fontId="0" fillId="0" borderId="0" xfId="26" applyFont="1">
      <alignment horizontal="left" vertical="center" wrapText="1" indent="2"/>
    </xf>
    <xf numFmtId="0" fontId="5" fillId="2" borderId="0" xfId="3" applyProtection="1">
      <alignment horizontal="center" vertical="center"/>
    </xf>
    <xf numFmtId="0" fontId="1" fillId="0" borderId="0" xfId="26">
      <alignment horizontal="left" vertical="center" wrapText="1" indent="2"/>
    </xf>
    <xf numFmtId="0" fontId="0" fillId="0" borderId="0" xfId="26" applyFont="1" applyAlignment="1">
      <alignment horizontal="center" vertical="center" wrapText="1"/>
    </xf>
    <xf numFmtId="0" fontId="0" fillId="0" borderId="0" xfId="0" applyAlignment="1">
      <alignment horizontal="center" vertical="center"/>
    </xf>
    <xf numFmtId="167" fontId="0" fillId="0" borderId="0" xfId="26" applyNumberFormat="1" applyFont="1" applyAlignment="1">
      <alignment horizontal="center" vertical="center" wrapText="1"/>
    </xf>
    <xf numFmtId="167" fontId="1" fillId="0" borderId="0" xfId="26" applyNumberFormat="1">
      <alignment horizontal="left" vertical="center" wrapText="1" indent="2"/>
    </xf>
    <xf numFmtId="14" fontId="0" fillId="0" borderId="0" xfId="26" applyNumberFormat="1" applyFont="1" applyAlignment="1">
      <alignment horizontal="center" vertical="center" wrapText="1"/>
    </xf>
    <xf numFmtId="49" fontId="0" fillId="0" borderId="0" xfId="26" applyNumberFormat="1" applyFont="1" applyAlignment="1">
      <alignment horizontal="center" vertical="center" wrapText="1"/>
    </xf>
    <xf numFmtId="0" fontId="1" fillId="0" borderId="0" xfId="26" applyAlignment="1">
      <alignment horizontal="left" vertical="center" wrapText="1"/>
    </xf>
    <xf numFmtId="0" fontId="0" fillId="2" borderId="0" xfId="21" applyFont="1" applyBorder="1" applyAlignment="1" applyProtection="1">
      <alignment horizontal="center" vertical="center"/>
    </xf>
    <xf numFmtId="0" fontId="5" fillId="2" borderId="0" xfId="3" applyProtection="1">
      <alignment horizontal="center" vertical="center"/>
    </xf>
    <xf numFmtId="0" fontId="0" fillId="2" borderId="0" xfId="21" applyFont="1" applyAlignment="1" applyProtection="1">
      <alignment horizontal="left" vertical="center"/>
    </xf>
    <xf numFmtId="0" fontId="1" fillId="2" borderId="0" xfId="21" applyAlignment="1" applyProtection="1">
      <alignment horizontal="left" vertical="center"/>
    </xf>
    <xf numFmtId="0" fontId="19" fillId="0" borderId="0" xfId="0" applyFont="1" applyFill="1" applyBorder="1" applyAlignment="1" applyProtection="1">
      <alignment horizontal="left" vertical="center" indent="1"/>
    </xf>
    <xf numFmtId="166" fontId="19" fillId="0" borderId="0" xfId="0" applyNumberFormat="1" applyFont="1" applyFill="1" applyBorder="1" applyAlignment="1" applyProtection="1">
      <alignment horizontal="center" vertical="center"/>
    </xf>
    <xf numFmtId="0" fontId="0" fillId="0" borderId="0" xfId="0" applyAlignment="1">
      <alignment horizontal="center" vertical="center" wrapText="1"/>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12">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167" formatCode="[$-40C]mmm\-yy;@"/>
    </dxf>
    <dxf>
      <numFmt numFmtId="1" formatCode="0"/>
      <protection locked="1" hidden="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numFmt numFmtId="0" formatCode="General"/>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alignment vertical="center" textRotation="0" wrapText="1" indent="0" justifyLastLine="0" shrinkToFit="0" readingOrder="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911"/>
      <tableStyleElement type="headerRow" dxfId="910"/>
      <tableStyleElement type="totalRow" dxfId="909"/>
      <tableStyleElement type="firstColumn" dxfId="908"/>
      <tableStyleElement type="lastColumn" dxfId="907"/>
      <tableStyleElement type="firstRowStripe" dxfId="906"/>
      <tableStyleElement type="secondRowStripe" dxfId="905"/>
      <tableStyleElement type="firstColumnStripe" dxfId="904"/>
      <tableStyleElement type="secondColumnStripe" dxfId="903"/>
      <tableStyleElement type="firstHeaderCell" dxfId="902"/>
      <tableStyleElement type="lastHeaderCell" dxfId="901"/>
      <tableStyleElement type="firstTotalCell" dxfId="900"/>
      <tableStyleElement type="lastTotalCell" dxfId="89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id="3" name="Janvier" displayName="Janvier" ref="B6:AH12" totalsRowCount="1" headerRowDxfId="893" dataDxfId="892" totalsRowDxfId="891">
  <autoFilter ref="B6:AH11">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name="Nom du stagiaire " totalsRowFunction="custom" dataDxfId="890" totalsRowDxfId="131" dataCellStyle="Employé">
      <totalsRowFormula>NomMois&amp;" Total"</totalsRowFormula>
    </tableColumn>
    <tableColumn id="2" name="1" totalsRowFunction="custom" dataDxfId="889" totalsRowDxfId="130">
      <totalsRowFormula>SUBTOTAL(103,Janvier!$C$7:$C$11)</totalsRowFormula>
    </tableColumn>
    <tableColumn id="3" name="2" totalsRowFunction="custom" dataDxfId="888" totalsRowDxfId="129">
      <totalsRowFormula>SUBTOTAL(103,Janvier!$D$7:$D$11)</totalsRowFormula>
    </tableColumn>
    <tableColumn id="4" name="3" totalsRowFunction="custom" dataDxfId="887" totalsRowDxfId="128">
      <totalsRowFormula>SUBTOTAL(103,Janvier!$E$7:$E$11)</totalsRowFormula>
    </tableColumn>
    <tableColumn id="5" name="4" totalsRowFunction="custom" dataDxfId="886" totalsRowDxfId="127">
      <totalsRowFormula>SUBTOTAL(103,Janvier!$F$7:$F$11)</totalsRowFormula>
    </tableColumn>
    <tableColumn id="6" name="5" totalsRowFunction="custom" totalsRowDxfId="126">
      <totalsRowFormula>SUBTOTAL(103,Janvier!$G$7:$G$11)</totalsRowFormula>
    </tableColumn>
    <tableColumn id="7" name="6" totalsRowFunction="custom" dataDxfId="885" totalsRowDxfId="125">
      <totalsRowFormula>SUBTOTAL(103,Janvier!$H$7:$H$11)</totalsRowFormula>
    </tableColumn>
    <tableColumn id="8" name="7" totalsRowFunction="custom" dataDxfId="884" totalsRowDxfId="124">
      <totalsRowFormula>SUBTOTAL(103,Janvier!$I$7:$I$11)</totalsRowFormula>
    </tableColumn>
    <tableColumn id="9" name="8" totalsRowFunction="custom" dataDxfId="883" totalsRowDxfId="123">
      <totalsRowFormula>SUBTOTAL(103,Janvier!$J$7:$J$11)</totalsRowFormula>
    </tableColumn>
    <tableColumn id="10" name="9" totalsRowFunction="custom" dataDxfId="882" totalsRowDxfId="122">
      <totalsRowFormula>SUBTOTAL(103,Janvier!$K$7:$K$11)</totalsRowFormula>
    </tableColumn>
    <tableColumn id="11" name="10" totalsRowFunction="custom" dataDxfId="881" totalsRowDxfId="121">
      <totalsRowFormula>SUBTOTAL(103,Janvier!$L$7:$L$11)</totalsRowFormula>
    </tableColumn>
    <tableColumn id="12" name="11" totalsRowFunction="custom" dataDxfId="880" totalsRowDxfId="120">
      <totalsRowFormula>SUBTOTAL(103,Janvier!$M$7:$M$11)</totalsRowFormula>
    </tableColumn>
    <tableColumn id="13" name="12" totalsRowFunction="custom" dataDxfId="879" totalsRowDxfId="119">
      <totalsRowFormula>SUBTOTAL(103,Janvier!$N$7:$N$11)</totalsRowFormula>
    </tableColumn>
    <tableColumn id="14" name="13" totalsRowFunction="custom" dataDxfId="878" totalsRowDxfId="118">
      <totalsRowFormula>SUBTOTAL(103,Janvier!$O$7:$O$11)</totalsRowFormula>
    </tableColumn>
    <tableColumn id="15" name="14" totalsRowFunction="custom" dataDxfId="877" totalsRowDxfId="117">
      <totalsRowFormula>SUBTOTAL(103,Janvier!$P$7:$P$11)</totalsRowFormula>
    </tableColumn>
    <tableColumn id="16" name="15" totalsRowFunction="custom" dataDxfId="876" totalsRowDxfId="116">
      <totalsRowFormula>SUBTOTAL(103,Janvier!$Q$7:$Q$11)</totalsRowFormula>
    </tableColumn>
    <tableColumn id="17" name="16" totalsRowFunction="custom" dataDxfId="875" totalsRowDxfId="115">
      <totalsRowFormula>SUBTOTAL(103,Janvier!$R$7:$R$11)</totalsRowFormula>
    </tableColumn>
    <tableColumn id="18" name="17" totalsRowFunction="custom" dataDxfId="874" totalsRowDxfId="114">
      <totalsRowFormula>SUBTOTAL(103,Janvier!$S$7:$S$11)</totalsRowFormula>
    </tableColumn>
    <tableColumn id="19" name="18" totalsRowFunction="custom" dataDxfId="873" totalsRowDxfId="113">
      <totalsRowFormula>SUBTOTAL(103,Janvier!$T$7:$T$11)</totalsRowFormula>
    </tableColumn>
    <tableColumn id="20" name="19" totalsRowFunction="custom" dataDxfId="872" totalsRowDxfId="112">
      <totalsRowFormula>SUBTOTAL(103,Janvier!$U$7:$U$11)</totalsRowFormula>
    </tableColumn>
    <tableColumn id="21" name="20" totalsRowFunction="custom" dataDxfId="871" totalsRowDxfId="111">
      <totalsRowFormula>SUBTOTAL(103,Janvier!$V$7:$V$11)</totalsRowFormula>
    </tableColumn>
    <tableColumn id="22" name="21" totalsRowFunction="custom" dataDxfId="870" totalsRowDxfId="110">
      <totalsRowFormula>SUBTOTAL(103,Janvier!$W$7:$W$11)</totalsRowFormula>
    </tableColumn>
    <tableColumn id="23" name="22" totalsRowFunction="custom" dataDxfId="869" totalsRowDxfId="109">
      <totalsRowFormula>SUBTOTAL(103,Janvier!$X$7:$X$11)</totalsRowFormula>
    </tableColumn>
    <tableColumn id="24" name="23" totalsRowFunction="custom" dataDxfId="868" totalsRowDxfId="108">
      <totalsRowFormula>SUBTOTAL(103,Janvier!$Y$7:$Y$11)</totalsRowFormula>
    </tableColumn>
    <tableColumn id="25" name="24" totalsRowFunction="custom" dataDxfId="867" totalsRowDxfId="107">
      <totalsRowFormula>SUBTOTAL(103,Janvier!$Z$7:$Z$11)</totalsRowFormula>
    </tableColumn>
    <tableColumn id="26" name="25" totalsRowFunction="custom" dataDxfId="866" totalsRowDxfId="106">
      <totalsRowFormula>SUBTOTAL(103,Janvier!$AA$7:$AA$11)</totalsRowFormula>
    </tableColumn>
    <tableColumn id="27" name="26" totalsRowFunction="custom" dataDxfId="865" totalsRowDxfId="105">
      <totalsRowFormula>SUBTOTAL(103,Janvier!$AB$7:$AB$11)</totalsRowFormula>
    </tableColumn>
    <tableColumn id="28" name="27" totalsRowFunction="custom" dataDxfId="864" totalsRowDxfId="104">
      <totalsRowFormula>SUBTOTAL(103,Janvier!$AC$7:$AC$11)</totalsRowFormula>
    </tableColumn>
    <tableColumn id="29" name="28" totalsRowFunction="custom" dataDxfId="863" totalsRowDxfId="103">
      <totalsRowFormula>SUBTOTAL(103,Janvier!$AD$7:$AD$11)</totalsRowFormula>
    </tableColumn>
    <tableColumn id="30" name="29" totalsRowFunction="custom" dataDxfId="862" totalsRowDxfId="102">
      <totalsRowFormula>SUBTOTAL(103,Janvier!$AE$7:$AE$11)</totalsRowFormula>
    </tableColumn>
    <tableColumn id="31" name="30" totalsRowFunction="custom" dataDxfId="861" totalsRowDxfId="101">
      <totalsRowFormula>SUBTOTAL(103,Janvier!$AF$7:$AF$11)</totalsRowFormula>
    </tableColumn>
    <tableColumn id="32" name="31" totalsRowFunction="custom" dataDxfId="860" totalsRowDxfId="100">
      <totalsRowFormula>SUBTOTAL(103,Janvier!$AG$7:$AG$11)</totalsRowFormula>
    </tableColumn>
    <tableColumn id="33" name="Total  Jours P" totalsRowFunction="sum" dataDxfId="133" totalsRowDxfId="99">
      <calculatedColumnFormula>COUNTIF(Janvier[[#This Row],[1]:[31]],"P;PR")</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6:AH12" totalsRowCount="1" headerRowDxfId="852" dataDxfId="851" totalsRowDxfId="850">
  <tableColumns count="33">
    <tableColumn id="1" name="Nom de l’employé" totalsRowFunction="custom" dataDxfId="849" totalsRowDxfId="848" dataCellStyle="Employé">
      <totalsRowFormula>NomMois&amp;" Total"</totalsRowFormula>
    </tableColumn>
    <tableColumn id="2" name="1" totalsRowFunction="count" dataDxfId="847" totalsRowDxfId="846"/>
    <tableColumn id="3" name="2" totalsRowFunction="count" dataDxfId="845" totalsRowDxfId="844"/>
    <tableColumn id="4" name="3" totalsRowFunction="count" dataDxfId="843" totalsRowDxfId="842"/>
    <tableColumn id="5" name="4" totalsRowFunction="count" dataDxfId="841" totalsRowDxfId="840"/>
    <tableColumn id="6" name="5" totalsRowFunction="count" dataDxfId="839" totalsRowDxfId="838"/>
    <tableColumn id="7" name="6" totalsRowFunction="count" dataDxfId="837" totalsRowDxfId="836"/>
    <tableColumn id="8" name="7" totalsRowFunction="count" dataDxfId="835" totalsRowDxfId="834"/>
    <tableColumn id="9" name="8" totalsRowFunction="count" dataDxfId="833" totalsRowDxfId="832"/>
    <tableColumn id="10" name="9" totalsRowFunction="count" dataDxfId="831" totalsRowDxfId="830"/>
    <tableColumn id="11" name="10" totalsRowFunction="count" dataDxfId="829" totalsRowDxfId="828"/>
    <tableColumn id="12" name="11" totalsRowFunction="count" dataDxfId="827" totalsRowDxfId="826"/>
    <tableColumn id="13" name="12" totalsRowFunction="count" dataDxfId="825" totalsRowDxfId="824"/>
    <tableColumn id="14" name="13" totalsRowFunction="count" dataDxfId="823" totalsRowDxfId="822"/>
    <tableColumn id="15" name="14" totalsRowFunction="count" dataDxfId="821" totalsRowDxfId="820"/>
    <tableColumn id="16" name="15" totalsRowFunction="count" dataDxfId="819" totalsRowDxfId="818"/>
    <tableColumn id="17" name="16" totalsRowFunction="count" dataDxfId="817" totalsRowDxfId="816"/>
    <tableColumn id="18" name="17" totalsRowFunction="count" dataDxfId="815" totalsRowDxfId="814"/>
    <tableColumn id="19" name="18" totalsRowFunction="count" dataDxfId="813" totalsRowDxfId="812"/>
    <tableColumn id="20" name="19" totalsRowFunction="count" dataDxfId="811" totalsRowDxfId="810"/>
    <tableColumn id="21" name="20" totalsRowFunction="count" dataDxfId="809" totalsRowDxfId="808"/>
    <tableColumn id="22" name="21" totalsRowFunction="count" dataDxfId="807" totalsRowDxfId="806"/>
    <tableColumn id="23" name="22" totalsRowFunction="count" dataDxfId="805" totalsRowDxfId="804"/>
    <tableColumn id="24" name="23" totalsRowFunction="count" dataDxfId="803" totalsRowDxfId="802"/>
    <tableColumn id="25" name="24" totalsRowFunction="count" dataDxfId="801" totalsRowDxfId="800"/>
    <tableColumn id="26" name="25" totalsRowFunction="count" dataDxfId="799" totalsRowDxfId="798"/>
    <tableColumn id="27" name="26" totalsRowFunction="count" dataDxfId="797" totalsRowDxfId="796"/>
    <tableColumn id="28" name="27" totalsRowFunction="count" dataDxfId="795" totalsRowDxfId="794"/>
    <tableColumn id="29" name="28" totalsRowFunction="count" dataDxfId="793" totalsRowDxfId="792"/>
    <tableColumn id="30" name="29" totalsRowFunction="count" dataDxfId="791" totalsRowDxfId="790"/>
    <tableColumn id="31" name=" " dataDxfId="789" totalsRowDxfId="788"/>
    <tableColumn id="32" name="  " dataDxfId="787" totalsRowDxfId="786"/>
    <tableColumn id="33" name="Total des jours" totalsRowFunction="sum" dataDxfId="785" totalsRowDxfId="784">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6" name="Mai" displayName="Mai" ref="B6:AH12" totalsRowCount="1" headerRowDxfId="630" dataDxfId="629" totalsRowDxfId="628">
  <tableColumns count="33">
    <tableColumn id="1" name="Nom de l’employé" totalsRowFunction="custom" dataDxfId="627" totalsRowDxfId="626" dataCellStyle="Employé">
      <totalsRowFormula>NomMois&amp;" Total"</totalsRowFormula>
    </tableColumn>
    <tableColumn id="2" name="1" totalsRowFunction="count" dataDxfId="625" totalsRowDxfId="624"/>
    <tableColumn id="3" name="2" totalsRowFunction="count" dataDxfId="623" totalsRowDxfId="622"/>
    <tableColumn id="4" name="3" totalsRowFunction="count" dataDxfId="621" totalsRowDxfId="620"/>
    <tableColumn id="5" name="4" totalsRowFunction="count" dataDxfId="619" totalsRowDxfId="618"/>
    <tableColumn id="6" name="5" totalsRowFunction="count" dataDxfId="617" totalsRowDxfId="616"/>
    <tableColumn id="7" name="6" totalsRowFunction="count" dataDxfId="615" totalsRowDxfId="614"/>
    <tableColumn id="8" name="7" totalsRowFunction="count" dataDxfId="613" totalsRowDxfId="612"/>
    <tableColumn id="9" name="8" totalsRowFunction="count" dataDxfId="611" totalsRowDxfId="610"/>
    <tableColumn id="10" name="9" totalsRowFunction="count" dataDxfId="609" totalsRowDxfId="608"/>
    <tableColumn id="11" name="10" totalsRowFunction="count" dataDxfId="607" totalsRowDxfId="606"/>
    <tableColumn id="12" name="11" totalsRowFunction="count" dataDxfId="605" totalsRowDxfId="604"/>
    <tableColumn id="13" name="12" totalsRowFunction="count" dataDxfId="603" totalsRowDxfId="602"/>
    <tableColumn id="14" name="13" totalsRowFunction="count" dataDxfId="601" totalsRowDxfId="600"/>
    <tableColumn id="15" name="14" totalsRowFunction="count" dataDxfId="599" totalsRowDxfId="598"/>
    <tableColumn id="16" name="15" totalsRowFunction="count" dataDxfId="597" totalsRowDxfId="596"/>
    <tableColumn id="17" name="16" totalsRowFunction="count" dataDxfId="595" totalsRowDxfId="594"/>
    <tableColumn id="18" name="17" totalsRowFunction="count" dataDxfId="593" totalsRowDxfId="592"/>
    <tableColumn id="19" name="18" totalsRowFunction="count" dataDxfId="591" totalsRowDxfId="590"/>
    <tableColumn id="20" name="19" totalsRowFunction="count" dataDxfId="589" totalsRowDxfId="588"/>
    <tableColumn id="21" name="20" totalsRowFunction="count" dataDxfId="587" totalsRowDxfId="586"/>
    <tableColumn id="22" name="21" totalsRowFunction="count" dataDxfId="585" totalsRowDxfId="584"/>
    <tableColumn id="23" name="22" totalsRowFunction="count" dataDxfId="583" totalsRowDxfId="582"/>
    <tableColumn id="24" name="23" totalsRowFunction="count" dataDxfId="581" totalsRowDxfId="580"/>
    <tableColumn id="25" name="24" totalsRowFunction="count" dataDxfId="579" totalsRowDxfId="578"/>
    <tableColumn id="26" name="25" totalsRowFunction="count" dataDxfId="577" totalsRowDxfId="576"/>
    <tableColumn id="27" name="26" totalsRowFunction="count" dataDxfId="575" totalsRowDxfId="574"/>
    <tableColumn id="28" name="27" totalsRowFunction="count" dataDxfId="573" totalsRowDxfId="572"/>
    <tableColumn id="29" name="28" totalsRowFunction="count" dataDxfId="571" totalsRowDxfId="570"/>
    <tableColumn id="30" name="29" totalsRowFunction="count" dataDxfId="569" totalsRowDxfId="568"/>
    <tableColumn id="31" name="30" totalsRowFunction="count" dataDxfId="567" totalsRowDxfId="566"/>
    <tableColumn id="32" name="31" totalsRowFunction="count" dataDxfId="565" totalsRowDxfId="564"/>
    <tableColumn id="33" name="Total des jours" totalsRowFunction="sum" dataDxfId="563" totalsRowDxfId="562">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4" name="Mars" displayName="Mars" ref="B6:AH12" totalsRowCount="1" headerRowDxfId="778" dataDxfId="777" totalsRowDxfId="776">
  <tableColumns count="33">
    <tableColumn id="1" name="Nom de l’employé" totalsRowFunction="custom" dataDxfId="775" totalsRowDxfId="774" dataCellStyle="Employé">
      <totalsRowFormula>NomMois&amp;" Total"</totalsRowFormula>
    </tableColumn>
    <tableColumn id="2" name="1" totalsRowFunction="count" dataDxfId="773" totalsRowDxfId="772"/>
    <tableColumn id="3" name="2" totalsRowFunction="count" dataDxfId="771" totalsRowDxfId="770"/>
    <tableColumn id="4" name="3" totalsRowFunction="count" dataDxfId="769" totalsRowDxfId="768"/>
    <tableColumn id="5" name="4" totalsRowFunction="count" dataDxfId="767" totalsRowDxfId="766"/>
    <tableColumn id="6" name="5" totalsRowFunction="count" dataDxfId="765" totalsRowDxfId="764"/>
    <tableColumn id="7" name="6" totalsRowFunction="count" dataDxfId="763" totalsRowDxfId="762"/>
    <tableColumn id="8" name="7" totalsRowFunction="count" dataDxfId="761" totalsRowDxfId="760"/>
    <tableColumn id="9" name="8" totalsRowFunction="count" dataDxfId="759" totalsRowDxfId="758"/>
    <tableColumn id="10" name="9" totalsRowFunction="count" dataDxfId="757" totalsRowDxfId="756"/>
    <tableColumn id="11" name="10" totalsRowFunction="count" dataDxfId="755" totalsRowDxfId="754"/>
    <tableColumn id="12" name="11" totalsRowFunction="count" dataDxfId="753" totalsRowDxfId="752"/>
    <tableColumn id="13" name="12" totalsRowFunction="count" dataDxfId="751" totalsRowDxfId="750"/>
    <tableColumn id="14" name="13" totalsRowFunction="count" dataDxfId="749" totalsRowDxfId="748"/>
    <tableColumn id="15" name="14" totalsRowFunction="count" dataDxfId="747" totalsRowDxfId="746"/>
    <tableColumn id="16" name="15" totalsRowFunction="count" dataDxfId="745" totalsRowDxfId="744"/>
    <tableColumn id="17" name="16" totalsRowFunction="count" dataDxfId="743" totalsRowDxfId="742"/>
    <tableColumn id="18" name="17" totalsRowFunction="count" dataDxfId="741" totalsRowDxfId="740"/>
    <tableColumn id="19" name="18" totalsRowFunction="count" dataDxfId="739" totalsRowDxfId="738"/>
    <tableColumn id="20" name="19" totalsRowFunction="count" dataDxfId="737" totalsRowDxfId="736"/>
    <tableColumn id="21" name="20" totalsRowFunction="count" dataDxfId="735" totalsRowDxfId="734"/>
    <tableColumn id="22" name="21" totalsRowFunction="count" dataDxfId="733" totalsRowDxfId="732"/>
    <tableColumn id="23" name="22" totalsRowFunction="count" dataDxfId="731" totalsRowDxfId="730"/>
    <tableColumn id="24" name="23" totalsRowFunction="count" dataDxfId="729" totalsRowDxfId="728"/>
    <tableColumn id="25" name="24" totalsRowFunction="count" dataDxfId="727" totalsRowDxfId="726"/>
    <tableColumn id="26" name="25" totalsRowFunction="count" dataDxfId="725" totalsRowDxfId="724"/>
    <tableColumn id="27" name="26" totalsRowFunction="count" dataDxfId="723" totalsRowDxfId="722"/>
    <tableColumn id="28" name="27" totalsRowFunction="count" dataDxfId="721" totalsRowDxfId="720"/>
    <tableColumn id="29" name="28" totalsRowFunction="count" dataDxfId="719" totalsRowDxfId="718"/>
    <tableColumn id="30" name="29" totalsRowFunction="count" dataDxfId="717" totalsRowDxfId="716"/>
    <tableColumn id="31" name="30" totalsRowFunction="count" dataDxfId="715" totalsRowDxfId="714"/>
    <tableColumn id="32" name="31" totalsRowFunction="count" dataDxfId="713" totalsRowDxfId="712"/>
    <tableColumn id="33" name="Total des jours" totalsRowFunction="sum" dataDxfId="711" totalsRowDxfId="710">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5" name="Avril" displayName="Avril" ref="B6:AH12" totalsRowCount="1" headerRowDxfId="704" dataDxfId="703" totalsRowDxfId="702">
  <tableColumns count="33">
    <tableColumn id="1" name="Nom de l’employé" totalsRowFunction="custom" dataDxfId="701" totalsRowDxfId="700" dataCellStyle="Employé">
      <totalsRowFormula>NomMois&amp;" Total"</totalsRowFormula>
    </tableColumn>
    <tableColumn id="2" name="1" totalsRowFunction="count" dataDxfId="699" totalsRowDxfId="698"/>
    <tableColumn id="3" name="2" totalsRowFunction="count" dataDxfId="697" totalsRowDxfId="696"/>
    <tableColumn id="4" name="3" totalsRowFunction="count" dataDxfId="695" totalsRowDxfId="694"/>
    <tableColumn id="5" name="4" totalsRowFunction="count" dataDxfId="693" totalsRowDxfId="692"/>
    <tableColumn id="6" name="5" totalsRowFunction="count" dataDxfId="691" totalsRowDxfId="690"/>
    <tableColumn id="7" name="6" totalsRowFunction="count" dataDxfId="689" totalsRowDxfId="688"/>
    <tableColumn id="8" name="7" totalsRowFunction="count" dataDxfId="687" totalsRowDxfId="686"/>
    <tableColumn id="9" name="8" totalsRowFunction="count" dataDxfId="685" totalsRowDxfId="684"/>
    <tableColumn id="10" name="9" totalsRowFunction="count" dataDxfId="683" totalsRowDxfId="682"/>
    <tableColumn id="11" name="10" totalsRowFunction="count" dataDxfId="681" totalsRowDxfId="680"/>
    <tableColumn id="12" name="11" totalsRowFunction="count" dataDxfId="679" totalsRowDxfId="678"/>
    <tableColumn id="13" name="12" totalsRowFunction="count" dataDxfId="677" totalsRowDxfId="676"/>
    <tableColumn id="14" name="13" totalsRowFunction="count" dataDxfId="675" totalsRowDxfId="674"/>
    <tableColumn id="15" name="14" totalsRowFunction="count" dataDxfId="673" totalsRowDxfId="672"/>
    <tableColumn id="16" name="15" totalsRowFunction="count" dataDxfId="671" totalsRowDxfId="670"/>
    <tableColumn id="17" name="16" totalsRowFunction="count" dataDxfId="669" totalsRowDxfId="668"/>
    <tableColumn id="18" name="17" totalsRowFunction="count" dataDxfId="667" totalsRowDxfId="666"/>
    <tableColumn id="19" name="18" totalsRowFunction="count" dataDxfId="665" totalsRowDxfId="664"/>
    <tableColumn id="20" name="19" totalsRowFunction="count" dataDxfId="663" totalsRowDxfId="662"/>
    <tableColumn id="21" name="20" totalsRowFunction="count" dataDxfId="661" totalsRowDxfId="660"/>
    <tableColumn id="22" name="21" totalsRowFunction="count" dataDxfId="659" totalsRowDxfId="658"/>
    <tableColumn id="23" name="22" totalsRowFunction="count" dataDxfId="657" totalsRowDxfId="656"/>
    <tableColumn id="24" name="23" totalsRowFunction="count" dataDxfId="655" totalsRowDxfId="654"/>
    <tableColumn id="25" name="24" totalsRowFunction="count" dataDxfId="653" totalsRowDxfId="652"/>
    <tableColumn id="26" name="25" totalsRowFunction="count" dataDxfId="651" totalsRowDxfId="650"/>
    <tableColumn id="27" name="26" totalsRowFunction="count" dataDxfId="649" totalsRowDxfId="648"/>
    <tableColumn id="28" name="27" totalsRowFunction="count" dataDxfId="647" totalsRowDxfId="646"/>
    <tableColumn id="29" name="28" totalsRowFunction="count" dataDxfId="645" totalsRowDxfId="644"/>
    <tableColumn id="30" name="29" totalsRowFunction="count" dataDxfId="643" totalsRowDxfId="642"/>
    <tableColumn id="31" name="30" totalsRowFunction="count" dataDxfId="641" totalsRowDxfId="640"/>
    <tableColumn id="32" name=" " totalsRowFunction="custom" dataDxfId="639" totalsRowDxfId="638">
      <totalsRowFormula>SUBTOTAL(103,Avril[30])</totalsRowFormula>
    </tableColumn>
    <tableColumn id="33" name="Total des jours" totalsRowFunction="sum" dataDxfId="637" totalsRowDxfId="636">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6:AH12" totalsRowCount="1" headerRowDxfId="556" dataDxfId="555" totalsRowDxfId="554">
  <tableColumns count="33">
    <tableColumn id="1" name="Nom de l’employé" totalsRowFunction="custom" dataDxfId="553" totalsRowDxfId="98" dataCellStyle="Employé">
      <totalsRowFormula>NomMois&amp;" Total"</totalsRowFormula>
    </tableColumn>
    <tableColumn id="2" name="1" totalsRowFunction="count" dataDxfId="552" totalsRowDxfId="97"/>
    <tableColumn id="3" name="2" totalsRowFunction="count" dataDxfId="551" totalsRowDxfId="96"/>
    <tableColumn id="4" name="3" totalsRowFunction="count" dataDxfId="550" totalsRowDxfId="95"/>
    <tableColumn id="5" name="4" totalsRowFunction="count" dataDxfId="549" totalsRowDxfId="94"/>
    <tableColumn id="6" name="5" totalsRowFunction="count" dataDxfId="548" totalsRowDxfId="93"/>
    <tableColumn id="7" name="6" totalsRowFunction="count" dataDxfId="547" totalsRowDxfId="92"/>
    <tableColumn id="8" name="7" totalsRowFunction="count" dataDxfId="546" totalsRowDxfId="91"/>
    <tableColumn id="9" name="8" totalsRowFunction="count" dataDxfId="545" totalsRowDxfId="90"/>
    <tableColumn id="10" name="9" totalsRowFunction="count" dataDxfId="544" totalsRowDxfId="89"/>
    <tableColumn id="11" name="10" totalsRowFunction="count" dataDxfId="543" totalsRowDxfId="88"/>
    <tableColumn id="12" name="11" totalsRowFunction="count" dataDxfId="542" totalsRowDxfId="87"/>
    <tableColumn id="13" name="12" totalsRowFunction="count" dataDxfId="541" totalsRowDxfId="86"/>
    <tableColumn id="14" name="13" totalsRowFunction="count" dataDxfId="540" totalsRowDxfId="85"/>
    <tableColumn id="15" name="14" totalsRowFunction="count" dataDxfId="539" totalsRowDxfId="84"/>
    <tableColumn id="16" name="15" totalsRowFunction="count" dataDxfId="538" totalsRowDxfId="83"/>
    <tableColumn id="17" name="16" totalsRowFunction="count" dataDxfId="537" totalsRowDxfId="82"/>
    <tableColumn id="18" name="17" totalsRowFunction="count" dataDxfId="536" totalsRowDxfId="81"/>
    <tableColumn id="19" name="18" totalsRowFunction="count" dataDxfId="535" totalsRowDxfId="80"/>
    <tableColumn id="20" name="19" totalsRowFunction="count" dataDxfId="534" totalsRowDxfId="79"/>
    <tableColumn id="21" name="20" totalsRowFunction="count" dataDxfId="533" totalsRowDxfId="78"/>
    <tableColumn id="22" name="21" totalsRowFunction="count" dataDxfId="532" totalsRowDxfId="77"/>
    <tableColumn id="23" name="22" totalsRowFunction="count" dataDxfId="531" totalsRowDxfId="76"/>
    <tableColumn id="24" name="23" totalsRowFunction="count" dataDxfId="530" totalsRowDxfId="75"/>
    <tableColumn id="25" name="24" totalsRowFunction="count" dataDxfId="529" totalsRowDxfId="74"/>
    <tableColumn id="26" name="25" totalsRowFunction="count" dataDxfId="528" totalsRowDxfId="73"/>
    <tableColumn id="27" name="26" totalsRowFunction="count" dataDxfId="527" totalsRowDxfId="72"/>
    <tableColumn id="28" name="27" totalsRowFunction="count" dataDxfId="526" totalsRowDxfId="71"/>
    <tableColumn id="29" name="28" totalsRowFunction="count" dataDxfId="525" totalsRowDxfId="70"/>
    <tableColumn id="30" name="29" totalsRowFunction="count" dataDxfId="524" totalsRowDxfId="69"/>
    <tableColumn id="31" name="30" totalsRowFunction="count" dataDxfId="523" totalsRowDxfId="68"/>
    <tableColumn id="32" name=" " totalsRowFunction="count" dataDxfId="522" totalsRowDxfId="67"/>
    <tableColumn id="33" name="Total des jours" totalsRowFunction="sum" dataDxfId="521" totalsRowDxfId="66">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6:AH12" totalsRowCount="1" headerRowDxfId="515" dataDxfId="514" totalsRowDxfId="513">
  <tableColumns count="33">
    <tableColumn id="1" name="Nom de l’employé" totalsRowFunction="custom" dataDxfId="512" totalsRowDxfId="511" dataCellStyle="Employé">
      <totalsRowFormula>NomMois&amp;" Total"</totalsRowFormula>
    </tableColumn>
    <tableColumn id="2" name="1" totalsRowFunction="count" dataDxfId="510" totalsRowDxfId="509"/>
    <tableColumn id="3" name="2" totalsRowFunction="count" dataDxfId="508" totalsRowDxfId="507"/>
    <tableColumn id="4" name="3" totalsRowFunction="count" dataDxfId="506" totalsRowDxfId="505"/>
    <tableColumn id="5" name="4" totalsRowFunction="count" dataDxfId="504" totalsRowDxfId="503"/>
    <tableColumn id="6" name="5" totalsRowFunction="count" dataDxfId="502" totalsRowDxfId="501"/>
    <tableColumn id="7" name="6" totalsRowFunction="count" dataDxfId="500" totalsRowDxfId="499"/>
    <tableColumn id="8" name="7" totalsRowFunction="count" dataDxfId="498" totalsRowDxfId="497"/>
    <tableColumn id="9" name="8" totalsRowFunction="count" dataDxfId="496" totalsRowDxfId="495"/>
    <tableColumn id="10" name="9" totalsRowFunction="count" dataDxfId="494" totalsRowDxfId="493"/>
    <tableColumn id="11" name="10" totalsRowFunction="count" dataDxfId="492" totalsRowDxfId="491"/>
    <tableColumn id="12" name="11" totalsRowFunction="count" dataDxfId="490" totalsRowDxfId="489"/>
    <tableColumn id="13" name="12" totalsRowFunction="count" dataDxfId="488" totalsRowDxfId="487"/>
    <tableColumn id="14" name="13" totalsRowFunction="count" dataDxfId="486" totalsRowDxfId="485"/>
    <tableColumn id="15" name="14" totalsRowFunction="count" dataDxfId="484" totalsRowDxfId="483"/>
    <tableColumn id="16" name="15" totalsRowFunction="count" dataDxfId="482" totalsRowDxfId="481"/>
    <tableColumn id="17" name="16" totalsRowFunction="count" dataDxfId="480" totalsRowDxfId="479"/>
    <tableColumn id="18" name="17" totalsRowFunction="count" dataDxfId="478" totalsRowDxfId="477"/>
    <tableColumn id="19" name="18" totalsRowFunction="count" dataDxfId="476" totalsRowDxfId="475"/>
    <tableColumn id="20" name="19" totalsRowFunction="count" dataDxfId="474" totalsRowDxfId="473"/>
    <tableColumn id="21" name="20" totalsRowFunction="count" dataDxfId="472" totalsRowDxfId="471"/>
    <tableColumn id="22" name="21" totalsRowFunction="count" dataDxfId="470" totalsRowDxfId="469"/>
    <tableColumn id="23" name="22" totalsRowFunction="count" dataDxfId="468" totalsRowDxfId="467"/>
    <tableColumn id="24" name="23" totalsRowFunction="count" dataDxfId="466" totalsRowDxfId="465"/>
    <tableColumn id="25" name="24" totalsRowFunction="count" dataDxfId="464" totalsRowDxfId="463"/>
    <tableColumn id="26" name="25" totalsRowFunction="count" dataDxfId="462" totalsRowDxfId="461"/>
    <tableColumn id="27" name="26" totalsRowFunction="count" dataDxfId="460" totalsRowDxfId="459"/>
    <tableColumn id="28" name="27" totalsRowFunction="count" dataDxfId="458" totalsRowDxfId="457"/>
    <tableColumn id="29" name="28" totalsRowFunction="count" dataDxfId="456" totalsRowDxfId="455"/>
    <tableColumn id="30" name="29" totalsRowFunction="count" dataDxfId="454" totalsRowDxfId="453"/>
    <tableColumn id="31" name="30" totalsRowFunction="count" dataDxfId="452" totalsRowDxfId="451"/>
    <tableColumn id="32" name="31" totalsRowFunction="count" dataDxfId="450" totalsRowDxfId="449"/>
    <tableColumn id="33" name="Total des jours" totalsRowFunction="sum" dataDxfId="448" totalsRowDxfId="447">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6:AH12" totalsRowCount="1" headerRowDxfId="441" dataDxfId="440" totalsRowDxfId="439">
  <tableColumns count="33">
    <tableColumn id="1" name="Nom de l’employé" totalsRowFunction="custom" dataDxfId="438" totalsRowDxfId="65" dataCellStyle="Employé">
      <totalsRowFormula>NomMois&amp;" Total"</totalsRowFormula>
    </tableColumn>
    <tableColumn id="2" name="1" totalsRowFunction="count" dataDxfId="437" totalsRowDxfId="64"/>
    <tableColumn id="3" name="2" totalsRowFunction="count" dataDxfId="436" totalsRowDxfId="63"/>
    <tableColumn id="4" name="3" totalsRowFunction="count" dataDxfId="435" totalsRowDxfId="62"/>
    <tableColumn id="5" name="4" totalsRowFunction="count" dataDxfId="434" totalsRowDxfId="61"/>
    <tableColumn id="6" name="5" totalsRowFunction="count" dataDxfId="433" totalsRowDxfId="60"/>
    <tableColumn id="7" name="6" totalsRowFunction="count" dataDxfId="432" totalsRowDxfId="59"/>
    <tableColumn id="8" name="7" totalsRowFunction="count" dataDxfId="431" totalsRowDxfId="58"/>
    <tableColumn id="9" name="8" totalsRowFunction="count" dataDxfId="430" totalsRowDxfId="57"/>
    <tableColumn id="10" name="9" totalsRowFunction="count" dataDxfId="429" totalsRowDxfId="56"/>
    <tableColumn id="11" name="10" totalsRowFunction="count" dataDxfId="428" totalsRowDxfId="55"/>
    <tableColumn id="12" name="11" totalsRowFunction="count" dataDxfId="427" totalsRowDxfId="54"/>
    <tableColumn id="13" name="12" totalsRowFunction="count" dataDxfId="426" totalsRowDxfId="53"/>
    <tableColumn id="14" name="13" totalsRowFunction="count" dataDxfId="425" totalsRowDxfId="52"/>
    <tableColumn id="15" name="14" totalsRowFunction="count" dataDxfId="424" totalsRowDxfId="51"/>
    <tableColumn id="16" name="15" totalsRowFunction="count" dataDxfId="423" totalsRowDxfId="50"/>
    <tableColumn id="17" name="16" totalsRowFunction="count" dataDxfId="422" totalsRowDxfId="49"/>
    <tableColumn id="18" name="17" totalsRowFunction="count" dataDxfId="421" totalsRowDxfId="48"/>
    <tableColumn id="19" name="18" totalsRowFunction="count" dataDxfId="420" totalsRowDxfId="47"/>
    <tableColumn id="20" name="19" totalsRowFunction="count" dataDxfId="419" totalsRowDxfId="46"/>
    <tableColumn id="21" name="20" totalsRowFunction="count" dataDxfId="418" totalsRowDxfId="45"/>
    <tableColumn id="22" name="21" totalsRowFunction="count" dataDxfId="417" totalsRowDxfId="44"/>
    <tableColumn id="23" name="22" totalsRowFunction="count" dataDxfId="416" totalsRowDxfId="43"/>
    <tableColumn id="24" name="23" totalsRowFunction="count" dataDxfId="415" totalsRowDxfId="42"/>
    <tableColumn id="25" name="24" totalsRowFunction="count" dataDxfId="414" totalsRowDxfId="41"/>
    <tableColumn id="26" name="25" totalsRowFunction="count" dataDxfId="413" totalsRowDxfId="40"/>
    <tableColumn id="27" name="26" totalsRowFunction="count" dataDxfId="412" totalsRowDxfId="39"/>
    <tableColumn id="28" name="27" totalsRowFunction="count" dataDxfId="411" totalsRowDxfId="38"/>
    <tableColumn id="29" name="28" totalsRowFunction="count" dataDxfId="410" totalsRowDxfId="37"/>
    <tableColumn id="30" name="29" totalsRowFunction="count" dataDxfId="409" totalsRowDxfId="36"/>
    <tableColumn id="31" name="30" totalsRowFunction="count" dataDxfId="408" totalsRowDxfId="35"/>
    <tableColumn id="32" name="31" totalsRowFunction="count" dataDxfId="407" totalsRowDxfId="34"/>
    <tableColumn id="33" name="Total des jours" totalsRowFunction="sum" dataDxfId="406" totalsRowDxfId="33">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6:AH12" totalsRowCount="1" headerRowDxfId="400" dataDxfId="399" totalsRowDxfId="398">
  <tableColumns count="33">
    <tableColumn id="1" name="Nom de l’employé" totalsRowFunction="custom" dataDxfId="397" totalsRowDxfId="396" dataCellStyle="Employé">
      <totalsRowFormula>NomMois&amp;" Total"</totalsRowFormula>
    </tableColumn>
    <tableColumn id="2" name="1" totalsRowFunction="count" dataDxfId="395" totalsRowDxfId="394"/>
    <tableColumn id="3" name="2" totalsRowFunction="count" dataDxfId="393" totalsRowDxfId="392"/>
    <tableColumn id="4" name="3" totalsRowFunction="count" dataDxfId="391" totalsRowDxfId="390"/>
    <tableColumn id="5" name="4" totalsRowFunction="count" dataDxfId="389" totalsRowDxfId="388"/>
    <tableColumn id="6" name="5" totalsRowFunction="count" dataDxfId="387" totalsRowDxfId="386"/>
    <tableColumn id="7" name="6" totalsRowFunction="count" dataDxfId="385" totalsRowDxfId="384"/>
    <tableColumn id="8" name="7" totalsRowFunction="count" dataDxfId="383" totalsRowDxfId="382"/>
    <tableColumn id="9" name="8" totalsRowFunction="count" dataDxfId="381" totalsRowDxfId="380"/>
    <tableColumn id="10" name="9" totalsRowFunction="count" dataDxfId="379" totalsRowDxfId="378"/>
    <tableColumn id="11" name="10" totalsRowFunction="count" dataDxfId="377" totalsRowDxfId="376"/>
    <tableColumn id="12" name="11" totalsRowFunction="count" dataDxfId="375" totalsRowDxfId="374"/>
    <tableColumn id="13" name="12" totalsRowFunction="count" dataDxfId="373" totalsRowDxfId="372"/>
    <tableColumn id="14" name="13" totalsRowFunction="count" dataDxfId="371" totalsRowDxfId="370"/>
    <tableColumn id="15" name="14" totalsRowFunction="count" dataDxfId="369" totalsRowDxfId="368"/>
    <tableColumn id="16" name="15" totalsRowFunction="count" dataDxfId="367" totalsRowDxfId="366"/>
    <tableColumn id="17" name="16" totalsRowFunction="count" dataDxfId="365" totalsRowDxfId="364"/>
    <tableColumn id="18" name="17" totalsRowFunction="count" dataDxfId="363" totalsRowDxfId="362"/>
    <tableColumn id="19" name="18" totalsRowFunction="count" dataDxfId="361" totalsRowDxfId="360"/>
    <tableColumn id="20" name="19" totalsRowFunction="count" dataDxfId="359" totalsRowDxfId="358"/>
    <tableColumn id="21" name="20" totalsRowFunction="count" dataDxfId="357" totalsRowDxfId="356"/>
    <tableColumn id="22" name="21" totalsRowFunction="count" dataDxfId="355" totalsRowDxfId="354"/>
    <tableColumn id="23" name="22" totalsRowFunction="count" dataDxfId="353" totalsRowDxfId="352"/>
    <tableColumn id="24" name="23" totalsRowFunction="count" dataDxfId="351" totalsRowDxfId="350"/>
    <tableColumn id="25" name="24" totalsRowFunction="count" dataDxfId="349" totalsRowDxfId="348"/>
    <tableColumn id="26" name="25" totalsRowFunction="count" dataDxfId="347" totalsRowDxfId="346"/>
    <tableColumn id="27" name="26" totalsRowFunction="count" dataDxfId="345" totalsRowDxfId="344"/>
    <tableColumn id="28" name="27" totalsRowFunction="count" dataDxfId="343" totalsRowDxfId="342"/>
    <tableColumn id="29" name="28" totalsRowFunction="count" dataDxfId="341" totalsRowDxfId="340"/>
    <tableColumn id="30" name="29" totalsRowFunction="count" dataDxfId="339" totalsRowDxfId="338"/>
    <tableColumn id="31" name="30" totalsRowFunction="count" dataDxfId="337" totalsRowDxfId="336"/>
    <tableColumn id="32" name=" " totalsRowFunction="count" dataDxfId="335" totalsRowDxfId="334"/>
    <tableColumn id="33" name="Total des jours" totalsRowFunction="sum" dataDxfId="333" totalsRowDxfId="332">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6:AH12" totalsRowCount="1" headerRowDxfId="326" dataDxfId="325" totalsRowDxfId="324">
  <tableColumns count="33">
    <tableColumn id="1" name="Nom de l’employé" totalsRowFunction="custom" dataDxfId="323" totalsRowDxfId="32" dataCellStyle="Employé">
      <totalsRowFormula>NomMois&amp;" Total"</totalsRowFormula>
    </tableColumn>
    <tableColumn id="2" name="1" totalsRowFunction="count" dataDxfId="322" totalsRowDxfId="31"/>
    <tableColumn id="3" name="2" totalsRowFunction="count" dataDxfId="321" totalsRowDxfId="30"/>
    <tableColumn id="4" name="3" totalsRowFunction="count" dataDxfId="320" totalsRowDxfId="29"/>
    <tableColumn id="5" name="4" totalsRowFunction="count" dataDxfId="319" totalsRowDxfId="28"/>
    <tableColumn id="6" name="5" totalsRowFunction="count" dataDxfId="318" totalsRowDxfId="27"/>
    <tableColumn id="7" name="6" totalsRowFunction="count" dataDxfId="317" totalsRowDxfId="26"/>
    <tableColumn id="8" name="7" totalsRowFunction="count" dataDxfId="316" totalsRowDxfId="25"/>
    <tableColumn id="9" name="8" totalsRowFunction="count" dataDxfId="315" totalsRowDxfId="24"/>
    <tableColumn id="10" name="9" totalsRowFunction="count" dataDxfId="314" totalsRowDxfId="23"/>
    <tableColumn id="11" name="10" totalsRowFunction="count" dataDxfId="313" totalsRowDxfId="22"/>
    <tableColumn id="12" name="11" totalsRowFunction="count" dataDxfId="312" totalsRowDxfId="21"/>
    <tableColumn id="13" name="12" totalsRowFunction="count" dataDxfId="311" totalsRowDxfId="20"/>
    <tableColumn id="14" name="13" totalsRowFunction="count" dataDxfId="310" totalsRowDxfId="19"/>
    <tableColumn id="15" name="14" totalsRowFunction="count" dataDxfId="309" totalsRowDxfId="18"/>
    <tableColumn id="16" name="15" totalsRowFunction="count" dataDxfId="308" totalsRowDxfId="17"/>
    <tableColumn id="17" name="16" totalsRowFunction="count" dataDxfId="307" totalsRowDxfId="16"/>
    <tableColumn id="18" name="17" totalsRowFunction="count" dataDxfId="306" totalsRowDxfId="15"/>
    <tableColumn id="19" name="18" totalsRowFunction="count" dataDxfId="305" totalsRowDxfId="14"/>
    <tableColumn id="20" name="19" totalsRowFunction="count" dataDxfId="304" totalsRowDxfId="13"/>
    <tableColumn id="21" name="20" totalsRowFunction="count" dataDxfId="303" totalsRowDxfId="12"/>
    <tableColumn id="22" name="21" totalsRowFunction="count" dataDxfId="302" totalsRowDxfId="11"/>
    <tableColumn id="23" name="22" totalsRowFunction="count" dataDxfId="301" totalsRowDxfId="10"/>
    <tableColumn id="24" name="23" totalsRowFunction="count" dataDxfId="300" totalsRowDxfId="9"/>
    <tableColumn id="25" name="24" totalsRowFunction="count" dataDxfId="299" totalsRowDxfId="8"/>
    <tableColumn id="26" name="25" totalsRowFunction="count" dataDxfId="298" totalsRowDxfId="7"/>
    <tableColumn id="27" name="26" totalsRowFunction="count" dataDxfId="297" totalsRowDxfId="6"/>
    <tableColumn id="28" name="27" totalsRowFunction="count" dataDxfId="296" totalsRowDxfId="5"/>
    <tableColumn id="29" name="28" totalsRowFunction="count" dataDxfId="295" totalsRowDxfId="4"/>
    <tableColumn id="30" name="29" totalsRowFunction="count" dataDxfId="294" totalsRowDxfId="3"/>
    <tableColumn id="31" name="30" totalsRowFunction="count" dataDxfId="293" totalsRowDxfId="2"/>
    <tableColumn id="32" name="31" totalsRowFunction="count" dataDxfId="292" totalsRowDxfId="1"/>
    <tableColumn id="33" name="Total des jours" totalsRowFunction="sum" dataDxfId="291" totalsRowDxfId="0">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6:AH12" totalsRowCount="1" headerRowDxfId="285" dataDxfId="284" totalsRowDxfId="283">
  <tableColumns count="33">
    <tableColumn id="1" name="Nom de l’employé" totalsRowFunction="custom" dataDxfId="282" totalsRowDxfId="281" dataCellStyle="Employé">
      <totalsRowFormula>NomMois&amp;" Total"</totalsRowFormula>
    </tableColumn>
    <tableColumn id="2" name="1" totalsRowFunction="count" dataDxfId="280" totalsRowDxfId="279"/>
    <tableColumn id="3" name="2" totalsRowFunction="count" dataDxfId="278" totalsRowDxfId="277"/>
    <tableColumn id="4" name="3" totalsRowFunction="count" dataDxfId="276" totalsRowDxfId="275"/>
    <tableColumn id="5" name="4" totalsRowFunction="count" dataDxfId="274" totalsRowDxfId="273"/>
    <tableColumn id="6" name="5" totalsRowFunction="count" dataDxfId="272" totalsRowDxfId="271"/>
    <tableColumn id="7" name="6" totalsRowFunction="count" dataDxfId="270" totalsRowDxfId="269"/>
    <tableColumn id="8" name="7" totalsRowFunction="count" dataDxfId="268" totalsRowDxfId="267"/>
    <tableColumn id="9" name="8" totalsRowFunction="count" dataDxfId="266" totalsRowDxfId="265"/>
    <tableColumn id="10" name="9" totalsRowFunction="count" dataDxfId="264" totalsRowDxfId="263"/>
    <tableColumn id="11" name="10" totalsRowFunction="count" dataDxfId="262" totalsRowDxfId="261"/>
    <tableColumn id="12" name="11" totalsRowFunction="count" dataDxfId="260" totalsRowDxfId="259"/>
    <tableColumn id="13" name="12" totalsRowFunction="count" dataDxfId="258" totalsRowDxfId="257"/>
    <tableColumn id="14" name="13" totalsRowFunction="count" dataDxfId="256" totalsRowDxfId="255"/>
    <tableColumn id="15" name="14" totalsRowFunction="count" dataDxfId="254" totalsRowDxfId="253"/>
    <tableColumn id="16" name="15" totalsRowFunction="count" dataDxfId="252" totalsRowDxfId="251"/>
    <tableColumn id="17" name="16" totalsRowFunction="count" dataDxfId="250" totalsRowDxfId="249"/>
    <tableColumn id="18" name="17" totalsRowFunction="count" dataDxfId="248" totalsRowDxfId="247"/>
    <tableColumn id="19" name="18" totalsRowFunction="count" dataDxfId="246" totalsRowDxfId="245"/>
    <tableColumn id="20" name="19" totalsRowFunction="count" dataDxfId="244" totalsRowDxfId="243"/>
    <tableColumn id="21" name="20" totalsRowFunction="count" dataDxfId="242" totalsRowDxfId="241"/>
    <tableColumn id="22" name="21" totalsRowFunction="count" dataDxfId="240" totalsRowDxfId="239"/>
    <tableColumn id="23" name="22" totalsRowFunction="count" dataDxfId="238" totalsRowDxfId="237"/>
    <tableColumn id="24" name="23" totalsRowFunction="count" dataDxfId="236" totalsRowDxfId="235"/>
    <tableColumn id="25" name="24" totalsRowFunction="count" dataDxfId="234" totalsRowDxfId="233"/>
    <tableColumn id="26" name="25" totalsRowFunction="count" dataDxfId="232" totalsRowDxfId="231"/>
    <tableColumn id="27" name="26" totalsRowFunction="count" dataDxfId="230" totalsRowDxfId="229"/>
    <tableColumn id="28" name="27" totalsRowFunction="count" dataDxfId="228" totalsRowDxfId="227"/>
    <tableColumn id="29" name="28" totalsRowFunction="count" dataDxfId="226" totalsRowDxfId="225"/>
    <tableColumn id="30" name="29" totalsRowFunction="count" dataDxfId="224" totalsRowDxfId="223"/>
    <tableColumn id="31" name="30" totalsRowFunction="count" dataDxfId="222" totalsRowDxfId="221"/>
    <tableColumn id="32" name=" " totalsRowFunction="count" dataDxfId="220" totalsRowDxfId="219"/>
    <tableColumn id="33" name="Total des jours" totalsRowFunction="sum" dataDxfId="218" totalsRowDxfId="217">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6:AH12" totalsRowCount="1" headerRowDxfId="211" dataDxfId="210" totalsRowDxfId="209">
  <tableColumns count="33">
    <tableColumn id="1" name="Nom de l’employé" totalsRowFunction="custom" dataDxfId="208" totalsRowDxfId="207" dataCellStyle="Employé">
      <totalsRowFormula>NomMois&amp;" Total"</totalsRowFormula>
    </tableColumn>
    <tableColumn id="2" name="1" totalsRowFunction="count" dataDxfId="206" totalsRowDxfId="205"/>
    <tableColumn id="3" name="2" totalsRowFunction="count" dataDxfId="204" totalsRowDxfId="203"/>
    <tableColumn id="4" name="3" totalsRowFunction="count" dataDxfId="202" totalsRowDxfId="201"/>
    <tableColumn id="5" name="4" totalsRowFunction="count" dataDxfId="200" totalsRowDxfId="199"/>
    <tableColumn id="6" name="5" totalsRowFunction="count" dataDxfId="198" totalsRowDxfId="197"/>
    <tableColumn id="7" name="6" totalsRowFunction="count" dataDxfId="196" totalsRowDxfId="195"/>
    <tableColumn id="8" name="7" totalsRowFunction="count" dataDxfId="194" totalsRowDxfId="193"/>
    <tableColumn id="9" name="8" totalsRowFunction="count" dataDxfId="192" totalsRowDxfId="191"/>
    <tableColumn id="10" name="9" totalsRowFunction="count" dataDxfId="190" totalsRowDxfId="189"/>
    <tableColumn id="11" name="10" totalsRowFunction="count" dataDxfId="188" totalsRowDxfId="187"/>
    <tableColumn id="12" name="11" totalsRowFunction="count" dataDxfId="186" totalsRowDxfId="185"/>
    <tableColumn id="13" name="12" totalsRowFunction="count" dataDxfId="184" totalsRowDxfId="183"/>
    <tableColumn id="14" name="13" totalsRowFunction="count" dataDxfId="182" totalsRowDxfId="181"/>
    <tableColumn id="15" name="14" totalsRowFunction="count" dataDxfId="180" totalsRowDxfId="179"/>
    <tableColumn id="16" name="15" totalsRowFunction="count" dataDxfId="178" totalsRowDxfId="177"/>
    <tableColumn id="17" name="16" totalsRowFunction="count" dataDxfId="176" totalsRowDxfId="175"/>
    <tableColumn id="18" name="17" totalsRowFunction="count" dataDxfId="174" totalsRowDxfId="173"/>
    <tableColumn id="19" name="18" totalsRowFunction="count" dataDxfId="172" totalsRowDxfId="171"/>
    <tableColumn id="20" name="19" totalsRowFunction="count" dataDxfId="170" totalsRowDxfId="169"/>
    <tableColumn id="21" name="20" totalsRowFunction="count" dataDxfId="168" totalsRowDxfId="167"/>
    <tableColumn id="22" name="21" totalsRowFunction="count" dataDxfId="166" totalsRowDxfId="165"/>
    <tableColumn id="23" name="22" totalsRowFunction="count" dataDxfId="164" totalsRowDxfId="163"/>
    <tableColumn id="24" name="23" totalsRowFunction="count" dataDxfId="162" totalsRowDxfId="161"/>
    <tableColumn id="25" name="24" totalsRowFunction="count" dataDxfId="160" totalsRowDxfId="159"/>
    <tableColumn id="26" name="25" totalsRowFunction="count" dataDxfId="158" totalsRowDxfId="157"/>
    <tableColumn id="27" name="26" totalsRowFunction="count" dataDxfId="156" totalsRowDxfId="155"/>
    <tableColumn id="28" name="27" totalsRowFunction="count" dataDxfId="154" totalsRowDxfId="153"/>
    <tableColumn id="29" name="28" totalsRowFunction="count" dataDxfId="152" totalsRowDxfId="151"/>
    <tableColumn id="30" name="29" totalsRowFunction="count" dataDxfId="150" totalsRowDxfId="149"/>
    <tableColumn id="31" name="30" totalsRowFunction="count" dataDxfId="148" totalsRowDxfId="147"/>
    <tableColumn id="32" name="31" totalsRowFunction="count" dataDxfId="146" totalsRowDxfId="145"/>
    <tableColumn id="33" name="Total des jours" totalsRowFunction="sum" dataDxfId="144" totalsRowDxfId="143">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id="13" name="NomStagiaires" displayName="NomStagiaires" ref="B3:H8">
  <autoFilter ref="B3:H8"/>
  <tableColumns count="7">
    <tableColumn id="1" name="Noms des stagiaires" totalsRowFunction="count" totalsRowDxfId="142" dataCellStyle="Employé"/>
    <tableColumn id="2" name="Début de Stage" totalsRowDxfId="141" dataCellStyle="Employé"/>
    <tableColumn id="4" name="Fin de Stage" totalsRowDxfId="140" dataCellStyle="Employé"/>
    <tableColumn id="6" name="Atelier" totalsRowDxfId="139" dataCellStyle="Employé"/>
    <tableColumn id="5" name="Adresse Facturation" dataDxfId="138" totalsRowDxfId="137" dataCellStyle="Employé"/>
    <tableColumn id="7" name="Période de facturation" dataDxfId="132" totalsRowDxfId="136" dataCellStyle="Employé">
      <calculatedColumnFormula>NomStagiaires[[#This Row],[Fin de Stage]]</calculatedColumnFormula>
    </tableColumn>
    <tableColumn id="3" name="Total Présence Repas sur l'année" dataDxfId="135" totalsRowDxfId="134" dataCellStyle="Employé">
      <calculatedColumnFormula>NB.</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sheetPr>
  <dimension ref="A1:AI12"/>
  <sheetViews>
    <sheetView showGridLines="0" zoomScaleNormal="100" workbookViewId="0">
      <selection activeCell="B7" sqref="B7"/>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7.28515625" style="10" customWidth="1"/>
    <col min="10" max="11" width="4.7109375" style="10" customWidth="1"/>
    <col min="12" max="12" width="4.42578125" style="10" bestFit="1" customWidth="1"/>
    <col min="13" max="33" width="4.7109375" style="10" customWidth="1"/>
    <col min="34" max="34" width="13.5703125" style="10" customWidth="1"/>
    <col min="35" max="35" width="13.85546875" bestFit="1" customWidth="1"/>
  </cols>
  <sheetData>
    <row r="1" spans="1:35" ht="50.1" customHeight="1" x14ac:dyDescent="0.25">
      <c r="A1" s="17"/>
      <c r="B1" s="13" t="s">
        <v>49</v>
      </c>
    </row>
    <row r="2" spans="1:35" ht="15" customHeight="1" x14ac:dyDescent="0.25">
      <c r="B2" s="18" t="s">
        <v>59</v>
      </c>
      <c r="C2" s="3" t="s">
        <v>5</v>
      </c>
      <c r="D2" s="37" t="s">
        <v>50</v>
      </c>
      <c r="E2" s="38"/>
      <c r="F2" s="4" t="s">
        <v>66</v>
      </c>
      <c r="G2" s="37" t="s">
        <v>67</v>
      </c>
      <c r="H2" s="38"/>
      <c r="I2" s="38"/>
      <c r="J2" s="5" t="s">
        <v>51</v>
      </c>
      <c r="K2" s="37" t="s">
        <v>68</v>
      </c>
      <c r="L2" s="38"/>
      <c r="M2" s="6"/>
      <c r="N2" s="37"/>
      <c r="O2" s="38"/>
      <c r="P2" s="38"/>
      <c r="Q2" s="38"/>
      <c r="R2" s="7"/>
      <c r="S2" s="38"/>
      <c r="T2" s="38"/>
      <c r="U2" s="38"/>
      <c r="V2" s="38"/>
    </row>
    <row r="3" spans="1:35" ht="15" customHeight="1" x14ac:dyDescent="0.25">
      <c r="AH3" s="19" t="s">
        <v>34</v>
      </c>
    </row>
    <row r="4" spans="1:35" ht="30" customHeight="1" x14ac:dyDescent="0.25">
      <c r="B4" s="11" t="s">
        <v>0</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v>2021</v>
      </c>
    </row>
    <row r="5" spans="1:35" ht="15" customHeight="1" x14ac:dyDescent="0.25">
      <c r="B5" s="11"/>
      <c r="C5" s="1" t="str">
        <f>TEXT(WEEKDAY(DATE(AnnéeCalendrier,1,1),1),"jjj")</f>
        <v>ven</v>
      </c>
      <c r="D5" s="1" t="str">
        <f>TEXT(WEEKDAY(DATE(AnnéeCalendrier,1,2),1),"jjj")</f>
        <v>sam</v>
      </c>
      <c r="E5" s="1" t="str">
        <f>TEXT(WEEKDAY(DATE(AnnéeCalendrier,1,3),1),"jjj")</f>
        <v>dim</v>
      </c>
      <c r="F5" s="1" t="str">
        <f>TEXT(WEEKDAY(DATE(AnnéeCalendrier,1,4),1),"jjj")</f>
        <v>lun</v>
      </c>
      <c r="G5" s="1" t="str">
        <f>TEXT(WEEKDAY(DATE(AnnéeCalendrier,1,5),1),"jjj")</f>
        <v>mar</v>
      </c>
      <c r="H5" s="1" t="str">
        <f>TEXT(WEEKDAY(DATE(AnnéeCalendrier,1,6),1),"jjj")</f>
        <v>mer</v>
      </c>
      <c r="I5" s="1" t="str">
        <f>TEXT(WEEKDAY(DATE(AnnéeCalendrier,1,7),1),"jjj")</f>
        <v>jeu</v>
      </c>
      <c r="J5" s="1" t="str">
        <f>TEXT(WEEKDAY(DATE(AnnéeCalendrier,1,8),1),"jjj")</f>
        <v>ven</v>
      </c>
      <c r="K5" s="1" t="str">
        <f>TEXT(WEEKDAY(DATE(AnnéeCalendrier,1,9),1),"jjj")</f>
        <v>sam</v>
      </c>
      <c r="L5" s="1" t="str">
        <f>TEXT(WEEKDAY(DATE(AnnéeCalendrier,1,10),1),"jjj")</f>
        <v>dim</v>
      </c>
      <c r="M5" s="1" t="str">
        <f>TEXT(WEEKDAY(DATE(AnnéeCalendrier,1,11),1),"jjj")</f>
        <v>lun</v>
      </c>
      <c r="N5" s="1" t="str">
        <f>TEXT(WEEKDAY(DATE(AnnéeCalendrier,1,12),1),"jjj")</f>
        <v>mar</v>
      </c>
      <c r="O5" s="1" t="str">
        <f>TEXT(WEEKDAY(DATE(AnnéeCalendrier,1,13),1),"jjj")</f>
        <v>mer</v>
      </c>
      <c r="P5" s="1" t="str">
        <f>TEXT(WEEKDAY(DATE(AnnéeCalendrier,1,14),1),"jjj")</f>
        <v>jeu</v>
      </c>
      <c r="Q5" s="1" t="str">
        <f>TEXT(WEEKDAY(DATE(AnnéeCalendrier,1,15),1),"jjj")</f>
        <v>ven</v>
      </c>
      <c r="R5" s="1" t="str">
        <f>TEXT(WEEKDAY(DATE(AnnéeCalendrier,1,16),1),"jjj")</f>
        <v>sam</v>
      </c>
      <c r="S5" s="1" t="str">
        <f>TEXT(WEEKDAY(DATE(AnnéeCalendrier,1,17),1),"jjj")</f>
        <v>dim</v>
      </c>
      <c r="T5" s="1" t="str">
        <f>TEXT(WEEKDAY(DATE(AnnéeCalendrier,1,18),1),"jjj")</f>
        <v>lun</v>
      </c>
      <c r="U5" s="1" t="str">
        <f>TEXT(WEEKDAY(DATE(AnnéeCalendrier,1,19),1),"jjj")</f>
        <v>mar</v>
      </c>
      <c r="V5" s="1" t="str">
        <f>TEXT(WEEKDAY(DATE(AnnéeCalendrier,1,20),1),"jjj")</f>
        <v>mer</v>
      </c>
      <c r="W5" s="1" t="str">
        <f>TEXT(WEEKDAY(DATE(AnnéeCalendrier,1,21),1),"jjj")</f>
        <v>jeu</v>
      </c>
      <c r="X5" s="1" t="str">
        <f>TEXT(WEEKDAY(DATE(AnnéeCalendrier,1,22),1),"jjj")</f>
        <v>ven</v>
      </c>
      <c r="Y5" s="1" t="str">
        <f>TEXT(WEEKDAY(DATE(AnnéeCalendrier,1,23),1),"jjj")</f>
        <v>sam</v>
      </c>
      <c r="Z5" s="1" t="str">
        <f>TEXT(WEEKDAY(DATE(AnnéeCalendrier,1,24),1),"jjj")</f>
        <v>dim</v>
      </c>
      <c r="AA5" s="1" t="str">
        <f>TEXT(WEEKDAY(DATE(AnnéeCalendrier,1,25),1),"jjj")</f>
        <v>lun</v>
      </c>
      <c r="AB5" s="1" t="str">
        <f>TEXT(WEEKDAY(DATE(AnnéeCalendrier,1,26),1),"jjj")</f>
        <v>mar</v>
      </c>
      <c r="AC5" s="1" t="str">
        <f>TEXT(WEEKDAY(DATE(AnnéeCalendrier,1,27),1),"jjj")</f>
        <v>mer</v>
      </c>
      <c r="AD5" s="1" t="str">
        <f>TEXT(WEEKDAY(DATE(AnnéeCalendrier,1,28),1),"jjj")</f>
        <v>jeu</v>
      </c>
      <c r="AE5" s="1" t="str">
        <f>TEXT(WEEKDAY(DATE(AnnéeCalendrier,1,29),1),"jjj")</f>
        <v>ven</v>
      </c>
      <c r="AF5" s="1" t="str">
        <f>TEXT(WEEKDAY(DATE(AnnéeCalendrier,1,30),1),"jjj")</f>
        <v>sam</v>
      </c>
      <c r="AG5" s="1" t="str">
        <f>TEXT(WEEKDAY(DATE(AnnéeCalendrier,1,31),1),"jjj")</f>
        <v>dim</v>
      </c>
      <c r="AH5" s="11"/>
      <c r="AI5" s="26"/>
    </row>
    <row r="6" spans="1:35" ht="15" customHeight="1" x14ac:dyDescent="0.25">
      <c r="B6" s="23" t="s">
        <v>52</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70</v>
      </c>
      <c r="AI6" s="35" t="s">
        <v>71</v>
      </c>
    </row>
    <row r="7" spans="1:35" ht="30" customHeight="1" x14ac:dyDescent="0.25">
      <c r="B7" s="24" t="s">
        <v>73</v>
      </c>
      <c r="C7" s="2"/>
      <c r="D7" s="2"/>
      <c r="E7" s="2"/>
      <c r="F7" s="2"/>
      <c r="G7" s="2"/>
      <c r="H7" s="2"/>
      <c r="I7" s="2"/>
      <c r="J7" s="2" t="s">
        <v>5</v>
      </c>
      <c r="K7" s="2" t="s">
        <v>5</v>
      </c>
      <c r="L7" s="2" t="s">
        <v>5</v>
      </c>
      <c r="M7" s="2" t="s">
        <v>5</v>
      </c>
      <c r="N7" s="2" t="s">
        <v>5</v>
      </c>
      <c r="O7" s="2" t="s">
        <v>66</v>
      </c>
      <c r="P7" s="2" t="s">
        <v>66</v>
      </c>
      <c r="Q7" s="2" t="s">
        <v>66</v>
      </c>
      <c r="R7" s="2" t="s">
        <v>66</v>
      </c>
      <c r="S7" s="2" t="s">
        <v>66</v>
      </c>
      <c r="T7" s="2" t="s">
        <v>66</v>
      </c>
      <c r="U7" s="2" t="s">
        <v>66</v>
      </c>
      <c r="V7" s="2" t="s">
        <v>66</v>
      </c>
      <c r="W7" s="2"/>
      <c r="X7" s="2"/>
      <c r="Y7" s="2"/>
      <c r="Z7" s="2"/>
      <c r="AA7" s="2"/>
      <c r="AB7" s="2"/>
      <c r="AC7" s="2"/>
      <c r="AD7" s="2"/>
      <c r="AE7" s="2"/>
      <c r="AF7" s="2"/>
      <c r="AG7" s="2"/>
      <c r="AH7" s="9"/>
      <c r="AI7" s="9">
        <f>COUNTIF(Janvier[[#This Row],[1]:[31]],"PR")</f>
        <v>8</v>
      </c>
    </row>
    <row r="8" spans="1:35" ht="30" customHeight="1" x14ac:dyDescent="0.25">
      <c r="B8" s="8"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COUNTIF(Janvier[[#This Row],[1]:[31]],"P;PR")</f>
        <v>0</v>
      </c>
      <c r="AI8" s="9">
        <f>COUNTA(Janvier!$C8:$AG8)</f>
        <v>0</v>
      </c>
    </row>
    <row r="9" spans="1:35" ht="30" customHeight="1" x14ac:dyDescent="0.25">
      <c r="B9" s="8"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COUNTIF(Janvier[[#This Row],[1]:[31]],"P;PR")</f>
        <v>0</v>
      </c>
      <c r="AI9" s="9">
        <f>COUNTA(Janvier!$C9:$AG9)</f>
        <v>0</v>
      </c>
    </row>
    <row r="10" spans="1:35" ht="30" customHeight="1" x14ac:dyDescent="0.25">
      <c r="B10" s="8"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COUNTIF(Janvier[[#This Row],[1]:[31]],"P;PR")</f>
        <v>0</v>
      </c>
      <c r="AI10" s="9">
        <f>COUNTA(Janvier!$C10:$AG10)</f>
        <v>0</v>
      </c>
    </row>
    <row r="11" spans="1:35" ht="30" customHeight="1" x14ac:dyDescent="0.25">
      <c r="B11" s="8"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COUNTIF(Janvier[[#This Row],[1]:[31]],"P;PR")</f>
        <v>0</v>
      </c>
      <c r="AI11" s="9">
        <f>COUNTA(Janvier!$C11:$AG11)</f>
        <v>0</v>
      </c>
    </row>
    <row r="12" spans="1:35" ht="30" customHeight="1" x14ac:dyDescent="0.25">
      <c r="B12" s="39" t="str">
        <f>NomMois&amp;" Total"</f>
        <v>Janvier Total</v>
      </c>
      <c r="C12" s="40">
        <f>SUBTOTAL(103,Janvier!$C$7:$C$11)</f>
        <v>0</v>
      </c>
      <c r="D12" s="40">
        <f>SUBTOTAL(103,Janvier!$D$7:$D$11)</f>
        <v>0</v>
      </c>
      <c r="E12" s="40">
        <f>SUBTOTAL(103,Janvier!$E$7:$E$11)</f>
        <v>0</v>
      </c>
      <c r="F12" s="40">
        <f>SUBTOTAL(103,Janvier!$F$7:$F$11)</f>
        <v>0</v>
      </c>
      <c r="G12" s="40">
        <f>SUBTOTAL(103,Janvier!$G$7:$G$11)</f>
        <v>0</v>
      </c>
      <c r="H12" s="40">
        <f>SUBTOTAL(103,Janvier!$H$7:$H$11)</f>
        <v>0</v>
      </c>
      <c r="I12" s="40">
        <f>SUBTOTAL(103,Janvier!$I$7:$I$11)</f>
        <v>0</v>
      </c>
      <c r="J12" s="40">
        <f>SUBTOTAL(103,Janvier!$J$7:$J$11)</f>
        <v>1</v>
      </c>
      <c r="K12" s="40">
        <f>SUBTOTAL(103,Janvier!$K$7:$K$11)</f>
        <v>1</v>
      </c>
      <c r="L12" s="40">
        <f>SUBTOTAL(103,Janvier!$L$7:$L$11)</f>
        <v>1</v>
      </c>
      <c r="M12" s="40">
        <f>SUBTOTAL(103,Janvier!$M$7:$M$11)</f>
        <v>1</v>
      </c>
      <c r="N12" s="40">
        <f>SUBTOTAL(103,Janvier!$N$7:$N$11)</f>
        <v>1</v>
      </c>
      <c r="O12" s="40">
        <f>SUBTOTAL(103,Janvier!$O$7:$O$11)</f>
        <v>1</v>
      </c>
      <c r="P12" s="40">
        <f>SUBTOTAL(103,Janvier!$P$7:$P$11)</f>
        <v>1</v>
      </c>
      <c r="Q12" s="40">
        <f>SUBTOTAL(103,Janvier!$Q$7:$Q$11)</f>
        <v>1</v>
      </c>
      <c r="R12" s="40">
        <f>SUBTOTAL(103,Janvier!$R$7:$R$11)</f>
        <v>1</v>
      </c>
      <c r="S12" s="40">
        <f>SUBTOTAL(103,Janvier!$S$7:$S$11)</f>
        <v>1</v>
      </c>
      <c r="T12" s="40">
        <f>SUBTOTAL(103,Janvier!$T$7:$T$11)</f>
        <v>1</v>
      </c>
      <c r="U12" s="40">
        <f>SUBTOTAL(103,Janvier!$U$7:$U$11)</f>
        <v>1</v>
      </c>
      <c r="V12" s="40">
        <f>SUBTOTAL(103,Janvier!$V$7:$V$11)</f>
        <v>1</v>
      </c>
      <c r="W12" s="40">
        <f>SUBTOTAL(103,Janvier!$W$7:$W$11)</f>
        <v>0</v>
      </c>
      <c r="X12" s="40">
        <f>SUBTOTAL(103,Janvier!$X$7:$X$11)</f>
        <v>0</v>
      </c>
      <c r="Y12" s="40">
        <f>SUBTOTAL(103,Janvier!$Y$7:$Y$11)</f>
        <v>0</v>
      </c>
      <c r="Z12" s="40">
        <f>SUBTOTAL(103,Janvier!$Z$7:$Z$11)</f>
        <v>0</v>
      </c>
      <c r="AA12" s="40">
        <f>SUBTOTAL(103,Janvier!$AA$7:$AA$11)</f>
        <v>0</v>
      </c>
      <c r="AB12" s="40">
        <f>SUBTOTAL(103,Janvier!$AB$7:$AB$11)</f>
        <v>0</v>
      </c>
      <c r="AC12" s="40">
        <f>SUBTOTAL(103,Janvier!$AC$7:$AC$11)</f>
        <v>0</v>
      </c>
      <c r="AD12" s="40">
        <f>SUBTOTAL(103,Janvier!$AD$7:$AD$11)</f>
        <v>0</v>
      </c>
      <c r="AE12" s="40">
        <f>SUBTOTAL(103,Janvier!$AE$7:$AE$11)</f>
        <v>0</v>
      </c>
      <c r="AF12" s="40">
        <f>SUBTOTAL(103,Janvier!$AF$7:$AF$11)</f>
        <v>0</v>
      </c>
      <c r="AG12" s="40">
        <f>SUBTOTAL(103,Janvier!$AG$7:$AG$11)</f>
        <v>0</v>
      </c>
      <c r="AH12" s="40">
        <f>SUBTOTAL(109,Janvier[Total  Jours P])</f>
        <v>0</v>
      </c>
      <c r="AI12" s="12">
        <f>SUBTOTAL(109,Janvier[[Nom du stagiaire ]])</f>
        <v>0</v>
      </c>
    </row>
  </sheetData>
  <mergeCells count="6">
    <mergeCell ref="C4:AG4"/>
    <mergeCell ref="D2:E2"/>
    <mergeCell ref="G2:I2"/>
    <mergeCell ref="K2:L2"/>
    <mergeCell ref="N2:Q2"/>
    <mergeCell ref="S2:V2"/>
  </mergeCells>
  <conditionalFormatting sqref="C7:AG11">
    <cfRule type="expression" priority="1" stopIfTrue="1">
      <formula>C7=""</formula>
    </cfRule>
    <cfRule type="expression" dxfId="898" priority="6" stopIfTrue="1">
      <formula>C7=CléPersonnalisée2</formula>
    </cfRule>
    <cfRule type="expression" dxfId="897" priority="7" stopIfTrue="1">
      <formula>C7=CléPersonnalisée1</formula>
    </cfRule>
    <cfRule type="expression" dxfId="896" priority="8" stopIfTrue="1">
      <formula>C7=CléMaladie</formula>
    </cfRule>
    <cfRule type="expression" dxfId="895" priority="9" stopIfTrue="1">
      <formula>C7=CléPersonnel</formula>
    </cfRule>
    <cfRule type="expression" dxfId="894" priority="10" stopIfTrue="1">
      <formula>C7=CléPrésence</formula>
    </cfRule>
  </conditionalFormatting>
  <conditionalFormatting sqref="AH7:AI11">
    <cfRule type="dataBar" priority="168">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5">
    <dataValidation allowBlank="1" showInputMessage="1" showErrorMessage="1" prompt="Entrez l’année dans cette cellule." sqref="AH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I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AH7:AI11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stagiaires'!$B$4:$B$8</xm:f>
          </x14:formula1>
          <xm:sqref>B7:B11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H12"/>
  <sheetViews>
    <sheetView showGridLines="0" zoomScaleNormal="100" workbookViewId="0">
      <selection activeCell="B7" sqref="B7"/>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5703125" style="10" customWidth="1"/>
    <col min="10" max="33" width="4.7109375" style="10" customWidth="1"/>
    <col min="34" max="34" width="13.5703125" style="10" customWidth="1"/>
    <col min="35" max="35" width="2.7109375" customWidth="1"/>
  </cols>
  <sheetData>
    <row r="1" spans="2:34" ht="50.1" customHeight="1" x14ac:dyDescent="0.25">
      <c r="B1" s="13" t="str">
        <f>Titre_Absence_Employé</f>
        <v>Calendrier des stagiaires - ESAT JACQUEMART</v>
      </c>
    </row>
    <row r="2" spans="2:34" ht="15" customHeight="1" x14ac:dyDescent="0.25">
      <c r="B2" s="18" t="s">
        <v>59</v>
      </c>
      <c r="C2" s="3" t="s">
        <v>5</v>
      </c>
      <c r="D2" s="37" t="s">
        <v>50</v>
      </c>
      <c r="E2" s="38"/>
      <c r="F2" s="4" t="s">
        <v>69</v>
      </c>
      <c r="G2" s="37" t="s">
        <v>67</v>
      </c>
      <c r="H2" s="38"/>
      <c r="I2" s="38"/>
      <c r="J2" s="5" t="s">
        <v>51</v>
      </c>
      <c r="K2" s="37" t="s">
        <v>68</v>
      </c>
      <c r="L2" s="38"/>
      <c r="M2" s="6"/>
      <c r="N2" s="37"/>
      <c r="O2" s="38"/>
      <c r="P2" s="38"/>
      <c r="Q2" s="38"/>
      <c r="R2" s="7"/>
      <c r="S2" s="38"/>
      <c r="T2" s="38"/>
      <c r="U2" s="38"/>
      <c r="V2" s="38"/>
    </row>
    <row r="3" spans="2:34" ht="15" customHeight="1" x14ac:dyDescent="0.25">
      <c r="B3"/>
    </row>
    <row r="4" spans="2:34" ht="30" customHeight="1" x14ac:dyDescent="0.25">
      <c r="B4" s="11" t="s">
        <v>36</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v>2021</v>
      </c>
    </row>
    <row r="5" spans="2:34" ht="15" customHeight="1" x14ac:dyDescent="0.25">
      <c r="B5" s="11"/>
      <c r="C5" s="1" t="str">
        <f>TEXT(WEEKDAY(DATE(AnnéeCalendrier,2,1),1),"jjj")</f>
        <v>lun</v>
      </c>
      <c r="D5" s="1" t="str">
        <f>TEXT(WEEKDAY(DATE(AnnéeCalendrier,2,2),1),"jjj")</f>
        <v>mar</v>
      </c>
      <c r="E5" s="1" t="str">
        <f>TEXT(WEEKDAY(DATE(AnnéeCalendrier,2,3),1),"jjj")</f>
        <v>mer</v>
      </c>
      <c r="F5" s="1" t="str">
        <f>TEXT(WEEKDAY(DATE(AnnéeCalendrier,2,4),1),"jjj")</f>
        <v>jeu</v>
      </c>
      <c r="G5" s="1" t="str">
        <f>TEXT(WEEKDAY(DATE(AnnéeCalendrier,2,5),1),"jjj")</f>
        <v>ven</v>
      </c>
      <c r="H5" s="1" t="str">
        <f>TEXT(WEEKDAY(DATE(AnnéeCalendrier,2,6),1),"jjj")</f>
        <v>sam</v>
      </c>
      <c r="I5" s="1" t="str">
        <f>TEXT(WEEKDAY(DATE(AnnéeCalendrier,2,7),1),"jjj")</f>
        <v>dim</v>
      </c>
      <c r="J5" s="1" t="str">
        <f>TEXT(WEEKDAY(DATE(AnnéeCalendrier,2,8),1),"jjj")</f>
        <v>lun</v>
      </c>
      <c r="K5" s="1" t="str">
        <f>TEXT(WEEKDAY(DATE(AnnéeCalendrier,2,9),1),"jjj")</f>
        <v>mar</v>
      </c>
      <c r="L5" s="1" t="str">
        <f>TEXT(WEEKDAY(DATE(AnnéeCalendrier,2,10),1),"jjj")</f>
        <v>mer</v>
      </c>
      <c r="M5" s="1" t="str">
        <f>TEXT(WEEKDAY(DATE(AnnéeCalendrier,2,11),1),"jjj")</f>
        <v>jeu</v>
      </c>
      <c r="N5" s="1" t="str">
        <f>TEXT(WEEKDAY(DATE(AnnéeCalendrier,2,12),1),"jjj")</f>
        <v>ven</v>
      </c>
      <c r="O5" s="1" t="str">
        <f>TEXT(WEEKDAY(DATE(AnnéeCalendrier,2,13),1),"jjj")</f>
        <v>sam</v>
      </c>
      <c r="P5" s="1" t="str">
        <f>TEXT(WEEKDAY(DATE(AnnéeCalendrier,2,14),1),"jjj")</f>
        <v>dim</v>
      </c>
      <c r="Q5" s="1" t="str">
        <f>TEXT(WEEKDAY(DATE(AnnéeCalendrier,2,15),1),"jjj")</f>
        <v>lun</v>
      </c>
      <c r="R5" s="1" t="str">
        <f>TEXT(WEEKDAY(DATE(AnnéeCalendrier,2,16),1),"jjj")</f>
        <v>mar</v>
      </c>
      <c r="S5" s="1" t="str">
        <f>TEXT(WEEKDAY(DATE(AnnéeCalendrier,2,17),1),"jjj")</f>
        <v>mer</v>
      </c>
      <c r="T5" s="1" t="str">
        <f>TEXT(WEEKDAY(DATE(AnnéeCalendrier,2,18),1),"jjj")</f>
        <v>jeu</v>
      </c>
      <c r="U5" s="1" t="str">
        <f>TEXT(WEEKDAY(DATE(AnnéeCalendrier,2,19),1),"jjj")</f>
        <v>ven</v>
      </c>
      <c r="V5" s="1" t="str">
        <f>TEXT(WEEKDAY(DATE(AnnéeCalendrier,2,20),1),"jjj")</f>
        <v>sam</v>
      </c>
      <c r="W5" s="1" t="str">
        <f>TEXT(WEEKDAY(DATE(AnnéeCalendrier,2,21),1),"jjj")</f>
        <v>dim</v>
      </c>
      <c r="X5" s="1" t="str">
        <f>TEXT(WEEKDAY(DATE(AnnéeCalendrier,2,22),1),"jjj")</f>
        <v>lun</v>
      </c>
      <c r="Y5" s="1" t="str">
        <f>TEXT(WEEKDAY(DATE(AnnéeCalendrier,2,23),1),"jjj")</f>
        <v>mar</v>
      </c>
      <c r="Z5" s="1" t="str">
        <f>TEXT(WEEKDAY(DATE(AnnéeCalendrier,2,24),1),"jjj")</f>
        <v>mer</v>
      </c>
      <c r="AA5" s="1" t="str">
        <f>TEXT(WEEKDAY(DATE(AnnéeCalendrier,2,25),1),"jjj")</f>
        <v>jeu</v>
      </c>
      <c r="AB5" s="1" t="str">
        <f>TEXT(WEEKDAY(DATE(AnnéeCalendrier,2,26),1),"jjj")</f>
        <v>ven</v>
      </c>
      <c r="AC5" s="1" t="str">
        <f>TEXT(WEEKDAY(DATE(AnnéeCalendrier,2,27),1),"jjj")</f>
        <v>sam</v>
      </c>
      <c r="AD5" s="1" t="str">
        <f>TEXT(WEEKDAY(DATE(AnnéeCalendrier,2,28),1),"jjj")</f>
        <v>dim</v>
      </c>
      <c r="AE5" s="1" t="str">
        <f>TEXT(WEEKDAY(DATE(AnnéeCalendrier,2,29),1),"jjj")</f>
        <v>lun</v>
      </c>
      <c r="AF5" s="1"/>
      <c r="AG5" s="1"/>
      <c r="AH5" s="11"/>
    </row>
    <row r="6" spans="2:34"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37</v>
      </c>
      <c r="AG6" s="2" t="s">
        <v>38</v>
      </c>
      <c r="AH6" s="15" t="s">
        <v>35</v>
      </c>
    </row>
    <row r="7" spans="2:34"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COUNTA(Février[[#This Row],[1]:[29]])</f>
        <v>0</v>
      </c>
    </row>
    <row r="8" spans="2:34"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COUNTA(Février[[#This Row],[1]:[29]])</f>
        <v>0</v>
      </c>
    </row>
    <row r="9" spans="2:34"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COUNTA(Février[[#This Row],[1]:[29]])</f>
        <v>0</v>
      </c>
    </row>
    <row r="10" spans="2:34"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COUNTA(Février[[#This Row],[1]:[29]])</f>
        <v>0</v>
      </c>
    </row>
    <row r="11" spans="2:34"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COUNTA(Février[[#This Row],[1]:[29]])</f>
        <v>0</v>
      </c>
    </row>
    <row r="12" spans="2:34" ht="30" customHeight="1" x14ac:dyDescent="0.25">
      <c r="B12" s="20" t="str">
        <f>NomMois&amp;" Total"</f>
        <v>Février Total</v>
      </c>
      <c r="C12" s="12">
        <f>SUBTOTAL(103,Février[1])</f>
        <v>0</v>
      </c>
      <c r="D12" s="12">
        <f>SUBTOTAL(103,Février[2])</f>
        <v>0</v>
      </c>
      <c r="E12" s="12">
        <f>SUBTOTAL(103,Février[3])</f>
        <v>0</v>
      </c>
      <c r="F12" s="12">
        <f>SUBTOTAL(103,Février[4])</f>
        <v>0</v>
      </c>
      <c r="G12" s="12">
        <f>SUBTOTAL(103,Février[5])</f>
        <v>0</v>
      </c>
      <c r="H12" s="12">
        <f>SUBTOTAL(103,Février[6])</f>
        <v>0</v>
      </c>
      <c r="I12" s="12">
        <f>SUBTOTAL(103,Février[7])</f>
        <v>0</v>
      </c>
      <c r="J12" s="12">
        <f>SUBTOTAL(103,Février[8])</f>
        <v>0</v>
      </c>
      <c r="K12" s="12">
        <f>SUBTOTAL(103,Février[9])</f>
        <v>0</v>
      </c>
      <c r="L12" s="12">
        <f>SUBTOTAL(103,Février[10])</f>
        <v>0</v>
      </c>
      <c r="M12" s="12">
        <f>SUBTOTAL(103,Février[11])</f>
        <v>0</v>
      </c>
      <c r="N12" s="12">
        <f>SUBTOTAL(103,Février[12])</f>
        <v>0</v>
      </c>
      <c r="O12" s="12">
        <f>SUBTOTAL(103,Février[13])</f>
        <v>0</v>
      </c>
      <c r="P12" s="12">
        <f>SUBTOTAL(103,Février[14])</f>
        <v>0</v>
      </c>
      <c r="Q12" s="12">
        <f>SUBTOTAL(103,Février[15])</f>
        <v>0</v>
      </c>
      <c r="R12" s="12">
        <f>SUBTOTAL(103,Février[16])</f>
        <v>0</v>
      </c>
      <c r="S12" s="12">
        <f>SUBTOTAL(103,Février[17])</f>
        <v>0</v>
      </c>
      <c r="T12" s="12">
        <f>SUBTOTAL(103,Février[18])</f>
        <v>0</v>
      </c>
      <c r="U12" s="12">
        <f>SUBTOTAL(103,Février[19])</f>
        <v>0</v>
      </c>
      <c r="V12" s="12">
        <f>SUBTOTAL(103,Février[20])</f>
        <v>0</v>
      </c>
      <c r="W12" s="12">
        <f>SUBTOTAL(103,Février[21])</f>
        <v>0</v>
      </c>
      <c r="X12" s="12">
        <f>SUBTOTAL(103,Février[22])</f>
        <v>0</v>
      </c>
      <c r="Y12" s="12">
        <f>SUBTOTAL(103,Février[23])</f>
        <v>0</v>
      </c>
      <c r="Z12" s="12">
        <f>SUBTOTAL(103,Février[24])</f>
        <v>0</v>
      </c>
      <c r="AA12" s="12">
        <f>SUBTOTAL(103,Février[25])</f>
        <v>0</v>
      </c>
      <c r="AB12" s="12">
        <f>SUBTOTAL(103,Février[26])</f>
        <v>0</v>
      </c>
      <c r="AC12" s="12">
        <f>SUBTOTAL(103,Février[27])</f>
        <v>0</v>
      </c>
      <c r="AD12" s="12">
        <f>SUBTOTAL(103,Février[28])</f>
        <v>0</v>
      </c>
      <c r="AE12" s="12">
        <f>SUBTOTAL(103,Février[29])</f>
        <v>0</v>
      </c>
      <c r="AF12" s="12"/>
      <c r="AG12" s="12"/>
      <c r="AH12" s="12">
        <f>SUBTOTAL(109,Février[Total des jours])</f>
        <v>0</v>
      </c>
    </row>
  </sheetData>
  <mergeCells count="6">
    <mergeCell ref="C4:AG4"/>
    <mergeCell ref="D2:E2"/>
    <mergeCell ref="G2:I2"/>
    <mergeCell ref="K2:L2"/>
    <mergeCell ref="N2:Q2"/>
    <mergeCell ref="S2:V2"/>
  </mergeCells>
  <conditionalFormatting sqref="AE6">
    <cfRule type="expression" dxfId="859" priority="16">
      <formula>MONTH(DATE(AnnéeCalendrier,2,29))&lt;&gt;2</formula>
    </cfRule>
  </conditionalFormatting>
  <conditionalFormatting sqref="AE5">
    <cfRule type="expression" dxfId="858" priority="15">
      <formula>MONTH(DATE(AnnéeCalendrier,2,29))&lt;&gt;2</formula>
    </cfRule>
  </conditionalFormatting>
  <conditionalFormatting sqref="C7:AG11">
    <cfRule type="expression" priority="2" stopIfTrue="1">
      <formula>C7=""</formula>
    </cfRule>
    <cfRule type="expression" dxfId="857" priority="3" stopIfTrue="1">
      <formula>C7=CléPersonnalisée2</formula>
    </cfRule>
  </conditionalFormatting>
  <conditionalFormatting sqref="C7:AG11">
    <cfRule type="expression" dxfId="856" priority="5" stopIfTrue="1">
      <formula>C7=CléPersonnalisée1</formula>
    </cfRule>
    <cfRule type="expression" dxfId="855" priority="6" stopIfTrue="1">
      <formula>C7=CléMaladie</formula>
    </cfRule>
    <cfRule type="expression" dxfId="854" priority="7" stopIfTrue="1">
      <formula>C7=CléPersonnel</formula>
    </cfRule>
    <cfRule type="expression" dxfId="853" priority="8" stopIfTrue="1">
      <formula>C7=CléPrésence</formula>
    </cfRule>
  </conditionalFormatting>
  <conditionalFormatting sqref="AH7:AH11">
    <cfRule type="dataBar" priority="153">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4">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février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14:formula1>
            <xm:f>'Noms des stagiaires'!$B$4:$B$8</xm:f>
          </x14:formula1>
          <xm:sqref>B7:B11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9.9978637043366805E-2"/>
  </sheetPr>
  <dimension ref="A1:AH12"/>
  <sheetViews>
    <sheetView showGridLines="0" zoomScaleNormal="100" workbookViewId="0">
      <selection activeCell="B2" sqref="B2:V2"/>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85546875" style="10" customWidth="1"/>
    <col min="10" max="33" width="4.7109375" style="10" customWidth="1"/>
    <col min="34" max="34" width="13.5703125" style="10" customWidth="1"/>
    <col min="35" max="35" width="2.7109375" customWidth="1"/>
  </cols>
  <sheetData>
    <row r="1" spans="2:34" ht="50.1" customHeight="1" x14ac:dyDescent="0.25">
      <c r="B1" s="13" t="str">
        <f>Titre_Absence_Employé</f>
        <v>Calendrier des stagiaires - ESAT JACQUEMART</v>
      </c>
    </row>
    <row r="2" spans="2:34" ht="15" customHeight="1" x14ac:dyDescent="0.25">
      <c r="B2" s="18" t="s">
        <v>59</v>
      </c>
      <c r="C2" s="3" t="s">
        <v>5</v>
      </c>
      <c r="D2" s="37" t="s">
        <v>50</v>
      </c>
      <c r="E2" s="38"/>
      <c r="F2" s="4" t="s">
        <v>69</v>
      </c>
      <c r="G2" s="37" t="s">
        <v>67</v>
      </c>
      <c r="H2" s="38"/>
      <c r="I2" s="38"/>
      <c r="J2" s="5" t="s">
        <v>51</v>
      </c>
      <c r="K2" s="37" t="s">
        <v>68</v>
      </c>
      <c r="L2" s="38"/>
      <c r="M2" s="6"/>
      <c r="N2" s="37"/>
      <c r="O2" s="38"/>
      <c r="P2" s="38"/>
      <c r="Q2" s="38"/>
      <c r="R2" s="7"/>
      <c r="S2" s="38"/>
      <c r="T2" s="38"/>
      <c r="U2" s="38"/>
      <c r="V2" s="38"/>
    </row>
    <row r="3" spans="2:34" ht="15" customHeight="1" x14ac:dyDescent="0.25">
      <c r="B3" s="13"/>
    </row>
    <row r="4" spans="2:34" ht="30" customHeight="1" x14ac:dyDescent="0.25">
      <c r="B4" s="11" t="s">
        <v>41</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f>AnnéeCalendrier</f>
        <v>2021</v>
      </c>
    </row>
    <row r="5" spans="2:34" ht="15" customHeight="1" x14ac:dyDescent="0.25">
      <c r="B5" s="11"/>
      <c r="C5" s="1" t="str">
        <f>TEXT(WEEKDAY(DATE(AnnéeCalendrier,5,1),1),"jjj")</f>
        <v>sam</v>
      </c>
      <c r="D5" s="1" t="str">
        <f>TEXT(WEEKDAY(DATE(AnnéeCalendrier,5,2),1),"jjj")</f>
        <v>dim</v>
      </c>
      <c r="E5" s="1" t="str">
        <f>TEXT(WEEKDAY(DATE(AnnéeCalendrier,5,3),1),"jjj")</f>
        <v>lun</v>
      </c>
      <c r="F5" s="1" t="str">
        <f>TEXT(WEEKDAY(DATE(AnnéeCalendrier,5,4),1),"jjj")</f>
        <v>mar</v>
      </c>
      <c r="G5" s="1" t="str">
        <f>TEXT(WEEKDAY(DATE(AnnéeCalendrier,5,5),1),"jjj")</f>
        <v>mer</v>
      </c>
      <c r="H5" s="1" t="str">
        <f>TEXT(WEEKDAY(DATE(AnnéeCalendrier,5,6),1),"jjj")</f>
        <v>jeu</v>
      </c>
      <c r="I5" s="1" t="str">
        <f>TEXT(WEEKDAY(DATE(AnnéeCalendrier,5,7),1),"jjj")</f>
        <v>ven</v>
      </c>
      <c r="J5" s="1" t="str">
        <f>TEXT(WEEKDAY(DATE(AnnéeCalendrier,5,8),1),"jjj")</f>
        <v>sam</v>
      </c>
      <c r="K5" s="1" t="str">
        <f>TEXT(WEEKDAY(DATE(AnnéeCalendrier,5,9),1),"jjj")</f>
        <v>dim</v>
      </c>
      <c r="L5" s="1" t="str">
        <f>TEXT(WEEKDAY(DATE(AnnéeCalendrier,5,10),1),"jjj")</f>
        <v>lun</v>
      </c>
      <c r="M5" s="1" t="str">
        <f>TEXT(WEEKDAY(DATE(AnnéeCalendrier,5,11),1),"jjj")</f>
        <v>mar</v>
      </c>
      <c r="N5" s="1" t="str">
        <f>TEXT(WEEKDAY(DATE(AnnéeCalendrier,5,12),1),"jjj")</f>
        <v>mer</v>
      </c>
      <c r="O5" s="1" t="str">
        <f>TEXT(WEEKDAY(DATE(AnnéeCalendrier,5,13),1),"jjj")</f>
        <v>jeu</v>
      </c>
      <c r="P5" s="1" t="str">
        <f>TEXT(WEEKDAY(DATE(AnnéeCalendrier,5,14),1),"jjj")</f>
        <v>ven</v>
      </c>
      <c r="Q5" s="1" t="str">
        <f>TEXT(WEEKDAY(DATE(AnnéeCalendrier,5,15),1),"jjj")</f>
        <v>sam</v>
      </c>
      <c r="R5" s="1" t="str">
        <f>TEXT(WEEKDAY(DATE(AnnéeCalendrier,5,16),1),"jjj")</f>
        <v>dim</v>
      </c>
      <c r="S5" s="1" t="str">
        <f>TEXT(WEEKDAY(DATE(AnnéeCalendrier,5,17),1),"jjj")</f>
        <v>lun</v>
      </c>
      <c r="T5" s="1" t="str">
        <f>TEXT(WEEKDAY(DATE(AnnéeCalendrier,5,18),1),"jjj")</f>
        <v>mar</v>
      </c>
      <c r="U5" s="1" t="str">
        <f>TEXT(WEEKDAY(DATE(AnnéeCalendrier,5,19),1),"jjj")</f>
        <v>mer</v>
      </c>
      <c r="V5" s="1" t="str">
        <f>TEXT(WEEKDAY(DATE(AnnéeCalendrier,5,20),1),"jjj")</f>
        <v>jeu</v>
      </c>
      <c r="W5" s="1" t="str">
        <f>TEXT(WEEKDAY(DATE(AnnéeCalendrier,5,21),1),"jjj")</f>
        <v>ven</v>
      </c>
      <c r="X5" s="1" t="str">
        <f>TEXT(WEEKDAY(DATE(AnnéeCalendrier,5,22),1),"jjj")</f>
        <v>sam</v>
      </c>
      <c r="Y5" s="1" t="str">
        <f>TEXT(WEEKDAY(DATE(AnnéeCalendrier,5,23),1),"jjj")</f>
        <v>dim</v>
      </c>
      <c r="Z5" s="1" t="str">
        <f>TEXT(WEEKDAY(DATE(AnnéeCalendrier,5,24),1),"jjj")</f>
        <v>lun</v>
      </c>
      <c r="AA5" s="1" t="str">
        <f>TEXT(WEEKDAY(DATE(AnnéeCalendrier,5,25),1),"jjj")</f>
        <v>mar</v>
      </c>
      <c r="AB5" s="1" t="str">
        <f>TEXT(WEEKDAY(DATE(AnnéeCalendrier,5,26),1),"jjj")</f>
        <v>mer</v>
      </c>
      <c r="AC5" s="1" t="str">
        <f>TEXT(WEEKDAY(DATE(AnnéeCalendrier,5,27),1),"jjj")</f>
        <v>jeu</v>
      </c>
      <c r="AD5" s="1" t="str">
        <f>TEXT(WEEKDAY(DATE(AnnéeCalendrier,5,28),1),"jjj")</f>
        <v>ven</v>
      </c>
      <c r="AE5" s="1" t="str">
        <f>TEXT(WEEKDAY(DATE(AnnéeCalendrier,5,29),1),"jjj")</f>
        <v>sam</v>
      </c>
      <c r="AF5" s="1" t="str">
        <f>TEXT(WEEKDAY(DATE(AnnéeCalendrier,5,30),1),"jjj")</f>
        <v>dim</v>
      </c>
      <c r="AG5" s="1" t="str">
        <f>TEXT(WEEKDAY(DATE(AnnéeCalendrier,5,31),1),"jjj")</f>
        <v>lun</v>
      </c>
      <c r="AH5" s="11"/>
    </row>
    <row r="6" spans="2:34"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row>
    <row r="7" spans="2:34"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COUNTA(Mai[[#This Row],[1]:[31]])</f>
        <v>0</v>
      </c>
    </row>
    <row r="8" spans="2:34"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COUNTA(Mai[[#This Row],[1]:[31]])</f>
        <v>0</v>
      </c>
    </row>
    <row r="9" spans="2:34"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COUNTA(Mai[[#This Row],[1]:[31]])</f>
        <v>0</v>
      </c>
    </row>
    <row r="10" spans="2:34"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COUNTA(Mai[[#This Row],[1]:[31]])</f>
        <v>0</v>
      </c>
    </row>
    <row r="11" spans="2:34"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COUNTA(Mai[[#This Row],[1]:[31]])</f>
        <v>0</v>
      </c>
    </row>
    <row r="12" spans="2:34" ht="30" customHeight="1" x14ac:dyDescent="0.25">
      <c r="B12" s="20" t="str">
        <f>NomMois&amp;" Total"</f>
        <v>Mai Total</v>
      </c>
      <c r="C12" s="12">
        <f>SUBTOTAL(103,Mai[1])</f>
        <v>0</v>
      </c>
      <c r="D12" s="12">
        <f>SUBTOTAL(103,Mai[2])</f>
        <v>0</v>
      </c>
      <c r="E12" s="12">
        <f>SUBTOTAL(103,Mai[3])</f>
        <v>0</v>
      </c>
      <c r="F12" s="12">
        <f>SUBTOTAL(103,Mai[4])</f>
        <v>0</v>
      </c>
      <c r="G12" s="12">
        <f>SUBTOTAL(103,Mai[5])</f>
        <v>0</v>
      </c>
      <c r="H12" s="12">
        <f>SUBTOTAL(103,Mai[6])</f>
        <v>0</v>
      </c>
      <c r="I12" s="12">
        <f>SUBTOTAL(103,Mai[7])</f>
        <v>0</v>
      </c>
      <c r="J12" s="12">
        <f>SUBTOTAL(103,Mai[8])</f>
        <v>0</v>
      </c>
      <c r="K12" s="12">
        <f>SUBTOTAL(103,Mai[9])</f>
        <v>0</v>
      </c>
      <c r="L12" s="12">
        <f>SUBTOTAL(103,Mai[10])</f>
        <v>0</v>
      </c>
      <c r="M12" s="12">
        <f>SUBTOTAL(103,Mai[11])</f>
        <v>0</v>
      </c>
      <c r="N12" s="12">
        <f>SUBTOTAL(103,Mai[12])</f>
        <v>0</v>
      </c>
      <c r="O12" s="12">
        <f>SUBTOTAL(103,Mai[13])</f>
        <v>0</v>
      </c>
      <c r="P12" s="12">
        <f>SUBTOTAL(103,Mai[14])</f>
        <v>0</v>
      </c>
      <c r="Q12" s="12">
        <f>SUBTOTAL(103,Mai[15])</f>
        <v>0</v>
      </c>
      <c r="R12" s="12">
        <f>SUBTOTAL(103,Mai[16])</f>
        <v>0</v>
      </c>
      <c r="S12" s="12">
        <f>SUBTOTAL(103,Mai[17])</f>
        <v>0</v>
      </c>
      <c r="T12" s="12">
        <f>SUBTOTAL(103,Mai[18])</f>
        <v>0</v>
      </c>
      <c r="U12" s="12">
        <f>SUBTOTAL(103,Mai[19])</f>
        <v>0</v>
      </c>
      <c r="V12" s="12">
        <f>SUBTOTAL(103,Mai[20])</f>
        <v>0</v>
      </c>
      <c r="W12" s="12">
        <f>SUBTOTAL(103,Mai[21])</f>
        <v>0</v>
      </c>
      <c r="X12" s="12">
        <f>SUBTOTAL(103,Mai[22])</f>
        <v>0</v>
      </c>
      <c r="Y12" s="12">
        <f>SUBTOTAL(103,Mai[23])</f>
        <v>0</v>
      </c>
      <c r="Z12" s="12">
        <f>SUBTOTAL(103,Mai[24])</f>
        <v>0</v>
      </c>
      <c r="AA12" s="12">
        <f>SUBTOTAL(103,Mai[25])</f>
        <v>0</v>
      </c>
      <c r="AB12" s="12">
        <f>SUBTOTAL(103,Mai[26])</f>
        <v>0</v>
      </c>
      <c r="AC12" s="12">
        <f>SUBTOTAL(103,Mai[27])</f>
        <v>0</v>
      </c>
      <c r="AD12" s="12">
        <f>SUBTOTAL(103,Mai[28])</f>
        <v>0</v>
      </c>
      <c r="AE12" s="12">
        <f>SUBTOTAL(103,Mai[29])</f>
        <v>0</v>
      </c>
      <c r="AF12" s="12">
        <f>SUBTOTAL(103,Mai[30])</f>
        <v>0</v>
      </c>
      <c r="AG12" s="12">
        <f>SUBTOTAL(103,Mai[31])</f>
        <v>0</v>
      </c>
      <c r="AH12" s="12">
        <f>SUBTOTAL(109,Mai[Total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635" priority="2" stopIfTrue="1">
      <formula>C7=CléPersonnalisée2</formula>
    </cfRule>
    <cfRule type="expression" dxfId="634" priority="3" stopIfTrue="1">
      <formula>C7=CléPersonnalisée1</formula>
    </cfRule>
    <cfRule type="expression" dxfId="633" priority="4" stopIfTrue="1">
      <formula>C7=CléMaladie</formula>
    </cfRule>
    <cfRule type="expression" dxfId="632" priority="5" stopIfTrue="1">
      <formula>C7=CléPersonnel</formula>
    </cfRule>
    <cfRule type="expression" dxfId="631"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i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stagiaires'!$B$4:$B$8</xm:f>
          </x14:formula1>
          <xm:sqref>B7:B11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H12"/>
  <sheetViews>
    <sheetView showGridLines="0" zoomScaleNormal="100" workbookViewId="0">
      <selection activeCell="B2" sqref="B2:V2"/>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5703125" style="10" customWidth="1"/>
    <col min="10" max="33" width="4.7109375" style="10" customWidth="1"/>
    <col min="34" max="34" width="13.5703125" style="10" customWidth="1"/>
    <col min="35" max="35" width="2.7109375" customWidth="1"/>
  </cols>
  <sheetData>
    <row r="1" spans="2:34" ht="50.1" customHeight="1" x14ac:dyDescent="0.25">
      <c r="B1" s="13" t="str">
        <f>Titre_Absence_Employé</f>
        <v>Calendrier des stagiaires - ESAT JACQUEMART</v>
      </c>
    </row>
    <row r="2" spans="2:34" ht="15" customHeight="1" x14ac:dyDescent="0.25">
      <c r="B2" s="18" t="s">
        <v>59</v>
      </c>
      <c r="C2" s="3" t="s">
        <v>5</v>
      </c>
      <c r="D2" s="37" t="s">
        <v>50</v>
      </c>
      <c r="E2" s="38"/>
      <c r="F2" s="4" t="s">
        <v>69</v>
      </c>
      <c r="G2" s="37" t="s">
        <v>67</v>
      </c>
      <c r="H2" s="38"/>
      <c r="I2" s="38"/>
      <c r="J2" s="5" t="s">
        <v>51</v>
      </c>
      <c r="K2" s="37" t="s">
        <v>68</v>
      </c>
      <c r="L2" s="38"/>
      <c r="M2" s="6"/>
      <c r="N2" s="37"/>
      <c r="O2" s="38"/>
      <c r="P2" s="38"/>
      <c r="Q2" s="38"/>
      <c r="R2" s="7"/>
      <c r="S2" s="38"/>
      <c r="T2" s="38"/>
      <c r="U2" s="38"/>
      <c r="V2" s="38"/>
    </row>
    <row r="3" spans="2:34" ht="15" customHeight="1" x14ac:dyDescent="0.25">
      <c r="B3" s="13"/>
    </row>
    <row r="4" spans="2:34" ht="30" customHeight="1" x14ac:dyDescent="0.25">
      <c r="B4" s="11" t="s">
        <v>39</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f>AnnéeCalendrier</f>
        <v>2021</v>
      </c>
    </row>
    <row r="5" spans="2:34" ht="15" customHeight="1" x14ac:dyDescent="0.25">
      <c r="B5" s="11"/>
      <c r="C5" s="1" t="str">
        <f>TEXT(WEEKDAY(DATE(AnnéeCalendrier,3,1),1),"jjj")</f>
        <v>lun</v>
      </c>
      <c r="D5" s="1" t="str">
        <f>TEXT(WEEKDAY(DATE(AnnéeCalendrier,3,2),1),"jjj")</f>
        <v>mar</v>
      </c>
      <c r="E5" s="1" t="str">
        <f>TEXT(WEEKDAY(DATE(AnnéeCalendrier,3,3),1),"jjj")</f>
        <v>mer</v>
      </c>
      <c r="F5" s="1" t="str">
        <f>TEXT(WEEKDAY(DATE(AnnéeCalendrier,3,4),1),"jjj")</f>
        <v>jeu</v>
      </c>
      <c r="G5" s="1" t="str">
        <f>TEXT(WEEKDAY(DATE(AnnéeCalendrier,3,5),1),"jjj")</f>
        <v>ven</v>
      </c>
      <c r="H5" s="1" t="str">
        <f>TEXT(WEEKDAY(DATE(AnnéeCalendrier,3,6),1),"jjj")</f>
        <v>sam</v>
      </c>
      <c r="I5" s="1" t="str">
        <f>TEXT(WEEKDAY(DATE(AnnéeCalendrier,3,7),1),"jjj")</f>
        <v>dim</v>
      </c>
      <c r="J5" s="1" t="str">
        <f>TEXT(WEEKDAY(DATE(AnnéeCalendrier,3,8),1),"jjj")</f>
        <v>lun</v>
      </c>
      <c r="K5" s="1" t="str">
        <f>TEXT(WEEKDAY(DATE(AnnéeCalendrier,3,9),1),"jjj")</f>
        <v>mar</v>
      </c>
      <c r="L5" s="1" t="str">
        <f>TEXT(WEEKDAY(DATE(AnnéeCalendrier,3,10),1),"jjj")</f>
        <v>mer</v>
      </c>
      <c r="M5" s="1" t="str">
        <f>TEXT(WEEKDAY(DATE(AnnéeCalendrier,3,11),1),"jjj")</f>
        <v>jeu</v>
      </c>
      <c r="N5" s="1" t="str">
        <f>TEXT(WEEKDAY(DATE(AnnéeCalendrier,3,12),1),"jjj")</f>
        <v>ven</v>
      </c>
      <c r="O5" s="1" t="str">
        <f>TEXT(WEEKDAY(DATE(AnnéeCalendrier,3,13),1),"jjj")</f>
        <v>sam</v>
      </c>
      <c r="P5" s="1" t="str">
        <f>TEXT(WEEKDAY(DATE(AnnéeCalendrier,3,14),1),"jjj")</f>
        <v>dim</v>
      </c>
      <c r="Q5" s="1" t="str">
        <f>TEXT(WEEKDAY(DATE(AnnéeCalendrier,3,15),1),"jjj")</f>
        <v>lun</v>
      </c>
      <c r="R5" s="1" t="str">
        <f>TEXT(WEEKDAY(DATE(AnnéeCalendrier,3,16),1),"jjj")</f>
        <v>mar</v>
      </c>
      <c r="S5" s="1" t="str">
        <f>TEXT(WEEKDAY(DATE(AnnéeCalendrier,3,17),1),"jjj")</f>
        <v>mer</v>
      </c>
      <c r="T5" s="1" t="str">
        <f>TEXT(WEEKDAY(DATE(AnnéeCalendrier,3,18),1),"jjj")</f>
        <v>jeu</v>
      </c>
      <c r="U5" s="1" t="str">
        <f>TEXT(WEEKDAY(DATE(AnnéeCalendrier,3,19),1),"jjj")</f>
        <v>ven</v>
      </c>
      <c r="V5" s="1" t="str">
        <f>TEXT(WEEKDAY(DATE(AnnéeCalendrier,3,20),1),"jjj")</f>
        <v>sam</v>
      </c>
      <c r="W5" s="1" t="str">
        <f>TEXT(WEEKDAY(DATE(AnnéeCalendrier,3,21),1),"jjj")</f>
        <v>dim</v>
      </c>
      <c r="X5" s="1" t="str">
        <f>TEXT(WEEKDAY(DATE(AnnéeCalendrier,3,22),1),"jjj")</f>
        <v>lun</v>
      </c>
      <c r="Y5" s="1" t="str">
        <f>TEXT(WEEKDAY(DATE(AnnéeCalendrier,3,23),1),"jjj")</f>
        <v>mar</v>
      </c>
      <c r="Z5" s="1" t="str">
        <f>TEXT(WEEKDAY(DATE(AnnéeCalendrier,3,24),1),"jjj")</f>
        <v>mer</v>
      </c>
      <c r="AA5" s="1" t="str">
        <f>TEXT(WEEKDAY(DATE(AnnéeCalendrier,3,25),1),"jjj")</f>
        <v>jeu</v>
      </c>
      <c r="AB5" s="1" t="str">
        <f>TEXT(WEEKDAY(DATE(AnnéeCalendrier,3,26),1),"jjj")</f>
        <v>ven</v>
      </c>
      <c r="AC5" s="1" t="str">
        <f>TEXT(WEEKDAY(DATE(AnnéeCalendrier,3,27),1),"jjj")</f>
        <v>sam</v>
      </c>
      <c r="AD5" s="1" t="str">
        <f>TEXT(WEEKDAY(DATE(AnnéeCalendrier,3,28),1),"jjj")</f>
        <v>dim</v>
      </c>
      <c r="AE5" s="1" t="str">
        <f>TEXT(WEEKDAY(DATE(AnnéeCalendrier,3,29),1),"jjj")</f>
        <v>lun</v>
      </c>
      <c r="AF5" s="1" t="str">
        <f>TEXT(WEEKDAY(DATE(AnnéeCalendrier,3,30),1),"jjj")</f>
        <v>mar</v>
      </c>
      <c r="AG5" s="1" t="str">
        <f>TEXT(WEEKDAY(DATE(AnnéeCalendrier,3,31),1),"jjj")</f>
        <v>mer</v>
      </c>
      <c r="AH5" s="11"/>
    </row>
    <row r="6" spans="2:34"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row>
    <row r="7" spans="2:34"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COUNTA(Mars[[#This Row],[1]:[31]])</f>
        <v>0</v>
      </c>
    </row>
    <row r="8" spans="2:34"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COUNTA(Mars[[#This Row],[1]:[31]])</f>
        <v>0</v>
      </c>
    </row>
    <row r="9" spans="2:34"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COUNTA(Mars[[#This Row],[1]:[31]])</f>
        <v>0</v>
      </c>
    </row>
    <row r="10" spans="2:34"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COUNTA(Mars[[#This Row],[1]:[31]])</f>
        <v>0</v>
      </c>
    </row>
    <row r="11" spans="2:34"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COUNTA(Mars[[#This Row],[1]:[31]])</f>
        <v>0</v>
      </c>
    </row>
    <row r="12" spans="2:34" ht="30" customHeight="1" x14ac:dyDescent="0.25">
      <c r="B12" s="20" t="str">
        <f>NomMois&amp;" Total"</f>
        <v>Mars Total</v>
      </c>
      <c r="C12" s="12">
        <f>SUBTOTAL(103,Mars[1])</f>
        <v>0</v>
      </c>
      <c r="D12" s="12">
        <f>SUBTOTAL(103,Mars[2])</f>
        <v>0</v>
      </c>
      <c r="E12" s="12">
        <f>SUBTOTAL(103,Mars[3])</f>
        <v>0</v>
      </c>
      <c r="F12" s="12">
        <f>SUBTOTAL(103,Mars[4])</f>
        <v>0</v>
      </c>
      <c r="G12" s="12">
        <f>SUBTOTAL(103,Mars[5])</f>
        <v>0</v>
      </c>
      <c r="H12" s="12">
        <f>SUBTOTAL(103,Mars[6])</f>
        <v>0</v>
      </c>
      <c r="I12" s="12">
        <f>SUBTOTAL(103,Mars[7])</f>
        <v>0</v>
      </c>
      <c r="J12" s="12">
        <f>SUBTOTAL(103,Mars[8])</f>
        <v>0</v>
      </c>
      <c r="K12" s="12">
        <f>SUBTOTAL(103,Mars[9])</f>
        <v>0</v>
      </c>
      <c r="L12" s="12">
        <f>SUBTOTAL(103,Mars[10])</f>
        <v>0</v>
      </c>
      <c r="M12" s="12">
        <f>SUBTOTAL(103,Mars[11])</f>
        <v>0</v>
      </c>
      <c r="N12" s="12">
        <f>SUBTOTAL(103,Mars[12])</f>
        <v>0</v>
      </c>
      <c r="O12" s="12">
        <f>SUBTOTAL(103,Mars[13])</f>
        <v>0</v>
      </c>
      <c r="P12" s="12">
        <f>SUBTOTAL(103,Mars[14])</f>
        <v>0</v>
      </c>
      <c r="Q12" s="12">
        <f>SUBTOTAL(103,Mars[15])</f>
        <v>0</v>
      </c>
      <c r="R12" s="12">
        <f>SUBTOTAL(103,Mars[16])</f>
        <v>0</v>
      </c>
      <c r="S12" s="12">
        <f>SUBTOTAL(103,Mars[17])</f>
        <v>0</v>
      </c>
      <c r="T12" s="12">
        <f>SUBTOTAL(103,Mars[18])</f>
        <v>0</v>
      </c>
      <c r="U12" s="12">
        <f>SUBTOTAL(103,Mars[19])</f>
        <v>0</v>
      </c>
      <c r="V12" s="12">
        <f>SUBTOTAL(103,Mars[20])</f>
        <v>0</v>
      </c>
      <c r="W12" s="12">
        <f>SUBTOTAL(103,Mars[21])</f>
        <v>0</v>
      </c>
      <c r="X12" s="12">
        <f>SUBTOTAL(103,Mars[22])</f>
        <v>0</v>
      </c>
      <c r="Y12" s="12">
        <f>SUBTOTAL(103,Mars[23])</f>
        <v>0</v>
      </c>
      <c r="Z12" s="12">
        <f>SUBTOTAL(103,Mars[24])</f>
        <v>0</v>
      </c>
      <c r="AA12" s="12">
        <f>SUBTOTAL(103,Mars[25])</f>
        <v>0</v>
      </c>
      <c r="AB12" s="12">
        <f>SUBTOTAL(103,Mars[26])</f>
        <v>0</v>
      </c>
      <c r="AC12" s="12">
        <f>SUBTOTAL(103,Mars[27])</f>
        <v>0</v>
      </c>
      <c r="AD12" s="12">
        <f>SUBTOTAL(103,Mars[28])</f>
        <v>0</v>
      </c>
      <c r="AE12" s="12">
        <f>SUBTOTAL(103,Mars[29])</f>
        <v>0</v>
      </c>
      <c r="AF12" s="12">
        <f>SUBTOTAL(103,Mars[30])</f>
        <v>0</v>
      </c>
      <c r="AG12" s="12">
        <f>SUBTOTAL(103,Mars[31])</f>
        <v>0</v>
      </c>
      <c r="AH12" s="12">
        <f>SUBTOTAL(109,Mars[Total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783" priority="2" stopIfTrue="1">
      <formula>C7=CléPersonnalisée2</formula>
    </cfRule>
    <cfRule type="expression" dxfId="782" priority="3" stopIfTrue="1">
      <formula>C7=CléPersonnalisée1</formula>
    </cfRule>
    <cfRule type="expression" dxfId="781" priority="4" stopIfTrue="1">
      <formula>C7=CléMaladie</formula>
    </cfRule>
    <cfRule type="expression" dxfId="780" priority="5" stopIfTrue="1">
      <formula>C7=CléPersonnel</formula>
    </cfRule>
    <cfRule type="expression" dxfId="779"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rs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stagiaires'!$B$4:$B$8</xm:f>
          </x14:formula1>
          <xm:sqref>B7:B11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H12"/>
  <sheetViews>
    <sheetView showGridLines="0" zoomScaleNormal="100" workbookViewId="0">
      <selection activeCell="J19" sqref="J19"/>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7" style="10" customWidth="1"/>
    <col min="10" max="33" width="4.7109375" style="10" customWidth="1"/>
    <col min="34" max="34" width="13.5703125" style="10" customWidth="1"/>
    <col min="35" max="35" width="2.7109375" customWidth="1"/>
  </cols>
  <sheetData>
    <row r="1" spans="2:34" ht="50.1" customHeight="1" x14ac:dyDescent="0.25">
      <c r="B1" s="13" t="str">
        <f>Titre_Absence_Employé</f>
        <v>Calendrier des stagiaires - ESAT JACQUEMART</v>
      </c>
    </row>
    <row r="2" spans="2:34" ht="15" customHeight="1" x14ac:dyDescent="0.25">
      <c r="B2" s="18" t="s">
        <v>59</v>
      </c>
      <c r="C2" s="3" t="s">
        <v>5</v>
      </c>
      <c r="D2" s="37" t="s">
        <v>50</v>
      </c>
      <c r="E2" s="38"/>
      <c r="F2" s="4" t="s">
        <v>69</v>
      </c>
      <c r="G2" s="37" t="s">
        <v>67</v>
      </c>
      <c r="H2" s="38"/>
      <c r="I2" s="38"/>
      <c r="J2" s="5" t="s">
        <v>51</v>
      </c>
      <c r="K2" s="37" t="s">
        <v>68</v>
      </c>
      <c r="L2" s="38"/>
      <c r="M2" s="6"/>
      <c r="N2" s="37"/>
      <c r="O2" s="38"/>
      <c r="P2" s="38"/>
      <c r="Q2" s="38"/>
      <c r="R2" s="7"/>
      <c r="S2" s="38"/>
      <c r="T2" s="38"/>
      <c r="U2" s="38"/>
      <c r="V2" s="38"/>
    </row>
    <row r="3" spans="2:34" ht="15" customHeight="1" x14ac:dyDescent="0.25">
      <c r="B3" s="13"/>
    </row>
    <row r="4" spans="2:34" ht="30" customHeight="1" x14ac:dyDescent="0.25">
      <c r="B4" s="11" t="s">
        <v>40</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f>AnnéeCalendrier</f>
        <v>2021</v>
      </c>
    </row>
    <row r="5" spans="2:34" ht="15" customHeight="1" x14ac:dyDescent="0.25">
      <c r="B5" s="11"/>
      <c r="C5" s="1" t="str">
        <f>TEXT(WEEKDAY(DATE(AnnéeCalendrier,4,1),1),"jjj")</f>
        <v>jeu</v>
      </c>
      <c r="D5" s="1" t="str">
        <f>TEXT(WEEKDAY(DATE(AnnéeCalendrier,4,2),1),"jjj")</f>
        <v>ven</v>
      </c>
      <c r="E5" s="1" t="str">
        <f>TEXT(WEEKDAY(DATE(AnnéeCalendrier,4,3),1),"jjj")</f>
        <v>sam</v>
      </c>
      <c r="F5" s="1" t="str">
        <f>TEXT(WEEKDAY(DATE(AnnéeCalendrier,4,4),1),"jjj")</f>
        <v>dim</v>
      </c>
      <c r="G5" s="1" t="str">
        <f>TEXT(WEEKDAY(DATE(AnnéeCalendrier,4,5),1),"jjj")</f>
        <v>lun</v>
      </c>
      <c r="H5" s="1" t="str">
        <f>TEXT(WEEKDAY(DATE(AnnéeCalendrier,4,6),1),"jjj")</f>
        <v>mar</v>
      </c>
      <c r="I5" s="1" t="str">
        <f>TEXT(WEEKDAY(DATE(AnnéeCalendrier,4,7),1),"jjj")</f>
        <v>mer</v>
      </c>
      <c r="J5" s="1" t="str">
        <f>TEXT(WEEKDAY(DATE(AnnéeCalendrier,4,8),1),"jjj")</f>
        <v>jeu</v>
      </c>
      <c r="K5" s="1" t="str">
        <f>TEXT(WEEKDAY(DATE(AnnéeCalendrier,4,9),1),"jjj")</f>
        <v>ven</v>
      </c>
      <c r="L5" s="1" t="str">
        <f>TEXT(WEEKDAY(DATE(AnnéeCalendrier,4,10),1),"jjj")</f>
        <v>sam</v>
      </c>
      <c r="M5" s="1" t="str">
        <f>TEXT(WEEKDAY(DATE(AnnéeCalendrier,4,11),1),"jjj")</f>
        <v>dim</v>
      </c>
      <c r="N5" s="1" t="str">
        <f>TEXT(WEEKDAY(DATE(AnnéeCalendrier,4,12),1),"jjj")</f>
        <v>lun</v>
      </c>
      <c r="O5" s="1" t="str">
        <f>TEXT(WEEKDAY(DATE(AnnéeCalendrier,4,13),1),"jjj")</f>
        <v>mar</v>
      </c>
      <c r="P5" s="1" t="str">
        <f>TEXT(WEEKDAY(DATE(AnnéeCalendrier,4,14),1),"jjj")</f>
        <v>mer</v>
      </c>
      <c r="Q5" s="1" t="str">
        <f>TEXT(WEEKDAY(DATE(AnnéeCalendrier,4,15),1),"jjj")</f>
        <v>jeu</v>
      </c>
      <c r="R5" s="1" t="str">
        <f>TEXT(WEEKDAY(DATE(AnnéeCalendrier,4,16),1),"jjj")</f>
        <v>ven</v>
      </c>
      <c r="S5" s="1" t="str">
        <f>TEXT(WEEKDAY(DATE(AnnéeCalendrier,4,17),1),"jjj")</f>
        <v>sam</v>
      </c>
      <c r="T5" s="1" t="str">
        <f>TEXT(WEEKDAY(DATE(AnnéeCalendrier,4,18),1),"jjj")</f>
        <v>dim</v>
      </c>
      <c r="U5" s="1" t="str">
        <f>TEXT(WEEKDAY(DATE(AnnéeCalendrier,4,19),1),"jjj")</f>
        <v>lun</v>
      </c>
      <c r="V5" s="1" t="str">
        <f>TEXT(WEEKDAY(DATE(AnnéeCalendrier,4,20),1),"jjj")</f>
        <v>mar</v>
      </c>
      <c r="W5" s="1" t="str">
        <f>TEXT(WEEKDAY(DATE(AnnéeCalendrier,4,21),1),"jjj")</f>
        <v>mer</v>
      </c>
      <c r="X5" s="1" t="str">
        <f>TEXT(WEEKDAY(DATE(AnnéeCalendrier,4,22),1),"jjj")</f>
        <v>jeu</v>
      </c>
      <c r="Y5" s="1" t="str">
        <f>TEXT(WEEKDAY(DATE(AnnéeCalendrier,4,23),1),"jjj")</f>
        <v>ven</v>
      </c>
      <c r="Z5" s="1" t="str">
        <f>TEXT(WEEKDAY(DATE(AnnéeCalendrier,4,24),1),"jjj")</f>
        <v>sam</v>
      </c>
      <c r="AA5" s="1" t="str">
        <f>TEXT(WEEKDAY(DATE(AnnéeCalendrier,4,25),1),"jjj")</f>
        <v>dim</v>
      </c>
      <c r="AB5" s="1" t="str">
        <f>TEXT(WEEKDAY(DATE(AnnéeCalendrier,4,26),1),"jjj")</f>
        <v>lun</v>
      </c>
      <c r="AC5" s="1" t="str">
        <f>TEXT(WEEKDAY(DATE(AnnéeCalendrier,4,27),1),"jjj")</f>
        <v>mar</v>
      </c>
      <c r="AD5" s="1" t="str">
        <f>TEXT(WEEKDAY(DATE(AnnéeCalendrier,4,28),1),"jjj")</f>
        <v>mer</v>
      </c>
      <c r="AE5" s="1" t="str">
        <f>TEXT(WEEKDAY(DATE(AnnéeCalendrier,4,29),1),"jjj")</f>
        <v>jeu</v>
      </c>
      <c r="AF5" s="1" t="str">
        <f>TEXT(WEEKDAY(DATE(AnnéeCalendrier,4,30),1),"jjj")</f>
        <v>ven</v>
      </c>
      <c r="AG5" s="1"/>
      <c r="AH5" s="11"/>
    </row>
    <row r="6" spans="2:34"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2" t="s">
        <v>37</v>
      </c>
      <c r="AH6" s="15" t="s">
        <v>35</v>
      </c>
    </row>
    <row r="7" spans="2:34"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COUNTA(Avril[[#This Row],[1]:[30]])</f>
        <v>0</v>
      </c>
    </row>
    <row r="8" spans="2:34"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COUNTA(Avril[[#This Row],[1]:[30]])</f>
        <v>0</v>
      </c>
    </row>
    <row r="9" spans="2:34"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COUNTA(Avril[[#This Row],[1]:[30]])</f>
        <v>0</v>
      </c>
    </row>
    <row r="10" spans="2:34"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COUNTA(Avril[[#This Row],[1]:[30]])</f>
        <v>0</v>
      </c>
    </row>
    <row r="11" spans="2:34"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COUNTA(Avril[[#This Row],[1]:[30]])</f>
        <v>0</v>
      </c>
    </row>
    <row r="12" spans="2:34" ht="30" customHeight="1" x14ac:dyDescent="0.25">
      <c r="B12" s="20" t="str">
        <f>NomMois&amp;" Total"</f>
        <v>Avril Total</v>
      </c>
      <c r="C12" s="12">
        <f>SUBTOTAL(103,Avril[1])</f>
        <v>0</v>
      </c>
      <c r="D12" s="12">
        <f>SUBTOTAL(103,Avril[2])</f>
        <v>0</v>
      </c>
      <c r="E12" s="12">
        <f>SUBTOTAL(103,Avril[3])</f>
        <v>0</v>
      </c>
      <c r="F12" s="12">
        <f>SUBTOTAL(103,Avril[4])</f>
        <v>0</v>
      </c>
      <c r="G12" s="12">
        <f>SUBTOTAL(103,Avril[5])</f>
        <v>0</v>
      </c>
      <c r="H12" s="12">
        <f>SUBTOTAL(103,Avril[6])</f>
        <v>0</v>
      </c>
      <c r="I12" s="12">
        <f>SUBTOTAL(103,Avril[7])</f>
        <v>0</v>
      </c>
      <c r="J12" s="12">
        <f>SUBTOTAL(103,Avril[8])</f>
        <v>0</v>
      </c>
      <c r="K12" s="12">
        <f>SUBTOTAL(103,Avril[9])</f>
        <v>0</v>
      </c>
      <c r="L12" s="12">
        <f>SUBTOTAL(103,Avril[10])</f>
        <v>0</v>
      </c>
      <c r="M12" s="12">
        <f>SUBTOTAL(103,Avril[11])</f>
        <v>0</v>
      </c>
      <c r="N12" s="12">
        <f>SUBTOTAL(103,Avril[12])</f>
        <v>0</v>
      </c>
      <c r="O12" s="12">
        <f>SUBTOTAL(103,Avril[13])</f>
        <v>0</v>
      </c>
      <c r="P12" s="12">
        <f>SUBTOTAL(103,Avril[14])</f>
        <v>0</v>
      </c>
      <c r="Q12" s="12">
        <f>SUBTOTAL(103,Avril[15])</f>
        <v>0</v>
      </c>
      <c r="R12" s="12">
        <f>SUBTOTAL(103,Avril[16])</f>
        <v>0</v>
      </c>
      <c r="S12" s="12">
        <f>SUBTOTAL(103,Avril[17])</f>
        <v>0</v>
      </c>
      <c r="T12" s="12">
        <f>SUBTOTAL(103,Avril[18])</f>
        <v>0</v>
      </c>
      <c r="U12" s="12">
        <f>SUBTOTAL(103,Avril[19])</f>
        <v>0</v>
      </c>
      <c r="V12" s="12">
        <f>SUBTOTAL(103,Avril[20])</f>
        <v>0</v>
      </c>
      <c r="W12" s="12">
        <f>SUBTOTAL(103,Avril[21])</f>
        <v>0</v>
      </c>
      <c r="X12" s="12">
        <f>SUBTOTAL(103,Avril[22])</f>
        <v>0</v>
      </c>
      <c r="Y12" s="12">
        <f>SUBTOTAL(103,Avril[23])</f>
        <v>0</v>
      </c>
      <c r="Z12" s="12">
        <f>SUBTOTAL(103,Avril[24])</f>
        <v>0</v>
      </c>
      <c r="AA12" s="12">
        <f>SUBTOTAL(103,Avril[25])</f>
        <v>0</v>
      </c>
      <c r="AB12" s="12">
        <f>SUBTOTAL(103,Avril[26])</f>
        <v>0</v>
      </c>
      <c r="AC12" s="12">
        <f>SUBTOTAL(103,Avril[27])</f>
        <v>0</v>
      </c>
      <c r="AD12" s="12">
        <f>SUBTOTAL(103,Avril[28])</f>
        <v>0</v>
      </c>
      <c r="AE12" s="12">
        <f>SUBTOTAL(103,Avril[29])</f>
        <v>0</v>
      </c>
      <c r="AF12" s="12">
        <f>SUBTOTAL(103,Avril[30])</f>
        <v>0</v>
      </c>
      <c r="AG12" s="12">
        <f>SUBTOTAL(103,Avril[30])</f>
        <v>0</v>
      </c>
      <c r="AH12" s="12">
        <f>SUBTOTAL(109,Avril[Total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709" priority="2" stopIfTrue="1">
      <formula>C7=CléPersonnalisée2</formula>
    </cfRule>
    <cfRule type="expression" dxfId="708" priority="3" stopIfTrue="1">
      <formula>C7=CléPersonnalisée1</formula>
    </cfRule>
    <cfRule type="expression" dxfId="707" priority="4" stopIfTrue="1">
      <formula>C7=CléMaladie</formula>
    </cfRule>
    <cfRule type="expression" dxfId="706" priority="5" stopIfTrue="1">
      <formula>C7=CléPersonnel</formula>
    </cfRule>
    <cfRule type="expression" dxfId="705"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4">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avril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stagiaires'!$B$4:$B$8</xm:f>
          </x14:formula1>
          <xm:sqref>B7:B11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sheetPr>
  <dimension ref="A1:AH12"/>
  <sheetViews>
    <sheetView showGridLines="0" zoomScaleNormal="100" workbookViewId="0">
      <selection activeCell="B7" sqref="B7"/>
    </sheetView>
  </sheetViews>
  <sheetFormatPr baseColWidth="10" defaultColWidth="9.140625" defaultRowHeight="30" customHeight="1" x14ac:dyDescent="0.25"/>
  <cols>
    <col min="1" max="1" width="2.7109375" style="10" customWidth="1"/>
    <col min="2" max="2" width="25.7109375" style="10" customWidth="1"/>
    <col min="3" max="5" width="4.7109375" style="10" customWidth="1"/>
    <col min="6" max="6" width="4.85546875" style="10" bestFit="1" customWidth="1"/>
    <col min="7" max="7" width="4.5703125" style="10" bestFit="1" customWidth="1"/>
    <col min="8" max="8" width="4.7109375" style="10" customWidth="1"/>
    <col min="9" max="9" width="7.28515625" style="10" customWidth="1"/>
    <col min="10" max="33" width="4.7109375" style="10" customWidth="1"/>
    <col min="34" max="34" width="13.5703125" style="10" customWidth="1"/>
    <col min="35" max="35" width="2.7109375" customWidth="1"/>
  </cols>
  <sheetData>
    <row r="1" spans="2:34" ht="50.1" customHeight="1" x14ac:dyDescent="0.25">
      <c r="B1" s="13" t="str">
        <f>Titre_Absence_Employé</f>
        <v>Calendrier des stagiaires - ESAT JACQUEMART</v>
      </c>
    </row>
    <row r="2" spans="2:34" ht="15" customHeight="1" x14ac:dyDescent="0.25">
      <c r="B2" s="18" t="s">
        <v>59</v>
      </c>
      <c r="C2" s="3" t="s">
        <v>5</v>
      </c>
      <c r="D2" s="37" t="s">
        <v>50</v>
      </c>
      <c r="E2" s="38"/>
      <c r="F2" s="4" t="s">
        <v>69</v>
      </c>
      <c r="G2" s="37" t="s">
        <v>67</v>
      </c>
      <c r="H2" s="38"/>
      <c r="I2" s="38"/>
      <c r="J2" s="5" t="s">
        <v>51</v>
      </c>
      <c r="K2" s="37" t="s">
        <v>68</v>
      </c>
      <c r="L2" s="38"/>
      <c r="M2" s="6"/>
      <c r="N2" s="37"/>
      <c r="O2" s="38"/>
      <c r="P2" s="38"/>
      <c r="Q2" s="38"/>
      <c r="R2" s="7"/>
      <c r="S2" s="38"/>
      <c r="T2" s="38"/>
      <c r="U2" s="38"/>
      <c r="V2" s="38"/>
    </row>
    <row r="3" spans="2:34" ht="15" customHeight="1" x14ac:dyDescent="0.25">
      <c r="B3" s="13"/>
    </row>
    <row r="4" spans="2:34" ht="30" customHeight="1" x14ac:dyDescent="0.25">
      <c r="B4" s="11" t="s">
        <v>42</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f>AnnéeCalendrier</f>
        <v>2021</v>
      </c>
    </row>
    <row r="5" spans="2:34" ht="15" customHeight="1" x14ac:dyDescent="0.25">
      <c r="B5" s="11"/>
      <c r="C5" s="1" t="str">
        <f>TEXT(WEEKDAY(DATE(AnnéeCalendrier,6,1),1),"jjj")</f>
        <v>mar</v>
      </c>
      <c r="D5" s="1" t="str">
        <f>TEXT(WEEKDAY(DATE(AnnéeCalendrier,6,2),1),"jjj")</f>
        <v>mer</v>
      </c>
      <c r="E5" s="1" t="str">
        <f>TEXT(WEEKDAY(DATE(AnnéeCalendrier,6,3),1),"jjj")</f>
        <v>jeu</v>
      </c>
      <c r="F5" s="1" t="str">
        <f>TEXT(WEEKDAY(DATE(AnnéeCalendrier,6,4),1),"jjj")</f>
        <v>ven</v>
      </c>
      <c r="G5" s="1" t="str">
        <f>TEXT(WEEKDAY(DATE(AnnéeCalendrier,6,5),1),"jjj")</f>
        <v>sam</v>
      </c>
      <c r="H5" s="1" t="str">
        <f>TEXT(WEEKDAY(DATE(AnnéeCalendrier,6,6),1),"jjj")</f>
        <v>dim</v>
      </c>
      <c r="I5" s="1" t="str">
        <f>TEXT(WEEKDAY(DATE(AnnéeCalendrier,6,7),1),"jjj")</f>
        <v>lun</v>
      </c>
      <c r="J5" s="1" t="str">
        <f>TEXT(WEEKDAY(DATE(AnnéeCalendrier,6,8),1),"jjj")</f>
        <v>mar</v>
      </c>
      <c r="K5" s="1" t="str">
        <f>TEXT(WEEKDAY(DATE(AnnéeCalendrier,6,9),1),"jjj")</f>
        <v>mer</v>
      </c>
      <c r="L5" s="1" t="str">
        <f>TEXT(WEEKDAY(DATE(AnnéeCalendrier,6,10),1),"jjj")</f>
        <v>jeu</v>
      </c>
      <c r="M5" s="1" t="str">
        <f>TEXT(WEEKDAY(DATE(AnnéeCalendrier,6,11),1),"jjj")</f>
        <v>ven</v>
      </c>
      <c r="N5" s="1" t="str">
        <f>TEXT(WEEKDAY(DATE(AnnéeCalendrier,6,12),1),"jjj")</f>
        <v>sam</v>
      </c>
      <c r="O5" s="1" t="str">
        <f>TEXT(WEEKDAY(DATE(AnnéeCalendrier,6,13),1),"jjj")</f>
        <v>dim</v>
      </c>
      <c r="P5" s="1" t="str">
        <f>TEXT(WEEKDAY(DATE(AnnéeCalendrier,6,14),1),"jjj")</f>
        <v>lun</v>
      </c>
      <c r="Q5" s="1" t="str">
        <f>TEXT(WEEKDAY(DATE(AnnéeCalendrier,6,15),1),"jjj")</f>
        <v>mar</v>
      </c>
      <c r="R5" s="1" t="str">
        <f>TEXT(WEEKDAY(DATE(AnnéeCalendrier,6,16),1),"jjj")</f>
        <v>mer</v>
      </c>
      <c r="S5" s="1" t="str">
        <f>TEXT(WEEKDAY(DATE(AnnéeCalendrier,6,17),1),"jjj")</f>
        <v>jeu</v>
      </c>
      <c r="T5" s="1" t="str">
        <f>TEXT(WEEKDAY(DATE(AnnéeCalendrier,6,18),1),"jjj")</f>
        <v>ven</v>
      </c>
      <c r="U5" s="1" t="str">
        <f>TEXT(WEEKDAY(DATE(AnnéeCalendrier,6,19),1),"jjj")</f>
        <v>sam</v>
      </c>
      <c r="V5" s="1" t="str">
        <f>TEXT(WEEKDAY(DATE(AnnéeCalendrier,6,20),1),"jjj")</f>
        <v>dim</v>
      </c>
      <c r="W5" s="1" t="str">
        <f>TEXT(WEEKDAY(DATE(AnnéeCalendrier,6,21),1),"jjj")</f>
        <v>lun</v>
      </c>
      <c r="X5" s="1" t="str">
        <f>TEXT(WEEKDAY(DATE(AnnéeCalendrier,6,22),1),"jjj")</f>
        <v>mar</v>
      </c>
      <c r="Y5" s="1" t="str">
        <f>TEXT(WEEKDAY(DATE(AnnéeCalendrier,6,23),1),"jjj")</f>
        <v>mer</v>
      </c>
      <c r="Z5" s="1" t="str">
        <f>TEXT(WEEKDAY(DATE(AnnéeCalendrier,6,24),1),"jjj")</f>
        <v>jeu</v>
      </c>
      <c r="AA5" s="1" t="str">
        <f>TEXT(WEEKDAY(DATE(AnnéeCalendrier,6,25),1),"jjj")</f>
        <v>ven</v>
      </c>
      <c r="AB5" s="1" t="str">
        <f>TEXT(WEEKDAY(DATE(AnnéeCalendrier,6,26),1),"jjj")</f>
        <v>sam</v>
      </c>
      <c r="AC5" s="1" t="str">
        <f>TEXT(WEEKDAY(DATE(AnnéeCalendrier,6,27),1),"jjj")</f>
        <v>dim</v>
      </c>
      <c r="AD5" s="1" t="str">
        <f>TEXT(WEEKDAY(DATE(AnnéeCalendrier,6,28),1),"jjj")</f>
        <v>lun</v>
      </c>
      <c r="AE5" s="1" t="str">
        <f>TEXT(WEEKDAY(DATE(AnnéeCalendrier,6,29),1),"jjj")</f>
        <v>mar</v>
      </c>
      <c r="AF5" s="1" t="str">
        <f>TEXT(WEEKDAY(DATE(AnnéeCalendrier,6,30),1),"jjj")</f>
        <v>mer</v>
      </c>
      <c r="AG5" s="1"/>
      <c r="AH5" s="11"/>
    </row>
    <row r="6" spans="2:34"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37</v>
      </c>
      <c r="AH6" s="15" t="s">
        <v>35</v>
      </c>
    </row>
    <row r="7" spans="2:34" ht="30" customHeight="1" x14ac:dyDescent="0.25">
      <c r="B7" s="16" t="s">
        <v>73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COUNTA(Juin[[#This Row],[1]:[30]])</f>
        <v>0</v>
      </c>
    </row>
    <row r="8" spans="2:34"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COUNTA(Juin[[#This Row],[1]:[30]])</f>
        <v>0</v>
      </c>
    </row>
    <row r="9" spans="2:34"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COUNTA(Juin[[#This Row],[1]:[30]])</f>
        <v>0</v>
      </c>
    </row>
    <row r="10" spans="2:34"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COUNTA(Juin[[#This Row],[1]:[30]])</f>
        <v>0</v>
      </c>
    </row>
    <row r="11" spans="2:34"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COUNTA(Juin[[#This Row],[1]:[30]])</f>
        <v>0</v>
      </c>
    </row>
    <row r="12" spans="2:34" ht="30" customHeight="1" x14ac:dyDescent="0.25">
      <c r="B12" s="20" t="str">
        <f>NomMois&amp;" Total"</f>
        <v>Juin Total</v>
      </c>
      <c r="C12" s="12">
        <f>SUBTOTAL(103,Juin[1])</f>
        <v>0</v>
      </c>
      <c r="D12" s="12">
        <f>SUBTOTAL(103,Juin[2])</f>
        <v>0</v>
      </c>
      <c r="E12" s="12">
        <f>SUBTOTAL(103,Juin[3])</f>
        <v>0</v>
      </c>
      <c r="F12" s="12">
        <f>SUBTOTAL(103,Juin[4])</f>
        <v>0</v>
      </c>
      <c r="G12" s="12">
        <f>SUBTOTAL(103,Juin[5])</f>
        <v>0</v>
      </c>
      <c r="H12" s="12">
        <f>SUBTOTAL(103,Juin[6])</f>
        <v>0</v>
      </c>
      <c r="I12" s="12">
        <f>SUBTOTAL(103,Juin[7])</f>
        <v>0</v>
      </c>
      <c r="J12" s="12">
        <f>SUBTOTAL(103,Juin[8])</f>
        <v>0</v>
      </c>
      <c r="K12" s="12">
        <f>SUBTOTAL(103,Juin[9])</f>
        <v>0</v>
      </c>
      <c r="L12" s="12">
        <f>SUBTOTAL(103,Juin[10])</f>
        <v>0</v>
      </c>
      <c r="M12" s="12">
        <f>SUBTOTAL(103,Juin[11])</f>
        <v>0</v>
      </c>
      <c r="N12" s="12">
        <f>SUBTOTAL(103,Juin[12])</f>
        <v>0</v>
      </c>
      <c r="O12" s="12">
        <f>SUBTOTAL(103,Juin[13])</f>
        <v>0</v>
      </c>
      <c r="P12" s="12">
        <f>SUBTOTAL(103,Juin[14])</f>
        <v>0</v>
      </c>
      <c r="Q12" s="12">
        <f>SUBTOTAL(103,Juin[15])</f>
        <v>0</v>
      </c>
      <c r="R12" s="12">
        <f>SUBTOTAL(103,Juin[16])</f>
        <v>0</v>
      </c>
      <c r="S12" s="12">
        <f>SUBTOTAL(103,Juin[17])</f>
        <v>0</v>
      </c>
      <c r="T12" s="12">
        <f>SUBTOTAL(103,Juin[18])</f>
        <v>0</v>
      </c>
      <c r="U12" s="12">
        <f>SUBTOTAL(103,Juin[19])</f>
        <v>0</v>
      </c>
      <c r="V12" s="12">
        <f>SUBTOTAL(103,Juin[20])</f>
        <v>0</v>
      </c>
      <c r="W12" s="12">
        <f>SUBTOTAL(103,Juin[21])</f>
        <v>0</v>
      </c>
      <c r="X12" s="12">
        <f>SUBTOTAL(103,Juin[22])</f>
        <v>0</v>
      </c>
      <c r="Y12" s="12">
        <f>SUBTOTAL(103,Juin[23])</f>
        <v>0</v>
      </c>
      <c r="Z12" s="12">
        <f>SUBTOTAL(103,Juin[24])</f>
        <v>0</v>
      </c>
      <c r="AA12" s="12">
        <f>SUBTOTAL(103,Juin[25])</f>
        <v>0</v>
      </c>
      <c r="AB12" s="12">
        <f>SUBTOTAL(103,Juin[26])</f>
        <v>0</v>
      </c>
      <c r="AC12" s="12">
        <f>SUBTOTAL(103,Juin[27])</f>
        <v>0</v>
      </c>
      <c r="AD12" s="12">
        <f>SUBTOTAL(103,Juin[28])</f>
        <v>0</v>
      </c>
      <c r="AE12" s="12">
        <f>SUBTOTAL(103,Juin[29])</f>
        <v>0</v>
      </c>
      <c r="AF12" s="12">
        <f>SUBTOTAL(103,Juin[30])</f>
        <v>0</v>
      </c>
      <c r="AG12" s="12">
        <f>SUBTOTAL(103,Juin[[ ]])</f>
        <v>0</v>
      </c>
      <c r="AH12" s="12">
        <f>SUBTOTAL(109,Juin[Total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561" priority="2" stopIfTrue="1">
      <formula>C7=CléPersonnalisée2</formula>
    </cfRule>
    <cfRule type="expression" dxfId="560" priority="3" stopIfTrue="1">
      <formula>C7=CléPersonnalisée1</formula>
    </cfRule>
    <cfRule type="expression" dxfId="559" priority="4" stopIfTrue="1">
      <formula>C7=CléMaladie</formula>
    </cfRule>
    <cfRule type="expression" dxfId="558" priority="5" stopIfTrue="1">
      <formula>C7=CléPersonnel</formula>
    </cfRule>
    <cfRule type="expression" dxfId="557"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e juin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stagiaires'!$B$4:$B$8</xm:f>
          </x14:formula1>
          <xm:sqref>B7:B11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AH12"/>
  <sheetViews>
    <sheetView showGridLines="0" zoomScaleNormal="100" workbookViewId="0">
      <selection activeCell="B2" sqref="B2:V2"/>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7" style="10" customWidth="1"/>
    <col min="10" max="33" width="4.7109375" style="10" customWidth="1"/>
    <col min="34" max="34" width="13.5703125" style="10" customWidth="1"/>
    <col min="35" max="35" width="2.7109375" customWidth="1"/>
  </cols>
  <sheetData>
    <row r="1" spans="2:34" ht="50.1" customHeight="1" x14ac:dyDescent="0.25">
      <c r="B1" s="13" t="str">
        <f>Titre_Absence_Employé</f>
        <v>Calendrier des stagiaires - ESAT JACQUEMART</v>
      </c>
    </row>
    <row r="2" spans="2:34" ht="15" customHeight="1" x14ac:dyDescent="0.25">
      <c r="B2" s="18" t="s">
        <v>59</v>
      </c>
      <c r="C2" s="3" t="s">
        <v>5</v>
      </c>
      <c r="D2" s="37" t="s">
        <v>50</v>
      </c>
      <c r="E2" s="38"/>
      <c r="F2" s="4" t="s">
        <v>69</v>
      </c>
      <c r="G2" s="37" t="s">
        <v>67</v>
      </c>
      <c r="H2" s="38"/>
      <c r="I2" s="38"/>
      <c r="J2" s="5" t="s">
        <v>51</v>
      </c>
      <c r="K2" s="37" t="s">
        <v>68</v>
      </c>
      <c r="L2" s="38"/>
      <c r="M2" s="6"/>
      <c r="N2" s="37"/>
      <c r="O2" s="38"/>
      <c r="P2" s="38"/>
      <c r="Q2" s="38"/>
      <c r="R2" s="7"/>
      <c r="S2" s="38"/>
      <c r="T2" s="38"/>
      <c r="U2" s="38"/>
      <c r="V2" s="38"/>
    </row>
    <row r="3" spans="2:34" ht="15" customHeight="1" x14ac:dyDescent="0.25">
      <c r="B3" s="13"/>
    </row>
    <row r="4" spans="2:34" ht="30" customHeight="1" x14ac:dyDescent="0.25">
      <c r="B4" s="11" t="s">
        <v>43</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f>AnnéeCalendrier</f>
        <v>2021</v>
      </c>
    </row>
    <row r="5" spans="2:34" ht="15" customHeight="1" x14ac:dyDescent="0.25">
      <c r="B5" s="11"/>
      <c r="C5" s="1" t="str">
        <f>TEXT(WEEKDAY(DATE(AnnéeCalendrier,7,1),1),"jjj")</f>
        <v>jeu</v>
      </c>
      <c r="D5" s="1" t="str">
        <f>TEXT(WEEKDAY(DATE(AnnéeCalendrier,7,2),1),"jjj")</f>
        <v>ven</v>
      </c>
      <c r="E5" s="1" t="str">
        <f>TEXT(WEEKDAY(DATE(AnnéeCalendrier,7,3),1),"jjj")</f>
        <v>sam</v>
      </c>
      <c r="F5" s="1" t="str">
        <f>TEXT(WEEKDAY(DATE(AnnéeCalendrier,7,4),1),"jjj")</f>
        <v>dim</v>
      </c>
      <c r="G5" s="1" t="str">
        <f>TEXT(WEEKDAY(DATE(AnnéeCalendrier,7,5),1),"jjj")</f>
        <v>lun</v>
      </c>
      <c r="H5" s="1" t="str">
        <f>TEXT(WEEKDAY(DATE(AnnéeCalendrier,7,6),1),"jjj")</f>
        <v>mar</v>
      </c>
      <c r="I5" s="1" t="str">
        <f>TEXT(WEEKDAY(DATE(AnnéeCalendrier,7,7),1),"jjj")</f>
        <v>mer</v>
      </c>
      <c r="J5" s="1" t="str">
        <f>TEXT(WEEKDAY(DATE(AnnéeCalendrier,7,8),1),"jjj")</f>
        <v>jeu</v>
      </c>
      <c r="K5" s="1" t="str">
        <f>TEXT(WEEKDAY(DATE(AnnéeCalendrier,7,9),1),"jjj")</f>
        <v>ven</v>
      </c>
      <c r="L5" s="1" t="str">
        <f>TEXT(WEEKDAY(DATE(AnnéeCalendrier,7,10),1),"jjj")</f>
        <v>sam</v>
      </c>
      <c r="M5" s="1" t="str">
        <f>TEXT(WEEKDAY(DATE(AnnéeCalendrier,7,11),1),"jjj")</f>
        <v>dim</v>
      </c>
      <c r="N5" s="1" t="str">
        <f>TEXT(WEEKDAY(DATE(AnnéeCalendrier,7,12),1),"jjj")</f>
        <v>lun</v>
      </c>
      <c r="O5" s="1" t="str">
        <f>TEXT(WEEKDAY(DATE(AnnéeCalendrier,7,13),1),"jjj")</f>
        <v>mar</v>
      </c>
      <c r="P5" s="1" t="str">
        <f>TEXT(WEEKDAY(DATE(AnnéeCalendrier,7,14),1),"jjj")</f>
        <v>mer</v>
      </c>
      <c r="Q5" s="1" t="str">
        <f>TEXT(WEEKDAY(DATE(AnnéeCalendrier,7,15),1),"jjj")</f>
        <v>jeu</v>
      </c>
      <c r="R5" s="1" t="str">
        <f>TEXT(WEEKDAY(DATE(AnnéeCalendrier,7,16),1),"jjj")</f>
        <v>ven</v>
      </c>
      <c r="S5" s="1" t="str">
        <f>TEXT(WEEKDAY(DATE(AnnéeCalendrier,7,17),1),"jjj")</f>
        <v>sam</v>
      </c>
      <c r="T5" s="1" t="str">
        <f>TEXT(WEEKDAY(DATE(AnnéeCalendrier,7,18),1),"jjj")</f>
        <v>dim</v>
      </c>
      <c r="U5" s="1" t="str">
        <f>TEXT(WEEKDAY(DATE(AnnéeCalendrier,7,19),1),"jjj")</f>
        <v>lun</v>
      </c>
      <c r="V5" s="1" t="str">
        <f>TEXT(WEEKDAY(DATE(AnnéeCalendrier,7,20),1),"jjj")</f>
        <v>mar</v>
      </c>
      <c r="W5" s="1" t="str">
        <f>TEXT(WEEKDAY(DATE(AnnéeCalendrier,7,21),1),"jjj")</f>
        <v>mer</v>
      </c>
      <c r="X5" s="1" t="str">
        <f>TEXT(WEEKDAY(DATE(AnnéeCalendrier,7,22),1),"jjj")</f>
        <v>jeu</v>
      </c>
      <c r="Y5" s="1" t="str">
        <f>TEXT(WEEKDAY(DATE(AnnéeCalendrier,7,23),1),"jjj")</f>
        <v>ven</v>
      </c>
      <c r="Z5" s="1" t="str">
        <f>TEXT(WEEKDAY(DATE(AnnéeCalendrier,7,24),1),"jjj")</f>
        <v>sam</v>
      </c>
      <c r="AA5" s="1" t="str">
        <f>TEXT(WEEKDAY(DATE(AnnéeCalendrier,7,25),1),"jjj")</f>
        <v>dim</v>
      </c>
      <c r="AB5" s="1" t="str">
        <f>TEXT(WEEKDAY(DATE(AnnéeCalendrier,7,26),1),"jjj")</f>
        <v>lun</v>
      </c>
      <c r="AC5" s="1" t="str">
        <f>TEXT(WEEKDAY(DATE(AnnéeCalendrier,7,27),1),"jjj")</f>
        <v>mar</v>
      </c>
      <c r="AD5" s="1" t="str">
        <f>TEXT(WEEKDAY(DATE(AnnéeCalendrier,7,28),1),"jjj")</f>
        <v>mer</v>
      </c>
      <c r="AE5" s="1" t="str">
        <f>TEXT(WEEKDAY(DATE(AnnéeCalendrier,7,29),1),"jjj")</f>
        <v>jeu</v>
      </c>
      <c r="AF5" s="1" t="str">
        <f>TEXT(WEEKDAY(DATE(AnnéeCalendrier,7,30),1),"jjj")</f>
        <v>ven</v>
      </c>
      <c r="AG5" s="1" t="str">
        <f>TEXT(WEEKDAY(DATE(AnnéeCalendrier,7,31),1),"jjj")</f>
        <v>sam</v>
      </c>
      <c r="AH5" s="11"/>
    </row>
    <row r="6" spans="2:34"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row>
    <row r="7" spans="2:34"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COUNTA(Juillet[[#This Row],[1]:[31]])</f>
        <v>0</v>
      </c>
    </row>
    <row r="8" spans="2:34"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COUNTA(Juillet[[#This Row],[1]:[31]])</f>
        <v>0</v>
      </c>
    </row>
    <row r="9" spans="2:34"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COUNTA(Juillet[[#This Row],[1]:[31]])</f>
        <v>0</v>
      </c>
    </row>
    <row r="10" spans="2:34"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COUNTA(Juillet[[#This Row],[1]:[31]])</f>
        <v>0</v>
      </c>
    </row>
    <row r="11" spans="2:34"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COUNTA(Juillet[[#This Row],[1]:[31]])</f>
        <v>0</v>
      </c>
    </row>
    <row r="12" spans="2:34" ht="30" customHeight="1" x14ac:dyDescent="0.25">
      <c r="B12" s="20" t="str">
        <f>NomMois&amp;" Total"</f>
        <v>Juillet Total</v>
      </c>
      <c r="C12" s="12">
        <f>SUBTOTAL(103,Juillet[1])</f>
        <v>0</v>
      </c>
      <c r="D12" s="12">
        <f>SUBTOTAL(103,Juillet[2])</f>
        <v>0</v>
      </c>
      <c r="E12" s="12">
        <f>SUBTOTAL(103,Juillet[3])</f>
        <v>0</v>
      </c>
      <c r="F12" s="12">
        <f>SUBTOTAL(103,Juillet[4])</f>
        <v>0</v>
      </c>
      <c r="G12" s="12">
        <f>SUBTOTAL(103,Juillet[5])</f>
        <v>0</v>
      </c>
      <c r="H12" s="12">
        <f>SUBTOTAL(103,Juillet[6])</f>
        <v>0</v>
      </c>
      <c r="I12" s="12">
        <f>SUBTOTAL(103,Juillet[7])</f>
        <v>0</v>
      </c>
      <c r="J12" s="12">
        <f>SUBTOTAL(103,Juillet[8])</f>
        <v>0</v>
      </c>
      <c r="K12" s="12">
        <f>SUBTOTAL(103,Juillet[9])</f>
        <v>0</v>
      </c>
      <c r="L12" s="12">
        <f>SUBTOTAL(103,Juillet[10])</f>
        <v>0</v>
      </c>
      <c r="M12" s="12">
        <f>SUBTOTAL(103,Juillet[11])</f>
        <v>0</v>
      </c>
      <c r="N12" s="12">
        <f>SUBTOTAL(103,Juillet[12])</f>
        <v>0</v>
      </c>
      <c r="O12" s="12">
        <f>SUBTOTAL(103,Juillet[13])</f>
        <v>0</v>
      </c>
      <c r="P12" s="12">
        <f>SUBTOTAL(103,Juillet[14])</f>
        <v>0</v>
      </c>
      <c r="Q12" s="12">
        <f>SUBTOTAL(103,Juillet[15])</f>
        <v>0</v>
      </c>
      <c r="R12" s="12">
        <f>SUBTOTAL(103,Juillet[16])</f>
        <v>0</v>
      </c>
      <c r="S12" s="12">
        <f>SUBTOTAL(103,Juillet[17])</f>
        <v>0</v>
      </c>
      <c r="T12" s="12">
        <f>SUBTOTAL(103,Juillet[18])</f>
        <v>0</v>
      </c>
      <c r="U12" s="12">
        <f>SUBTOTAL(103,Juillet[19])</f>
        <v>0</v>
      </c>
      <c r="V12" s="12">
        <f>SUBTOTAL(103,Juillet[20])</f>
        <v>0</v>
      </c>
      <c r="W12" s="12">
        <f>SUBTOTAL(103,Juillet[21])</f>
        <v>0</v>
      </c>
      <c r="X12" s="12">
        <f>SUBTOTAL(103,Juillet[22])</f>
        <v>0</v>
      </c>
      <c r="Y12" s="12">
        <f>SUBTOTAL(103,Juillet[23])</f>
        <v>0</v>
      </c>
      <c r="Z12" s="12">
        <f>SUBTOTAL(103,Juillet[24])</f>
        <v>0</v>
      </c>
      <c r="AA12" s="12">
        <f>SUBTOTAL(103,Juillet[25])</f>
        <v>0</v>
      </c>
      <c r="AB12" s="12">
        <f>SUBTOTAL(103,Juillet[26])</f>
        <v>0</v>
      </c>
      <c r="AC12" s="12">
        <f>SUBTOTAL(103,Juillet[27])</f>
        <v>0</v>
      </c>
      <c r="AD12" s="12">
        <f>SUBTOTAL(103,Juillet[28])</f>
        <v>0</v>
      </c>
      <c r="AE12" s="12">
        <f>SUBTOTAL(103,Juillet[29])</f>
        <v>0</v>
      </c>
      <c r="AF12" s="12">
        <f>SUBTOTAL(103,Juillet[30])</f>
        <v>0</v>
      </c>
      <c r="AG12" s="12">
        <f>SUBTOTAL(103,Juillet[31])</f>
        <v>0</v>
      </c>
      <c r="AH12" s="12">
        <f>SUBTOTAL(109,Juillet[Total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520" priority="2" stopIfTrue="1">
      <formula>C7=CléPersonnalisée2</formula>
    </cfRule>
    <cfRule type="expression" dxfId="519" priority="3" stopIfTrue="1">
      <formula>C7=CléPersonnalisée1</formula>
    </cfRule>
    <cfRule type="expression" dxfId="518" priority="4" stopIfTrue="1">
      <formula>C7=CléMaladie</formula>
    </cfRule>
    <cfRule type="expression" dxfId="517" priority="5" stopIfTrue="1">
      <formula>C7=CléPersonnel</formula>
    </cfRule>
    <cfRule type="expression" dxfId="516"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juillet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stagiaires'!$B$4:$B$8</xm:f>
          </x14:formula1>
          <xm:sqref>B7:B11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H12"/>
  <sheetViews>
    <sheetView showGridLines="0" zoomScaleNormal="100" workbookViewId="0">
      <selection activeCell="B7" sqref="B7"/>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7109375" style="10" customWidth="1"/>
    <col min="10" max="33" width="4.7109375" style="10" customWidth="1"/>
    <col min="34" max="34" width="13.5703125" style="10" customWidth="1"/>
    <col min="35" max="35" width="2.7109375" customWidth="1"/>
  </cols>
  <sheetData>
    <row r="1" spans="2:34" ht="50.1" customHeight="1" x14ac:dyDescent="0.25">
      <c r="B1" s="13" t="str">
        <f>Titre_Absence_Employé</f>
        <v>Calendrier des stagiaires - ESAT JACQUEMART</v>
      </c>
    </row>
    <row r="2" spans="2:34" ht="15" customHeight="1" x14ac:dyDescent="0.25">
      <c r="B2" s="18" t="s">
        <v>59</v>
      </c>
      <c r="C2" s="3" t="s">
        <v>5</v>
      </c>
      <c r="D2" s="37" t="s">
        <v>50</v>
      </c>
      <c r="E2" s="38"/>
      <c r="F2" s="4" t="s">
        <v>69</v>
      </c>
      <c r="G2" s="37" t="s">
        <v>67</v>
      </c>
      <c r="H2" s="38"/>
      <c r="I2" s="38"/>
      <c r="J2" s="5" t="s">
        <v>51</v>
      </c>
      <c r="K2" s="37" t="s">
        <v>68</v>
      </c>
      <c r="L2" s="38"/>
      <c r="M2" s="6"/>
      <c r="N2" s="37"/>
      <c r="O2" s="38"/>
      <c r="P2" s="38"/>
      <c r="Q2" s="38"/>
      <c r="R2" s="7"/>
      <c r="S2" s="38"/>
      <c r="T2" s="38"/>
      <c r="U2" s="38"/>
      <c r="V2" s="38"/>
    </row>
    <row r="3" spans="2:34" ht="15" customHeight="1" x14ac:dyDescent="0.25">
      <c r="B3" s="13"/>
    </row>
    <row r="4" spans="2:34" ht="30" customHeight="1" x14ac:dyDescent="0.25">
      <c r="B4" s="11" t="s">
        <v>44</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f>AnnéeCalendrier</f>
        <v>2021</v>
      </c>
    </row>
    <row r="5" spans="2:34" ht="15" customHeight="1" x14ac:dyDescent="0.25">
      <c r="B5" s="11"/>
      <c r="C5" s="1" t="str">
        <f>TEXT(WEEKDAY(DATE(AnnéeCalendrier,8,1),1),"jjj")</f>
        <v>dim</v>
      </c>
      <c r="D5" s="1" t="str">
        <f>TEXT(WEEKDAY(DATE(AnnéeCalendrier,8,2),1),"jjj")</f>
        <v>lun</v>
      </c>
      <c r="E5" s="1" t="str">
        <f>TEXT(WEEKDAY(DATE(AnnéeCalendrier,8,3),1),"jjj")</f>
        <v>mar</v>
      </c>
      <c r="F5" s="1" t="str">
        <f>TEXT(WEEKDAY(DATE(AnnéeCalendrier,8,4),1),"jjj")</f>
        <v>mer</v>
      </c>
      <c r="G5" s="1" t="str">
        <f>TEXT(WEEKDAY(DATE(AnnéeCalendrier,8,5),1),"jjj")</f>
        <v>jeu</v>
      </c>
      <c r="H5" s="1" t="str">
        <f>TEXT(WEEKDAY(DATE(AnnéeCalendrier,8,6),1),"jjj")</f>
        <v>ven</v>
      </c>
      <c r="I5" s="1" t="str">
        <f>TEXT(WEEKDAY(DATE(AnnéeCalendrier,8,7),1),"jjj")</f>
        <v>sam</v>
      </c>
      <c r="J5" s="1" t="str">
        <f>TEXT(WEEKDAY(DATE(AnnéeCalendrier,8,8),1),"jjj")</f>
        <v>dim</v>
      </c>
      <c r="K5" s="1" t="str">
        <f>TEXT(WEEKDAY(DATE(AnnéeCalendrier,8,9),1),"jjj")</f>
        <v>lun</v>
      </c>
      <c r="L5" s="1" t="str">
        <f>TEXT(WEEKDAY(DATE(AnnéeCalendrier,8,10),1),"jjj")</f>
        <v>mar</v>
      </c>
      <c r="M5" s="1" t="str">
        <f>TEXT(WEEKDAY(DATE(AnnéeCalendrier,8,11),1),"jjj")</f>
        <v>mer</v>
      </c>
      <c r="N5" s="1" t="str">
        <f>TEXT(WEEKDAY(DATE(AnnéeCalendrier,8,12),1),"jjj")</f>
        <v>jeu</v>
      </c>
      <c r="O5" s="1" t="str">
        <f>TEXT(WEEKDAY(DATE(AnnéeCalendrier,8,13),1),"jjj")</f>
        <v>ven</v>
      </c>
      <c r="P5" s="1" t="str">
        <f>TEXT(WEEKDAY(DATE(AnnéeCalendrier,8,14),1),"jjj")</f>
        <v>sam</v>
      </c>
      <c r="Q5" s="1" t="str">
        <f>TEXT(WEEKDAY(DATE(AnnéeCalendrier,8,15),1),"jjj")</f>
        <v>dim</v>
      </c>
      <c r="R5" s="1" t="str">
        <f>TEXT(WEEKDAY(DATE(AnnéeCalendrier,8,16),1),"jjj")</f>
        <v>lun</v>
      </c>
      <c r="S5" s="1" t="str">
        <f>TEXT(WEEKDAY(DATE(AnnéeCalendrier,8,17),1),"jjj")</f>
        <v>mar</v>
      </c>
      <c r="T5" s="1" t="str">
        <f>TEXT(WEEKDAY(DATE(AnnéeCalendrier,8,18),1),"jjj")</f>
        <v>mer</v>
      </c>
      <c r="U5" s="1" t="str">
        <f>TEXT(WEEKDAY(DATE(AnnéeCalendrier,8,19),1),"jjj")</f>
        <v>jeu</v>
      </c>
      <c r="V5" s="1" t="str">
        <f>TEXT(WEEKDAY(DATE(AnnéeCalendrier,8,20),1),"jjj")</f>
        <v>ven</v>
      </c>
      <c r="W5" s="1" t="str">
        <f>TEXT(WEEKDAY(DATE(AnnéeCalendrier,8,21),1),"jjj")</f>
        <v>sam</v>
      </c>
      <c r="X5" s="1" t="str">
        <f>TEXT(WEEKDAY(DATE(AnnéeCalendrier,8,22),1),"jjj")</f>
        <v>dim</v>
      </c>
      <c r="Y5" s="1" t="str">
        <f>TEXT(WEEKDAY(DATE(AnnéeCalendrier,8,23),1),"jjj")</f>
        <v>lun</v>
      </c>
      <c r="Z5" s="1" t="str">
        <f>TEXT(WEEKDAY(DATE(AnnéeCalendrier,8,24),1),"jjj")</f>
        <v>mar</v>
      </c>
      <c r="AA5" s="1" t="str">
        <f>TEXT(WEEKDAY(DATE(AnnéeCalendrier,8,25),1),"jjj")</f>
        <v>mer</v>
      </c>
      <c r="AB5" s="1" t="str">
        <f>TEXT(WEEKDAY(DATE(AnnéeCalendrier,8,26),1),"jjj")</f>
        <v>jeu</v>
      </c>
      <c r="AC5" s="1" t="str">
        <f>TEXT(WEEKDAY(DATE(AnnéeCalendrier,8,27),1),"jjj")</f>
        <v>ven</v>
      </c>
      <c r="AD5" s="1" t="str">
        <f>TEXT(WEEKDAY(DATE(AnnéeCalendrier,8,28),1),"jjj")</f>
        <v>sam</v>
      </c>
      <c r="AE5" s="1" t="str">
        <f>TEXT(WEEKDAY(DATE(AnnéeCalendrier,8,29),1),"jjj")</f>
        <v>dim</v>
      </c>
      <c r="AF5" s="1" t="str">
        <f>TEXT(WEEKDAY(DATE(AnnéeCalendrier,8,30),1),"jjj")</f>
        <v>lun</v>
      </c>
      <c r="AG5" s="1" t="str">
        <f>TEXT(WEEKDAY(DATE(AnnéeCalendrier,8,31),1),"jjj")</f>
        <v>mar</v>
      </c>
      <c r="AH5" s="11"/>
    </row>
    <row r="6" spans="2:34"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row>
    <row r="7" spans="2:34" ht="30" customHeight="1" x14ac:dyDescent="0.25">
      <c r="B7" s="16" t="s">
        <v>73</v>
      </c>
      <c r="C7" s="2"/>
      <c r="D7" s="2"/>
      <c r="E7" s="2"/>
      <c r="F7" s="2"/>
      <c r="G7" s="2"/>
      <c r="H7" s="2"/>
      <c r="I7" s="2"/>
      <c r="J7" s="2"/>
      <c r="K7" s="2" t="s">
        <v>66</v>
      </c>
      <c r="L7" s="2" t="s">
        <v>66</v>
      </c>
      <c r="M7" s="2" t="s">
        <v>66</v>
      </c>
      <c r="N7" s="2" t="s">
        <v>66</v>
      </c>
      <c r="O7" s="2" t="s">
        <v>66</v>
      </c>
      <c r="P7" s="2"/>
      <c r="Q7" s="2"/>
      <c r="R7" s="2"/>
      <c r="S7" s="2"/>
      <c r="T7" s="2"/>
      <c r="U7" s="2"/>
      <c r="V7" s="2"/>
      <c r="W7" s="2"/>
      <c r="X7" s="2"/>
      <c r="Y7" s="2"/>
      <c r="Z7" s="2"/>
      <c r="AA7" s="2"/>
      <c r="AB7" s="2"/>
      <c r="AC7" s="2"/>
      <c r="AD7" s="2"/>
      <c r="AE7" s="2"/>
      <c r="AF7" s="2"/>
      <c r="AG7" s="2"/>
      <c r="AH7" s="9">
        <f>COUNTA(Août[[#This Row],[1]:[31]])</f>
        <v>5</v>
      </c>
    </row>
    <row r="8" spans="2:34"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COUNTA(Août[[#This Row],[1]:[31]])</f>
        <v>0</v>
      </c>
    </row>
    <row r="9" spans="2:34"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COUNTA(Août[[#This Row],[1]:[31]])</f>
        <v>0</v>
      </c>
    </row>
    <row r="10" spans="2:34"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COUNTA(Août[[#This Row],[1]:[31]])</f>
        <v>0</v>
      </c>
    </row>
    <row r="11" spans="2:34"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COUNTA(Août[[#This Row],[1]:[31]])</f>
        <v>0</v>
      </c>
    </row>
    <row r="12" spans="2:34" ht="30" customHeight="1" x14ac:dyDescent="0.25">
      <c r="B12" s="20" t="str">
        <f>NomMois&amp;" Total"</f>
        <v>Août Total</v>
      </c>
      <c r="C12" s="12">
        <f>SUBTOTAL(103,Août[1])</f>
        <v>0</v>
      </c>
      <c r="D12" s="12">
        <f>SUBTOTAL(103,Août[2])</f>
        <v>0</v>
      </c>
      <c r="E12" s="12">
        <f>SUBTOTAL(103,Août[3])</f>
        <v>0</v>
      </c>
      <c r="F12" s="12">
        <f>SUBTOTAL(103,Août[4])</f>
        <v>0</v>
      </c>
      <c r="G12" s="12">
        <f>SUBTOTAL(103,Août[5])</f>
        <v>0</v>
      </c>
      <c r="H12" s="12">
        <f>SUBTOTAL(103,Août[6])</f>
        <v>0</v>
      </c>
      <c r="I12" s="12">
        <f>SUBTOTAL(103,Août[7])</f>
        <v>0</v>
      </c>
      <c r="J12" s="12">
        <f>SUBTOTAL(103,Août[8])</f>
        <v>0</v>
      </c>
      <c r="K12" s="12">
        <f>SUBTOTAL(103,Août[9])</f>
        <v>1</v>
      </c>
      <c r="L12" s="12">
        <f>SUBTOTAL(103,Août[10])</f>
        <v>1</v>
      </c>
      <c r="M12" s="12">
        <f>SUBTOTAL(103,Août[11])</f>
        <v>1</v>
      </c>
      <c r="N12" s="12">
        <f>SUBTOTAL(103,Août[12])</f>
        <v>1</v>
      </c>
      <c r="O12" s="12">
        <f>SUBTOTAL(103,Août[13])</f>
        <v>1</v>
      </c>
      <c r="P12" s="12">
        <f>SUBTOTAL(103,Août[14])</f>
        <v>0</v>
      </c>
      <c r="Q12" s="12">
        <f>SUBTOTAL(103,Août[15])</f>
        <v>0</v>
      </c>
      <c r="R12" s="12">
        <f>SUBTOTAL(103,Août[16])</f>
        <v>0</v>
      </c>
      <c r="S12" s="12">
        <f>SUBTOTAL(103,Août[17])</f>
        <v>0</v>
      </c>
      <c r="T12" s="12">
        <f>SUBTOTAL(103,Août[18])</f>
        <v>0</v>
      </c>
      <c r="U12" s="12">
        <f>SUBTOTAL(103,Août[19])</f>
        <v>0</v>
      </c>
      <c r="V12" s="12">
        <f>SUBTOTAL(103,Août[20])</f>
        <v>0</v>
      </c>
      <c r="W12" s="12">
        <f>SUBTOTAL(103,Août[21])</f>
        <v>0</v>
      </c>
      <c r="X12" s="12">
        <f>SUBTOTAL(103,Août[22])</f>
        <v>0</v>
      </c>
      <c r="Y12" s="12">
        <f>SUBTOTAL(103,Août[23])</f>
        <v>0</v>
      </c>
      <c r="Z12" s="12">
        <f>SUBTOTAL(103,Août[24])</f>
        <v>0</v>
      </c>
      <c r="AA12" s="12">
        <f>SUBTOTAL(103,Août[25])</f>
        <v>0</v>
      </c>
      <c r="AB12" s="12">
        <f>SUBTOTAL(103,Août[26])</f>
        <v>0</v>
      </c>
      <c r="AC12" s="12">
        <f>SUBTOTAL(103,Août[27])</f>
        <v>0</v>
      </c>
      <c r="AD12" s="12">
        <f>SUBTOTAL(103,Août[28])</f>
        <v>0</v>
      </c>
      <c r="AE12" s="12">
        <f>SUBTOTAL(103,Août[29])</f>
        <v>0</v>
      </c>
      <c r="AF12" s="12">
        <f>SUBTOTAL(103,Août[30])</f>
        <v>0</v>
      </c>
      <c r="AG12" s="12">
        <f>SUBTOTAL(103,Août[31])</f>
        <v>0</v>
      </c>
      <c r="AH12" s="12">
        <f>SUBTOTAL(109,Août[Total des jours])</f>
        <v>5</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46" priority="2" stopIfTrue="1">
      <formula>C7=CléPersonnalisée2</formula>
    </cfRule>
    <cfRule type="expression" dxfId="445" priority="3" stopIfTrue="1">
      <formula>C7=CléPersonnalisée1</formula>
    </cfRule>
    <cfRule type="expression" dxfId="444" priority="4" stopIfTrue="1">
      <formula>C7=CléMaladie</formula>
    </cfRule>
    <cfRule type="expression" dxfId="443" priority="5" stopIfTrue="1">
      <formula>C7=CléPersonnel</formula>
    </cfRule>
    <cfRule type="expression" dxfId="442"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août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stagiaires'!$B$4:$B$8</xm:f>
          </x14:formula1>
          <xm:sqref>B7:B11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H12"/>
  <sheetViews>
    <sheetView showGridLines="0" zoomScaleNormal="100" workbookViewId="0">
      <selection activeCell="B2" sqref="B2:V2"/>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85546875" style="10" customWidth="1"/>
    <col min="10" max="33" width="4.7109375" style="10" customWidth="1"/>
    <col min="34" max="34" width="13.5703125" style="10" customWidth="1"/>
    <col min="35" max="35" width="2.7109375" customWidth="1"/>
  </cols>
  <sheetData>
    <row r="1" spans="2:34" ht="50.1" customHeight="1" x14ac:dyDescent="0.25">
      <c r="B1" s="13" t="str">
        <f>Titre_Absence_Employé</f>
        <v>Calendrier des stagiaires - ESAT JACQUEMART</v>
      </c>
    </row>
    <row r="2" spans="2:34" ht="15" customHeight="1" x14ac:dyDescent="0.25">
      <c r="B2" s="18" t="s">
        <v>59</v>
      </c>
      <c r="C2" s="3" t="s">
        <v>5</v>
      </c>
      <c r="D2" s="37" t="s">
        <v>50</v>
      </c>
      <c r="E2" s="38"/>
      <c r="F2" s="4" t="s">
        <v>69</v>
      </c>
      <c r="G2" s="37" t="s">
        <v>67</v>
      </c>
      <c r="H2" s="38"/>
      <c r="I2" s="38"/>
      <c r="J2" s="5" t="s">
        <v>51</v>
      </c>
      <c r="K2" s="37" t="s">
        <v>68</v>
      </c>
      <c r="L2" s="38"/>
      <c r="M2" s="6"/>
      <c r="N2" s="37"/>
      <c r="O2" s="38"/>
      <c r="P2" s="38"/>
      <c r="Q2" s="38"/>
      <c r="R2" s="7"/>
      <c r="S2" s="38"/>
      <c r="T2" s="38"/>
      <c r="U2" s="38"/>
      <c r="V2" s="38"/>
    </row>
    <row r="3" spans="2:34" ht="15" customHeight="1" x14ac:dyDescent="0.25">
      <c r="B3" s="13"/>
    </row>
    <row r="4" spans="2:34" ht="30" customHeight="1" x14ac:dyDescent="0.25">
      <c r="B4" s="11" t="s">
        <v>45</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f>AnnéeCalendrier</f>
        <v>2021</v>
      </c>
    </row>
    <row r="5" spans="2:34" ht="15" customHeight="1" x14ac:dyDescent="0.25">
      <c r="B5" s="11"/>
      <c r="C5" s="1" t="str">
        <f>TEXT(WEEKDAY(DATE(AnnéeCalendrier,9,1),1),"jjj")</f>
        <v>mer</v>
      </c>
      <c r="D5" s="1" t="str">
        <f>TEXT(WEEKDAY(DATE(AnnéeCalendrier,9,2),1),"jjj")</f>
        <v>jeu</v>
      </c>
      <c r="E5" s="1" t="str">
        <f>TEXT(WEEKDAY(DATE(AnnéeCalendrier,9,3),1),"jjj")</f>
        <v>ven</v>
      </c>
      <c r="F5" s="1" t="str">
        <f>TEXT(WEEKDAY(DATE(AnnéeCalendrier,9,4),1),"jjj")</f>
        <v>sam</v>
      </c>
      <c r="G5" s="1" t="str">
        <f>TEXT(WEEKDAY(DATE(AnnéeCalendrier,9,5),1),"jjj")</f>
        <v>dim</v>
      </c>
      <c r="H5" s="1" t="str">
        <f>TEXT(WEEKDAY(DATE(AnnéeCalendrier,9,6),1),"jjj")</f>
        <v>lun</v>
      </c>
      <c r="I5" s="1" t="str">
        <f>TEXT(WEEKDAY(DATE(AnnéeCalendrier,9,7),1),"jjj")</f>
        <v>mar</v>
      </c>
      <c r="J5" s="1" t="str">
        <f>TEXT(WEEKDAY(DATE(AnnéeCalendrier,9,8),1),"jjj")</f>
        <v>mer</v>
      </c>
      <c r="K5" s="1" t="str">
        <f>TEXT(WEEKDAY(DATE(AnnéeCalendrier,9,9),1),"jjj")</f>
        <v>jeu</v>
      </c>
      <c r="L5" s="1" t="str">
        <f>TEXT(WEEKDAY(DATE(AnnéeCalendrier,9,10),1),"jjj")</f>
        <v>ven</v>
      </c>
      <c r="M5" s="1" t="str">
        <f>TEXT(WEEKDAY(DATE(AnnéeCalendrier,9,11),1),"jjj")</f>
        <v>sam</v>
      </c>
      <c r="N5" s="1" t="str">
        <f>TEXT(WEEKDAY(DATE(AnnéeCalendrier,9,12),1),"jjj")</f>
        <v>dim</v>
      </c>
      <c r="O5" s="1" t="str">
        <f>TEXT(WEEKDAY(DATE(AnnéeCalendrier,9,13),1),"jjj")</f>
        <v>lun</v>
      </c>
      <c r="P5" s="1" t="str">
        <f>TEXT(WEEKDAY(DATE(AnnéeCalendrier,9,14),1),"jjj")</f>
        <v>mar</v>
      </c>
      <c r="Q5" s="1" t="str">
        <f>TEXT(WEEKDAY(DATE(AnnéeCalendrier,9,15),1),"jjj")</f>
        <v>mer</v>
      </c>
      <c r="R5" s="1" t="str">
        <f>TEXT(WEEKDAY(DATE(AnnéeCalendrier,9,16),1),"jjj")</f>
        <v>jeu</v>
      </c>
      <c r="S5" s="1" t="str">
        <f>TEXT(WEEKDAY(DATE(AnnéeCalendrier,9,17),1),"jjj")</f>
        <v>ven</v>
      </c>
      <c r="T5" s="1" t="str">
        <f>TEXT(WEEKDAY(DATE(AnnéeCalendrier,9,18),1),"jjj")</f>
        <v>sam</v>
      </c>
      <c r="U5" s="1" t="str">
        <f>TEXT(WEEKDAY(DATE(AnnéeCalendrier,9,19),1),"jjj")</f>
        <v>dim</v>
      </c>
      <c r="V5" s="1" t="str">
        <f>TEXT(WEEKDAY(DATE(AnnéeCalendrier,9,20),1),"jjj")</f>
        <v>lun</v>
      </c>
      <c r="W5" s="1" t="str">
        <f>TEXT(WEEKDAY(DATE(AnnéeCalendrier,9,21),1),"jjj")</f>
        <v>mar</v>
      </c>
      <c r="X5" s="1" t="str">
        <f>TEXT(WEEKDAY(DATE(AnnéeCalendrier,9,22),1),"jjj")</f>
        <v>mer</v>
      </c>
      <c r="Y5" s="1" t="str">
        <f>TEXT(WEEKDAY(DATE(AnnéeCalendrier,9,23),1),"jjj")</f>
        <v>jeu</v>
      </c>
      <c r="Z5" s="1" t="str">
        <f>TEXT(WEEKDAY(DATE(AnnéeCalendrier,9,24),1),"jjj")</f>
        <v>ven</v>
      </c>
      <c r="AA5" s="1" t="str">
        <f>TEXT(WEEKDAY(DATE(AnnéeCalendrier,9,25),1),"jjj")</f>
        <v>sam</v>
      </c>
      <c r="AB5" s="1" t="str">
        <f>TEXT(WEEKDAY(DATE(AnnéeCalendrier,9,26),1),"jjj")</f>
        <v>dim</v>
      </c>
      <c r="AC5" s="1" t="str">
        <f>TEXT(WEEKDAY(DATE(AnnéeCalendrier,9,27),1),"jjj")</f>
        <v>lun</v>
      </c>
      <c r="AD5" s="1" t="str">
        <f>TEXT(WEEKDAY(DATE(AnnéeCalendrier,9,28),1),"jjj")</f>
        <v>mar</v>
      </c>
      <c r="AE5" s="1" t="str">
        <f>TEXT(WEEKDAY(DATE(AnnéeCalendrier,9,29),1),"jjj")</f>
        <v>mer</v>
      </c>
      <c r="AF5" s="1" t="str">
        <f>TEXT(WEEKDAY(DATE(AnnéeCalendrier,9,30),1),"jjj")</f>
        <v>jeu</v>
      </c>
      <c r="AG5" s="1"/>
      <c r="AH5" s="11"/>
    </row>
    <row r="6" spans="2:34"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37</v>
      </c>
      <c r="AH6" s="15" t="s">
        <v>35</v>
      </c>
    </row>
    <row r="7" spans="2:34"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COUNTA(Septembre[[#This Row],[1]:[30]])</f>
        <v>0</v>
      </c>
    </row>
    <row r="8" spans="2:34"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COUNTA(Septembre[[#This Row],[1]:[30]])</f>
        <v>0</v>
      </c>
    </row>
    <row r="9" spans="2:34"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COUNTA(Septembre[[#This Row],[1]:[30]])</f>
        <v>0</v>
      </c>
    </row>
    <row r="10" spans="2:34"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COUNTA(Septembre[[#This Row],[1]:[30]])</f>
        <v>0</v>
      </c>
    </row>
    <row r="11" spans="2:34"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COUNTA(Septembre[[#This Row],[1]:[30]])</f>
        <v>0</v>
      </c>
    </row>
    <row r="12" spans="2:34" ht="30" customHeight="1" x14ac:dyDescent="0.25">
      <c r="B12" s="20" t="str">
        <f>NomMois&amp;" Total"</f>
        <v>Septembre Total</v>
      </c>
      <c r="C12" s="12">
        <f>SUBTOTAL(103,Septembre[1])</f>
        <v>0</v>
      </c>
      <c r="D12" s="12">
        <f>SUBTOTAL(103,Septembre[2])</f>
        <v>0</v>
      </c>
      <c r="E12" s="12">
        <f>SUBTOTAL(103,Septembre[3])</f>
        <v>0</v>
      </c>
      <c r="F12" s="12">
        <f>SUBTOTAL(103,Septembre[4])</f>
        <v>0</v>
      </c>
      <c r="G12" s="12">
        <f>SUBTOTAL(103,Septembre[5])</f>
        <v>0</v>
      </c>
      <c r="H12" s="12">
        <f>SUBTOTAL(103,Septembre[6])</f>
        <v>0</v>
      </c>
      <c r="I12" s="12">
        <f>SUBTOTAL(103,Septembre[7])</f>
        <v>0</v>
      </c>
      <c r="J12" s="12">
        <f>SUBTOTAL(103,Septembre[8])</f>
        <v>0</v>
      </c>
      <c r="K12" s="12">
        <f>SUBTOTAL(103,Septembre[9])</f>
        <v>0</v>
      </c>
      <c r="L12" s="12">
        <f>SUBTOTAL(103,Septembre[10])</f>
        <v>0</v>
      </c>
      <c r="M12" s="12">
        <f>SUBTOTAL(103,Septembre[11])</f>
        <v>0</v>
      </c>
      <c r="N12" s="12">
        <f>SUBTOTAL(103,Septembre[12])</f>
        <v>0</v>
      </c>
      <c r="O12" s="12">
        <f>SUBTOTAL(103,Septembre[13])</f>
        <v>0</v>
      </c>
      <c r="P12" s="12">
        <f>SUBTOTAL(103,Septembre[14])</f>
        <v>0</v>
      </c>
      <c r="Q12" s="12">
        <f>SUBTOTAL(103,Septembre[15])</f>
        <v>0</v>
      </c>
      <c r="R12" s="12">
        <f>SUBTOTAL(103,Septembre[16])</f>
        <v>0</v>
      </c>
      <c r="S12" s="12">
        <f>SUBTOTAL(103,Septembre[17])</f>
        <v>0</v>
      </c>
      <c r="T12" s="12">
        <f>SUBTOTAL(103,Septembre[18])</f>
        <v>0</v>
      </c>
      <c r="U12" s="12">
        <f>SUBTOTAL(103,Septembre[19])</f>
        <v>0</v>
      </c>
      <c r="V12" s="12">
        <f>SUBTOTAL(103,Septembre[20])</f>
        <v>0</v>
      </c>
      <c r="W12" s="12">
        <f>SUBTOTAL(103,Septembre[21])</f>
        <v>0</v>
      </c>
      <c r="X12" s="12">
        <f>SUBTOTAL(103,Septembre[22])</f>
        <v>0</v>
      </c>
      <c r="Y12" s="12">
        <f>SUBTOTAL(103,Septembre[23])</f>
        <v>0</v>
      </c>
      <c r="Z12" s="12">
        <f>SUBTOTAL(103,Septembre[24])</f>
        <v>0</v>
      </c>
      <c r="AA12" s="12">
        <f>SUBTOTAL(103,Septembre[25])</f>
        <v>0</v>
      </c>
      <c r="AB12" s="12">
        <f>SUBTOTAL(103,Septembre[26])</f>
        <v>0</v>
      </c>
      <c r="AC12" s="12">
        <f>SUBTOTAL(103,Septembre[27])</f>
        <v>0</v>
      </c>
      <c r="AD12" s="12">
        <f>SUBTOTAL(103,Septembre[28])</f>
        <v>0</v>
      </c>
      <c r="AE12" s="12">
        <f>SUBTOTAL(103,Septembre[29])</f>
        <v>0</v>
      </c>
      <c r="AF12" s="12">
        <f>SUBTOTAL(103,Septembre[30])</f>
        <v>0</v>
      </c>
      <c r="AG12" s="12">
        <f>SUBTOTAL(103,Septembre[[ ]])</f>
        <v>0</v>
      </c>
      <c r="AH12" s="12">
        <f>SUBTOTAL(109,Septembre[Total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05" priority="2" stopIfTrue="1">
      <formula>C7=CléPersonnalisée2</formula>
    </cfRule>
    <cfRule type="expression" dxfId="404" priority="3" stopIfTrue="1">
      <formula>C7=CléPersonnalisée1</formula>
    </cfRule>
    <cfRule type="expression" dxfId="403" priority="4" stopIfTrue="1">
      <formula>C7=CléMaladie</formula>
    </cfRule>
    <cfRule type="expression" dxfId="402" priority="5" stopIfTrue="1">
      <formula>C7=CléPersonnel</formula>
    </cfRule>
    <cfRule type="expression" dxfId="401"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septembre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stagiaires'!$B$4:$B$8</xm:f>
          </x14:formula1>
          <xm:sqref>B7:B11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H12"/>
  <sheetViews>
    <sheetView showGridLines="0" zoomScaleNormal="100" workbookViewId="0">
      <selection activeCell="B7" sqref="B7"/>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7109375" style="10" customWidth="1"/>
    <col min="10" max="33" width="4.7109375" style="10" customWidth="1"/>
    <col min="34" max="34" width="13.5703125" style="10" customWidth="1"/>
    <col min="35" max="35" width="2.7109375" customWidth="1"/>
  </cols>
  <sheetData>
    <row r="1" spans="2:34" ht="50.1" customHeight="1" x14ac:dyDescent="0.25">
      <c r="B1" s="13" t="str">
        <f>Titre_Absence_Employé</f>
        <v>Calendrier des stagiaires - ESAT JACQUEMART</v>
      </c>
    </row>
    <row r="2" spans="2:34" ht="15" customHeight="1" x14ac:dyDescent="0.25">
      <c r="B2" s="18" t="s">
        <v>59</v>
      </c>
      <c r="C2" s="3" t="s">
        <v>5</v>
      </c>
      <c r="D2" s="37" t="s">
        <v>50</v>
      </c>
      <c r="E2" s="38"/>
      <c r="F2" s="4" t="s">
        <v>69</v>
      </c>
      <c r="G2" s="37" t="s">
        <v>67</v>
      </c>
      <c r="H2" s="38"/>
      <c r="I2" s="38"/>
      <c r="J2" s="5" t="s">
        <v>51</v>
      </c>
      <c r="K2" s="37" t="s">
        <v>68</v>
      </c>
      <c r="L2" s="38"/>
      <c r="M2" s="6"/>
      <c r="N2" s="37"/>
      <c r="O2" s="38"/>
      <c r="P2" s="38"/>
      <c r="Q2" s="38"/>
      <c r="R2" s="7"/>
      <c r="S2" s="38"/>
      <c r="T2" s="38"/>
      <c r="U2" s="38"/>
      <c r="V2" s="38"/>
    </row>
    <row r="3" spans="2:34" ht="15" customHeight="1" x14ac:dyDescent="0.25">
      <c r="B3" s="13"/>
    </row>
    <row r="4" spans="2:34" ht="30" customHeight="1" x14ac:dyDescent="0.25">
      <c r="B4" s="11" t="s">
        <v>46</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f>AnnéeCalendrier</f>
        <v>2021</v>
      </c>
    </row>
    <row r="5" spans="2:34" ht="15" customHeight="1" x14ac:dyDescent="0.25">
      <c r="B5" s="11"/>
      <c r="C5" s="1" t="str">
        <f>TEXT(WEEKDAY(DATE(AnnéeCalendrier,10,1),1),"jjj")</f>
        <v>ven</v>
      </c>
      <c r="D5" s="1" t="str">
        <f>TEXT(WEEKDAY(DATE(AnnéeCalendrier,10,2),1),"jjj")</f>
        <v>sam</v>
      </c>
      <c r="E5" s="1" t="str">
        <f>TEXT(WEEKDAY(DATE(AnnéeCalendrier,10,3),1),"jjj")</f>
        <v>dim</v>
      </c>
      <c r="F5" s="1" t="str">
        <f>TEXT(WEEKDAY(DATE(AnnéeCalendrier,10,4),1),"jjj")</f>
        <v>lun</v>
      </c>
      <c r="G5" s="1" t="str">
        <f>TEXT(WEEKDAY(DATE(AnnéeCalendrier,10,5),1),"jjj")</f>
        <v>mar</v>
      </c>
      <c r="H5" s="1" t="str">
        <f>TEXT(WEEKDAY(DATE(AnnéeCalendrier,10,6),1),"jjj")</f>
        <v>mer</v>
      </c>
      <c r="I5" s="1" t="str">
        <f>TEXT(WEEKDAY(DATE(AnnéeCalendrier,10,7),1),"jjj")</f>
        <v>jeu</v>
      </c>
      <c r="J5" s="1" t="str">
        <f>TEXT(WEEKDAY(DATE(AnnéeCalendrier,10,8),1),"jjj")</f>
        <v>ven</v>
      </c>
      <c r="K5" s="1" t="str">
        <f>TEXT(WEEKDAY(DATE(AnnéeCalendrier,10,9),1),"jjj")</f>
        <v>sam</v>
      </c>
      <c r="L5" s="1" t="str">
        <f>TEXT(WEEKDAY(DATE(AnnéeCalendrier,10,10),1),"jjj")</f>
        <v>dim</v>
      </c>
      <c r="M5" s="1" t="str">
        <f>TEXT(WEEKDAY(DATE(AnnéeCalendrier,10,11),1),"jjj")</f>
        <v>lun</v>
      </c>
      <c r="N5" s="1" t="str">
        <f>TEXT(WEEKDAY(DATE(AnnéeCalendrier,10,12),1),"jjj")</f>
        <v>mar</v>
      </c>
      <c r="O5" s="1" t="str">
        <f>TEXT(WEEKDAY(DATE(AnnéeCalendrier,10,13),1),"jjj")</f>
        <v>mer</v>
      </c>
      <c r="P5" s="1" t="str">
        <f>TEXT(WEEKDAY(DATE(AnnéeCalendrier,10,14),1),"jjj")</f>
        <v>jeu</v>
      </c>
      <c r="Q5" s="1" t="str">
        <f>TEXT(WEEKDAY(DATE(AnnéeCalendrier,10,15),1),"jjj")</f>
        <v>ven</v>
      </c>
      <c r="R5" s="1" t="str">
        <f>TEXT(WEEKDAY(DATE(AnnéeCalendrier,10,16),1),"jjj")</f>
        <v>sam</v>
      </c>
      <c r="S5" s="1" t="str">
        <f>TEXT(WEEKDAY(DATE(AnnéeCalendrier,10,17),1),"jjj")</f>
        <v>dim</v>
      </c>
      <c r="T5" s="1" t="str">
        <f>TEXT(WEEKDAY(DATE(AnnéeCalendrier,10,18),1),"jjj")</f>
        <v>lun</v>
      </c>
      <c r="U5" s="1" t="str">
        <f>TEXT(WEEKDAY(DATE(AnnéeCalendrier,10,19),1),"jjj")</f>
        <v>mar</v>
      </c>
      <c r="V5" s="1" t="str">
        <f>TEXT(WEEKDAY(DATE(AnnéeCalendrier,10,20),1),"jjj")</f>
        <v>mer</v>
      </c>
      <c r="W5" s="1" t="str">
        <f>TEXT(WEEKDAY(DATE(AnnéeCalendrier,10,21),1),"jjj")</f>
        <v>jeu</v>
      </c>
      <c r="X5" s="1" t="str">
        <f>TEXT(WEEKDAY(DATE(AnnéeCalendrier,10,22),1),"jjj")</f>
        <v>ven</v>
      </c>
      <c r="Y5" s="1" t="str">
        <f>TEXT(WEEKDAY(DATE(AnnéeCalendrier,10,23),1),"jjj")</f>
        <v>sam</v>
      </c>
      <c r="Z5" s="1" t="str">
        <f>TEXT(WEEKDAY(DATE(AnnéeCalendrier,10,24),1),"jjj")</f>
        <v>dim</v>
      </c>
      <c r="AA5" s="1" t="str">
        <f>TEXT(WEEKDAY(DATE(AnnéeCalendrier,10,25),1),"jjj")</f>
        <v>lun</v>
      </c>
      <c r="AB5" s="1" t="str">
        <f>TEXT(WEEKDAY(DATE(AnnéeCalendrier,10,26),1),"jjj")</f>
        <v>mar</v>
      </c>
      <c r="AC5" s="1" t="str">
        <f>TEXT(WEEKDAY(DATE(AnnéeCalendrier,10,27),1),"jjj")</f>
        <v>mer</v>
      </c>
      <c r="AD5" s="1" t="str">
        <f>TEXT(WEEKDAY(DATE(AnnéeCalendrier,10,28),1),"jjj")</f>
        <v>jeu</v>
      </c>
      <c r="AE5" s="1" t="str">
        <f>TEXT(WEEKDAY(DATE(AnnéeCalendrier,10,29),1),"jjj")</f>
        <v>ven</v>
      </c>
      <c r="AF5" s="1" t="str">
        <f>TEXT(WEEKDAY(DATE(AnnéeCalendrier,10,30),1),"jjj")</f>
        <v>sam</v>
      </c>
      <c r="AG5" s="1" t="str">
        <f>TEXT(WEEKDAY(DATE(AnnéeCalendrier,10,31),1),"jjj")</f>
        <v>dim</v>
      </c>
      <c r="AH5" s="11"/>
    </row>
    <row r="6" spans="2:34"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row>
    <row r="7" spans="2:34" ht="30" customHeight="1" x14ac:dyDescent="0.25">
      <c r="B7" s="16" t="s">
        <v>73</v>
      </c>
      <c r="C7" s="2"/>
      <c r="D7" s="2"/>
      <c r="E7" s="2"/>
      <c r="F7" s="2"/>
      <c r="G7" s="2"/>
      <c r="H7" s="2"/>
      <c r="I7" s="2"/>
      <c r="J7" s="2"/>
      <c r="K7" s="2"/>
      <c r="L7" s="2"/>
      <c r="M7" s="2" t="s">
        <v>66</v>
      </c>
      <c r="N7" s="2" t="s">
        <v>66</v>
      </c>
      <c r="O7" s="2" t="s">
        <v>66</v>
      </c>
      <c r="P7" s="2" t="s">
        <v>66</v>
      </c>
      <c r="Q7" s="2" t="s">
        <v>66</v>
      </c>
      <c r="R7" s="2"/>
      <c r="S7" s="2"/>
      <c r="T7" s="2"/>
      <c r="U7" s="2"/>
      <c r="V7" s="2"/>
      <c r="W7" s="2"/>
      <c r="X7" s="2"/>
      <c r="Y7" s="2"/>
      <c r="Z7" s="2"/>
      <c r="AA7" s="2"/>
      <c r="AB7" s="2"/>
      <c r="AC7" s="2"/>
      <c r="AD7" s="2"/>
      <c r="AE7" s="2"/>
      <c r="AF7" s="2"/>
      <c r="AG7" s="2"/>
      <c r="AH7" s="9">
        <f>COUNTA(Octobre[[#This Row],[1]:[31]])</f>
        <v>5</v>
      </c>
    </row>
    <row r="8" spans="2:34"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COUNTA(Octobre[[#This Row],[1]:[31]])</f>
        <v>0</v>
      </c>
    </row>
    <row r="9" spans="2:34"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COUNTA(Octobre[[#This Row],[1]:[31]])</f>
        <v>0</v>
      </c>
    </row>
    <row r="10" spans="2:34"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COUNTA(Octobre[[#This Row],[1]:[31]])</f>
        <v>0</v>
      </c>
    </row>
    <row r="11" spans="2:34" ht="30" customHeight="1" x14ac:dyDescent="0.25">
      <c r="B11" s="16" t="s">
        <v>56</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COUNTA(Octobre[[#This Row],[1]:[31]])</f>
        <v>0</v>
      </c>
    </row>
    <row r="12" spans="2:34" ht="30" customHeight="1" x14ac:dyDescent="0.25">
      <c r="B12" s="20" t="str">
        <f>NomMois&amp;" Total"</f>
        <v>Octobre Total</v>
      </c>
      <c r="C12" s="12">
        <f>SUBTOTAL(103,Octobre[1])</f>
        <v>0</v>
      </c>
      <c r="D12" s="12">
        <f>SUBTOTAL(103,Octobre[2])</f>
        <v>0</v>
      </c>
      <c r="E12" s="12">
        <f>SUBTOTAL(103,Octobre[3])</f>
        <v>0</v>
      </c>
      <c r="F12" s="12">
        <f>SUBTOTAL(103,Octobre[4])</f>
        <v>0</v>
      </c>
      <c r="G12" s="12">
        <f>SUBTOTAL(103,Octobre[5])</f>
        <v>0</v>
      </c>
      <c r="H12" s="12">
        <f>SUBTOTAL(103,Octobre[6])</f>
        <v>0</v>
      </c>
      <c r="I12" s="12">
        <f>SUBTOTAL(103,Octobre[7])</f>
        <v>0</v>
      </c>
      <c r="J12" s="12">
        <f>SUBTOTAL(103,Octobre[8])</f>
        <v>0</v>
      </c>
      <c r="K12" s="12">
        <f>SUBTOTAL(103,Octobre[9])</f>
        <v>0</v>
      </c>
      <c r="L12" s="12">
        <f>SUBTOTAL(103,Octobre[10])</f>
        <v>0</v>
      </c>
      <c r="M12" s="12">
        <f>SUBTOTAL(103,Octobre[11])</f>
        <v>1</v>
      </c>
      <c r="N12" s="12">
        <f>SUBTOTAL(103,Octobre[12])</f>
        <v>1</v>
      </c>
      <c r="O12" s="12">
        <f>SUBTOTAL(103,Octobre[13])</f>
        <v>1</v>
      </c>
      <c r="P12" s="12">
        <f>SUBTOTAL(103,Octobre[14])</f>
        <v>1</v>
      </c>
      <c r="Q12" s="12">
        <f>SUBTOTAL(103,Octobre[15])</f>
        <v>1</v>
      </c>
      <c r="R12" s="12">
        <f>SUBTOTAL(103,Octobre[16])</f>
        <v>0</v>
      </c>
      <c r="S12" s="12">
        <f>SUBTOTAL(103,Octobre[17])</f>
        <v>0</v>
      </c>
      <c r="T12" s="12">
        <f>SUBTOTAL(103,Octobre[18])</f>
        <v>0</v>
      </c>
      <c r="U12" s="12">
        <f>SUBTOTAL(103,Octobre[19])</f>
        <v>0</v>
      </c>
      <c r="V12" s="12">
        <f>SUBTOTAL(103,Octobre[20])</f>
        <v>0</v>
      </c>
      <c r="W12" s="12">
        <f>SUBTOTAL(103,Octobre[21])</f>
        <v>0</v>
      </c>
      <c r="X12" s="12">
        <f>SUBTOTAL(103,Octobre[22])</f>
        <v>0</v>
      </c>
      <c r="Y12" s="12">
        <f>SUBTOTAL(103,Octobre[23])</f>
        <v>0</v>
      </c>
      <c r="Z12" s="12">
        <f>SUBTOTAL(103,Octobre[24])</f>
        <v>0</v>
      </c>
      <c r="AA12" s="12">
        <f>SUBTOTAL(103,Octobre[25])</f>
        <v>0</v>
      </c>
      <c r="AB12" s="12">
        <f>SUBTOTAL(103,Octobre[26])</f>
        <v>0</v>
      </c>
      <c r="AC12" s="12">
        <f>SUBTOTAL(103,Octobre[27])</f>
        <v>0</v>
      </c>
      <c r="AD12" s="12">
        <f>SUBTOTAL(103,Octobre[28])</f>
        <v>0</v>
      </c>
      <c r="AE12" s="12">
        <f>SUBTOTAL(103,Octobre[29])</f>
        <v>0</v>
      </c>
      <c r="AF12" s="12">
        <f>SUBTOTAL(103,Octobre[30])</f>
        <v>0</v>
      </c>
      <c r="AG12" s="12">
        <f>SUBTOTAL(103,Octobre[31])</f>
        <v>0</v>
      </c>
      <c r="AH12" s="12">
        <f>SUBTOTAL(109,Octobre[Total des jours])</f>
        <v>5</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31" priority="2" stopIfTrue="1">
      <formula>C7=CléPersonnalisée2</formula>
    </cfRule>
    <cfRule type="expression" dxfId="330" priority="3" stopIfTrue="1">
      <formula>C7=CléPersonnalisée1</formula>
    </cfRule>
    <cfRule type="expression" dxfId="329" priority="4" stopIfTrue="1">
      <formula>C7=CléMaladie</formula>
    </cfRule>
    <cfRule type="expression" dxfId="328" priority="5" stopIfTrue="1">
      <formula>C7=CléPersonnel</formula>
    </cfRule>
    <cfRule type="expression" dxfId="327"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octo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stagiaires'!$B$4:$B$8</xm:f>
          </x14:formula1>
          <xm:sqref>B7:B11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H12"/>
  <sheetViews>
    <sheetView showGridLines="0" zoomScaleNormal="100" workbookViewId="0">
      <selection activeCell="B2" sqref="B2:V2"/>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5703125" style="10" customWidth="1"/>
    <col min="10" max="33" width="4.7109375" style="10" customWidth="1"/>
    <col min="34" max="34" width="13.5703125" style="10" customWidth="1"/>
    <col min="35" max="35" width="2.7109375" customWidth="1"/>
  </cols>
  <sheetData>
    <row r="1" spans="2:34" ht="50.1" customHeight="1" x14ac:dyDescent="0.25">
      <c r="B1" s="13" t="str">
        <f>Titre_Absence_Employé</f>
        <v>Calendrier des stagiaires - ESAT JACQUEMART</v>
      </c>
    </row>
    <row r="2" spans="2:34" ht="15" customHeight="1" x14ac:dyDescent="0.25">
      <c r="B2" s="18" t="s">
        <v>59</v>
      </c>
      <c r="C2" s="3" t="s">
        <v>5</v>
      </c>
      <c r="D2" s="37" t="s">
        <v>50</v>
      </c>
      <c r="E2" s="38"/>
      <c r="F2" s="4" t="s">
        <v>69</v>
      </c>
      <c r="G2" s="37" t="s">
        <v>67</v>
      </c>
      <c r="H2" s="38"/>
      <c r="I2" s="38"/>
      <c r="J2" s="5" t="s">
        <v>51</v>
      </c>
      <c r="K2" s="37" t="s">
        <v>68</v>
      </c>
      <c r="L2" s="38"/>
      <c r="M2" s="6"/>
      <c r="N2" s="37"/>
      <c r="O2" s="38"/>
      <c r="P2" s="38"/>
      <c r="Q2" s="38"/>
      <c r="R2" s="7"/>
      <c r="S2" s="38"/>
      <c r="T2" s="38"/>
      <c r="U2" s="38"/>
      <c r="V2" s="38"/>
    </row>
    <row r="3" spans="2:34" ht="15" customHeight="1" x14ac:dyDescent="0.25">
      <c r="B3" s="13"/>
    </row>
    <row r="4" spans="2:34" ht="30" customHeight="1" x14ac:dyDescent="0.25">
      <c r="B4" s="11" t="s">
        <v>47</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f>AnnéeCalendrier</f>
        <v>2021</v>
      </c>
    </row>
    <row r="5" spans="2:34" ht="15" customHeight="1" x14ac:dyDescent="0.25">
      <c r="B5" s="11"/>
      <c r="C5" s="1" t="str">
        <f>TEXT(WEEKDAY(DATE(AnnéeCalendrier,11,1),1),"jjj")</f>
        <v>lun</v>
      </c>
      <c r="D5" s="1" t="str">
        <f>TEXT(WEEKDAY(DATE(AnnéeCalendrier,11,2),1),"jjj")</f>
        <v>mar</v>
      </c>
      <c r="E5" s="1" t="str">
        <f>TEXT(WEEKDAY(DATE(AnnéeCalendrier,11,3),1),"jjj")</f>
        <v>mer</v>
      </c>
      <c r="F5" s="1" t="str">
        <f>TEXT(WEEKDAY(DATE(AnnéeCalendrier,11,4),1),"jjj")</f>
        <v>jeu</v>
      </c>
      <c r="G5" s="1" t="str">
        <f>TEXT(WEEKDAY(DATE(AnnéeCalendrier,11,5),1),"jjj")</f>
        <v>ven</v>
      </c>
      <c r="H5" s="1" t="str">
        <f>TEXT(WEEKDAY(DATE(AnnéeCalendrier,11,6),1),"jjj")</f>
        <v>sam</v>
      </c>
      <c r="I5" s="1" t="str">
        <f>TEXT(WEEKDAY(DATE(AnnéeCalendrier,11,7),1),"jjj")</f>
        <v>dim</v>
      </c>
      <c r="J5" s="1" t="str">
        <f>TEXT(WEEKDAY(DATE(AnnéeCalendrier,11,8),1),"jjj")</f>
        <v>lun</v>
      </c>
      <c r="K5" s="1" t="str">
        <f>TEXT(WEEKDAY(DATE(AnnéeCalendrier,11,9),1),"jjj")</f>
        <v>mar</v>
      </c>
      <c r="L5" s="1" t="str">
        <f>TEXT(WEEKDAY(DATE(AnnéeCalendrier,11,10),1),"jjj")</f>
        <v>mer</v>
      </c>
      <c r="M5" s="1" t="str">
        <f>TEXT(WEEKDAY(DATE(AnnéeCalendrier,11,11),1),"jjj")</f>
        <v>jeu</v>
      </c>
      <c r="N5" s="1" t="str">
        <f>TEXT(WEEKDAY(DATE(AnnéeCalendrier,11,12),1),"jjj")</f>
        <v>ven</v>
      </c>
      <c r="O5" s="1" t="str">
        <f>TEXT(WEEKDAY(DATE(AnnéeCalendrier,11,13),1),"jjj")</f>
        <v>sam</v>
      </c>
      <c r="P5" s="1" t="str">
        <f>TEXT(WEEKDAY(DATE(AnnéeCalendrier,11,14),1),"jjj")</f>
        <v>dim</v>
      </c>
      <c r="Q5" s="1" t="str">
        <f>TEXT(WEEKDAY(DATE(AnnéeCalendrier,11,15),1),"jjj")</f>
        <v>lun</v>
      </c>
      <c r="R5" s="1" t="str">
        <f>TEXT(WEEKDAY(DATE(AnnéeCalendrier,11,16),1),"jjj")</f>
        <v>mar</v>
      </c>
      <c r="S5" s="1" t="str">
        <f>TEXT(WEEKDAY(DATE(AnnéeCalendrier,11,17),1),"jjj")</f>
        <v>mer</v>
      </c>
      <c r="T5" s="1" t="str">
        <f>TEXT(WEEKDAY(DATE(AnnéeCalendrier,11,18),1),"jjj")</f>
        <v>jeu</v>
      </c>
      <c r="U5" s="1" t="str">
        <f>TEXT(WEEKDAY(DATE(AnnéeCalendrier,11,19),1),"jjj")</f>
        <v>ven</v>
      </c>
      <c r="V5" s="1" t="str">
        <f>TEXT(WEEKDAY(DATE(AnnéeCalendrier,11,20),1),"jjj")</f>
        <v>sam</v>
      </c>
      <c r="W5" s="1" t="str">
        <f>TEXT(WEEKDAY(DATE(AnnéeCalendrier,11,21),1),"jjj")</f>
        <v>dim</v>
      </c>
      <c r="X5" s="1" t="str">
        <f>TEXT(WEEKDAY(DATE(AnnéeCalendrier,11,22),1),"jjj")</f>
        <v>lun</v>
      </c>
      <c r="Y5" s="1" t="str">
        <f>TEXT(WEEKDAY(DATE(AnnéeCalendrier,11,23),1),"jjj")</f>
        <v>mar</v>
      </c>
      <c r="Z5" s="1" t="str">
        <f>TEXT(WEEKDAY(DATE(AnnéeCalendrier,11,24),1),"jjj")</f>
        <v>mer</v>
      </c>
      <c r="AA5" s="1" t="str">
        <f>TEXT(WEEKDAY(DATE(AnnéeCalendrier,11,25),1),"jjj")</f>
        <v>jeu</v>
      </c>
      <c r="AB5" s="1" t="str">
        <f>TEXT(WEEKDAY(DATE(AnnéeCalendrier,11,26),1),"jjj")</f>
        <v>ven</v>
      </c>
      <c r="AC5" s="1" t="str">
        <f>TEXT(WEEKDAY(DATE(AnnéeCalendrier,11,27),1),"jjj")</f>
        <v>sam</v>
      </c>
      <c r="AD5" s="1" t="str">
        <f>TEXT(WEEKDAY(DATE(AnnéeCalendrier,11,28),1),"jjj")</f>
        <v>dim</v>
      </c>
      <c r="AE5" s="1" t="str">
        <f>TEXT(WEEKDAY(DATE(AnnéeCalendrier,11,29),1),"jjj")</f>
        <v>lun</v>
      </c>
      <c r="AF5" s="1" t="str">
        <f>TEXT(WEEKDAY(DATE(AnnéeCalendrier,11,30),1),"jjj")</f>
        <v>mar</v>
      </c>
      <c r="AG5" s="1"/>
      <c r="AH5" s="11"/>
    </row>
    <row r="6" spans="2:34"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37</v>
      </c>
      <c r="AH6" s="15" t="s">
        <v>35</v>
      </c>
    </row>
    <row r="7" spans="2:34"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COUNTA(Novembre[[#This Row],[1]:[30]])</f>
        <v>0</v>
      </c>
    </row>
    <row r="8" spans="2:34"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COUNTA(Novembre[[#This Row],[1]:[30]])</f>
        <v>0</v>
      </c>
    </row>
    <row r="9" spans="2:34"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COUNTA(Novembre[[#This Row],[1]:[30]])</f>
        <v>0</v>
      </c>
    </row>
    <row r="10" spans="2:34"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COUNTA(Novembre[[#This Row],[1]:[30]])</f>
        <v>0</v>
      </c>
    </row>
    <row r="11" spans="2:34"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COUNTA(Novembre[[#This Row],[1]:[30]])</f>
        <v>0</v>
      </c>
    </row>
    <row r="12" spans="2:34" ht="30" customHeight="1" x14ac:dyDescent="0.25">
      <c r="B12" s="20" t="str">
        <f>NomMois&amp;" Total"</f>
        <v>Novembre Total</v>
      </c>
      <c r="C12" s="12">
        <f>SUBTOTAL(103,Novembre[1])</f>
        <v>0</v>
      </c>
      <c r="D12" s="12">
        <f>SUBTOTAL(103,Novembre[2])</f>
        <v>0</v>
      </c>
      <c r="E12" s="12">
        <f>SUBTOTAL(103,Novembre[3])</f>
        <v>0</v>
      </c>
      <c r="F12" s="12">
        <f>SUBTOTAL(103,Novembre[4])</f>
        <v>0</v>
      </c>
      <c r="G12" s="12">
        <f>SUBTOTAL(103,Novembre[5])</f>
        <v>0</v>
      </c>
      <c r="H12" s="12">
        <f>SUBTOTAL(103,Novembre[6])</f>
        <v>0</v>
      </c>
      <c r="I12" s="12">
        <f>SUBTOTAL(103,Novembre[7])</f>
        <v>0</v>
      </c>
      <c r="J12" s="12">
        <f>SUBTOTAL(103,Novembre[8])</f>
        <v>0</v>
      </c>
      <c r="K12" s="12">
        <f>SUBTOTAL(103,Novembre[9])</f>
        <v>0</v>
      </c>
      <c r="L12" s="12">
        <f>SUBTOTAL(103,Novembre[10])</f>
        <v>0</v>
      </c>
      <c r="M12" s="12">
        <f>SUBTOTAL(103,Novembre[11])</f>
        <v>0</v>
      </c>
      <c r="N12" s="12">
        <f>SUBTOTAL(103,Novembre[12])</f>
        <v>0</v>
      </c>
      <c r="O12" s="12">
        <f>SUBTOTAL(103,Novembre[13])</f>
        <v>0</v>
      </c>
      <c r="P12" s="12">
        <f>SUBTOTAL(103,Novembre[14])</f>
        <v>0</v>
      </c>
      <c r="Q12" s="12">
        <f>SUBTOTAL(103,Novembre[15])</f>
        <v>0</v>
      </c>
      <c r="R12" s="12">
        <f>SUBTOTAL(103,Novembre[16])</f>
        <v>0</v>
      </c>
      <c r="S12" s="12">
        <f>SUBTOTAL(103,Novembre[17])</f>
        <v>0</v>
      </c>
      <c r="T12" s="12">
        <f>SUBTOTAL(103,Novembre[18])</f>
        <v>0</v>
      </c>
      <c r="U12" s="12">
        <f>SUBTOTAL(103,Novembre[19])</f>
        <v>0</v>
      </c>
      <c r="V12" s="12">
        <f>SUBTOTAL(103,Novembre[20])</f>
        <v>0</v>
      </c>
      <c r="W12" s="12">
        <f>SUBTOTAL(103,Novembre[21])</f>
        <v>0</v>
      </c>
      <c r="X12" s="12">
        <f>SUBTOTAL(103,Novembre[22])</f>
        <v>0</v>
      </c>
      <c r="Y12" s="12">
        <f>SUBTOTAL(103,Novembre[23])</f>
        <v>0</v>
      </c>
      <c r="Z12" s="12">
        <f>SUBTOTAL(103,Novembre[24])</f>
        <v>0</v>
      </c>
      <c r="AA12" s="12">
        <f>SUBTOTAL(103,Novembre[25])</f>
        <v>0</v>
      </c>
      <c r="AB12" s="12">
        <f>SUBTOTAL(103,Novembre[26])</f>
        <v>0</v>
      </c>
      <c r="AC12" s="12">
        <f>SUBTOTAL(103,Novembre[27])</f>
        <v>0</v>
      </c>
      <c r="AD12" s="12">
        <f>SUBTOTAL(103,Novembre[28])</f>
        <v>0</v>
      </c>
      <c r="AE12" s="12">
        <f>SUBTOTAL(103,Novembre[29])</f>
        <v>0</v>
      </c>
      <c r="AF12" s="12">
        <f>SUBTOTAL(103,Novembre[30])</f>
        <v>0</v>
      </c>
      <c r="AG12" s="12">
        <f>SUBTOTAL(103,Novembre[[ ]])</f>
        <v>0</v>
      </c>
      <c r="AH12" s="12">
        <f>SUBTOTAL(109,Novembre[Total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90" priority="2" stopIfTrue="1">
      <formula>C7=CléPersonnalisée2</formula>
    </cfRule>
    <cfRule type="expression" dxfId="289" priority="3" stopIfTrue="1">
      <formula>C7=CléPersonnalisée1</formula>
    </cfRule>
    <cfRule type="expression" dxfId="288" priority="4" stopIfTrue="1">
      <formula>C7=CléMaladie</formula>
    </cfRule>
    <cfRule type="expression" dxfId="287" priority="5" stopIfTrue="1">
      <formula>C7=CléPersonnel</formula>
    </cfRule>
    <cfRule type="expression" dxfId="286"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novembre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stagiaires'!$B$4:$B$8</xm:f>
          </x14:formula1>
          <xm:sqref>B7:B11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79998168889431442"/>
  </sheetPr>
  <dimension ref="A1:AH12"/>
  <sheetViews>
    <sheetView showGridLines="0" zoomScaleNormal="100" workbookViewId="0">
      <selection activeCell="I9" sqref="I9"/>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7109375" style="10" customWidth="1"/>
    <col min="10" max="33" width="4.7109375" style="10" customWidth="1"/>
    <col min="34" max="34" width="13.5703125" style="10" customWidth="1"/>
    <col min="35" max="35" width="2.7109375" customWidth="1"/>
  </cols>
  <sheetData>
    <row r="1" spans="2:34" ht="50.1" customHeight="1" x14ac:dyDescent="0.25">
      <c r="B1" s="13" t="str">
        <f>Titre_Absence_Employé</f>
        <v>Calendrier des stagiaires - ESAT JACQUEMART</v>
      </c>
    </row>
    <row r="2" spans="2:34" ht="15" customHeight="1" x14ac:dyDescent="0.25">
      <c r="B2" s="18" t="s">
        <v>59</v>
      </c>
      <c r="C2" s="3" t="s">
        <v>5</v>
      </c>
      <c r="D2" s="37" t="s">
        <v>50</v>
      </c>
      <c r="E2" s="38"/>
      <c r="F2" s="4" t="s">
        <v>69</v>
      </c>
      <c r="G2" s="37" t="s">
        <v>67</v>
      </c>
      <c r="H2" s="38"/>
      <c r="I2" s="38"/>
      <c r="J2" s="5" t="s">
        <v>51</v>
      </c>
      <c r="K2" s="37" t="s">
        <v>68</v>
      </c>
      <c r="L2" s="38"/>
      <c r="M2" s="6"/>
      <c r="N2" s="37"/>
      <c r="O2" s="38"/>
      <c r="P2" s="38"/>
      <c r="Q2" s="38"/>
      <c r="R2" s="7"/>
      <c r="S2" s="38"/>
      <c r="T2" s="38"/>
      <c r="U2" s="38"/>
      <c r="V2" s="38"/>
    </row>
    <row r="3" spans="2:34" ht="15" customHeight="1" x14ac:dyDescent="0.25">
      <c r="B3" s="13"/>
    </row>
    <row r="4" spans="2:34" ht="30" customHeight="1" x14ac:dyDescent="0.25">
      <c r="B4" s="11" t="s">
        <v>48</v>
      </c>
      <c r="C4" s="36" t="s">
        <v>58</v>
      </c>
      <c r="D4" s="36"/>
      <c r="E4" s="36"/>
      <c r="F4" s="36"/>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11">
        <f>AnnéeCalendrier</f>
        <v>2021</v>
      </c>
    </row>
    <row r="5" spans="2:34" ht="15" customHeight="1" x14ac:dyDescent="0.25">
      <c r="B5" s="11"/>
      <c r="C5" s="1" t="str">
        <f>TEXT(WEEKDAY(DATE(AnnéeCalendrier,12,1),1),"jjj")</f>
        <v>mer</v>
      </c>
      <c r="D5" s="1" t="str">
        <f>TEXT(WEEKDAY(DATE(AnnéeCalendrier,12,2),1),"jjj")</f>
        <v>jeu</v>
      </c>
      <c r="E5" s="1" t="str">
        <f>TEXT(WEEKDAY(DATE(AnnéeCalendrier,12,3),1),"jjj")</f>
        <v>ven</v>
      </c>
      <c r="F5" s="1" t="str">
        <f>TEXT(WEEKDAY(DATE(AnnéeCalendrier,12,4),1),"jjj")</f>
        <v>sam</v>
      </c>
      <c r="G5" s="1" t="str">
        <f>TEXT(WEEKDAY(DATE(AnnéeCalendrier,12,5),1),"jjj")</f>
        <v>dim</v>
      </c>
      <c r="H5" s="1" t="str">
        <f>TEXT(WEEKDAY(DATE(AnnéeCalendrier,12,6),1),"jjj")</f>
        <v>lun</v>
      </c>
      <c r="I5" s="1" t="str">
        <f>TEXT(WEEKDAY(DATE(AnnéeCalendrier,12,7),1),"jjj")</f>
        <v>mar</v>
      </c>
      <c r="J5" s="1" t="str">
        <f>TEXT(WEEKDAY(DATE(AnnéeCalendrier,12,8),1),"jjj")</f>
        <v>mer</v>
      </c>
      <c r="K5" s="1" t="str">
        <f>TEXT(WEEKDAY(DATE(AnnéeCalendrier,12,9),1),"jjj")</f>
        <v>jeu</v>
      </c>
      <c r="L5" s="1" t="str">
        <f>TEXT(WEEKDAY(DATE(AnnéeCalendrier,12,10),1),"jjj")</f>
        <v>ven</v>
      </c>
      <c r="M5" s="1" t="str">
        <f>TEXT(WEEKDAY(DATE(AnnéeCalendrier,12,11),1),"jjj")</f>
        <v>sam</v>
      </c>
      <c r="N5" s="1" t="str">
        <f>TEXT(WEEKDAY(DATE(AnnéeCalendrier,12,12),1),"jjj")</f>
        <v>dim</v>
      </c>
      <c r="O5" s="1" t="str">
        <f>TEXT(WEEKDAY(DATE(AnnéeCalendrier,12,13),1),"jjj")</f>
        <v>lun</v>
      </c>
      <c r="P5" s="1" t="str">
        <f>TEXT(WEEKDAY(DATE(AnnéeCalendrier,12,14),1),"jjj")</f>
        <v>mar</v>
      </c>
      <c r="Q5" s="1" t="str">
        <f>TEXT(WEEKDAY(DATE(AnnéeCalendrier,12,15),1),"jjj")</f>
        <v>mer</v>
      </c>
      <c r="R5" s="1" t="str">
        <f>TEXT(WEEKDAY(DATE(AnnéeCalendrier,12,16),1),"jjj")</f>
        <v>jeu</v>
      </c>
      <c r="S5" s="1" t="str">
        <f>TEXT(WEEKDAY(DATE(AnnéeCalendrier,12,17),1),"jjj")</f>
        <v>ven</v>
      </c>
      <c r="T5" s="1" t="str">
        <f>TEXT(WEEKDAY(DATE(AnnéeCalendrier,12,18),1),"jjj")</f>
        <v>sam</v>
      </c>
      <c r="U5" s="1" t="str">
        <f>TEXT(WEEKDAY(DATE(AnnéeCalendrier,12,19),1),"jjj")</f>
        <v>dim</v>
      </c>
      <c r="V5" s="1" t="str">
        <f>TEXT(WEEKDAY(DATE(AnnéeCalendrier,12,20),1),"jjj")</f>
        <v>lun</v>
      </c>
      <c r="W5" s="1" t="str">
        <f>TEXT(WEEKDAY(DATE(AnnéeCalendrier,12,21),1),"jjj")</f>
        <v>mar</v>
      </c>
      <c r="X5" s="1" t="str">
        <f>TEXT(WEEKDAY(DATE(AnnéeCalendrier,12,22),1),"jjj")</f>
        <v>mer</v>
      </c>
      <c r="Y5" s="1" t="str">
        <f>TEXT(WEEKDAY(DATE(AnnéeCalendrier,12,23),1),"jjj")</f>
        <v>jeu</v>
      </c>
      <c r="Z5" s="1" t="str">
        <f>TEXT(WEEKDAY(DATE(AnnéeCalendrier,12,24),1),"jjj")</f>
        <v>ven</v>
      </c>
      <c r="AA5" s="1" t="str">
        <f>TEXT(WEEKDAY(DATE(AnnéeCalendrier,12,25),1),"jjj")</f>
        <v>sam</v>
      </c>
      <c r="AB5" s="1" t="str">
        <f>TEXT(WEEKDAY(DATE(AnnéeCalendrier,12,26),1),"jjj")</f>
        <v>dim</v>
      </c>
      <c r="AC5" s="1" t="str">
        <f>TEXT(WEEKDAY(DATE(AnnéeCalendrier,12,27),1),"jjj")</f>
        <v>lun</v>
      </c>
      <c r="AD5" s="1" t="str">
        <f>TEXT(WEEKDAY(DATE(AnnéeCalendrier,12,28),1),"jjj")</f>
        <v>mar</v>
      </c>
      <c r="AE5" s="1" t="str">
        <f>TEXT(WEEKDAY(DATE(AnnéeCalendrier,12,29),1),"jjj")</f>
        <v>mer</v>
      </c>
      <c r="AF5" s="1" t="str">
        <f>TEXT(WEEKDAY(DATE(AnnéeCalendrier,12,30),1),"jjj")</f>
        <v>jeu</v>
      </c>
      <c r="AG5" s="1" t="str">
        <f>TEXT(WEEKDAY(DATE(AnnéeCalendrier,12,31),1),"jjj")</f>
        <v>ven</v>
      </c>
      <c r="AH5" s="11"/>
    </row>
    <row r="6" spans="2:34"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row>
    <row r="7" spans="2:34"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COUNTA(Décembre[[#This Row],[1]:[31]])</f>
        <v>0</v>
      </c>
    </row>
    <row r="8" spans="2:34"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COUNTA(Décembre[[#This Row],[1]:[31]])</f>
        <v>0</v>
      </c>
    </row>
    <row r="9" spans="2:34"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COUNTA(Décembre[[#This Row],[1]:[31]])</f>
        <v>0</v>
      </c>
    </row>
    <row r="10" spans="2:34"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COUNTA(Décembre[[#This Row],[1]:[31]])</f>
        <v>0</v>
      </c>
    </row>
    <row r="11" spans="2:34"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COUNTA(Décembre[[#This Row],[1]:[31]])</f>
        <v>0</v>
      </c>
    </row>
    <row r="12" spans="2:34" ht="30" customHeight="1" x14ac:dyDescent="0.25">
      <c r="B12" s="20" t="str">
        <f>NomMois&amp;" Total"</f>
        <v>Décembre Total</v>
      </c>
      <c r="C12" s="12">
        <f>SUBTOTAL(103,Décembre[1])</f>
        <v>0</v>
      </c>
      <c r="D12" s="12">
        <f>SUBTOTAL(103,Décembre[2])</f>
        <v>0</v>
      </c>
      <c r="E12" s="12">
        <f>SUBTOTAL(103,Décembre[3])</f>
        <v>0</v>
      </c>
      <c r="F12" s="12">
        <f>SUBTOTAL(103,Décembre[4])</f>
        <v>0</v>
      </c>
      <c r="G12" s="12">
        <f>SUBTOTAL(103,Décembre[5])</f>
        <v>0</v>
      </c>
      <c r="H12" s="12">
        <f>SUBTOTAL(103,Décembre[6])</f>
        <v>0</v>
      </c>
      <c r="I12" s="12">
        <f>SUBTOTAL(103,Décembre[7])</f>
        <v>0</v>
      </c>
      <c r="J12" s="12">
        <f>SUBTOTAL(103,Décembre[8])</f>
        <v>0</v>
      </c>
      <c r="K12" s="12">
        <f>SUBTOTAL(103,Décembre[9])</f>
        <v>0</v>
      </c>
      <c r="L12" s="12">
        <f>SUBTOTAL(103,Décembre[10])</f>
        <v>0</v>
      </c>
      <c r="M12" s="12">
        <f>SUBTOTAL(103,Décembre[11])</f>
        <v>0</v>
      </c>
      <c r="N12" s="12">
        <f>SUBTOTAL(103,Décembre[12])</f>
        <v>0</v>
      </c>
      <c r="O12" s="12">
        <f>SUBTOTAL(103,Décembre[13])</f>
        <v>0</v>
      </c>
      <c r="P12" s="12">
        <f>SUBTOTAL(103,Décembre[14])</f>
        <v>0</v>
      </c>
      <c r="Q12" s="12">
        <f>SUBTOTAL(103,Décembre[15])</f>
        <v>0</v>
      </c>
      <c r="R12" s="12">
        <f>SUBTOTAL(103,Décembre[16])</f>
        <v>0</v>
      </c>
      <c r="S12" s="12">
        <f>SUBTOTAL(103,Décembre[17])</f>
        <v>0</v>
      </c>
      <c r="T12" s="12">
        <f>SUBTOTAL(103,Décembre[18])</f>
        <v>0</v>
      </c>
      <c r="U12" s="12">
        <f>SUBTOTAL(103,Décembre[19])</f>
        <v>0</v>
      </c>
      <c r="V12" s="12">
        <f>SUBTOTAL(103,Décembre[20])</f>
        <v>0</v>
      </c>
      <c r="W12" s="12">
        <f>SUBTOTAL(103,Décembre[21])</f>
        <v>0</v>
      </c>
      <c r="X12" s="12">
        <f>SUBTOTAL(103,Décembre[22])</f>
        <v>0</v>
      </c>
      <c r="Y12" s="12">
        <f>SUBTOTAL(103,Décembre[23])</f>
        <v>0</v>
      </c>
      <c r="Z12" s="12">
        <f>SUBTOTAL(103,Décembre[24])</f>
        <v>0</v>
      </c>
      <c r="AA12" s="12">
        <f>SUBTOTAL(103,Décembre[25])</f>
        <v>0</v>
      </c>
      <c r="AB12" s="12">
        <f>SUBTOTAL(103,Décembre[26])</f>
        <v>0</v>
      </c>
      <c r="AC12" s="12">
        <f>SUBTOTAL(103,Décembre[27])</f>
        <v>0</v>
      </c>
      <c r="AD12" s="12">
        <f>SUBTOTAL(103,Décembre[28])</f>
        <v>0</v>
      </c>
      <c r="AE12" s="12">
        <f>SUBTOTAL(103,Décembre[29])</f>
        <v>0</v>
      </c>
      <c r="AF12" s="12">
        <f>SUBTOTAL(103,Décembre[30])</f>
        <v>0</v>
      </c>
      <c r="AG12" s="12">
        <f>SUBTOTAL(103,Décembre[31])</f>
        <v>0</v>
      </c>
      <c r="AH12" s="12">
        <f>SUBTOTAL(109,Décembre[Total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16" priority="2" stopIfTrue="1">
      <formula>C7=CléPersonnalisée2</formula>
    </cfRule>
    <cfRule type="expression" dxfId="215" priority="3" stopIfTrue="1">
      <formula>C7=CléPersonnalisée1</formula>
    </cfRule>
    <cfRule type="expression" dxfId="214" priority="4" stopIfTrue="1">
      <formula>C7=CléMaladie</formula>
    </cfRule>
    <cfRule type="expression" dxfId="213" priority="5" stopIfTrue="1">
      <formula>C7=CléPersonnel</formula>
    </cfRule>
    <cfRule type="expression" dxfId="212" priority="6" stopIfTrue="1">
      <formula>C7=CléPrésence</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e décem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stagiaires'!$B$4:$B$8</xm:f>
          </x14:formula1>
          <xm:sqref>B7:B11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B1:H8"/>
  <sheetViews>
    <sheetView showGridLines="0" tabSelected="1" topLeftCell="B1" workbookViewId="0">
      <selection activeCell="F9" sqref="F9:F10"/>
    </sheetView>
  </sheetViews>
  <sheetFormatPr baseColWidth="10" defaultColWidth="9.140625" defaultRowHeight="30" customHeight="1" x14ac:dyDescent="0.25"/>
  <cols>
    <col min="1" max="1" width="2.7109375" customWidth="1"/>
    <col min="2" max="2" width="30.7109375" customWidth="1"/>
    <col min="3" max="5" width="19" customWidth="1"/>
    <col min="6" max="6" width="26.140625" customWidth="1"/>
    <col min="7" max="7" width="25.5703125" bestFit="1" customWidth="1"/>
    <col min="8" max="8" width="22.140625" bestFit="1" customWidth="1"/>
  </cols>
  <sheetData>
    <row r="1" spans="2:8" ht="50.1" customHeight="1" x14ac:dyDescent="0.25">
      <c r="B1" s="21" t="s">
        <v>53</v>
      </c>
    </row>
    <row r="2" spans="2:8" ht="15" customHeight="1" x14ac:dyDescent="0.25"/>
    <row r="3" spans="2:8" ht="30" customHeight="1" x14ac:dyDescent="0.25">
      <c r="B3" t="s">
        <v>53</v>
      </c>
      <c r="C3" s="29" t="s">
        <v>61</v>
      </c>
      <c r="D3" s="29" t="s">
        <v>62</v>
      </c>
      <c r="E3" s="29" t="s">
        <v>64</v>
      </c>
      <c r="F3" s="29" t="s">
        <v>63</v>
      </c>
      <c r="G3" s="29" t="s">
        <v>65</v>
      </c>
      <c r="H3" s="41" t="s">
        <v>72</v>
      </c>
    </row>
    <row r="4" spans="2:8" ht="15" x14ac:dyDescent="0.25">
      <c r="B4" s="25" t="s">
        <v>73</v>
      </c>
      <c r="C4" s="32">
        <v>44361</v>
      </c>
      <c r="D4" s="32">
        <v>44372</v>
      </c>
      <c r="E4" s="28"/>
      <c r="F4" s="33"/>
      <c r="G4" s="30">
        <f>NomStagiaires[[#This Row],[Fin de Stage]]</f>
        <v>44372</v>
      </c>
      <c r="H4" s="27"/>
    </row>
    <row r="5" spans="2:8" ht="30" customHeight="1" x14ac:dyDescent="0.25">
      <c r="B5" s="25" t="s">
        <v>54</v>
      </c>
      <c r="C5" s="27"/>
      <c r="D5" s="27"/>
      <c r="E5" s="27"/>
      <c r="F5" s="34"/>
      <c r="G5" s="31">
        <f>NomStagiaires[[#This Row],[Fin de Stage]]</f>
        <v>0</v>
      </c>
      <c r="H5" s="27"/>
    </row>
    <row r="6" spans="2:8" ht="30" customHeight="1" x14ac:dyDescent="0.25">
      <c r="B6" s="25" t="s">
        <v>55</v>
      </c>
      <c r="C6" s="27"/>
      <c r="D6" s="27"/>
      <c r="E6" s="27"/>
      <c r="F6" s="34"/>
      <c r="G6" s="31">
        <f>NomStagiaires[[#This Row],[Fin de Stage]]</f>
        <v>0</v>
      </c>
      <c r="H6" s="27"/>
    </row>
    <row r="7" spans="2:8" ht="30" customHeight="1" x14ac:dyDescent="0.25">
      <c r="B7" s="25" t="s">
        <v>56</v>
      </c>
      <c r="C7" s="27"/>
      <c r="D7" s="27"/>
      <c r="E7" s="27"/>
      <c r="F7" s="34"/>
      <c r="G7" s="31">
        <f>NomStagiaires[[#This Row],[Fin de Stage]]</f>
        <v>0</v>
      </c>
      <c r="H7" s="27"/>
    </row>
    <row r="8" spans="2:8" ht="30" customHeight="1" x14ac:dyDescent="0.25">
      <c r="B8" s="25" t="s">
        <v>57</v>
      </c>
      <c r="C8" s="27"/>
      <c r="D8" s="27"/>
      <c r="E8" s="27"/>
      <c r="F8" s="34"/>
      <c r="G8" s="31">
        <f>NomStagiaires[[#This Row],[Fin de Stage]]</f>
        <v>0</v>
      </c>
      <c r="H8" s="27"/>
    </row>
  </sheetData>
  <dataValidations count="3">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50</vt:i4>
      </vt:variant>
    </vt:vector>
  </HeadingPairs>
  <TitlesOfParts>
    <vt:vector size="63" baseType="lpstr">
      <vt:lpstr>Janvier</vt:lpstr>
      <vt:lpstr>Février</vt:lpstr>
      <vt:lpstr>Mai</vt:lpstr>
      <vt:lpstr>Mars</vt:lpstr>
      <vt:lpstr>Avril</vt:lpstr>
      <vt:lpstr>Juin</vt:lpstr>
      <vt:lpstr>Juillet</vt:lpstr>
      <vt:lpstr>Août</vt:lpstr>
      <vt:lpstr>Septembre</vt:lpstr>
      <vt:lpstr>Octobre</vt:lpstr>
      <vt:lpstr>Novembre</vt:lpstr>
      <vt:lpstr>Décembre</vt:lpstr>
      <vt:lpstr>Noms des stagiaires</vt:lpstr>
      <vt:lpstr>AnnéeCalendrier</vt:lpstr>
      <vt:lpstr>CléMaladie</vt:lpstr>
      <vt:lpstr>CléPersonnalisée1</vt:lpstr>
      <vt:lpstr>CléPersonnalisée2</vt:lpstr>
      <vt:lpstr>CléPersonnel</vt:lpstr>
      <vt:lpstr>CléPrésence</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Odile CONSTANT</dc:creator>
  <cp:lastModifiedBy>Odile CONSTANT</cp:lastModifiedBy>
  <cp:lastPrinted>2021-05-25T14:53:43Z</cp:lastPrinted>
  <dcterms:created xsi:type="dcterms:W3CDTF">2016-12-06T04:52:27Z</dcterms:created>
  <dcterms:modified xsi:type="dcterms:W3CDTF">2021-05-26T07:22:29Z</dcterms:modified>
</cp:coreProperties>
</file>