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on\Desktop\"/>
    </mc:Choice>
  </mc:AlternateContent>
  <xr:revisionPtr revIDLastSave="0" documentId="13_ncr:1_{54E2E8B1-D7C6-441F-90B8-7C39098943C0}" xr6:coauthVersionLast="47" xr6:coauthVersionMax="47" xr10:uidLastSave="{00000000-0000-0000-0000-000000000000}"/>
  <bookViews>
    <workbookView xWindow="28680" yWindow="-120" windowWidth="29040" windowHeight="15840" tabRatio="838" activeTab="2" xr2:uid="{854D6A42-B16A-4E0C-A6C5-FCB0E8AA3E4A}"/>
  </bookViews>
  <sheets>
    <sheet name="Prime" sheetId="1" r:id="rId1"/>
    <sheet name="Hakim" sheetId="11" r:id="rId2"/>
    <sheet name="Roland" sheetId="4" r:id="rId3"/>
    <sheet name="Hatem" sheetId="6" r:id="rId4"/>
    <sheet name="Mark" sheetId="12" r:id="rId5"/>
    <sheet name="Nasser" sheetId="9" r:id="rId6"/>
    <sheet name="Mathieu" sheetId="13" r:id="rId7"/>
    <sheet name="Michele" sheetId="3" r:id="rId8"/>
    <sheet name="Antonio" sheetId="14" r:id="rId9"/>
    <sheet name="Aurélien" sheetId="5" r:id="rId10"/>
    <sheet name="Karim" sheetId="10" r:id="rId11"/>
    <sheet name="Données" sheetId="2" r:id="rId12"/>
  </sheets>
  <definedNames>
    <definedName name="_xlnm._FilterDatabase" localSheetId="11" hidden="1">Données!$B$1:$B$10</definedName>
    <definedName name="CDT">Données!$A$1:$A$6</definedName>
    <definedName name="POSEURS">Données!$B$1:$B$10</definedName>
    <definedName name="Statut">Données!$C$1:$C$2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4" l="1"/>
  <c r="B5" i="4"/>
  <c r="B6" i="4"/>
  <c r="B8" i="4"/>
  <c r="B9" i="4"/>
  <c r="B10" i="4"/>
  <c r="B11" i="4"/>
  <c r="B12" i="4"/>
  <c r="B13" i="4"/>
  <c r="B14" i="4"/>
  <c r="B4" i="4"/>
  <c r="B3" i="4"/>
  <c r="G14" i="1"/>
  <c r="H14" i="1"/>
  <c r="I14" i="1"/>
  <c r="J14" i="1"/>
  <c r="B4" i="11"/>
  <c r="B5" i="11"/>
  <c r="B6" i="11"/>
  <c r="B7" i="11"/>
  <c r="B8" i="11"/>
  <c r="B9" i="11"/>
  <c r="B10" i="11"/>
  <c r="E3" i="4"/>
  <c r="D3" i="4"/>
  <c r="C3" i="4"/>
  <c r="B4" i="14"/>
  <c r="B5" i="14"/>
  <c r="B6" i="14"/>
  <c r="B7" i="14"/>
  <c r="B8" i="14"/>
  <c r="B9" i="14"/>
  <c r="B10" i="14"/>
  <c r="B3" i="14"/>
  <c r="B3" i="13"/>
  <c r="B4" i="12"/>
  <c r="C3" i="13"/>
  <c r="G8" i="1"/>
  <c r="H8" i="1" s="1"/>
  <c r="B3" i="3"/>
  <c r="G7" i="1"/>
  <c r="H7" i="1" s="1"/>
  <c r="G13" i="1"/>
  <c r="H13" i="1" s="1"/>
  <c r="G9" i="1"/>
  <c r="H9" i="1" s="1"/>
  <c r="C3" i="10"/>
  <c r="B3" i="10"/>
  <c r="C3" i="5"/>
  <c r="B3" i="5"/>
  <c r="C3" i="14"/>
  <c r="C3" i="3"/>
  <c r="C3" i="9"/>
  <c r="B3" i="9"/>
  <c r="E4" i="12"/>
  <c r="D4" i="12"/>
  <c r="C4" i="12"/>
  <c r="C3" i="6"/>
  <c r="B3" i="6"/>
  <c r="C3" i="11"/>
  <c r="B3" i="11"/>
  <c r="D3" i="3" l="1"/>
  <c r="D3" i="10"/>
  <c r="D3" i="13"/>
  <c r="I8" i="1"/>
  <c r="J8" i="1" s="1"/>
  <c r="E3" i="13" s="1"/>
  <c r="E17" i="13" s="1"/>
  <c r="I7" i="1"/>
  <c r="J7" i="1" s="1"/>
  <c r="E3" i="9" s="1"/>
  <c r="E17" i="9" s="1"/>
  <c r="D3" i="9"/>
  <c r="I13" i="1"/>
  <c r="J13" i="1" s="1"/>
  <c r="E3" i="10" s="1"/>
  <c r="E17" i="10" s="1"/>
  <c r="I9" i="1"/>
  <c r="J9" i="1" s="1"/>
  <c r="E3" i="3" s="1"/>
  <c r="E17" i="3" s="1"/>
  <c r="E18" i="12"/>
  <c r="G2" i="1"/>
  <c r="G3" i="1"/>
  <c r="D3" i="11" s="1"/>
  <c r="G12" i="1"/>
  <c r="D3" i="5" s="1"/>
  <c r="G6" i="1"/>
  <c r="D3" i="6" s="1"/>
  <c r="G10" i="1"/>
  <c r="D3" i="14" s="1"/>
  <c r="G5" i="1"/>
  <c r="G11" i="1"/>
  <c r="G4" i="1"/>
  <c r="H11" i="1" l="1"/>
  <c r="I11" i="1"/>
  <c r="J11" i="1" s="1"/>
  <c r="H12" i="1"/>
  <c r="I12" i="1"/>
  <c r="J12" i="1" s="1"/>
  <c r="E3" i="5" s="1"/>
  <c r="E17" i="5" s="1"/>
  <c r="H5" i="1"/>
  <c r="I5" i="1"/>
  <c r="J5" i="1" s="1"/>
  <c r="H3" i="1"/>
  <c r="I3" i="1"/>
  <c r="J3" i="1" s="1"/>
  <c r="E3" i="11" s="1"/>
  <c r="E14" i="11" s="1"/>
  <c r="H10" i="1"/>
  <c r="I10" i="1"/>
  <c r="J10" i="1" s="1"/>
  <c r="E3" i="14" s="1"/>
  <c r="E11" i="14" s="1"/>
  <c r="H4" i="1"/>
  <c r="I4" i="1"/>
  <c r="J4" i="1" s="1"/>
  <c r="E17" i="4" s="1"/>
  <c r="H6" i="1"/>
  <c r="I6" i="1"/>
  <c r="J6" i="1" s="1"/>
  <c r="E3" i="6" s="1"/>
  <c r="E17" i="6" s="1"/>
  <c r="H2" i="1"/>
  <c r="I2" i="1"/>
  <c r="J2" i="1" s="1"/>
</calcChain>
</file>

<file path=xl/sharedStrings.xml><?xml version="1.0" encoding="utf-8"?>
<sst xmlns="http://schemas.openxmlformats.org/spreadsheetml/2006/main" count="126" uniqueCount="44">
  <si>
    <t>N°Chantier</t>
  </si>
  <si>
    <t>Conducteur</t>
  </si>
  <si>
    <t>Temps  prévu</t>
  </si>
  <si>
    <t>Temps réalisé</t>
  </si>
  <si>
    <t>Marge</t>
  </si>
  <si>
    <t xml:space="preserve">Référent chantier </t>
  </si>
  <si>
    <t>POLE EMPLOI</t>
  </si>
  <si>
    <t>NOM DU CHANTIER</t>
  </si>
  <si>
    <t>Manon</t>
  </si>
  <si>
    <t>Fabrice</t>
  </si>
  <si>
    <t>Khady</t>
  </si>
  <si>
    <t>Antoine</t>
  </si>
  <si>
    <t>Virginie</t>
  </si>
  <si>
    <t>Thomas</t>
  </si>
  <si>
    <t xml:space="preserve">COMPLEXE AQUATIQUE </t>
  </si>
  <si>
    <t>ELEMENTAIRE PONT DU LAS</t>
  </si>
  <si>
    <t>BUREAU FACIL</t>
  </si>
  <si>
    <t>BELGROUI Hakim</t>
  </si>
  <si>
    <t>BESREST Roland</t>
  </si>
  <si>
    <t>CHATTI Hatem</t>
  </si>
  <si>
    <t>GJOKA Mark</t>
  </si>
  <si>
    <t>HMIDA Nasser</t>
  </si>
  <si>
    <t>JAOUEN Matthieu</t>
  </si>
  <si>
    <t>PIZZIMENTI Antonio</t>
  </si>
  <si>
    <t>ROCHE Aurélien</t>
  </si>
  <si>
    <t>TABAMER Karim</t>
  </si>
  <si>
    <t>KILOUTOU AIX</t>
  </si>
  <si>
    <t>HAAGENDAZS</t>
  </si>
  <si>
    <t>ELEMENTAIRE FILIPPI</t>
  </si>
  <si>
    <t>MISSION LOCALE</t>
  </si>
  <si>
    <t>PRIME</t>
  </si>
  <si>
    <t>Affaires</t>
  </si>
  <si>
    <t>Marge sur réalisé en heure</t>
  </si>
  <si>
    <t xml:space="preserve">Prime </t>
  </si>
  <si>
    <t>Prime TOTAL</t>
  </si>
  <si>
    <t>Référent</t>
  </si>
  <si>
    <t xml:space="preserve">Aide </t>
  </si>
  <si>
    <t>Marge €</t>
  </si>
  <si>
    <t>MANCA Michele</t>
  </si>
  <si>
    <t>NAVAL GROUP</t>
  </si>
  <si>
    <t xml:space="preserve">HOTEL DE VILLE </t>
  </si>
  <si>
    <t>CRECHE PITCHOUN</t>
  </si>
  <si>
    <t>CNMSS</t>
  </si>
  <si>
    <t>LAPOSTE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</si>
</sst>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4" fillId="0" borderId="0" xfId="0" applyFont="1"/>
    <xf numFmtId="0" fontId="7" fillId="3" borderId="5" xfId="0" applyFont="1" applyFill="1" applyBorder="1"/>
    <xf numFmtId="0" fontId="7" fillId="3" borderId="6" xfId="0" applyFont="1" applyFill="1" applyBorder="1"/>
    <xf numFmtId="0" fontId="7" fillId="3" borderId="5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43" fontId="10" fillId="3" borderId="5" xfId="1" applyFont="1" applyFill="1" applyBorder="1" applyAlignment="1">
      <alignment horizontal="center"/>
    </xf>
    <xf numFmtId="43" fontId="10" fillId="3" borderId="6" xfId="1" applyFont="1" applyFill="1" applyBorder="1" applyAlignment="1">
      <alignment horizontal="center"/>
    </xf>
    <xf numFmtId="43" fontId="11" fillId="3" borderId="5" xfId="1" applyFont="1" applyFill="1" applyBorder="1" applyAlignment="1">
      <alignment horizontal="center"/>
    </xf>
    <xf numFmtId="43" fontId="11" fillId="3" borderId="6" xfId="1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3" borderId="6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5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vertical="center"/>
    </xf>
    <xf numFmtId="0" fontId="0" fillId="0" borderId="5" xfId="0" applyBorder="1"/>
    <xf numFmtId="0" fontId="15" fillId="5" borderId="1" xfId="0" applyFont="1" applyFill="1" applyBorder="1" applyAlignment="1">
      <alignment horizontal="center" vertical="center"/>
    </xf>
    <xf numFmtId="0" fontId="0" fillId="0" borderId="4" xfId="0" applyBorder="1"/>
    <xf numFmtId="49" fontId="0" fillId="2" borderId="5" xfId="0" applyNumberFormat="1" applyFill="1" applyBorder="1"/>
    <xf numFmtId="49" fontId="0" fillId="2" borderId="6" xfId="0" applyNumberFormat="1" applyFill="1" applyBorder="1"/>
    <xf numFmtId="17" fontId="14" fillId="7" borderId="12" xfId="0" applyNumberFormat="1" applyFont="1" applyFill="1" applyBorder="1" applyAlignment="1">
      <alignment horizontal="center" vertical="center"/>
    </xf>
    <xf numFmtId="17" fontId="14" fillId="7" borderId="8" xfId="0" applyNumberFormat="1" applyFont="1" applyFill="1" applyBorder="1" applyAlignment="1">
      <alignment horizontal="center" vertical="center"/>
    </xf>
    <xf numFmtId="17" fontId="14" fillId="7" borderId="9" xfId="0" applyNumberFormat="1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44" fontId="5" fillId="0" borderId="5" xfId="2" applyFont="1" applyBorder="1"/>
    <xf numFmtId="44" fontId="5" fillId="0" borderId="5" xfId="2" applyFont="1" applyBorder="1" applyAlignment="1">
      <alignment horizontal="center"/>
    </xf>
    <xf numFmtId="44" fontId="3" fillId="0" borderId="5" xfId="2" applyFont="1" applyBorder="1" applyAlignment="1">
      <alignment horizontal="center"/>
    </xf>
    <xf numFmtId="44" fontId="5" fillId="0" borderId="6" xfId="2" applyFont="1" applyBorder="1" applyAlignment="1">
      <alignment horizontal="center"/>
    </xf>
    <xf numFmtId="43" fontId="5" fillId="8" borderId="8" xfId="1" applyFont="1" applyFill="1" applyBorder="1" applyAlignment="1">
      <alignment horizontal="center"/>
    </xf>
    <xf numFmtId="43" fontId="5" fillId="8" borderId="1" xfId="1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 vertical="center"/>
    </xf>
    <xf numFmtId="0" fontId="5" fillId="0" borderId="5" xfId="2" applyNumberFormat="1" applyFont="1" applyBorder="1"/>
    <xf numFmtId="2" fontId="5" fillId="0" borderId="5" xfId="2" applyNumberFormat="1" applyFont="1" applyBorder="1"/>
    <xf numFmtId="0" fontId="13" fillId="4" borderId="1" xfId="0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7" fillId="3" borderId="7" xfId="0" applyFont="1" applyFill="1" applyBorder="1"/>
    <xf numFmtId="0" fontId="12" fillId="4" borderId="1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/>
    </xf>
    <xf numFmtId="43" fontId="11" fillId="3" borderId="7" xfId="1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43" fontId="10" fillId="3" borderId="7" xfId="1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/>
    </xf>
    <xf numFmtId="0" fontId="9" fillId="3" borderId="7" xfId="0" applyNumberFormat="1" applyFont="1" applyFill="1" applyBorder="1" applyAlignment="1">
      <alignment horizontal="center"/>
    </xf>
    <xf numFmtId="0" fontId="9" fillId="3" borderId="5" xfId="0" applyNumberFormat="1" applyFont="1" applyFill="1" applyBorder="1" applyAlignment="1">
      <alignment horizontal="center"/>
    </xf>
    <xf numFmtId="0" fontId="9" fillId="3" borderId="6" xfId="0" applyNumberFormat="1" applyFont="1" applyFill="1" applyBorder="1" applyAlignment="1">
      <alignment horizontal="center"/>
    </xf>
    <xf numFmtId="9" fontId="9" fillId="3" borderId="7" xfId="3" applyFont="1" applyFill="1" applyBorder="1" applyAlignment="1">
      <alignment horizontal="center"/>
    </xf>
    <xf numFmtId="9" fontId="9" fillId="3" borderId="5" xfId="3" applyFont="1" applyFill="1" applyBorder="1" applyAlignment="1">
      <alignment horizontal="center"/>
    </xf>
    <xf numFmtId="10" fontId="9" fillId="3" borderId="5" xfId="3" applyNumberFormat="1" applyFont="1" applyFill="1" applyBorder="1" applyAlignment="1">
      <alignment horizontal="center"/>
    </xf>
    <xf numFmtId="9" fontId="9" fillId="3" borderId="6" xfId="3" applyFont="1" applyFill="1" applyBorder="1" applyAlignment="1">
      <alignment horizontal="center"/>
    </xf>
    <xf numFmtId="0" fontId="9" fillId="4" borderId="2" xfId="0" applyFont="1" applyFill="1" applyBorder="1" applyAlignment="1">
      <alignment horizontal="center"/>
    </xf>
    <xf numFmtId="44" fontId="9" fillId="3" borderId="7" xfId="2" applyFont="1" applyFill="1" applyBorder="1" applyAlignment="1">
      <alignment horizontal="center"/>
    </xf>
    <xf numFmtId="44" fontId="9" fillId="3" borderId="5" xfId="2" applyFont="1" applyFill="1" applyBorder="1" applyAlignment="1">
      <alignment horizontal="center"/>
    </xf>
    <xf numFmtId="44" fontId="9" fillId="3" borderId="6" xfId="2" applyFont="1" applyFill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A1742-B323-49C4-BC9E-A8CB74F0A054}">
  <sheetPr codeName="Feuil1"/>
  <dimension ref="A1:J18"/>
  <sheetViews>
    <sheetView workbookViewId="0">
      <selection activeCell="A4" sqref="A4"/>
    </sheetView>
  </sheetViews>
  <sheetFormatPr baseColWidth="10" defaultRowHeight="14.4" x14ac:dyDescent="0.3"/>
  <cols>
    <col min="1" max="1" width="31.109375" customWidth="1"/>
    <col min="2" max="2" width="27" bestFit="1" customWidth="1"/>
    <col min="3" max="3" width="12.109375" bestFit="1" customWidth="1"/>
    <col min="4" max="4" width="17.109375" bestFit="1" customWidth="1"/>
    <col min="5" max="5" width="16.21875" bestFit="1" customWidth="1"/>
    <col min="6" max="6" width="13.77734375" customWidth="1"/>
    <col min="7" max="8" width="14.21875" customWidth="1"/>
    <col min="9" max="10" width="19.5546875" bestFit="1" customWidth="1"/>
  </cols>
  <sheetData>
    <row r="1" spans="1:10" ht="16.2" thickBot="1" x14ac:dyDescent="0.35">
      <c r="A1" s="36" t="s">
        <v>5</v>
      </c>
      <c r="B1" s="38" t="s">
        <v>7</v>
      </c>
      <c r="C1" s="40" t="s">
        <v>0</v>
      </c>
      <c r="D1" s="42" t="s">
        <v>1</v>
      </c>
      <c r="E1" s="44" t="s">
        <v>2</v>
      </c>
      <c r="F1" s="46" t="s">
        <v>3</v>
      </c>
      <c r="G1" s="48" t="s">
        <v>4</v>
      </c>
      <c r="H1" s="49"/>
      <c r="I1" s="57" t="s">
        <v>37</v>
      </c>
      <c r="J1" s="57" t="s">
        <v>30</v>
      </c>
    </row>
    <row r="2" spans="1:10" ht="15.6" x14ac:dyDescent="0.3">
      <c r="A2" s="37" t="s">
        <v>20</v>
      </c>
      <c r="B2" s="39" t="s">
        <v>6</v>
      </c>
      <c r="C2" s="41">
        <v>7826</v>
      </c>
      <c r="D2" s="43" t="s">
        <v>10</v>
      </c>
      <c r="E2" s="45">
        <v>151.94999999999999</v>
      </c>
      <c r="F2" s="47">
        <v>74.5</v>
      </c>
      <c r="G2" s="50">
        <f>E2-F2</f>
        <v>77.449999999999989</v>
      </c>
      <c r="H2" s="53">
        <f>G2/E2</f>
        <v>0.50970714050674559</v>
      </c>
      <c r="I2" s="58">
        <f>G2*14</f>
        <v>1084.2999999999997</v>
      </c>
      <c r="J2" s="58">
        <f>I2*0.33</f>
        <v>357.8189999999999</v>
      </c>
    </row>
    <row r="3" spans="1:10" ht="15.6" x14ac:dyDescent="0.3">
      <c r="A3" s="4" t="s">
        <v>17</v>
      </c>
      <c r="B3" s="2" t="s">
        <v>15</v>
      </c>
      <c r="C3" s="12">
        <v>7806</v>
      </c>
      <c r="D3" s="10" t="s">
        <v>12</v>
      </c>
      <c r="E3" s="8">
        <v>18.72</v>
      </c>
      <c r="F3" s="6">
        <v>28</v>
      </c>
      <c r="G3" s="51">
        <f>E3-F3</f>
        <v>-9.2800000000000011</v>
      </c>
      <c r="H3" s="54">
        <f>G3/E3</f>
        <v>-0.4957264957264958</v>
      </c>
      <c r="I3" s="59">
        <f>G3*14</f>
        <v>-129.92000000000002</v>
      </c>
      <c r="J3" s="59">
        <f>I3*0.33</f>
        <v>-42.87360000000001</v>
      </c>
    </row>
    <row r="4" spans="1:10" ht="15.6" x14ac:dyDescent="0.3">
      <c r="A4" s="4" t="s">
        <v>18</v>
      </c>
      <c r="B4" s="2" t="s">
        <v>14</v>
      </c>
      <c r="C4" s="12">
        <v>7788</v>
      </c>
      <c r="D4" s="10" t="s">
        <v>8</v>
      </c>
      <c r="E4" s="8">
        <v>75.78</v>
      </c>
      <c r="F4" s="6">
        <v>49</v>
      </c>
      <c r="G4" s="51">
        <f>E4-F4</f>
        <v>26.78</v>
      </c>
      <c r="H4" s="55">
        <f>G4/E4</f>
        <v>0.35339139614674059</v>
      </c>
      <c r="I4" s="59">
        <f>G4*14</f>
        <v>374.92</v>
      </c>
      <c r="J4" s="59">
        <f>I4*0.33</f>
        <v>123.7236</v>
      </c>
    </row>
    <row r="5" spans="1:10" ht="15.6" x14ac:dyDescent="0.3">
      <c r="A5" s="4" t="s">
        <v>18</v>
      </c>
      <c r="B5" s="2" t="s">
        <v>26</v>
      </c>
      <c r="C5" s="12">
        <v>7579</v>
      </c>
      <c r="D5" s="10" t="s">
        <v>11</v>
      </c>
      <c r="E5" s="8">
        <v>481.65</v>
      </c>
      <c r="F5" s="6">
        <v>309</v>
      </c>
      <c r="G5" s="51">
        <f>E5-F5</f>
        <v>172.64999999999998</v>
      </c>
      <c r="H5" s="54">
        <f>G5/E5</f>
        <v>0.35845530987231389</v>
      </c>
      <c r="I5" s="59">
        <f>G5*14</f>
        <v>2417.0999999999995</v>
      </c>
      <c r="J5" s="59">
        <f>I5*0.33</f>
        <v>797.6429999999998</v>
      </c>
    </row>
    <row r="6" spans="1:10" ht="15.6" x14ac:dyDescent="0.3">
      <c r="A6" s="4" t="s">
        <v>19</v>
      </c>
      <c r="B6" s="2" t="s">
        <v>16</v>
      </c>
      <c r="C6" s="12">
        <v>7690</v>
      </c>
      <c r="D6" s="10" t="s">
        <v>12</v>
      </c>
      <c r="E6" s="8">
        <v>193.51</v>
      </c>
      <c r="F6" s="6">
        <v>410.25</v>
      </c>
      <c r="G6" s="51">
        <f>E6-F6</f>
        <v>-216.74</v>
      </c>
      <c r="H6" s="54">
        <f>G6/E6</f>
        <v>-1.1200454756860112</v>
      </c>
      <c r="I6" s="59">
        <f>G6*14</f>
        <v>-3034.36</v>
      </c>
      <c r="J6" s="59">
        <f>I6*0.33</f>
        <v>-1001.3388000000001</v>
      </c>
    </row>
    <row r="7" spans="1:10" ht="15.6" x14ac:dyDescent="0.3">
      <c r="A7" s="4" t="s">
        <v>21</v>
      </c>
      <c r="B7" s="2" t="s">
        <v>41</v>
      </c>
      <c r="C7" s="12">
        <v>7898</v>
      </c>
      <c r="D7" s="10" t="s">
        <v>13</v>
      </c>
      <c r="E7" s="8">
        <v>87</v>
      </c>
      <c r="F7" s="6">
        <v>95</v>
      </c>
      <c r="G7" s="51">
        <f>E7-F7</f>
        <v>-8</v>
      </c>
      <c r="H7" s="54">
        <f>G7/E7</f>
        <v>-9.1954022988505746E-2</v>
      </c>
      <c r="I7" s="59">
        <f>G7*14</f>
        <v>-112</v>
      </c>
      <c r="J7" s="59">
        <f>I7*0.33</f>
        <v>-36.96</v>
      </c>
    </row>
    <row r="8" spans="1:10" ht="15.6" x14ac:dyDescent="0.3">
      <c r="A8" s="4" t="s">
        <v>22</v>
      </c>
      <c r="B8" s="2" t="s">
        <v>42</v>
      </c>
      <c r="C8" s="12">
        <v>7417</v>
      </c>
      <c r="D8" s="10" t="s">
        <v>9</v>
      </c>
      <c r="E8" s="8">
        <v>600</v>
      </c>
      <c r="F8" s="6">
        <v>456</v>
      </c>
      <c r="G8" s="51">
        <f>E8-F8</f>
        <v>144</v>
      </c>
      <c r="H8" s="54">
        <f>G8/E8</f>
        <v>0.24</v>
      </c>
      <c r="I8" s="59">
        <f>G8*14</f>
        <v>2016</v>
      </c>
      <c r="J8" s="59">
        <f>I8*0.33</f>
        <v>665.28000000000009</v>
      </c>
    </row>
    <row r="9" spans="1:10" ht="15.6" x14ac:dyDescent="0.3">
      <c r="A9" s="4" t="s">
        <v>38</v>
      </c>
      <c r="B9" s="2" t="s">
        <v>39</v>
      </c>
      <c r="C9" s="12">
        <v>7878</v>
      </c>
      <c r="D9" s="10" t="s">
        <v>8</v>
      </c>
      <c r="E9" s="8">
        <v>280</v>
      </c>
      <c r="F9" s="6">
        <v>160</v>
      </c>
      <c r="G9" s="51">
        <f>E9-F9</f>
        <v>120</v>
      </c>
      <c r="H9" s="54">
        <f>G9/E9</f>
        <v>0.42857142857142855</v>
      </c>
      <c r="I9" s="59">
        <f>G9*14</f>
        <v>1680</v>
      </c>
      <c r="J9" s="59">
        <f>I9*0.33</f>
        <v>554.4</v>
      </c>
    </row>
    <row r="10" spans="1:10" ht="15.6" x14ac:dyDescent="0.3">
      <c r="A10" s="4" t="s">
        <v>23</v>
      </c>
      <c r="B10" s="2" t="s">
        <v>28</v>
      </c>
      <c r="C10" s="12">
        <v>7746</v>
      </c>
      <c r="D10" s="10" t="s">
        <v>12</v>
      </c>
      <c r="E10" s="8">
        <v>89.49</v>
      </c>
      <c r="F10" s="6">
        <v>56.75</v>
      </c>
      <c r="G10" s="51">
        <f>E10-F10</f>
        <v>32.739999999999995</v>
      </c>
      <c r="H10" s="54">
        <f>G10/E10</f>
        <v>0.36585093306514693</v>
      </c>
      <c r="I10" s="59">
        <f>G10*14</f>
        <v>458.3599999999999</v>
      </c>
      <c r="J10" s="59">
        <f>I10*0.33</f>
        <v>151.25879999999998</v>
      </c>
    </row>
    <row r="11" spans="1:10" ht="15.6" x14ac:dyDescent="0.3">
      <c r="A11" s="4" t="s">
        <v>23</v>
      </c>
      <c r="B11" s="2" t="s">
        <v>29</v>
      </c>
      <c r="C11" s="12">
        <v>7844</v>
      </c>
      <c r="D11" s="10" t="s">
        <v>12</v>
      </c>
      <c r="E11" s="8">
        <v>25.69</v>
      </c>
      <c r="F11" s="6">
        <v>7.5</v>
      </c>
      <c r="G11" s="51">
        <f>E11-F11</f>
        <v>18.190000000000001</v>
      </c>
      <c r="H11" s="54">
        <f>G11/E11</f>
        <v>0.70805760996496692</v>
      </c>
      <c r="I11" s="59">
        <f>G11*14</f>
        <v>254.66000000000003</v>
      </c>
      <c r="J11" s="59">
        <f>I11*0.33</f>
        <v>84.037800000000018</v>
      </c>
    </row>
    <row r="12" spans="1:10" ht="15.6" x14ac:dyDescent="0.3">
      <c r="A12" s="4" t="s">
        <v>24</v>
      </c>
      <c r="B12" s="2" t="s">
        <v>27</v>
      </c>
      <c r="C12" s="12">
        <v>7575</v>
      </c>
      <c r="D12" s="10" t="s">
        <v>8</v>
      </c>
      <c r="E12" s="8">
        <v>206.7</v>
      </c>
      <c r="F12" s="6">
        <v>197.25</v>
      </c>
      <c r="G12" s="51">
        <f>E12-F12</f>
        <v>9.4499999999999886</v>
      </c>
      <c r="H12" s="54">
        <f>G12/E12</f>
        <v>4.5718432510885289E-2</v>
      </c>
      <c r="I12" s="59">
        <f>G12*14</f>
        <v>132.29999999999984</v>
      </c>
      <c r="J12" s="59">
        <f>I12*0.33</f>
        <v>43.658999999999949</v>
      </c>
    </row>
    <row r="13" spans="1:10" ht="15.6" x14ac:dyDescent="0.3">
      <c r="A13" s="4" t="s">
        <v>25</v>
      </c>
      <c r="B13" s="2" t="s">
        <v>40</v>
      </c>
      <c r="C13" s="12">
        <v>7846</v>
      </c>
      <c r="D13" s="10" t="s">
        <v>12</v>
      </c>
      <c r="E13" s="8">
        <v>180</v>
      </c>
      <c r="F13" s="6">
        <v>95</v>
      </c>
      <c r="G13" s="51">
        <f>E13-F13</f>
        <v>85</v>
      </c>
      <c r="H13" s="54">
        <f>G13/E13</f>
        <v>0.47222222222222221</v>
      </c>
      <c r="I13" s="59">
        <f>G13*14</f>
        <v>1190</v>
      </c>
      <c r="J13" s="59">
        <f>I13*0.33</f>
        <v>392.70000000000005</v>
      </c>
    </row>
    <row r="14" spans="1:10" ht="15.6" x14ac:dyDescent="0.3">
      <c r="A14" s="4" t="s">
        <v>23</v>
      </c>
      <c r="B14" s="2" t="s">
        <v>43</v>
      </c>
      <c r="C14" s="12">
        <v>7548</v>
      </c>
      <c r="D14" s="10" t="s">
        <v>10</v>
      </c>
      <c r="E14" s="8">
        <v>562</v>
      </c>
      <c r="F14" s="6">
        <v>458</v>
      </c>
      <c r="G14" s="51">
        <f>E14-F14</f>
        <v>104</v>
      </c>
      <c r="H14" s="54">
        <f>G14/E14</f>
        <v>0.18505338078291814</v>
      </c>
      <c r="I14" s="59">
        <f>G14*14</f>
        <v>1456</v>
      </c>
      <c r="J14" s="59">
        <f>I14*0.33</f>
        <v>480.48</v>
      </c>
    </row>
    <row r="15" spans="1:10" ht="15.6" x14ac:dyDescent="0.3">
      <c r="A15" s="4"/>
      <c r="B15" s="2"/>
      <c r="C15" s="12"/>
      <c r="D15" s="10"/>
      <c r="E15" s="8"/>
      <c r="F15" s="6"/>
      <c r="G15" s="51"/>
      <c r="H15" s="54"/>
      <c r="I15" s="59"/>
      <c r="J15" s="59"/>
    </row>
    <row r="16" spans="1:10" ht="15.6" x14ac:dyDescent="0.3">
      <c r="A16" s="4"/>
      <c r="B16" s="2"/>
      <c r="C16" s="12"/>
      <c r="D16" s="10"/>
      <c r="E16" s="8"/>
      <c r="F16" s="6"/>
      <c r="G16" s="51"/>
      <c r="H16" s="54"/>
      <c r="I16" s="59"/>
      <c r="J16" s="59"/>
    </row>
    <row r="17" spans="1:10" ht="15.6" x14ac:dyDescent="0.3">
      <c r="A17" s="4"/>
      <c r="B17" s="2"/>
      <c r="C17" s="12"/>
      <c r="D17" s="10"/>
      <c r="E17" s="8"/>
      <c r="F17" s="6"/>
      <c r="G17" s="51"/>
      <c r="H17" s="54"/>
      <c r="I17" s="59"/>
      <c r="J17" s="59"/>
    </row>
    <row r="18" spans="1:10" ht="16.2" thickBot="1" x14ac:dyDescent="0.35">
      <c r="A18" s="5"/>
      <c r="B18" s="3"/>
      <c r="C18" s="13"/>
      <c r="D18" s="11"/>
      <c r="E18" s="9"/>
      <c r="F18" s="7"/>
      <c r="G18" s="52"/>
      <c r="H18" s="56"/>
      <c r="I18" s="60"/>
      <c r="J18" s="60"/>
    </row>
  </sheetData>
  <sortState xmlns:xlrd2="http://schemas.microsoft.com/office/spreadsheetml/2017/richdata2" ref="A1:J13">
    <sortCondition ref="A1:A13"/>
  </sortState>
  <mergeCells count="1">
    <mergeCell ref="G1:H1"/>
  </mergeCells>
  <conditionalFormatting sqref="H2:J18">
    <cfRule type="cellIs" dxfId="3" priority="7" operator="greaterThan">
      <formula>0.3</formula>
    </cfRule>
  </conditionalFormatting>
  <conditionalFormatting sqref="H4:J6">
    <cfRule type="cellIs" dxfId="2" priority="4" operator="lessThan">
      <formula>0.24</formula>
    </cfRule>
  </conditionalFormatting>
  <conditionalFormatting sqref="H1:H1048576">
    <cfRule type="cellIs" dxfId="1" priority="1" operator="lessThan">
      <formula>0.29</formula>
    </cfRule>
    <cfRule type="cellIs" dxfId="0" priority="2" operator="greaterThan">
      <formula>0.3</formula>
    </cfRule>
  </conditionalFormatting>
  <dataValidations count="1">
    <dataValidation type="list" allowBlank="1" showInputMessage="1" showErrorMessage="1" sqref="D2:D18" xr:uid="{D81E1008-D2CF-4B7E-AB67-8DE12614BEDF}">
      <formula1>CDT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E97A7E-1C6C-4315-BFC5-4625E99F4D43}">
          <x14:formula1>
            <xm:f>Données!$B$1:$B$10</xm:f>
          </x14:formula1>
          <xm:sqref>A2:A18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7FA37-3800-4E4B-96F8-9B05AF172600}">
  <sheetPr codeName="Feuil2"/>
  <dimension ref="A1:E14"/>
  <sheetViews>
    <sheetView workbookViewId="0">
      <selection activeCell="C29" sqref="C29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26" t="s">
        <v>17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VLOOKUP("BELGROUI Hakim",Prime!A1:J9,2,FALSE)</f>
        <v>ELEMENTAIRE PONT DU LAS</v>
      </c>
      <c r="C3" s="34">
        <f>VLOOKUP("BELGROUI Hakim",Prime!A1:J9,3,FALSE)</f>
        <v>7806</v>
      </c>
      <c r="D3" s="35">
        <f>VLOOKUP("BELGROUI Hakim",Prime!1:1048576,7,FALSE)</f>
        <v>-9.2800000000000011</v>
      </c>
      <c r="E3" s="27">
        <f>VLOOKUP("BELGROUI Hakim",Prime!1:1048576,10,FALSE)</f>
        <v>-42.87360000000001</v>
      </c>
    </row>
    <row r="4" spans="1:5" x14ac:dyDescent="0.3">
      <c r="B4" s="27" t="str">
        <f>VLOOKUP("BELGROUI Hakim",Prime!A2:J10,2,FALSE)</f>
        <v>ELEMENTAIRE PONT DU LAS</v>
      </c>
      <c r="C4" s="16"/>
      <c r="D4" s="18"/>
      <c r="E4" s="28"/>
    </row>
    <row r="5" spans="1:5" x14ac:dyDescent="0.3">
      <c r="B5" s="27" t="str">
        <f>VLOOKUP("BELGROUI Hakim",Prime!A3:J11,2,FALSE)</f>
        <v>ELEMENTAIRE PONT DU LAS</v>
      </c>
      <c r="C5" s="16"/>
      <c r="D5" s="18"/>
      <c r="E5" s="29"/>
    </row>
    <row r="6" spans="1:5" x14ac:dyDescent="0.3">
      <c r="B6" s="27" t="e">
        <f>VLOOKUP("BELGROUI Hakim",Prime!A4:J12,2,FALSE)</f>
        <v>#N/A</v>
      </c>
      <c r="C6" s="16"/>
      <c r="D6" s="18"/>
      <c r="E6" s="28"/>
    </row>
    <row r="7" spans="1:5" x14ac:dyDescent="0.3">
      <c r="B7" s="27" t="e">
        <f>VLOOKUP("BELGROUI Hakim",Prime!A5:J13,2,FALSE)</f>
        <v>#N/A</v>
      </c>
      <c r="C7" s="16"/>
      <c r="D7" s="18"/>
      <c r="E7" s="28"/>
    </row>
    <row r="8" spans="1:5" x14ac:dyDescent="0.3">
      <c r="B8" s="27" t="e">
        <f>VLOOKUP("BELGROUI Hakim",Prime!A6:J14,2,FALSE)</f>
        <v>#N/A</v>
      </c>
      <c r="C8" s="16"/>
      <c r="D8" s="18"/>
      <c r="E8" s="28"/>
    </row>
    <row r="9" spans="1:5" x14ac:dyDescent="0.3">
      <c r="B9" s="27" t="e">
        <f>VLOOKUP("BELGROUI Hakim",Prime!A7:J15,2,FALSE)</f>
        <v>#N/A</v>
      </c>
      <c r="C9" s="16"/>
      <c r="D9" s="18"/>
      <c r="E9" s="29"/>
    </row>
    <row r="10" spans="1:5" x14ac:dyDescent="0.3">
      <c r="B10" s="27" t="e">
        <f>VLOOKUP("BELGROUI Hakim",Prime!A8:J16,2,FALSE)</f>
        <v>#N/A</v>
      </c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8"/>
    </row>
    <row r="13" spans="1:5" ht="15" thickBot="1" x14ac:dyDescent="0.35">
      <c r="B13" s="27"/>
      <c r="C13" s="16"/>
      <c r="D13" s="18"/>
      <c r="E13" s="30"/>
    </row>
    <row r="14" spans="1:5" ht="15" thickBot="1" x14ac:dyDescent="0.35">
      <c r="A14" s="1"/>
      <c r="B14" s="33"/>
      <c r="C14" s="17"/>
      <c r="D14" s="31" t="s">
        <v>34</v>
      </c>
      <c r="E14" s="32">
        <f>SUM(E3:E13)</f>
        <v>-42.87360000000001</v>
      </c>
    </row>
  </sheetData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0B64B-A164-4433-8007-DFA033425793}">
  <sheetPr codeName="Feuil3"/>
  <dimension ref="A1:E17"/>
  <sheetViews>
    <sheetView tabSelected="1" workbookViewId="0">
      <selection activeCell="B7" sqref="B7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26" t="s">
        <v>18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VLOOKUP("BESREST Roland",Prime!A1:J18,2,)</f>
        <v xml:space="preserve">COMPLEXE AQUATIQUE </v>
      </c>
      <c r="C3" s="34">
        <f>VLOOKUP("BESREST Roland",Prime!A4:L18,3,FALSE)</f>
        <v>7788</v>
      </c>
      <c r="D3" s="35">
        <f>VLOOKUP("BESREST Roland",Prime!A4:L18,7,FALSE)</f>
        <v>26.78</v>
      </c>
      <c r="E3" s="27">
        <f>VLOOKUP("BESREST Roland",Prime!A4:L18,10,FALSE)</f>
        <v>123.7236</v>
      </c>
    </row>
    <row r="4" spans="1:5" x14ac:dyDescent="0.3">
      <c r="B4" s="27" t="str">
        <f>VLOOKUP(Données!$B$2,Prime!A2:J19,2,)</f>
        <v xml:space="preserve">COMPLEXE AQUATIQUE </v>
      </c>
      <c r="C4" s="34"/>
      <c r="D4" s="35"/>
      <c r="E4" s="27"/>
    </row>
    <row r="5" spans="1:5" x14ac:dyDescent="0.3">
      <c r="B5" s="27" t="str">
        <f>VLOOKUP(Données!$B$2,Prime!A3:J20,2,)</f>
        <v xml:space="preserve">COMPLEXE AQUATIQUE </v>
      </c>
      <c r="C5" s="34"/>
      <c r="D5" s="35"/>
      <c r="E5" s="27"/>
    </row>
    <row r="6" spans="1:5" x14ac:dyDescent="0.3">
      <c r="B6" s="27" t="str">
        <f>VLOOKUP(Données!$B$2,Prime!A4:J21,2,)</f>
        <v xml:space="preserve">COMPLEXE AQUATIQUE </v>
      </c>
      <c r="C6" s="34"/>
      <c r="D6" s="35"/>
      <c r="E6" s="27"/>
    </row>
    <row r="7" spans="1:5" x14ac:dyDescent="0.3">
      <c r="B7" s="27" t="str">
        <f>VLOOKUP(Données!$B$2,Prime!A5:J22,2,)</f>
        <v>KILOUTOU AIX</v>
      </c>
      <c r="C7" s="34"/>
      <c r="D7" s="35"/>
      <c r="E7" s="27"/>
    </row>
    <row r="8" spans="1:5" x14ac:dyDescent="0.3">
      <c r="B8" s="27" t="e">
        <f>VLOOKUP(Données!$B$2,Prime!A6:J23,2,)</f>
        <v>#N/A</v>
      </c>
      <c r="C8" s="34"/>
      <c r="D8" s="35"/>
      <c r="E8" s="27"/>
    </row>
    <row r="9" spans="1:5" x14ac:dyDescent="0.3">
      <c r="B9" s="27" t="e">
        <f>VLOOKUP(Données!$B$2,Prime!A7:J24,2,)</f>
        <v>#N/A</v>
      </c>
      <c r="C9" s="34"/>
      <c r="D9" s="35"/>
      <c r="E9" s="27"/>
    </row>
    <row r="10" spans="1:5" x14ac:dyDescent="0.3">
      <c r="B10" s="27" t="e">
        <f>VLOOKUP(Données!$B$2,Prime!A8:J25,2,)</f>
        <v>#N/A</v>
      </c>
      <c r="C10" s="34"/>
      <c r="D10" s="35"/>
      <c r="E10" s="27"/>
    </row>
    <row r="11" spans="1:5" x14ac:dyDescent="0.3">
      <c r="B11" s="27" t="e">
        <f>VLOOKUP(Données!$B$2,Prime!A9:J26,2,)</f>
        <v>#N/A</v>
      </c>
      <c r="C11" s="16"/>
      <c r="D11" s="18"/>
      <c r="E11" s="28"/>
    </row>
    <row r="12" spans="1:5" x14ac:dyDescent="0.3">
      <c r="B12" s="27" t="e">
        <f>VLOOKUP(Données!$B$2,Prime!A10:J27,2,)</f>
        <v>#N/A</v>
      </c>
      <c r="C12" s="16"/>
      <c r="D12" s="18"/>
      <c r="E12" s="29"/>
    </row>
    <row r="13" spans="1:5" x14ac:dyDescent="0.3">
      <c r="B13" s="27" t="e">
        <f>VLOOKUP(Données!$B$2,Prime!A11:J28,2,)</f>
        <v>#N/A</v>
      </c>
      <c r="C13" s="16"/>
      <c r="D13" s="18"/>
      <c r="E13" s="28"/>
    </row>
    <row r="14" spans="1:5" x14ac:dyDescent="0.3">
      <c r="B14" s="27" t="e">
        <f>VLOOKUP(Données!$B$2,Prime!A12:J29,2,)</f>
        <v>#N/A</v>
      </c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123.7236</v>
      </c>
    </row>
  </sheetData>
  <mergeCells count="1"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25118-568E-4F81-8650-3C365214BEBE}">
  <sheetPr codeName="Feuil4"/>
  <dimension ref="A1:E17"/>
  <sheetViews>
    <sheetView workbookViewId="0">
      <selection activeCell="E3" sqref="E3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14" customWidth="1"/>
  </cols>
  <sheetData>
    <row r="1" spans="1:5" ht="21.6" thickBot="1" x14ac:dyDescent="0.35">
      <c r="A1" s="26" t="s">
        <v>19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VLOOKUP("CHATTI Hatem",Prime!1:1048576,2,FALSE)</f>
        <v>BUREAU FACIL</v>
      </c>
      <c r="C3" s="34">
        <f>VLOOKUP("CHATTI Hatem",Prime!1:1048576,3,FALSE)</f>
        <v>7690</v>
      </c>
      <c r="D3" s="35">
        <f>VLOOKUP("CHATTI Hatem",Prime!1:1048576,7,FALSE)</f>
        <v>-216.74</v>
      </c>
      <c r="E3" s="27">
        <f>VLOOKUP("CHATTI Hatem",Prime!1:1048576,10,FALSE)</f>
        <v>-1001.3388000000001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-1001.3388000000001</v>
      </c>
    </row>
  </sheetData>
  <mergeCells count="1">
    <mergeCell ref="B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49620-3B0D-4D34-B389-64236DEB50E4}">
  <sheetPr codeName="Feuil5"/>
  <dimension ref="A1:E18"/>
  <sheetViews>
    <sheetView workbookViewId="0">
      <selection activeCell="E18" sqref="E18"/>
    </sheetView>
  </sheetViews>
  <sheetFormatPr baseColWidth="10" defaultRowHeight="14.4" x14ac:dyDescent="0.3"/>
  <cols>
    <col min="1" max="1" width="34.109375" customWidth="1"/>
    <col min="2" max="2" width="31.5546875" bestFit="1" customWidth="1"/>
    <col min="3" max="3" width="21.109375" bestFit="1" customWidth="1"/>
    <col min="4" max="4" width="31.5546875" bestFit="1" customWidth="1"/>
    <col min="5" max="5" width="21.109375" bestFit="1" customWidth="1"/>
  </cols>
  <sheetData>
    <row r="1" spans="1:5" ht="15" thickBot="1" x14ac:dyDescent="0.35"/>
    <row r="2" spans="1:5" ht="21.6" thickBot="1" x14ac:dyDescent="0.35">
      <c r="A2" s="26" t="s">
        <v>20</v>
      </c>
      <c r="B2" s="23">
        <v>44470</v>
      </c>
      <c r="C2" s="24"/>
      <c r="D2" s="24"/>
      <c r="E2" s="25"/>
    </row>
    <row r="3" spans="1:5" ht="18.600000000000001" thickBot="1" x14ac:dyDescent="0.35">
      <c r="B3" s="19" t="s">
        <v>31</v>
      </c>
      <c r="C3" s="19" t="s">
        <v>0</v>
      </c>
      <c r="D3" s="19" t="s">
        <v>32</v>
      </c>
      <c r="E3" s="19" t="s">
        <v>33</v>
      </c>
    </row>
    <row r="4" spans="1:5" x14ac:dyDescent="0.3">
      <c r="B4" s="27" t="str">
        <f>VLOOKUP("GJOKA Mark",Prime!A1:J18,2,FALSE)</f>
        <v>POLE EMPLOI</v>
      </c>
      <c r="C4" s="34">
        <f>VLOOKUP("GJOKA Mark",Prime!1:1048576,3,FALSE)</f>
        <v>7826</v>
      </c>
      <c r="D4" s="35">
        <f>VLOOKUP("GJOKA Mark",Prime!1:1048576,7,FALSE)</f>
        <v>77.449999999999989</v>
      </c>
      <c r="E4" s="27">
        <f>VLOOKUP("GJOKA Mark",Prime!1:1048576,10,FALSE)</f>
        <v>357.8189999999999</v>
      </c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34"/>
      <c r="D7" s="35"/>
      <c r="E7" s="27"/>
    </row>
    <row r="8" spans="1:5" x14ac:dyDescent="0.3">
      <c r="B8" s="27"/>
      <c r="C8" s="16"/>
      <c r="D8" s="35"/>
      <c r="E8" s="27"/>
    </row>
    <row r="9" spans="1:5" x14ac:dyDescent="0.3">
      <c r="B9" s="27"/>
      <c r="C9" s="16"/>
      <c r="D9" s="35"/>
      <c r="E9" s="27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8"/>
    </row>
    <row r="13" spans="1:5" x14ac:dyDescent="0.3">
      <c r="B13" s="27"/>
      <c r="C13" s="16"/>
      <c r="D13" s="18"/>
      <c r="E13" s="29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x14ac:dyDescent="0.3">
      <c r="B16" s="27"/>
      <c r="C16" s="16"/>
      <c r="D16" s="18"/>
      <c r="E16" s="28"/>
    </row>
    <row r="17" spans="1:5" ht="15" thickBot="1" x14ac:dyDescent="0.35">
      <c r="B17" s="27"/>
      <c r="C17" s="16"/>
      <c r="D17" s="18"/>
      <c r="E17" s="30"/>
    </row>
    <row r="18" spans="1:5" ht="15" thickBot="1" x14ac:dyDescent="0.35">
      <c r="A18" s="1"/>
      <c r="B18" s="27"/>
      <c r="C18" s="17"/>
      <c r="D18" s="31" t="s">
        <v>34</v>
      </c>
      <c r="E18" s="32">
        <f>SUM(E4:E17)</f>
        <v>357.8189999999999</v>
      </c>
    </row>
  </sheetData>
  <mergeCells count="1">
    <mergeCell ref="B2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CFEAB-C5F3-41E8-A2A3-B7FD245D0143}">
  <sheetPr codeName="Feuil6"/>
  <dimension ref="A1:E17"/>
  <sheetViews>
    <sheetView workbookViewId="0">
      <selection activeCell="E4" sqref="E4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8.33203125" bestFit="1" customWidth="1"/>
  </cols>
  <sheetData>
    <row r="1" spans="1:5" ht="21.6" thickBot="1" x14ac:dyDescent="0.35">
      <c r="A1" s="26" t="s">
        <v>21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VLOOKUP("HMIDA Nasser",Prime!1:1048576,2,FALSE)</f>
        <v>CRECHE PITCHOUN</v>
      </c>
      <c r="C3" s="34">
        <f>VLOOKUP("HMIDA Nasser",Prime!1:1048576,3,FALSE)</f>
        <v>7898</v>
      </c>
      <c r="D3" s="35">
        <f>VLOOKUP("HMIDA Nasser",Prime!1:1048576,7,FALSE)</f>
        <v>-8</v>
      </c>
      <c r="E3" s="27">
        <f>VLOOKUP("HMIDA Nasser",Prime!1:1048576,10,FALSE)</f>
        <v>-36.96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-36.96</v>
      </c>
    </row>
  </sheetData>
  <mergeCells count="1">
    <mergeCell ref="B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4DA24-C235-4059-A0F7-82F4D7350729}">
  <sheetPr codeName="Feuil7"/>
  <dimension ref="A1:E17"/>
  <sheetViews>
    <sheetView workbookViewId="0">
      <selection activeCell="B4" sqref="B4:B14"/>
    </sheetView>
  </sheetViews>
  <sheetFormatPr baseColWidth="10" defaultColWidth="24.21875" defaultRowHeight="14.4" x14ac:dyDescent="0.3"/>
  <sheetData>
    <row r="1" spans="1:5" ht="21.6" thickBot="1" x14ac:dyDescent="0.35">
      <c r="A1" s="26" t="s">
        <v>22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VLOOKUP("JAOUEN Matthieu",Prime!A1:L18,2,FALSE)</f>
        <v>CNMSS</v>
      </c>
      <c r="C3" s="34">
        <f>VLOOKUP("JAOUEN Matthieu",Prime!1:1048576,3,FALSE)</f>
        <v>7417</v>
      </c>
      <c r="D3" s="35">
        <f>VLOOKUP("JAOUEN Matthieu",Prime!1:1048576,7,FALSE)</f>
        <v>144</v>
      </c>
      <c r="E3" s="27">
        <f>VLOOKUP("JAOUEN Matthieu",Prime!1:1048576,10,FALSE)</f>
        <v>665.28000000000009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665.28000000000009</v>
      </c>
    </row>
  </sheetData>
  <mergeCells count="1">
    <mergeCell ref="B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06C0E-2C5A-44D1-9316-936F53F0C990}">
  <sheetPr codeName="Feuil8"/>
  <dimension ref="A1:E17"/>
  <sheetViews>
    <sheetView workbookViewId="0">
      <selection activeCell="C3" sqref="C3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26" t="s">
        <v>38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VLOOKUP("MANCA Michele",Prime!1:1048576,2,FALSE)</f>
        <v>NAVAL GROUP</v>
      </c>
      <c r="C3" s="34">
        <f>VLOOKUP("MANCA Michele",Prime!1:1048576,3,FALSE)</f>
        <v>7878</v>
      </c>
      <c r="D3" s="35">
        <f>VLOOKUP("MANCA Michele",Prime!1:1048576,7,FALSE)</f>
        <v>120</v>
      </c>
      <c r="E3" s="27">
        <f>VLOOKUP("MANCA Michele",Prime!1:1048576,10,FALSE)</f>
        <v>554.4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554.4</v>
      </c>
    </row>
  </sheetData>
  <mergeCells count="1">
    <mergeCell ref="B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B9036-7026-45C5-B464-BEEECFF9BFD8}">
  <sheetPr codeName="Feuil9"/>
  <dimension ref="A1:E11"/>
  <sheetViews>
    <sheetView workbookViewId="0">
      <selection activeCell="E11" sqref="E11"/>
    </sheetView>
  </sheetViews>
  <sheetFormatPr baseColWidth="10" defaultRowHeight="14.4" x14ac:dyDescent="0.3"/>
  <cols>
    <col min="1" max="1" width="26.55468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26" t="s">
        <v>23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VLOOKUP("PIZZIMENTI Antonio",Prime!A10:J18,2,FALSE)</f>
        <v>ELEMENTAIRE FILIPPI</v>
      </c>
      <c r="C3" s="34">
        <f>VLOOKUP("PIZZIMENTI Antonio",Prime!1:1048576,3,FALSE)</f>
        <v>7746</v>
      </c>
      <c r="D3" s="35">
        <f>VLOOKUP("PIZZIMENTI Antonio",Prime!1:1048576,7,FALSE)</f>
        <v>32.739999999999995</v>
      </c>
      <c r="E3" s="27">
        <f>VLOOKUP("PIZZIMENTI Antonio",Prime!1:1048576,10,FALSE)</f>
        <v>151.25879999999998</v>
      </c>
    </row>
    <row r="4" spans="1:5" x14ac:dyDescent="0.3">
      <c r="B4" s="27" t="str">
        <f>VLOOKUP("PIZZIMENTI Antonio",Prime!A11:J19,2,FALSE)</f>
        <v>MISSION LOCALE</v>
      </c>
      <c r="C4" s="34"/>
      <c r="D4" s="35"/>
      <c r="E4" s="27"/>
    </row>
    <row r="5" spans="1:5" x14ac:dyDescent="0.3">
      <c r="B5" s="27" t="str">
        <f>VLOOKUP("PIZZIMENTI Antonio",Prime!A12:J20,2,FALSE)</f>
        <v>LAPOSTE</v>
      </c>
      <c r="C5" s="34"/>
      <c r="D5" s="35"/>
      <c r="E5" s="27"/>
    </row>
    <row r="6" spans="1:5" x14ac:dyDescent="0.3">
      <c r="B6" s="27" t="str">
        <f>VLOOKUP("PIZZIMENTI Antonio",Prime!A13:J21,2,FALSE)</f>
        <v>LAPOSTE</v>
      </c>
      <c r="C6" s="34"/>
      <c r="D6" s="35"/>
      <c r="E6" s="27"/>
    </row>
    <row r="7" spans="1:5" x14ac:dyDescent="0.3">
      <c r="B7" s="27" t="str">
        <f>VLOOKUP("PIZZIMENTI Antonio",Prime!A14:J22,2,FALSE)</f>
        <v>LAPOSTE</v>
      </c>
      <c r="C7" s="34"/>
      <c r="D7" s="35"/>
      <c r="E7" s="27"/>
    </row>
    <row r="8" spans="1:5" x14ac:dyDescent="0.3">
      <c r="B8" s="27" t="e">
        <f>VLOOKUP("PIZZIMENTI Antonio",Prime!A15:J23,2,FALSE)</f>
        <v>#N/A</v>
      </c>
      <c r="C8" s="34"/>
      <c r="D8" s="35"/>
      <c r="E8" s="27"/>
    </row>
    <row r="9" spans="1:5" x14ac:dyDescent="0.3">
      <c r="B9" s="27" t="e">
        <f>VLOOKUP("PIZZIMENTI Antonio",Prime!A16:J24,2,FALSE)</f>
        <v>#N/A</v>
      </c>
      <c r="C9" s="34"/>
      <c r="D9" s="18"/>
      <c r="E9" s="28"/>
    </row>
    <row r="10" spans="1:5" ht="15" thickBot="1" x14ac:dyDescent="0.35">
      <c r="B10" s="27" t="e">
        <f>VLOOKUP("PIZZIMENTI Antonio",Prime!A17:J25,2,FALSE)</f>
        <v>#N/A</v>
      </c>
      <c r="C10" s="16"/>
      <c r="D10" s="18"/>
      <c r="E10" s="30"/>
    </row>
    <row r="11" spans="1:5" ht="15" thickBot="1" x14ac:dyDescent="0.35">
      <c r="A11" s="1"/>
      <c r="B11" s="33"/>
      <c r="C11" s="17"/>
      <c r="D11" s="31" t="s">
        <v>34</v>
      </c>
      <c r="E11" s="32">
        <f>SUM(E3:E10)</f>
        <v>151.25879999999998</v>
      </c>
    </row>
  </sheetData>
  <mergeCells count="1">
    <mergeCell ref="B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3B2EF-189F-48E5-8673-69749F517DB6}">
  <sheetPr codeName="Feuil10"/>
  <dimension ref="A1:E17"/>
  <sheetViews>
    <sheetView workbookViewId="0">
      <selection activeCell="E4" sqref="E4"/>
    </sheetView>
  </sheetViews>
  <sheetFormatPr baseColWidth="10" defaultRowHeight="14.4" x14ac:dyDescent="0.3"/>
  <cols>
    <col min="1" max="1" width="22.777343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8.33203125" bestFit="1" customWidth="1"/>
  </cols>
  <sheetData>
    <row r="1" spans="1:5" ht="21.6" thickBot="1" x14ac:dyDescent="0.35">
      <c r="A1" s="26" t="s">
        <v>24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VLOOKUP("ROCHE Aurélien",Prime!1:1048576,2,FALSE)</f>
        <v>HAAGENDAZS</v>
      </c>
      <c r="C3" s="34">
        <f>VLOOKUP("ROCHE Aurélien",Prime!1:1048576,3,FALSE)</f>
        <v>7575</v>
      </c>
      <c r="D3" s="35">
        <f>VLOOKUP("ROCHE Aurélien",Prime!1:1048576,7,FALSE)</f>
        <v>9.4499999999999886</v>
      </c>
      <c r="E3" s="27">
        <f>VLOOKUP("ROCHE Aurélien",Prime!1:1048576,10,FALSE)</f>
        <v>43.658999999999949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43.658999999999949</v>
      </c>
    </row>
  </sheetData>
  <mergeCells count="1">
    <mergeCell ref="B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432A8-5E63-4861-82F6-567CA5DB4EB1}">
  <sheetPr codeName="Feuil11"/>
  <dimension ref="A1:E17"/>
  <sheetViews>
    <sheetView workbookViewId="0">
      <selection activeCell="B17" sqref="B17"/>
    </sheetView>
  </sheetViews>
  <sheetFormatPr baseColWidth="10" defaultRowHeight="14.4" x14ac:dyDescent="0.3"/>
  <cols>
    <col min="1" max="1" width="22" bestFit="1" customWidth="1"/>
    <col min="2" max="2" width="15.8867187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26" t="s">
        <v>25</v>
      </c>
      <c r="B1" s="23">
        <v>44470</v>
      </c>
      <c r="C1" s="24"/>
      <c r="D1" s="24"/>
      <c r="E1" s="25"/>
    </row>
    <row r="2" spans="1:5" ht="18.600000000000001" thickBot="1" x14ac:dyDescent="0.35">
      <c r="B2" s="19" t="s">
        <v>31</v>
      </c>
      <c r="C2" s="19" t="s">
        <v>0</v>
      </c>
      <c r="D2" s="19" t="s">
        <v>32</v>
      </c>
      <c r="E2" s="19" t="s">
        <v>33</v>
      </c>
    </row>
    <row r="3" spans="1:5" x14ac:dyDescent="0.3">
      <c r="B3" s="27" t="str">
        <f>VLOOKUP("TABAMER Karim",Prime!1:1048576,2,FALSE)</f>
        <v xml:space="preserve">HOTEL DE VILLE </v>
      </c>
      <c r="C3" s="34">
        <f>VLOOKUP("TABAMER Karim",Prime!1:1048576,3,FALSE)</f>
        <v>7846</v>
      </c>
      <c r="D3" s="35">
        <f>VLOOKUP("TABAMER Karim",Prime!1:1048576,7,FALSE)</f>
        <v>85</v>
      </c>
      <c r="E3" s="27">
        <f>VLOOKUP("TABAMER Karim",Prime!1:1048576,10,FALSE)</f>
        <v>392.70000000000005</v>
      </c>
    </row>
    <row r="4" spans="1:5" x14ac:dyDescent="0.3">
      <c r="B4" s="27"/>
      <c r="C4" s="34"/>
      <c r="D4" s="35"/>
      <c r="E4" s="27"/>
    </row>
    <row r="5" spans="1:5" x14ac:dyDescent="0.3">
      <c r="B5" s="27"/>
      <c r="C5" s="34"/>
      <c r="D5" s="35"/>
      <c r="E5" s="27"/>
    </row>
    <row r="6" spans="1:5" x14ac:dyDescent="0.3">
      <c r="B6" s="27"/>
      <c r="C6" s="34"/>
      <c r="D6" s="35"/>
      <c r="E6" s="27"/>
    </row>
    <row r="7" spans="1:5" x14ac:dyDescent="0.3">
      <c r="B7" s="27"/>
      <c r="C7" s="16"/>
      <c r="D7" s="18"/>
      <c r="E7" s="28"/>
    </row>
    <row r="8" spans="1:5" x14ac:dyDescent="0.3">
      <c r="B8" s="27"/>
      <c r="C8" s="16"/>
      <c r="D8" s="18"/>
      <c r="E8" s="29"/>
    </row>
    <row r="9" spans="1:5" x14ac:dyDescent="0.3">
      <c r="B9" s="27"/>
      <c r="C9" s="16"/>
      <c r="D9" s="18"/>
      <c r="E9" s="28"/>
    </row>
    <row r="10" spans="1:5" x14ac:dyDescent="0.3">
      <c r="B10" s="27"/>
      <c r="C10" s="16"/>
      <c r="D10" s="18"/>
      <c r="E10" s="28"/>
    </row>
    <row r="11" spans="1:5" x14ac:dyDescent="0.3">
      <c r="B11" s="27"/>
      <c r="C11" s="16"/>
      <c r="D11" s="18"/>
      <c r="E11" s="28"/>
    </row>
    <row r="12" spans="1:5" x14ac:dyDescent="0.3">
      <c r="B12" s="27"/>
      <c r="C12" s="16"/>
      <c r="D12" s="18"/>
      <c r="E12" s="29"/>
    </row>
    <row r="13" spans="1:5" x14ac:dyDescent="0.3">
      <c r="B13" s="27"/>
      <c r="C13" s="16"/>
      <c r="D13" s="18"/>
      <c r="E13" s="28"/>
    </row>
    <row r="14" spans="1:5" x14ac:dyDescent="0.3">
      <c r="B14" s="27"/>
      <c r="C14" s="16"/>
      <c r="D14" s="18"/>
      <c r="E14" s="28"/>
    </row>
    <row r="15" spans="1:5" x14ac:dyDescent="0.3">
      <c r="B15" s="27"/>
      <c r="C15" s="16"/>
      <c r="D15" s="18"/>
      <c r="E15" s="28"/>
    </row>
    <row r="16" spans="1:5" ht="15" thickBot="1" x14ac:dyDescent="0.35">
      <c r="B16" s="27"/>
      <c r="C16" s="16"/>
      <c r="D16" s="18"/>
      <c r="E16" s="30"/>
    </row>
    <row r="17" spans="1:5" ht="15" thickBot="1" x14ac:dyDescent="0.35">
      <c r="A17" s="1"/>
      <c r="B17" s="33"/>
      <c r="C17" s="17"/>
      <c r="D17" s="31" t="s">
        <v>34</v>
      </c>
      <c r="E17" s="32">
        <f>SUM(E3:E16)</f>
        <v>392.70000000000005</v>
      </c>
    </row>
  </sheetData>
  <mergeCells count="1">
    <mergeCell ref="B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7E290-F13E-4AE6-84B3-19F7637ABB69}">
  <sheetPr codeName="Feuil12"/>
  <dimension ref="A1:C10"/>
  <sheetViews>
    <sheetView workbookViewId="0">
      <selection activeCell="B2" sqref="B2"/>
    </sheetView>
  </sheetViews>
  <sheetFormatPr baseColWidth="10" defaultRowHeight="14.4" x14ac:dyDescent="0.3"/>
  <cols>
    <col min="2" max="2" width="24.88671875" customWidth="1"/>
  </cols>
  <sheetData>
    <row r="1" spans="1:3" x14ac:dyDescent="0.3">
      <c r="A1" s="14" t="s">
        <v>11</v>
      </c>
      <c r="B1" s="21" t="s">
        <v>17</v>
      </c>
      <c r="C1" s="14" t="s">
        <v>36</v>
      </c>
    </row>
    <row r="2" spans="1:3" ht="15" thickBot="1" x14ac:dyDescent="0.35">
      <c r="A2" s="15" t="s">
        <v>9</v>
      </c>
      <c r="B2" s="21" t="s">
        <v>18</v>
      </c>
      <c r="C2" s="20" t="s">
        <v>35</v>
      </c>
    </row>
    <row r="3" spans="1:3" x14ac:dyDescent="0.3">
      <c r="A3" s="15" t="s">
        <v>10</v>
      </c>
      <c r="B3" s="21" t="s">
        <v>19</v>
      </c>
    </row>
    <row r="4" spans="1:3" x14ac:dyDescent="0.3">
      <c r="A4" s="15" t="s">
        <v>8</v>
      </c>
      <c r="B4" s="21" t="s">
        <v>20</v>
      </c>
    </row>
    <row r="5" spans="1:3" x14ac:dyDescent="0.3">
      <c r="A5" s="15" t="s">
        <v>13</v>
      </c>
      <c r="B5" s="21" t="s">
        <v>21</v>
      </c>
    </row>
    <row r="6" spans="1:3" ht="15" thickBot="1" x14ac:dyDescent="0.35">
      <c r="A6" s="20" t="s">
        <v>12</v>
      </c>
      <c r="B6" s="21" t="s">
        <v>22</v>
      </c>
    </row>
    <row r="7" spans="1:3" x14ac:dyDescent="0.3">
      <c r="B7" s="21" t="s">
        <v>38</v>
      </c>
    </row>
    <row r="8" spans="1:3" x14ac:dyDescent="0.3">
      <c r="B8" s="21" t="s">
        <v>23</v>
      </c>
    </row>
    <row r="9" spans="1:3" x14ac:dyDescent="0.3">
      <c r="B9" s="21" t="s">
        <v>24</v>
      </c>
    </row>
    <row r="10" spans="1:3" ht="15" thickBot="1" x14ac:dyDescent="0.35">
      <c r="B10" s="22" t="s">
        <v>25</v>
      </c>
    </row>
  </sheetData>
  <sortState xmlns:xlrd2="http://schemas.microsoft.com/office/spreadsheetml/2017/richdata2" ref="C1:C2">
    <sortCondition ref="C1:C2"/>
  </sortState>
  <conditionalFormatting sqref="B1:B10">
    <cfRule type="top10" priority="6" rank="1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Prime</vt:lpstr>
      <vt:lpstr>Hakim</vt:lpstr>
      <vt:lpstr>Roland</vt:lpstr>
      <vt:lpstr>Hatem</vt:lpstr>
      <vt:lpstr>Mark</vt:lpstr>
      <vt:lpstr>Nasser</vt:lpstr>
      <vt:lpstr>Mathieu</vt:lpstr>
      <vt:lpstr>Michele</vt:lpstr>
      <vt:lpstr>Antonio</vt:lpstr>
      <vt:lpstr>Aurélien</vt:lpstr>
      <vt:lpstr>Karim</vt:lpstr>
      <vt:lpstr>Données</vt:lpstr>
      <vt:lpstr>CDT</vt:lpstr>
      <vt:lpstr>POSEURS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Manon</cp:lastModifiedBy>
  <dcterms:created xsi:type="dcterms:W3CDTF">2021-12-21T08:26:21Z</dcterms:created>
  <dcterms:modified xsi:type="dcterms:W3CDTF">2021-12-21T16:56:56Z</dcterms:modified>
</cp:coreProperties>
</file>