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0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5130DCF6-823A-4972-8277-40BFDBEBBA1B}" xr6:coauthVersionLast="47" xr6:coauthVersionMax="47" xr10:uidLastSave="{00000000-0000-0000-0000-000000000000}"/>
  <bookViews>
    <workbookView xWindow="-110" yWindow="-110" windowWidth="25820" windowHeight="13900" tabRatio="850" xr2:uid="{00000000-000D-0000-FFFF-FFFF00000000}"/>
  </bookViews>
  <sheets>
    <sheet name="Annuel" sheetId="20" r:id="rId1"/>
    <sheet name="Début" sheetId="33" r:id="rId2"/>
    <sheet name="Janvier" sheetId="2" r:id="rId3"/>
    <sheet name="Fevrier" sheetId="22" r:id="rId4"/>
    <sheet name="Mars" sheetId="23" r:id="rId5"/>
    <sheet name="Avril" sheetId="24" r:id="rId6"/>
    <sheet name="Mai" sheetId="25" r:id="rId7"/>
    <sheet name="Juin" sheetId="26" r:id="rId8"/>
    <sheet name="Juillet" sheetId="27" r:id="rId9"/>
    <sheet name="Aout" sheetId="28" r:id="rId10"/>
    <sheet name="Septembre" sheetId="29" r:id="rId11"/>
    <sheet name="Octobre" sheetId="30" r:id="rId12"/>
    <sheet name="Novembre" sheetId="31" r:id="rId13"/>
    <sheet name="Decembre" sheetId="32" r:id="rId14"/>
    <sheet name="Fin" sheetId="34" r:id="rId15"/>
  </sheets>
  <definedNames>
    <definedName name="_xlnm._FilterDatabase" localSheetId="2" hidden="1">Janvier!$A$18:$N$18</definedName>
    <definedName name="_xlnm._FilterDatabase">#REF!</definedName>
    <definedName name="_FilterDatabase_1">#REF!</definedName>
    <definedName name="_FilterDatabase_10">#REF!</definedName>
    <definedName name="_FilterDatabase_11">#REF!</definedName>
    <definedName name="_FilterDatabase_2">#REF!</definedName>
    <definedName name="_FilterDatabase_3">#REF!</definedName>
    <definedName name="_FilterDatabase_4">Janvier!$A$18:$L$42</definedName>
    <definedName name="_FilterDatabase_5">#REF!</definedName>
    <definedName name="_FilterDatabase_6">#REF!</definedName>
    <definedName name="_FilterDatabase_7">#REF!</definedName>
    <definedName name="_FilterDatabase_8">#REF!</definedName>
    <definedName name="_FilterDatabase_9">#REF!</definedName>
    <definedName name="_xlnm.Print_Area" localSheetId="2">Janvier!$A$1:$O$62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20" l="1"/>
  <c r="L3" i="20"/>
  <c r="M16" i="2"/>
  <c r="M16" i="22"/>
  <c r="M16" i="23"/>
  <c r="M16" i="24"/>
  <c r="M16" i="25"/>
  <c r="M16" i="26"/>
  <c r="M16" i="27"/>
  <c r="M16" i="28"/>
  <c r="M16" i="29"/>
  <c r="M16" i="30"/>
  <c r="M16" i="31"/>
  <c r="M16" i="32"/>
  <c r="M17" i="32"/>
  <c r="M17" i="31"/>
  <c r="M17" i="30"/>
  <c r="M17" i="29"/>
  <c r="M17" i="28"/>
  <c r="M17" i="27"/>
  <c r="M17" i="26"/>
  <c r="M17" i="25"/>
  <c r="M17" i="24"/>
  <c r="M17" i="23"/>
  <c r="J2" i="30" a="1"/>
  <c r="J2" i="30"/>
  <c r="K2" i="30"/>
  <c r="L2" i="30" a="1"/>
  <c r="L2" i="30"/>
  <c r="M2" i="30"/>
  <c r="N2" i="30"/>
  <c r="J3" i="30"/>
  <c r="K3" i="30"/>
  <c r="L3" i="30"/>
  <c r="M3" i="30"/>
  <c r="N3" i="30"/>
  <c r="J4" i="30" a="1"/>
  <c r="J4" i="30"/>
  <c r="K4" i="30"/>
  <c r="L4" i="30" a="1"/>
  <c r="L4" i="30"/>
  <c r="M4" i="30"/>
  <c r="N4" i="30"/>
  <c r="B5" i="30"/>
  <c r="D5" i="30"/>
  <c r="F5" i="30"/>
  <c r="H5" i="30"/>
  <c r="J5" i="30"/>
  <c r="K5" i="30"/>
  <c r="L5" i="30"/>
  <c r="M5" i="30"/>
  <c r="N5" i="30"/>
  <c r="J17" i="22"/>
  <c r="I17" i="22"/>
  <c r="H16" i="22"/>
  <c r="G16" i="22"/>
  <c r="F16" i="22"/>
  <c r="E16" i="22"/>
  <c r="D16" i="22"/>
  <c r="C16" i="22"/>
  <c r="B16" i="22"/>
  <c r="M17" i="22" s="1"/>
  <c r="N15" i="22"/>
  <c r="M15" i="22"/>
  <c r="K15" i="22"/>
  <c r="J15" i="22"/>
  <c r="I15" i="22"/>
  <c r="L15" i="22" s="1"/>
  <c r="H15" i="22"/>
  <c r="G15" i="22"/>
  <c r="F15" i="22"/>
  <c r="E15" i="22"/>
  <c r="D15" i="22"/>
  <c r="C15" i="22"/>
  <c r="B15" i="22"/>
  <c r="N13" i="22" a="1"/>
  <c r="N13" i="22" s="1"/>
  <c r="M13" i="22" a="1"/>
  <c r="M13" i="22" s="1"/>
  <c r="L13" i="22" a="1"/>
  <c r="L13" i="22" s="1"/>
  <c r="K13" i="22" a="1"/>
  <c r="K13" i="22" s="1"/>
  <c r="J13" i="22" a="1"/>
  <c r="J13" i="22" s="1"/>
  <c r="I13" i="22" a="1"/>
  <c r="I13" i="22" s="1"/>
  <c r="J11" i="22"/>
  <c r="J10" i="22"/>
  <c r="B9" i="22"/>
  <c r="D9" i="22" s="1"/>
  <c r="M8" i="22"/>
  <c r="L8" i="22"/>
  <c r="K8" i="22"/>
  <c r="J8" i="22"/>
  <c r="N8" i="22" s="1"/>
  <c r="M5" i="22"/>
  <c r="L5" i="22"/>
  <c r="K5" i="22"/>
  <c r="N5" i="22" s="1"/>
  <c r="J5" i="22"/>
  <c r="F5" i="22"/>
  <c r="H5" i="22" s="1"/>
  <c r="B5" i="22"/>
  <c r="M4" i="22"/>
  <c r="L4" i="22" a="1"/>
  <c r="L4" i="22" s="1"/>
  <c r="K4" i="22"/>
  <c r="N4" i="22" s="1"/>
  <c r="J4" i="22" a="1"/>
  <c r="J4" i="22" s="1"/>
  <c r="M3" i="22"/>
  <c r="L3" i="22"/>
  <c r="K3" i="22"/>
  <c r="N3" i="22" s="1"/>
  <c r="J3" i="22"/>
  <c r="M2" i="22"/>
  <c r="L2" i="22" a="1"/>
  <c r="L2" i="22" s="1"/>
  <c r="K2" i="22"/>
  <c r="N2" i="22" s="1"/>
  <c r="J2" i="22" a="1"/>
  <c r="J2" i="22" s="1"/>
  <c r="K3" i="20" l="1"/>
  <c r="B11" i="22"/>
  <c r="D5" i="22"/>
  <c r="J17" i="31"/>
  <c r="I17" i="31"/>
  <c r="H16" i="31"/>
  <c r="G16" i="31"/>
  <c r="F16" i="31"/>
  <c r="E16" i="31"/>
  <c r="D16" i="31"/>
  <c r="C16" i="31"/>
  <c r="B16" i="31"/>
  <c r="N15" i="31"/>
  <c r="M15" i="31"/>
  <c r="K15" i="31"/>
  <c r="J15" i="31"/>
  <c r="I15" i="31"/>
  <c r="L15" i="31" s="1"/>
  <c r="H15" i="31"/>
  <c r="G15" i="31"/>
  <c r="F15" i="31"/>
  <c r="E15" i="31"/>
  <c r="D15" i="31"/>
  <c r="C15" i="31"/>
  <c r="B15" i="31"/>
  <c r="N13" i="31" a="1"/>
  <c r="N13" i="31" s="1"/>
  <c r="M13" i="31" a="1"/>
  <c r="M13" i="31" s="1"/>
  <c r="L13" i="31" a="1"/>
  <c r="L13" i="31" s="1"/>
  <c r="K13" i="31" a="1"/>
  <c r="K13" i="31" s="1"/>
  <c r="J13" i="31" a="1"/>
  <c r="J13" i="31" s="1"/>
  <c r="I13" i="31" a="1"/>
  <c r="I13" i="31" s="1"/>
  <c r="J11" i="31"/>
  <c r="J10" i="31"/>
  <c r="B9" i="31"/>
  <c r="D9" i="31" s="1"/>
  <c r="M8" i="31"/>
  <c r="L8" i="31"/>
  <c r="K8" i="31"/>
  <c r="J8" i="31"/>
  <c r="N8" i="31" s="1"/>
  <c r="M5" i="31"/>
  <c r="L5" i="31"/>
  <c r="K5" i="31"/>
  <c r="N5" i="31" s="1"/>
  <c r="J5" i="31"/>
  <c r="F5" i="31"/>
  <c r="H5" i="31" s="1"/>
  <c r="B5" i="31"/>
  <c r="M4" i="31"/>
  <c r="L4" i="31" a="1"/>
  <c r="L4" i="31" s="1"/>
  <c r="K4" i="31"/>
  <c r="N4" i="31" s="1"/>
  <c r="J4" i="31" a="1"/>
  <c r="J4" i="31" s="1"/>
  <c r="M3" i="31"/>
  <c r="L3" i="31"/>
  <c r="K3" i="31"/>
  <c r="N3" i="31" s="1"/>
  <c r="J3" i="31"/>
  <c r="M2" i="31"/>
  <c r="L2" i="31" a="1"/>
  <c r="L2" i="31" s="1"/>
  <c r="K2" i="31"/>
  <c r="N2" i="31" s="1"/>
  <c r="J2" i="31" a="1"/>
  <c r="J2" i="31" s="1"/>
  <c r="J17" i="30"/>
  <c r="I17" i="30"/>
  <c r="H16" i="30"/>
  <c r="G16" i="30"/>
  <c r="F16" i="30"/>
  <c r="E16" i="30"/>
  <c r="D16" i="30"/>
  <c r="C16" i="30"/>
  <c r="B16" i="30"/>
  <c r="N15" i="30"/>
  <c r="M15" i="30"/>
  <c r="K15" i="30"/>
  <c r="J15" i="30"/>
  <c r="I15" i="30"/>
  <c r="L15" i="30" s="1"/>
  <c r="H15" i="30"/>
  <c r="G15" i="30"/>
  <c r="F15" i="30"/>
  <c r="E15" i="30"/>
  <c r="D15" i="30"/>
  <c r="C15" i="30"/>
  <c r="B15" i="30"/>
  <c r="N13" i="30" a="1"/>
  <c r="N13" i="30" s="1"/>
  <c r="M13" i="30" a="1"/>
  <c r="M13" i="30" s="1"/>
  <c r="L13" i="30" a="1"/>
  <c r="L13" i="30" s="1"/>
  <c r="K13" i="30" a="1"/>
  <c r="K13" i="30" s="1"/>
  <c r="J13" i="30" a="1"/>
  <c r="J13" i="30" s="1"/>
  <c r="I13" i="30" a="1"/>
  <c r="I13" i="30" s="1"/>
  <c r="J11" i="30"/>
  <c r="J10" i="30"/>
  <c r="B9" i="30"/>
  <c r="D9" i="30" s="1"/>
  <c r="M8" i="30"/>
  <c r="L8" i="30"/>
  <c r="K8" i="30"/>
  <c r="J8" i="30"/>
  <c r="N8" i="30" s="1"/>
  <c r="J17" i="29"/>
  <c r="I17" i="29"/>
  <c r="H16" i="29"/>
  <c r="G16" i="29"/>
  <c r="F16" i="29"/>
  <c r="E16" i="29"/>
  <c r="D16" i="29"/>
  <c r="C16" i="29"/>
  <c r="B16" i="29"/>
  <c r="N15" i="29"/>
  <c r="M15" i="29"/>
  <c r="K15" i="29"/>
  <c r="J15" i="29"/>
  <c r="I15" i="29"/>
  <c r="L15" i="29" s="1"/>
  <c r="H15" i="29"/>
  <c r="G15" i="29"/>
  <c r="F15" i="29"/>
  <c r="E15" i="29"/>
  <c r="D15" i="29"/>
  <c r="C15" i="29"/>
  <c r="B15" i="29"/>
  <c r="N13" i="29" a="1"/>
  <c r="N13" i="29" s="1"/>
  <c r="M13" i="29" a="1"/>
  <c r="M13" i="29" s="1"/>
  <c r="L13" i="29" a="1"/>
  <c r="L13" i="29" s="1"/>
  <c r="K13" i="29" a="1"/>
  <c r="K13" i="29" s="1"/>
  <c r="J13" i="29" a="1"/>
  <c r="J13" i="29" s="1"/>
  <c r="I13" i="29" a="1"/>
  <c r="I13" i="29" s="1"/>
  <c r="J11" i="29"/>
  <c r="J10" i="29"/>
  <c r="B9" i="29"/>
  <c r="D9" i="29" s="1"/>
  <c r="M8" i="29"/>
  <c r="L8" i="29"/>
  <c r="K8" i="29"/>
  <c r="J8" i="29"/>
  <c r="N8" i="29" s="1"/>
  <c r="M5" i="29"/>
  <c r="L5" i="29"/>
  <c r="K5" i="29"/>
  <c r="N5" i="29" s="1"/>
  <c r="J5" i="29"/>
  <c r="F5" i="29"/>
  <c r="H5" i="29" s="1"/>
  <c r="B5" i="29"/>
  <c r="M4" i="29"/>
  <c r="L4" i="29" a="1"/>
  <c r="L4" i="29" s="1"/>
  <c r="K4" i="29"/>
  <c r="N4" i="29" s="1"/>
  <c r="J4" i="29" a="1"/>
  <c r="J4" i="29" s="1"/>
  <c r="M3" i="29"/>
  <c r="L3" i="29"/>
  <c r="K3" i="29"/>
  <c r="N3" i="29" s="1"/>
  <c r="J3" i="29"/>
  <c r="M2" i="29"/>
  <c r="L2" i="29" a="1"/>
  <c r="L2" i="29" s="1"/>
  <c r="K2" i="29"/>
  <c r="N2" i="29" s="1"/>
  <c r="J2" i="29" a="1"/>
  <c r="J2" i="29" s="1"/>
  <c r="J17" i="28"/>
  <c r="I17" i="28"/>
  <c r="H16" i="28"/>
  <c r="G16" i="28"/>
  <c r="F16" i="28"/>
  <c r="E16" i="28"/>
  <c r="D16" i="28"/>
  <c r="C16" i="28"/>
  <c r="B16" i="28"/>
  <c r="N15" i="28"/>
  <c r="M15" i="28"/>
  <c r="K15" i="28"/>
  <c r="J15" i="28"/>
  <c r="I15" i="28"/>
  <c r="L15" i="28" s="1"/>
  <c r="H15" i="28"/>
  <c r="G15" i="28"/>
  <c r="F15" i="28"/>
  <c r="E15" i="28"/>
  <c r="D15" i="28"/>
  <c r="C15" i="28"/>
  <c r="B15" i="28"/>
  <c r="N13" i="28" a="1"/>
  <c r="N13" i="28" s="1"/>
  <c r="M13" i="28" a="1"/>
  <c r="M13" i="28" s="1"/>
  <c r="L13" i="28" a="1"/>
  <c r="L13" i="28" s="1"/>
  <c r="K13" i="28" a="1"/>
  <c r="K13" i="28" s="1"/>
  <c r="J13" i="28" a="1"/>
  <c r="J13" i="28" s="1"/>
  <c r="I13" i="28" a="1"/>
  <c r="I13" i="28" s="1"/>
  <c r="J11" i="28"/>
  <c r="J10" i="28"/>
  <c r="B9" i="28"/>
  <c r="D9" i="28" s="1"/>
  <c r="M8" i="28"/>
  <c r="L8" i="28"/>
  <c r="K8" i="28"/>
  <c r="J8" i="28"/>
  <c r="N8" i="28" s="1"/>
  <c r="M5" i="28"/>
  <c r="L5" i="28"/>
  <c r="K5" i="28"/>
  <c r="N5" i="28" s="1"/>
  <c r="J5" i="28"/>
  <c r="F5" i="28"/>
  <c r="H5" i="28" s="1"/>
  <c r="B5" i="28"/>
  <c r="M4" i="28"/>
  <c r="L4" i="28" a="1"/>
  <c r="L4" i="28" s="1"/>
  <c r="K4" i="28"/>
  <c r="N4" i="28" s="1"/>
  <c r="J4" i="28" a="1"/>
  <c r="J4" i="28" s="1"/>
  <c r="M3" i="28"/>
  <c r="L3" i="28"/>
  <c r="K3" i="28"/>
  <c r="N3" i="28" s="1"/>
  <c r="J3" i="28"/>
  <c r="M2" i="28"/>
  <c r="L2" i="28" a="1"/>
  <c r="L2" i="28" s="1"/>
  <c r="K2" i="28"/>
  <c r="N2" i="28" s="1"/>
  <c r="J2" i="28" a="1"/>
  <c r="J2" i="28" s="1"/>
  <c r="J17" i="27"/>
  <c r="I17" i="27"/>
  <c r="H16" i="27"/>
  <c r="G16" i="27"/>
  <c r="F16" i="27"/>
  <c r="E16" i="27"/>
  <c r="D16" i="27"/>
  <c r="C16" i="27"/>
  <c r="B16" i="27"/>
  <c r="N15" i="27"/>
  <c r="M15" i="27"/>
  <c r="K15" i="27"/>
  <c r="J15" i="27"/>
  <c r="I15" i="27"/>
  <c r="L15" i="27" s="1"/>
  <c r="H15" i="27"/>
  <c r="G15" i="27"/>
  <c r="F15" i="27"/>
  <c r="E15" i="27"/>
  <c r="D15" i="27"/>
  <c r="C15" i="27"/>
  <c r="B15" i="27"/>
  <c r="N13" i="27" a="1"/>
  <c r="N13" i="27" s="1"/>
  <c r="M13" i="27" a="1"/>
  <c r="M13" i="27" s="1"/>
  <c r="L13" i="27" a="1"/>
  <c r="L13" i="27" s="1"/>
  <c r="K13" i="27" a="1"/>
  <c r="K13" i="27" s="1"/>
  <c r="J13" i="27" a="1"/>
  <c r="J13" i="27" s="1"/>
  <c r="I13" i="27" a="1"/>
  <c r="I13" i="27" s="1"/>
  <c r="J11" i="27"/>
  <c r="J10" i="27"/>
  <c r="B9" i="27"/>
  <c r="D9" i="27" s="1"/>
  <c r="M8" i="27"/>
  <c r="L8" i="27"/>
  <c r="K8" i="27"/>
  <c r="J8" i="27"/>
  <c r="N8" i="27" s="1"/>
  <c r="M5" i="27"/>
  <c r="L5" i="27"/>
  <c r="K5" i="27"/>
  <c r="N5" i="27" s="1"/>
  <c r="J5" i="27"/>
  <c r="F5" i="27"/>
  <c r="H5" i="27" s="1"/>
  <c r="B5" i="27"/>
  <c r="M4" i="27"/>
  <c r="L4" i="27" a="1"/>
  <c r="L4" i="27" s="1"/>
  <c r="K4" i="27"/>
  <c r="N4" i="27" s="1"/>
  <c r="J4" i="27" a="1"/>
  <c r="J4" i="27" s="1"/>
  <c r="M3" i="27"/>
  <c r="L3" i="27"/>
  <c r="K3" i="27"/>
  <c r="N3" i="27" s="1"/>
  <c r="J3" i="27"/>
  <c r="M2" i="27"/>
  <c r="L2" i="27" a="1"/>
  <c r="L2" i="27" s="1"/>
  <c r="K2" i="27"/>
  <c r="N2" i="27" s="1"/>
  <c r="J2" i="27" a="1"/>
  <c r="J2" i="27" s="1"/>
  <c r="J17" i="26"/>
  <c r="I17" i="26"/>
  <c r="H16" i="26"/>
  <c r="G16" i="26"/>
  <c r="F16" i="26"/>
  <c r="E16" i="26"/>
  <c r="D16" i="26"/>
  <c r="C16" i="26"/>
  <c r="B16" i="26"/>
  <c r="N15" i="26"/>
  <c r="M15" i="26"/>
  <c r="K15" i="26"/>
  <c r="J15" i="26"/>
  <c r="I15" i="26"/>
  <c r="L15" i="26" s="1"/>
  <c r="H15" i="26"/>
  <c r="G15" i="26"/>
  <c r="F15" i="26"/>
  <c r="E15" i="26"/>
  <c r="D15" i="26"/>
  <c r="C15" i="26"/>
  <c r="B15" i="26"/>
  <c r="N13" i="26" a="1"/>
  <c r="N13" i="26" s="1"/>
  <c r="M13" i="26" a="1"/>
  <c r="M13" i="26" s="1"/>
  <c r="L13" i="26" a="1"/>
  <c r="L13" i="26" s="1"/>
  <c r="K13" i="26" a="1"/>
  <c r="K13" i="26" s="1"/>
  <c r="J13" i="26" a="1"/>
  <c r="J13" i="26" s="1"/>
  <c r="I13" i="26" a="1"/>
  <c r="I13" i="26" s="1"/>
  <c r="J11" i="26"/>
  <c r="J10" i="26"/>
  <c r="B9" i="26"/>
  <c r="D9" i="26" s="1"/>
  <c r="M8" i="26"/>
  <c r="L8" i="26"/>
  <c r="K8" i="26"/>
  <c r="J8" i="26"/>
  <c r="N8" i="26" s="1"/>
  <c r="M5" i="26"/>
  <c r="L5" i="26"/>
  <c r="K5" i="26"/>
  <c r="N5" i="26" s="1"/>
  <c r="J5" i="26"/>
  <c r="F5" i="26"/>
  <c r="H5" i="26" s="1"/>
  <c r="B5" i="26"/>
  <c r="M4" i="26"/>
  <c r="L4" i="26" a="1"/>
  <c r="L4" i="26" s="1"/>
  <c r="K4" i="26"/>
  <c r="N4" i="26" s="1"/>
  <c r="J4" i="26" a="1"/>
  <c r="J4" i="26" s="1"/>
  <c r="M3" i="26"/>
  <c r="L3" i="26"/>
  <c r="K3" i="26"/>
  <c r="N3" i="26" s="1"/>
  <c r="J3" i="26"/>
  <c r="M2" i="26"/>
  <c r="L2" i="26" a="1"/>
  <c r="L2" i="26" s="1"/>
  <c r="K2" i="26"/>
  <c r="N2" i="26" s="1"/>
  <c r="J2" i="26" a="1"/>
  <c r="J2" i="26" s="1"/>
  <c r="J17" i="25"/>
  <c r="I17" i="25"/>
  <c r="H16" i="25"/>
  <c r="G16" i="25"/>
  <c r="F16" i="25"/>
  <c r="E16" i="25"/>
  <c r="D16" i="25"/>
  <c r="C16" i="25"/>
  <c r="B16" i="25"/>
  <c r="N15" i="25"/>
  <c r="M15" i="25"/>
  <c r="K15" i="25"/>
  <c r="J15" i="25"/>
  <c r="I15" i="25"/>
  <c r="L15" i="25" s="1"/>
  <c r="H15" i="25"/>
  <c r="G15" i="25"/>
  <c r="F15" i="25"/>
  <c r="E15" i="25"/>
  <c r="D15" i="25"/>
  <c r="C15" i="25"/>
  <c r="B15" i="25"/>
  <c r="N13" i="25" a="1"/>
  <c r="N13" i="25" s="1"/>
  <c r="M13" i="25" a="1"/>
  <c r="M13" i="25" s="1"/>
  <c r="L13" i="25" a="1"/>
  <c r="L13" i="25" s="1"/>
  <c r="K13" i="25" a="1"/>
  <c r="K13" i="25" s="1"/>
  <c r="J13" i="25" a="1"/>
  <c r="J13" i="25" s="1"/>
  <c r="I13" i="25" a="1"/>
  <c r="I13" i="25" s="1"/>
  <c r="J11" i="25"/>
  <c r="J10" i="25"/>
  <c r="B9" i="25"/>
  <c r="D9" i="25" s="1"/>
  <c r="M8" i="25"/>
  <c r="L8" i="25"/>
  <c r="K8" i="25"/>
  <c r="J8" i="25"/>
  <c r="N8" i="25" s="1"/>
  <c r="M5" i="25"/>
  <c r="L5" i="25"/>
  <c r="K5" i="25"/>
  <c r="N5" i="25" s="1"/>
  <c r="J5" i="25"/>
  <c r="F5" i="25"/>
  <c r="H5" i="25" s="1"/>
  <c r="B5" i="25"/>
  <c r="M4" i="25"/>
  <c r="L4" i="25" a="1"/>
  <c r="L4" i="25" s="1"/>
  <c r="K4" i="25"/>
  <c r="N4" i="25" s="1"/>
  <c r="J4" i="25" a="1"/>
  <c r="J4" i="25" s="1"/>
  <c r="M3" i="25"/>
  <c r="L3" i="25"/>
  <c r="K3" i="25"/>
  <c r="N3" i="25" s="1"/>
  <c r="J3" i="25"/>
  <c r="M2" i="25"/>
  <c r="L2" i="25" a="1"/>
  <c r="L2" i="25" s="1"/>
  <c r="K2" i="25"/>
  <c r="N2" i="25" s="1"/>
  <c r="J2" i="25" a="1"/>
  <c r="J2" i="25" s="1"/>
  <c r="J17" i="24"/>
  <c r="I17" i="24"/>
  <c r="H16" i="24"/>
  <c r="G16" i="24"/>
  <c r="F16" i="24"/>
  <c r="E16" i="24"/>
  <c r="D16" i="24"/>
  <c r="C16" i="24"/>
  <c r="B16" i="24"/>
  <c r="N15" i="24"/>
  <c r="M15" i="24"/>
  <c r="K15" i="24"/>
  <c r="J15" i="24"/>
  <c r="I15" i="24"/>
  <c r="L15" i="24" s="1"/>
  <c r="H15" i="24"/>
  <c r="G15" i="24"/>
  <c r="F15" i="24"/>
  <c r="E15" i="24"/>
  <c r="D15" i="24"/>
  <c r="C15" i="24"/>
  <c r="B15" i="24"/>
  <c r="N13" i="24" a="1"/>
  <c r="N13" i="24" s="1"/>
  <c r="M13" i="24" a="1"/>
  <c r="M13" i="24" s="1"/>
  <c r="L13" i="24" a="1"/>
  <c r="L13" i="24" s="1"/>
  <c r="K13" i="24" a="1"/>
  <c r="K13" i="24" s="1"/>
  <c r="J13" i="24" a="1"/>
  <c r="J13" i="24" s="1"/>
  <c r="I13" i="24" a="1"/>
  <c r="I13" i="24" s="1"/>
  <c r="J11" i="24"/>
  <c r="J10" i="24"/>
  <c r="B9" i="24"/>
  <c r="D9" i="24" s="1"/>
  <c r="M8" i="24"/>
  <c r="L8" i="24"/>
  <c r="K8" i="24"/>
  <c r="J8" i="24"/>
  <c r="N8" i="24" s="1"/>
  <c r="M5" i="24"/>
  <c r="L5" i="24"/>
  <c r="K5" i="24"/>
  <c r="N5" i="24" s="1"/>
  <c r="J5" i="24"/>
  <c r="F5" i="24"/>
  <c r="H5" i="24" s="1"/>
  <c r="B5" i="24"/>
  <c r="M4" i="24"/>
  <c r="L4" i="24" a="1"/>
  <c r="L4" i="24" s="1"/>
  <c r="K4" i="24"/>
  <c r="N4" i="24" s="1"/>
  <c r="J4" i="24" a="1"/>
  <c r="J4" i="24" s="1"/>
  <c r="M3" i="24"/>
  <c r="L3" i="24"/>
  <c r="K3" i="24"/>
  <c r="N3" i="24" s="1"/>
  <c r="J3" i="24"/>
  <c r="M2" i="24"/>
  <c r="L2" i="24" a="1"/>
  <c r="L2" i="24" s="1"/>
  <c r="K2" i="24"/>
  <c r="N2" i="24" s="1"/>
  <c r="J2" i="24" a="1"/>
  <c r="J2" i="24" s="1"/>
  <c r="J17" i="32"/>
  <c r="I17" i="32"/>
  <c r="H16" i="32"/>
  <c r="G16" i="32"/>
  <c r="F16" i="32"/>
  <c r="E16" i="32"/>
  <c r="D16" i="32"/>
  <c r="C16" i="32"/>
  <c r="B16" i="32"/>
  <c r="N15" i="32"/>
  <c r="M15" i="32"/>
  <c r="K15" i="32"/>
  <c r="J15" i="32"/>
  <c r="I15" i="32"/>
  <c r="L15" i="32" s="1"/>
  <c r="H15" i="32"/>
  <c r="G15" i="32"/>
  <c r="F15" i="32"/>
  <c r="E15" i="32"/>
  <c r="D15" i="32"/>
  <c r="C15" i="32"/>
  <c r="B15" i="32"/>
  <c r="N13" i="32" a="1"/>
  <c r="N13" i="32" s="1"/>
  <c r="M13" i="32" a="1"/>
  <c r="M13" i="32" s="1"/>
  <c r="L13" i="32" a="1"/>
  <c r="L13" i="32" s="1"/>
  <c r="K13" i="32" a="1"/>
  <c r="K13" i="32" s="1"/>
  <c r="J13" i="32" a="1"/>
  <c r="J13" i="32" s="1"/>
  <c r="I13" i="32" a="1"/>
  <c r="I13" i="32" s="1"/>
  <c r="J11" i="32"/>
  <c r="J10" i="32"/>
  <c r="B9" i="32"/>
  <c r="D9" i="32" s="1"/>
  <c r="M8" i="32"/>
  <c r="L8" i="32"/>
  <c r="K8" i="32"/>
  <c r="J8" i="32"/>
  <c r="N8" i="32" s="1"/>
  <c r="M5" i="32"/>
  <c r="L5" i="32"/>
  <c r="K5" i="32"/>
  <c r="N5" i="32" s="1"/>
  <c r="J5" i="32"/>
  <c r="F5" i="32"/>
  <c r="H5" i="32" s="1"/>
  <c r="B5" i="32"/>
  <c r="M4" i="32"/>
  <c r="L4" i="32" a="1"/>
  <c r="L4" i="32" s="1"/>
  <c r="K4" i="32"/>
  <c r="N4" i="32" s="1"/>
  <c r="J4" i="32" a="1"/>
  <c r="J4" i="32" s="1"/>
  <c r="M3" i="32"/>
  <c r="L3" i="32"/>
  <c r="K3" i="32"/>
  <c r="N3" i="32" s="1"/>
  <c r="J3" i="32"/>
  <c r="M2" i="32"/>
  <c r="L2" i="32" a="1"/>
  <c r="L2" i="32" s="1"/>
  <c r="K2" i="32"/>
  <c r="N2" i="32" s="1"/>
  <c r="J2" i="32" a="1"/>
  <c r="J2" i="32" s="1"/>
  <c r="J17" i="23"/>
  <c r="I17" i="23"/>
  <c r="H16" i="23"/>
  <c r="G16" i="23"/>
  <c r="F16" i="23"/>
  <c r="E16" i="23"/>
  <c r="D16" i="23"/>
  <c r="C16" i="23"/>
  <c r="B16" i="23"/>
  <c r="N15" i="23"/>
  <c r="M15" i="23"/>
  <c r="K15" i="23"/>
  <c r="J15" i="23"/>
  <c r="I15" i="23"/>
  <c r="L15" i="23" s="1"/>
  <c r="H15" i="23"/>
  <c r="G15" i="23"/>
  <c r="F15" i="23"/>
  <c r="E15" i="23"/>
  <c r="D15" i="23"/>
  <c r="C15" i="23"/>
  <c r="B15" i="23"/>
  <c r="N13" i="23" a="1"/>
  <c r="N13" i="23" s="1"/>
  <c r="M13" i="23" a="1"/>
  <c r="M13" i="23" s="1"/>
  <c r="L13" i="23" a="1"/>
  <c r="L13" i="23" s="1"/>
  <c r="K13" i="23" a="1"/>
  <c r="K13" i="23" s="1"/>
  <c r="J13" i="23" a="1"/>
  <c r="J13" i="23" s="1"/>
  <c r="I13" i="23" a="1"/>
  <c r="I13" i="23" s="1"/>
  <c r="J11" i="23"/>
  <c r="J10" i="23"/>
  <c r="B9" i="23"/>
  <c r="D9" i="23" s="1"/>
  <c r="M8" i="23"/>
  <c r="L8" i="23"/>
  <c r="K8" i="23"/>
  <c r="J8" i="23"/>
  <c r="N8" i="23" s="1"/>
  <c r="M5" i="23"/>
  <c r="L5" i="23"/>
  <c r="K5" i="23"/>
  <c r="N5" i="23" s="1"/>
  <c r="J5" i="23"/>
  <c r="F5" i="23"/>
  <c r="H5" i="23" s="1"/>
  <c r="B5" i="23"/>
  <c r="M4" i="23"/>
  <c r="L4" i="23" a="1"/>
  <c r="L4" i="23" s="1"/>
  <c r="K4" i="23"/>
  <c r="N4" i="23" s="1"/>
  <c r="J4" i="23" a="1"/>
  <c r="J4" i="23" s="1"/>
  <c r="M3" i="23"/>
  <c r="L3" i="23"/>
  <c r="K3" i="23"/>
  <c r="N3" i="23" s="1"/>
  <c r="J3" i="23"/>
  <c r="M2" i="23"/>
  <c r="L2" i="23" a="1"/>
  <c r="L2" i="23" s="1"/>
  <c r="K2" i="23"/>
  <c r="N2" i="23" s="1"/>
  <c r="J2" i="23" a="1"/>
  <c r="J2" i="23" s="1"/>
  <c r="N21" i="20"/>
  <c r="M21" i="20"/>
  <c r="L21" i="20"/>
  <c r="K21" i="20"/>
  <c r="J21" i="20"/>
  <c r="I21" i="20"/>
  <c r="H21" i="20"/>
  <c r="G21" i="20"/>
  <c r="F21" i="20"/>
  <c r="E21" i="20"/>
  <c r="C21" i="20"/>
  <c r="B21" i="20"/>
  <c r="N20" i="20"/>
  <c r="M20" i="20"/>
  <c r="L20" i="20"/>
  <c r="K20" i="20"/>
  <c r="J20" i="20"/>
  <c r="I20" i="20"/>
  <c r="H20" i="20"/>
  <c r="G20" i="20"/>
  <c r="F20" i="20"/>
  <c r="E20" i="20"/>
  <c r="C20" i="20"/>
  <c r="B20" i="20"/>
  <c r="N19" i="20"/>
  <c r="M19" i="20"/>
  <c r="L19" i="20"/>
  <c r="K19" i="20"/>
  <c r="J19" i="20"/>
  <c r="I19" i="20"/>
  <c r="H19" i="20"/>
  <c r="G19" i="20"/>
  <c r="F19" i="20"/>
  <c r="E19" i="20"/>
  <c r="C19" i="20"/>
  <c r="B19" i="20"/>
  <c r="N18" i="20"/>
  <c r="M18" i="20"/>
  <c r="L18" i="20"/>
  <c r="K18" i="20"/>
  <c r="J18" i="20"/>
  <c r="I18" i="20"/>
  <c r="H18" i="20"/>
  <c r="G18" i="20"/>
  <c r="F18" i="20"/>
  <c r="E18" i="20"/>
  <c r="C18" i="20"/>
  <c r="B18" i="20"/>
  <c r="N17" i="20"/>
  <c r="M17" i="20"/>
  <c r="L17" i="20"/>
  <c r="K17" i="20"/>
  <c r="J17" i="20"/>
  <c r="I17" i="20"/>
  <c r="H17" i="20"/>
  <c r="G17" i="20"/>
  <c r="F17" i="20"/>
  <c r="E17" i="20"/>
  <c r="C17" i="20"/>
  <c r="B17" i="20"/>
  <c r="N16" i="20"/>
  <c r="M16" i="20"/>
  <c r="L16" i="20"/>
  <c r="K16" i="20"/>
  <c r="J16" i="20"/>
  <c r="I16" i="20"/>
  <c r="H16" i="20"/>
  <c r="G16" i="20"/>
  <c r="F16" i="20"/>
  <c r="E16" i="20"/>
  <c r="C16" i="20"/>
  <c r="B16" i="20"/>
  <c r="N15" i="20"/>
  <c r="M15" i="20"/>
  <c r="L15" i="20"/>
  <c r="K15" i="20"/>
  <c r="J15" i="20"/>
  <c r="I15" i="20"/>
  <c r="H15" i="20"/>
  <c r="G15" i="20"/>
  <c r="F15" i="20"/>
  <c r="E15" i="20"/>
  <c r="C15" i="20"/>
  <c r="B15" i="20"/>
  <c r="N14" i="20"/>
  <c r="M14" i="20"/>
  <c r="L14" i="20"/>
  <c r="K14" i="20"/>
  <c r="J14" i="20"/>
  <c r="I14" i="20"/>
  <c r="H14" i="20"/>
  <c r="G14" i="20"/>
  <c r="F14" i="20"/>
  <c r="E14" i="20"/>
  <c r="C14" i="20"/>
  <c r="B14" i="20"/>
  <c r="N13" i="20"/>
  <c r="M13" i="20"/>
  <c r="L13" i="20"/>
  <c r="K13" i="20"/>
  <c r="J13" i="20"/>
  <c r="I13" i="20"/>
  <c r="H13" i="20"/>
  <c r="G13" i="20"/>
  <c r="F13" i="20"/>
  <c r="E13" i="20"/>
  <c r="C13" i="20"/>
  <c r="B13" i="20"/>
  <c r="N12" i="20"/>
  <c r="M12" i="20"/>
  <c r="L12" i="20"/>
  <c r="K12" i="20"/>
  <c r="J12" i="20"/>
  <c r="I12" i="20"/>
  <c r="H12" i="20"/>
  <c r="G12" i="20"/>
  <c r="F12" i="20"/>
  <c r="E12" i="20"/>
  <c r="C12" i="20"/>
  <c r="B12" i="20"/>
  <c r="H16" i="2"/>
  <c r="I4" i="20" s="1"/>
  <c r="H15" i="2"/>
  <c r="I3" i="20" s="1"/>
  <c r="G16" i="2"/>
  <c r="H4" i="20" s="1"/>
  <c r="G15" i="2"/>
  <c r="H3" i="20" s="1"/>
  <c r="F16" i="2"/>
  <c r="G4" i="20" s="1"/>
  <c r="F15" i="2"/>
  <c r="G3" i="20" s="1"/>
  <c r="E16" i="2"/>
  <c r="F4" i="20" s="1"/>
  <c r="E15" i="2"/>
  <c r="F3" i="20" s="1"/>
  <c r="D16" i="2"/>
  <c r="E4" i="20" s="1"/>
  <c r="C16" i="2"/>
  <c r="D4" i="20" s="1"/>
  <c r="B16" i="2"/>
  <c r="C4" i="20" s="1"/>
  <c r="D15" i="2"/>
  <c r="E3" i="20" s="1"/>
  <c r="C15" i="2"/>
  <c r="D3" i="20" s="1"/>
  <c r="B15" i="2"/>
  <c r="C3" i="20" s="1"/>
  <c r="AB21" i="20"/>
  <c r="AA21" i="20"/>
  <c r="Z21" i="20"/>
  <c r="Y21" i="20"/>
  <c r="X21" i="20"/>
  <c r="W21" i="20"/>
  <c r="V21" i="20"/>
  <c r="T21" i="20"/>
  <c r="U21" i="20"/>
  <c r="S21" i="20"/>
  <c r="AB20" i="20"/>
  <c r="AA20" i="20"/>
  <c r="Z20" i="20"/>
  <c r="Y20" i="20"/>
  <c r="X20" i="20"/>
  <c r="W20" i="20"/>
  <c r="V20" i="20"/>
  <c r="U20" i="20"/>
  <c r="T20" i="20"/>
  <c r="S20" i="20"/>
  <c r="AB19" i="20"/>
  <c r="AA19" i="20"/>
  <c r="Z19" i="20"/>
  <c r="Y19" i="20"/>
  <c r="X19" i="20"/>
  <c r="W19" i="20"/>
  <c r="V19" i="20"/>
  <c r="U19" i="20"/>
  <c r="T19" i="20"/>
  <c r="S19" i="20"/>
  <c r="AB18" i="20"/>
  <c r="AA18" i="20"/>
  <c r="Z18" i="20"/>
  <c r="Y18" i="20"/>
  <c r="X18" i="20"/>
  <c r="W18" i="20"/>
  <c r="V18" i="20"/>
  <c r="U18" i="20"/>
  <c r="T18" i="20"/>
  <c r="S18" i="20"/>
  <c r="AB17" i="20"/>
  <c r="AA17" i="20"/>
  <c r="Z17" i="20"/>
  <c r="Y17" i="20"/>
  <c r="X17" i="20"/>
  <c r="W17" i="20"/>
  <c r="V17" i="20"/>
  <c r="U17" i="20"/>
  <c r="T17" i="20"/>
  <c r="AB16" i="20"/>
  <c r="AA16" i="20"/>
  <c r="Z16" i="20"/>
  <c r="Y16" i="20"/>
  <c r="X16" i="20"/>
  <c r="W16" i="20"/>
  <c r="S17" i="20"/>
  <c r="V16" i="20"/>
  <c r="U16" i="20"/>
  <c r="T16" i="20"/>
  <c r="S16" i="20"/>
  <c r="AB15" i="20"/>
  <c r="AA15" i="20"/>
  <c r="Z15" i="20"/>
  <c r="Y15" i="20"/>
  <c r="X15" i="20"/>
  <c r="W15" i="20"/>
  <c r="V15" i="20"/>
  <c r="U15" i="20"/>
  <c r="T15" i="20"/>
  <c r="S15" i="20"/>
  <c r="AB14" i="20"/>
  <c r="AA14" i="20"/>
  <c r="Z14" i="20"/>
  <c r="Y14" i="20"/>
  <c r="X14" i="20"/>
  <c r="W14" i="20"/>
  <c r="V14" i="20"/>
  <c r="U14" i="20"/>
  <c r="T14" i="20"/>
  <c r="S14" i="20"/>
  <c r="AB13" i="20"/>
  <c r="AA13" i="20"/>
  <c r="Z13" i="20"/>
  <c r="Y13" i="20"/>
  <c r="X13" i="20"/>
  <c r="W13" i="20"/>
  <c r="V13" i="20"/>
  <c r="U13" i="20"/>
  <c r="T13" i="20"/>
  <c r="S13" i="20"/>
  <c r="AB12" i="20"/>
  <c r="AA12" i="20"/>
  <c r="Z12" i="20"/>
  <c r="Y12" i="20"/>
  <c r="X12" i="20"/>
  <c r="W12" i="20"/>
  <c r="V12" i="20"/>
  <c r="U12" i="20"/>
  <c r="T12" i="20"/>
  <c r="S12" i="20"/>
  <c r="Y10" i="20"/>
  <c r="R21" i="20"/>
  <c r="R20" i="20"/>
  <c r="R19" i="20"/>
  <c r="R18" i="20"/>
  <c r="R17" i="20"/>
  <c r="R16" i="20"/>
  <c r="R15" i="20"/>
  <c r="R14" i="20"/>
  <c r="R13" i="20"/>
  <c r="R12" i="20"/>
  <c r="Q10" i="20"/>
  <c r="Q11" i="20"/>
  <c r="Q12" i="20"/>
  <c r="Q13" i="20"/>
  <c r="Q14" i="20"/>
  <c r="Q15" i="20"/>
  <c r="Q16" i="20"/>
  <c r="Q17" i="20"/>
  <c r="Q18" i="20"/>
  <c r="Q19" i="20"/>
  <c r="Q20" i="20"/>
  <c r="Q21" i="20"/>
  <c r="P21" i="20"/>
  <c r="P20" i="20"/>
  <c r="P19" i="20"/>
  <c r="P18" i="20"/>
  <c r="P17" i="20"/>
  <c r="P16" i="20"/>
  <c r="P15" i="20"/>
  <c r="P14" i="20"/>
  <c r="P13" i="20"/>
  <c r="P12" i="20"/>
  <c r="O21" i="20"/>
  <c r="O20" i="20"/>
  <c r="O19" i="20"/>
  <c r="O18" i="20"/>
  <c r="O17" i="20"/>
  <c r="O16" i="20"/>
  <c r="O15" i="20"/>
  <c r="O14" i="20"/>
  <c r="O13" i="20"/>
  <c r="O12" i="20"/>
  <c r="R7" i="20"/>
  <c r="S7" i="20"/>
  <c r="AB11" i="20"/>
  <c r="AA11" i="20"/>
  <c r="Z11" i="20"/>
  <c r="Y11" i="20"/>
  <c r="Y7" i="20" s="1"/>
  <c r="W11" i="20"/>
  <c r="V11" i="20"/>
  <c r="T11" i="20"/>
  <c r="S11" i="20"/>
  <c r="R11" i="20"/>
  <c r="P11" i="20"/>
  <c r="O11" i="20"/>
  <c r="M11" i="20"/>
  <c r="L11" i="20"/>
  <c r="K11" i="20"/>
  <c r="N11" i="20"/>
  <c r="I11" i="20"/>
  <c r="H11" i="20"/>
  <c r="G11" i="20"/>
  <c r="F11" i="20"/>
  <c r="E11" i="20"/>
  <c r="D11" i="20"/>
  <c r="C11" i="20"/>
  <c r="M17" i="2" l="1"/>
  <c r="J4" i="20" s="1"/>
  <c r="H11" i="22"/>
  <c r="F11" i="22"/>
  <c r="B11" i="31"/>
  <c r="D5" i="31"/>
  <c r="B11" i="30"/>
  <c r="B11" i="29"/>
  <c r="D5" i="29"/>
  <c r="B11" i="28"/>
  <c r="D5" i="28"/>
  <c r="B11" i="27"/>
  <c r="D5" i="27"/>
  <c r="B11" i="26"/>
  <c r="D5" i="26"/>
  <c r="B11" i="25"/>
  <c r="D5" i="25"/>
  <c r="B11" i="24"/>
  <c r="D5" i="24"/>
  <c r="X11" i="20"/>
  <c r="U11" i="20"/>
  <c r="B11" i="32"/>
  <c r="D5" i="32"/>
  <c r="B11" i="23"/>
  <c r="D5" i="23"/>
  <c r="J17" i="2"/>
  <c r="AB10" i="20" s="1"/>
  <c r="AB7" i="20" s="1"/>
  <c r="I17" i="2"/>
  <c r="AA10" i="20" s="1"/>
  <c r="N15" i="2"/>
  <c r="M15" i="2"/>
  <c r="K15" i="2"/>
  <c r="W10" i="20" s="1"/>
  <c r="W7" i="20" s="1"/>
  <c r="J15" i="2"/>
  <c r="V10" i="20" s="1"/>
  <c r="V7" i="20" s="1"/>
  <c r="I15" i="2"/>
  <c r="U10" i="20" s="1"/>
  <c r="U7" i="20" s="1"/>
  <c r="M13" i="2" a="1"/>
  <c r="M13" i="2"/>
  <c r="S10" i="20" s="1"/>
  <c r="N13" i="2" a="1"/>
  <c r="N13" i="2"/>
  <c r="T10" i="20" s="1"/>
  <c r="L13" i="2" a="1"/>
  <c r="L13" i="2"/>
  <c r="R10" i="20" s="1"/>
  <c r="T7" i="20" s="1"/>
  <c r="K13" i="2" a="1"/>
  <c r="K13" i="2"/>
  <c r="J13" i="2" a="1"/>
  <c r="J13" i="2"/>
  <c r="P10" i="20" s="1"/>
  <c r="I13" i="2" a="1"/>
  <c r="I13" i="2"/>
  <c r="O10" i="20" s="1"/>
  <c r="O7" i="20" s="1"/>
  <c r="L4" i="2" a="1"/>
  <c r="L4" i="2"/>
  <c r="G10" i="20" s="1"/>
  <c r="M8" i="2"/>
  <c r="L5" i="2"/>
  <c r="I10" i="20" s="1"/>
  <c r="J5" i="2"/>
  <c r="H10" i="20" s="1"/>
  <c r="J4" i="2" a="1"/>
  <c r="J4" i="2"/>
  <c r="F10" i="20" s="1"/>
  <c r="L2" i="2" a="1"/>
  <c r="L2" i="2"/>
  <c r="C10" i="20" s="1"/>
  <c r="M2" i="2"/>
  <c r="J2" i="2" a="1"/>
  <c r="J2" i="2"/>
  <c r="B10" i="20" s="1"/>
  <c r="J11" i="2"/>
  <c r="J10" i="2"/>
  <c r="B9" i="2"/>
  <c r="D9" i="2" s="1"/>
  <c r="L8" i="2"/>
  <c r="L10" i="20" s="1"/>
  <c r="K8" i="2"/>
  <c r="K10" i="20" s="1"/>
  <c r="J8" i="2"/>
  <c r="M5" i="2"/>
  <c r="K5" i="2"/>
  <c r="N5" i="2" s="1"/>
  <c r="F5" i="2"/>
  <c r="H5" i="2" s="1"/>
  <c r="B5" i="2"/>
  <c r="M4" i="2"/>
  <c r="K4" i="2"/>
  <c r="N4" i="2" s="1"/>
  <c r="M3" i="2"/>
  <c r="L3" i="2"/>
  <c r="E10" i="20" s="1"/>
  <c r="K3" i="2"/>
  <c r="N3" i="2" s="1"/>
  <c r="J3" i="2"/>
  <c r="D10" i="20" s="1"/>
  <c r="K2" i="2"/>
  <c r="N2" i="2" s="1"/>
  <c r="D21" i="20"/>
  <c r="D20" i="20"/>
  <c r="D19" i="20"/>
  <c r="D18" i="20"/>
  <c r="D17" i="20"/>
  <c r="D16" i="20"/>
  <c r="D15" i="20"/>
  <c r="D14" i="20"/>
  <c r="D13" i="20"/>
  <c r="D12" i="20"/>
  <c r="B11" i="20"/>
  <c r="L7" i="20"/>
  <c r="K7" i="20"/>
  <c r="I7" i="20"/>
  <c r="H7" i="20"/>
  <c r="G7" i="20"/>
  <c r="F7" i="20"/>
  <c r="E7" i="20"/>
  <c r="D7" i="20"/>
  <c r="C7" i="20"/>
  <c r="B7" i="20"/>
  <c r="J3" i="20" l="1"/>
  <c r="K4" i="20"/>
  <c r="Z10" i="20"/>
  <c r="H11" i="31"/>
  <c r="F11" i="31"/>
  <c r="H11" i="30"/>
  <c r="F11" i="30"/>
  <c r="H11" i="29"/>
  <c r="F11" i="29"/>
  <c r="H11" i="28"/>
  <c r="F11" i="28"/>
  <c r="H11" i="27"/>
  <c r="F11" i="27"/>
  <c r="H11" i="26"/>
  <c r="F11" i="26"/>
  <c r="H11" i="25"/>
  <c r="F11" i="25"/>
  <c r="H11" i="24"/>
  <c r="F11" i="24"/>
  <c r="H11" i="32"/>
  <c r="F11" i="32"/>
  <c r="H11" i="23"/>
  <c r="F11" i="23"/>
  <c r="N8" i="2"/>
  <c r="J11" i="20"/>
  <c r="J10" i="20"/>
  <c r="J7" i="20" s="1"/>
  <c r="M10" i="20"/>
  <c r="M7" i="20" s="1"/>
  <c r="AA7" i="20"/>
  <c r="Z7" i="20"/>
  <c r="Q7" i="20"/>
  <c r="P7" i="20"/>
  <c r="L15" i="2"/>
  <c r="X10" i="20" s="1"/>
  <c r="X7" i="20" s="1"/>
  <c r="B11" i="2"/>
  <c r="D5" i="2"/>
  <c r="N10" i="20" l="1"/>
  <c r="N7" i="20" s="1"/>
  <c r="H11" i="2"/>
  <c r="F1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<sst xmlns="http://schemas.openxmlformats.org/spreadsheetml/2006/main" count="1244" uniqueCount="92">
  <si>
    <t>VO</t>
  </si>
  <si>
    <t>Total</t>
  </si>
  <si>
    <t>Réal</t>
  </si>
  <si>
    <t>Obj</t>
  </si>
  <si>
    <t>%</t>
  </si>
  <si>
    <t>dont CE</t>
  </si>
  <si>
    <t>-</t>
  </si>
  <si>
    <t>dont VD</t>
  </si>
  <si>
    <t>Gravage</t>
  </si>
  <si>
    <t>Vendeur</t>
  </si>
  <si>
    <t>Date cde</t>
  </si>
  <si>
    <t>Nom client</t>
  </si>
  <si>
    <t>VN/VO/VD</t>
  </si>
  <si>
    <t>Contrat service</t>
  </si>
  <si>
    <t>Contrats de Services</t>
  </si>
  <si>
    <t>Total VN/VO</t>
  </si>
  <si>
    <t>Type de client</t>
  </si>
  <si>
    <t>Inter</t>
  </si>
  <si>
    <t>Nombre assu</t>
  </si>
  <si>
    <t>Reprise</t>
  </si>
  <si>
    <t>Modèle</t>
  </si>
  <si>
    <t>soit</t>
  </si>
  <si>
    <t>Crédit Classique</t>
  </si>
  <si>
    <t>New Deal</t>
  </si>
  <si>
    <t>Entretien</t>
  </si>
  <si>
    <t>VN</t>
  </si>
  <si>
    <t>Intégral</t>
  </si>
  <si>
    <t>ALPINE</t>
  </si>
  <si>
    <t>Protech</t>
  </si>
  <si>
    <t>VD</t>
  </si>
  <si>
    <t>OUI</t>
  </si>
  <si>
    <t>NON</t>
  </si>
  <si>
    <t>Credit</t>
  </si>
  <si>
    <t>Timothé</t>
  </si>
  <si>
    <t>Cristian</t>
  </si>
  <si>
    <t>A110</t>
  </si>
  <si>
    <t>A290</t>
  </si>
  <si>
    <t>Agent</t>
  </si>
  <si>
    <t>Sérénité</t>
  </si>
  <si>
    <t>Particulier</t>
  </si>
  <si>
    <t>RAS</t>
  </si>
  <si>
    <t>Société</t>
  </si>
  <si>
    <t xml:space="preserve"> NbVN</t>
  </si>
  <si>
    <t>NbVO</t>
  </si>
  <si>
    <t>Crédit Classique VN</t>
  </si>
  <si>
    <t>Crédit Classique VO</t>
  </si>
  <si>
    <t>New Deal VN</t>
  </si>
  <si>
    <t>New Deal VO</t>
  </si>
  <si>
    <t>MOIS</t>
  </si>
  <si>
    <t>Compo-bail</t>
  </si>
  <si>
    <t>Non</t>
  </si>
  <si>
    <t>Garantie</t>
  </si>
  <si>
    <t>Combo-bail VN</t>
  </si>
  <si>
    <t>Combobail VO</t>
  </si>
  <si>
    <t>GLOBAL</t>
  </si>
  <si>
    <t>Colonne1</t>
  </si>
  <si>
    <t>VN/Services</t>
  </si>
  <si>
    <t>VO/Services</t>
  </si>
  <si>
    <t>VN/Garantie</t>
  </si>
  <si>
    <t>VO/Garantie</t>
  </si>
  <si>
    <t>DIAC VN</t>
  </si>
  <si>
    <t>DIAC VO</t>
  </si>
  <si>
    <t>VD/Services</t>
  </si>
  <si>
    <t>VD/Garantie</t>
  </si>
  <si>
    <t>Ventes/VN</t>
  </si>
  <si>
    <t>Ventes/VO</t>
  </si>
  <si>
    <t>Ventes/VD</t>
  </si>
  <si>
    <t>Nb/Financement</t>
  </si>
  <si>
    <t>Financements</t>
  </si>
  <si>
    <t>Entretiens</t>
  </si>
  <si>
    <t>Nb/Garantie</t>
  </si>
  <si>
    <t>DIAC</t>
  </si>
  <si>
    <t>TIMOTHE</t>
  </si>
  <si>
    <t>CRISTIAN</t>
  </si>
  <si>
    <t>Ctrt service</t>
  </si>
  <si>
    <t>MOYENNE</t>
  </si>
  <si>
    <t>CUMUL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</si>
  <si>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</si>
  <si>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</si>
  <si>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</si>
  <si>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</si>
  <si>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</si>
  <si>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</si>
  <si>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</si>
  <si>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</si>
  <si>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</si>
  <si>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</si>
  <si>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</si>
  <si>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Fevrier</t>
  </si>
  <si>
    <t>Cumul Mois</t>
  </si>
  <si>
    <t>VENTES  Mois</t>
  </si>
  <si>
    <t>CUMUL 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</si>
</sst>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#,##0&quot; €&quot;"/>
    <numFmt numFmtId="167" formatCode="0.0%"/>
    <numFmt numFmtId="168" formatCode="#,##0\ &quot;€&quot;"/>
  </numFmts>
  <fonts count="28" x14ac:knownFonts="1">
    <font>
      <sz val="11"/>
      <color rgb="FF000000"/>
      <name val="Calibri"/>
      <family val="2"/>
      <charset val="1"/>
    </font>
    <font>
      <sz val="10"/>
      <name val="Arial"/>
      <family val="2"/>
    </font>
    <font>
      <b/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theme="0"/>
      <name val="Calibri"/>
      <family val="2"/>
      <charset val="1"/>
    </font>
    <font>
      <b/>
      <sz val="11"/>
      <color rgb="FF000000"/>
      <name val="Calibri"/>
      <family val="2"/>
    </font>
    <font>
      <b/>
      <sz val="11"/>
      <color theme="9" tint="-0.249977111117893"/>
      <name val="Calibri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  <charset val="1"/>
    </font>
    <font>
      <b/>
      <sz val="14"/>
      <name val="Arial"/>
      <family val="2"/>
    </font>
    <font>
      <b/>
      <sz val="11"/>
      <color theme="9"/>
      <name val="Calibri"/>
      <family val="2"/>
    </font>
    <font>
      <b/>
      <sz val="11"/>
      <color theme="7"/>
      <name val="Calibri"/>
      <family val="2"/>
    </font>
    <font>
      <b/>
      <sz val="11"/>
      <color rgb="FF002060"/>
      <name val="Calibri"/>
      <family val="2"/>
    </font>
    <font>
      <b/>
      <sz val="10"/>
      <color theme="7"/>
      <name val="Arial"/>
      <family val="2"/>
    </font>
    <font>
      <b/>
      <sz val="18"/>
      <color theme="0" tint="-4.9989318521683403E-2"/>
      <name val="Arial"/>
      <family val="2"/>
    </font>
    <font>
      <b/>
      <sz val="11"/>
      <color theme="1"/>
      <name val="Calibri"/>
      <family val="2"/>
      <charset val="1"/>
    </font>
    <font>
      <b/>
      <sz val="11"/>
      <color rgb="FF00B0F0"/>
      <name val="Calibri"/>
      <family val="2"/>
    </font>
    <font>
      <b/>
      <sz val="11"/>
      <color theme="3"/>
      <name val="Calibri"/>
      <family val="2"/>
      <charset val="1"/>
    </font>
    <font>
      <b/>
      <sz val="12"/>
      <name val="Calibri"/>
      <family val="2"/>
      <charset val="1"/>
    </font>
    <font>
      <b/>
      <sz val="12"/>
      <color theme="0"/>
      <name val="Calibri"/>
      <family val="2"/>
      <charset val="1"/>
    </font>
    <font>
      <b/>
      <sz val="12"/>
      <color rgb="FF385724"/>
      <name val="Calibri"/>
      <family val="2"/>
      <charset val="1"/>
    </font>
    <font>
      <sz val="8"/>
      <name val="Calibri"/>
      <family val="2"/>
      <charset val="1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22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2E75B6"/>
        <bgColor rgb="FF4472C4"/>
      </patternFill>
    </fill>
    <fill>
      <patternFill patternType="solid">
        <fgColor rgb="FF92D050"/>
        <bgColor rgb="FF94BD5E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rgb="FFFFD320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164" fontId="1" fillId="0" borderId="0" applyBorder="0" applyAlignment="0" applyProtection="0"/>
    <xf numFmtId="9" fontId="4" fillId="0" borderId="0"/>
  </cellStyleXfs>
  <cellXfs count="15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167" fontId="6" fillId="4" borderId="1" xfId="2" applyNumberFormat="1" applyFont="1" applyFill="1" applyBorder="1" applyAlignment="1">
      <alignment horizontal="center"/>
    </xf>
    <xf numFmtId="167" fontId="6" fillId="5" borderId="1" xfId="2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167" fontId="8" fillId="4" borderId="1" xfId="2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66" fontId="6" fillId="0" borderId="1" xfId="0" applyNumberFormat="1" applyFont="1" applyBorder="1" applyAlignment="1">
      <alignment horizontal="center" vertical="center"/>
    </xf>
    <xf numFmtId="0" fontId="5" fillId="2" borderId="9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0" borderId="2" xfId="0" applyFont="1" applyBorder="1"/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/>
    </xf>
    <xf numFmtId="166" fontId="0" fillId="0" borderId="0" xfId="0" applyNumberFormat="1" applyAlignment="1">
      <alignment horizontal="center"/>
    </xf>
    <xf numFmtId="167" fontId="0" fillId="4" borderId="1" xfId="2" applyNumberFormat="1" applyFont="1" applyFill="1" applyBorder="1" applyAlignment="1">
      <alignment horizontal="center"/>
    </xf>
    <xf numFmtId="1" fontId="13" fillId="7" borderId="7" xfId="0" applyNumberFormat="1" applyFont="1" applyFill="1" applyBorder="1" applyAlignment="1">
      <alignment horizontal="center"/>
    </xf>
    <xf numFmtId="1" fontId="14" fillId="0" borderId="5" xfId="1" applyNumberFormat="1" applyFont="1" applyBorder="1" applyAlignment="1" applyProtection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applyAlignment="1" applyProtection="1">
      <alignment vertical="center" wrapText="1"/>
      <protection locked="0"/>
    </xf>
    <xf numFmtId="167" fontId="11" fillId="0" borderId="6" xfId="2" applyNumberFormat="1" applyFont="1" applyBorder="1" applyAlignment="1">
      <alignment horizontal="center"/>
    </xf>
    <xf numFmtId="9" fontId="12" fillId="0" borderId="6" xfId="2" applyFont="1" applyBorder="1" applyAlignment="1">
      <alignment horizontal="center" vertical="center"/>
    </xf>
    <xf numFmtId="1" fontId="12" fillId="0" borderId="4" xfId="0" applyNumberFormat="1" applyFont="1" applyBorder="1" applyAlignment="1" applyProtection="1">
      <alignment horizontal="center"/>
      <protection locked="0"/>
    </xf>
    <xf numFmtId="0" fontId="6" fillId="7" borderId="7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1" fontId="16" fillId="0" borderId="5" xfId="0" applyNumberFormat="1" applyFont="1" applyBorder="1" applyAlignment="1">
      <alignment horizontal="center"/>
    </xf>
    <xf numFmtId="1" fontId="11" fillId="0" borderId="5" xfId="0" applyNumberFormat="1" applyFont="1" applyBorder="1" applyAlignment="1">
      <alignment horizontal="center"/>
    </xf>
    <xf numFmtId="1" fontId="11" fillId="0" borderId="4" xfId="0" applyNumberFormat="1" applyFont="1" applyBorder="1" applyAlignment="1">
      <alignment horizontal="center"/>
    </xf>
    <xf numFmtId="1" fontId="18" fillId="7" borderId="5" xfId="0" applyNumberFormat="1" applyFont="1" applyFill="1" applyBorder="1" applyAlignment="1">
      <alignment horizontal="center"/>
    </xf>
    <xf numFmtId="0" fontId="17" fillId="7" borderId="5" xfId="0" applyFont="1" applyFill="1" applyBorder="1" applyAlignment="1">
      <alignment horizontal="center"/>
    </xf>
    <xf numFmtId="1" fontId="14" fillId="7" borderId="5" xfId="1" applyNumberFormat="1" applyFont="1" applyFill="1" applyBorder="1" applyAlignment="1" applyProtection="1">
      <alignment horizontal="center"/>
    </xf>
    <xf numFmtId="1" fontId="12" fillId="7" borderId="4" xfId="0" applyNumberFormat="1" applyFont="1" applyFill="1" applyBorder="1" applyAlignment="1" applyProtection="1">
      <alignment horizontal="center"/>
      <protection locked="0"/>
    </xf>
    <xf numFmtId="9" fontId="12" fillId="7" borderId="6" xfId="2" applyFont="1" applyFill="1" applyBorder="1" applyAlignment="1">
      <alignment horizontal="center" vertical="center"/>
    </xf>
    <xf numFmtId="1" fontId="11" fillId="7" borderId="5" xfId="0" applyNumberFormat="1" applyFont="1" applyFill="1" applyBorder="1" applyAlignment="1">
      <alignment horizontal="center"/>
    </xf>
    <xf numFmtId="1" fontId="11" fillId="7" borderId="4" xfId="0" applyNumberFormat="1" applyFont="1" applyFill="1" applyBorder="1" applyAlignment="1">
      <alignment horizontal="center"/>
    </xf>
    <xf numFmtId="167" fontId="11" fillId="7" borderId="6" xfId="2" applyNumberFormat="1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1" fontId="13" fillId="7" borderId="5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1" fontId="14" fillId="0" borderId="7" xfId="1" applyNumberFormat="1" applyFont="1" applyBorder="1" applyAlignment="1" applyProtection="1">
      <alignment horizontal="center"/>
    </xf>
    <xf numFmtId="1" fontId="12" fillId="0" borderId="3" xfId="0" applyNumberFormat="1" applyFont="1" applyBorder="1" applyAlignment="1" applyProtection="1">
      <alignment horizontal="center"/>
      <protection locked="0"/>
    </xf>
    <xf numFmtId="9" fontId="12" fillId="0" borderId="8" xfId="2" applyFont="1" applyBorder="1" applyAlignment="1">
      <alignment horizontal="center" vertical="center"/>
    </xf>
    <xf numFmtId="1" fontId="16" fillId="0" borderId="7" xfId="0" applyNumberFormat="1" applyFont="1" applyBorder="1" applyAlignment="1">
      <alignment horizontal="center"/>
    </xf>
    <xf numFmtId="1" fontId="11" fillId="0" borderId="7" xfId="0" applyNumberFormat="1" applyFont="1" applyBorder="1" applyAlignment="1">
      <alignment horizontal="center"/>
    </xf>
    <xf numFmtId="1" fontId="11" fillId="0" borderId="3" xfId="0" applyNumberFormat="1" applyFont="1" applyBorder="1" applyAlignment="1">
      <alignment horizontal="center"/>
    </xf>
    <xf numFmtId="167" fontId="11" fillId="0" borderId="8" xfId="2" applyNumberFormat="1" applyFont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165" fontId="0" fillId="8" borderId="9" xfId="0" applyNumberForma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6" borderId="5" xfId="0" applyFill="1" applyBorder="1"/>
    <xf numFmtId="0" fontId="8" fillId="4" borderId="5" xfId="0" applyFont="1" applyFill="1" applyBorder="1"/>
    <xf numFmtId="0" fontId="6" fillId="5" borderId="5" xfId="0" applyFont="1" applyFill="1" applyBorder="1"/>
    <xf numFmtId="0" fontId="6" fillId="4" borderId="5" xfId="0" applyFont="1" applyFill="1" applyBorder="1"/>
    <xf numFmtId="0" fontId="6" fillId="6" borderId="1" xfId="0" applyFont="1" applyFill="1" applyBorder="1"/>
    <xf numFmtId="165" fontId="2" fillId="0" borderId="0" xfId="0" applyNumberFormat="1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168" fontId="0" fillId="0" borderId="0" xfId="0" applyNumberFormat="1" applyAlignment="1" applyProtection="1">
      <alignment horizontal="center" vertical="center" wrapText="1"/>
      <protection locked="0"/>
    </xf>
    <xf numFmtId="10" fontId="0" fillId="0" borderId="0" xfId="0" applyNumberFormat="1"/>
    <xf numFmtId="0" fontId="8" fillId="6" borderId="1" xfId="2" applyNumberFormat="1" applyFont="1" applyFill="1" applyBorder="1" applyAlignment="1">
      <alignment horizontal="center"/>
    </xf>
    <xf numFmtId="9" fontId="8" fillId="6" borderId="1" xfId="2" applyFont="1" applyFill="1" applyBorder="1" applyAlignment="1">
      <alignment horizontal="center"/>
    </xf>
    <xf numFmtId="1" fontId="23" fillId="7" borderId="3" xfId="0" applyNumberFormat="1" applyFont="1" applyFill="1" applyBorder="1" applyAlignment="1" applyProtection="1">
      <alignment horizontal="center"/>
      <protection locked="0"/>
    </xf>
    <xf numFmtId="1" fontId="23" fillId="7" borderId="4" xfId="0" applyNumberFormat="1" applyFont="1" applyFill="1" applyBorder="1" applyAlignment="1" applyProtection="1">
      <alignment horizontal="center"/>
      <protection locked="0"/>
    </xf>
    <xf numFmtId="9" fontId="24" fillId="7" borderId="8" xfId="2" applyFont="1" applyFill="1" applyBorder="1" applyAlignment="1">
      <alignment horizontal="center" vertical="center"/>
    </xf>
    <xf numFmtId="9" fontId="24" fillId="7" borderId="6" xfId="2" applyFont="1" applyFill="1" applyBorder="1" applyAlignment="1">
      <alignment horizontal="center" vertical="center"/>
    </xf>
    <xf numFmtId="1" fontId="0" fillId="7" borderId="5" xfId="1" applyNumberFormat="1" applyFont="1" applyFill="1" applyBorder="1" applyAlignment="1" applyProtection="1">
      <alignment horizontal="center"/>
    </xf>
    <xf numFmtId="1" fontId="0" fillId="7" borderId="7" xfId="1" applyNumberFormat="1" applyFont="1" applyFill="1" applyBorder="1" applyAlignment="1" applyProtection="1">
      <alignment horizontal="center"/>
    </xf>
    <xf numFmtId="167" fontId="0" fillId="5" borderId="1" xfId="2" applyNumberFormat="1" applyFont="1" applyFill="1" applyBorder="1" applyAlignment="1">
      <alignment horizontal="center"/>
    </xf>
    <xf numFmtId="10" fontId="0" fillId="6" borderId="1" xfId="2" applyNumberFormat="1" applyFont="1" applyFill="1" applyBorder="1" applyAlignment="1">
      <alignment horizontal="center"/>
    </xf>
    <xf numFmtId="0" fontId="0" fillId="6" borderId="1" xfId="2" applyNumberFormat="1" applyFont="1" applyFill="1" applyBorder="1" applyAlignment="1">
      <alignment horizontal="center"/>
    </xf>
    <xf numFmtId="1" fontId="0" fillId="7" borderId="7" xfId="0" applyNumberFormat="1" applyFill="1" applyBorder="1" applyAlignment="1">
      <alignment horizontal="center"/>
    </xf>
    <xf numFmtId="9" fontId="25" fillId="7" borderId="8" xfId="2" applyFont="1" applyFill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0" fontId="8" fillId="0" borderId="0" xfId="0" applyFont="1" applyAlignment="1" applyProtection="1">
      <alignment vertical="center" wrapText="1"/>
      <protection locked="0"/>
    </xf>
    <xf numFmtId="0" fontId="8" fillId="0" borderId="0" xfId="0" applyFont="1"/>
    <xf numFmtId="166" fontId="0" fillId="0" borderId="0" xfId="0" applyNumberFormat="1" applyAlignment="1" applyProtection="1">
      <alignment horizontal="center" vertical="center" wrapText="1"/>
      <protection locked="0"/>
    </xf>
    <xf numFmtId="168" fontId="6" fillId="9" borderId="1" xfId="2" applyNumberFormat="1" applyFont="1" applyFill="1" applyBorder="1" applyAlignment="1">
      <alignment horizontal="center"/>
    </xf>
    <xf numFmtId="0" fontId="26" fillId="9" borderId="1" xfId="0" applyFont="1" applyFill="1" applyBorder="1" applyAlignment="1">
      <alignment horizontal="center"/>
    </xf>
    <xf numFmtId="168" fontId="6" fillId="11" borderId="1" xfId="2" applyNumberFormat="1" applyFont="1" applyFill="1" applyBorder="1" applyAlignment="1">
      <alignment horizontal="center"/>
    </xf>
    <xf numFmtId="0" fontId="6" fillId="11" borderId="5" xfId="0" applyFont="1" applyFill="1" applyBorder="1" applyAlignment="1">
      <alignment horizontal="center"/>
    </xf>
    <xf numFmtId="0" fontId="26" fillId="9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167" fontId="8" fillId="0" borderId="0" xfId="2" applyNumberFormat="1" applyFont="1" applyAlignment="1">
      <alignment horizontal="center"/>
    </xf>
    <xf numFmtId="1" fontId="6" fillId="4" borderId="1" xfId="2" applyNumberFormat="1" applyFont="1" applyFill="1" applyBorder="1" applyAlignment="1">
      <alignment horizontal="center"/>
    </xf>
    <xf numFmtId="0" fontId="3" fillId="11" borderId="0" xfId="0" applyFont="1" applyFill="1" applyAlignment="1">
      <alignment horizontal="center"/>
    </xf>
    <xf numFmtId="0" fontId="26" fillId="11" borderId="1" xfId="0" applyFont="1" applyFill="1" applyBorder="1" applyAlignment="1">
      <alignment horizontal="center"/>
    </xf>
    <xf numFmtId="0" fontId="6" fillId="11" borderId="1" xfId="2" applyNumberFormat="1" applyFont="1" applyFill="1" applyBorder="1" applyAlignment="1">
      <alignment horizontal="center"/>
    </xf>
    <xf numFmtId="168" fontId="6" fillId="12" borderId="1" xfId="2" applyNumberFormat="1" applyFont="1" applyFill="1" applyBorder="1" applyAlignment="1">
      <alignment horizontal="center"/>
    </xf>
    <xf numFmtId="0" fontId="6" fillId="12" borderId="1" xfId="2" applyNumberFormat="1" applyFont="1" applyFill="1" applyBorder="1" applyAlignment="1">
      <alignment horizontal="center"/>
    </xf>
    <xf numFmtId="0" fontId="3" fillId="12" borderId="0" xfId="0" applyFont="1" applyFill="1" applyAlignment="1">
      <alignment horizontal="center"/>
    </xf>
    <xf numFmtId="0" fontId="25" fillId="13" borderId="1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6" fillId="0" borderId="1" xfId="2" applyNumberFormat="1" applyFont="1" applyBorder="1" applyAlignment="1">
      <alignment horizontal="center"/>
    </xf>
    <xf numFmtId="168" fontId="25" fillId="9" borderId="0" xfId="2" applyNumberFormat="1" applyFont="1" applyFill="1" applyAlignment="1">
      <alignment horizontal="center"/>
    </xf>
    <xf numFmtId="168" fontId="8" fillId="0" borderId="0" xfId="0" applyNumberFormat="1" applyFont="1" applyAlignment="1" applyProtection="1">
      <alignment horizontal="center" vertical="center" wrapText="1"/>
      <protection locked="0"/>
    </xf>
    <xf numFmtId="10" fontId="0" fillId="10" borderId="0" xfId="0" applyNumberFormat="1" applyFill="1" applyAlignment="1">
      <alignment horizontal="center"/>
    </xf>
    <xf numFmtId="10" fontId="0" fillId="4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6" fillId="0" borderId="0" xfId="0" applyFont="1"/>
    <xf numFmtId="0" fontId="0" fillId="0" borderId="1" xfId="0" applyBorder="1" applyAlignment="1">
      <alignment horizontal="center"/>
    </xf>
    <xf numFmtId="0" fontId="9" fillId="14" borderId="0" xfId="0" applyFont="1" applyFill="1" applyAlignment="1">
      <alignment horizontal="center" vertical="center"/>
    </xf>
    <xf numFmtId="1" fontId="10" fillId="14" borderId="0" xfId="1" applyNumberFormat="1" applyFont="1" applyFill="1" applyBorder="1" applyAlignment="1" applyProtection="1">
      <alignment horizontal="center" vertical="center"/>
    </xf>
    <xf numFmtId="9" fontId="10" fillId="14" borderId="0" xfId="1" applyNumberFormat="1" applyFont="1" applyFill="1" applyBorder="1" applyAlignment="1" applyProtection="1">
      <alignment horizontal="center" vertical="center"/>
    </xf>
    <xf numFmtId="9" fontId="15" fillId="14" borderId="0" xfId="1" applyNumberFormat="1" applyFont="1" applyFill="1" applyBorder="1" applyAlignment="1" applyProtection="1">
      <alignment horizontal="left" vertical="center"/>
    </xf>
    <xf numFmtId="0" fontId="6" fillId="0" borderId="0" xfId="0" applyFont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0" fillId="15" borderId="0" xfId="0" applyFill="1" applyAlignment="1">
      <alignment horizontal="center"/>
    </xf>
    <xf numFmtId="0" fontId="0" fillId="15" borderId="0" xfId="0" applyFill="1"/>
    <xf numFmtId="0" fontId="26" fillId="10" borderId="0" xfId="0" applyFont="1" applyFill="1" applyAlignment="1">
      <alignment horizontal="center"/>
    </xf>
    <xf numFmtId="10" fontId="8" fillId="10" borderId="0" xfId="0" applyNumberFormat="1" applyFont="1" applyFill="1" applyAlignment="1">
      <alignment horizontal="center"/>
    </xf>
    <xf numFmtId="0" fontId="27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8" fillId="0" borderId="1" xfId="2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 wrapText="1"/>
    </xf>
    <xf numFmtId="0" fontId="27" fillId="0" borderId="0" xfId="0" applyFont="1" applyAlignment="1">
      <alignment horizontal="center" vertical="center"/>
    </xf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9" fontId="15" fillId="7" borderId="8" xfId="1" applyNumberFormat="1" applyFont="1" applyFill="1" applyBorder="1" applyAlignment="1" applyProtection="1">
      <alignment horizontal="left" vertical="center"/>
    </xf>
    <xf numFmtId="9" fontId="15" fillId="7" borderId="10" xfId="1" applyNumberFormat="1" applyFont="1" applyFill="1" applyBorder="1" applyAlignment="1" applyProtection="1">
      <alignment horizontal="left" vertical="center"/>
    </xf>
    <xf numFmtId="9" fontId="10" fillId="7" borderId="3" xfId="1" applyNumberFormat="1" applyFont="1" applyFill="1" applyBorder="1" applyAlignment="1" applyProtection="1">
      <alignment horizontal="center" vertical="center"/>
    </xf>
    <xf numFmtId="9" fontId="10" fillId="7" borderId="2" xfId="1" applyNumberFormat="1" applyFont="1" applyFill="1" applyBorder="1" applyAlignment="1" applyProtection="1">
      <alignment horizontal="center" vertical="center"/>
    </xf>
    <xf numFmtId="0" fontId="21" fillId="3" borderId="7" xfId="0" applyFont="1" applyFill="1" applyBorder="1" applyAlignment="1">
      <alignment horizontal="center"/>
    </xf>
    <xf numFmtId="0" fontId="21" fillId="3" borderId="3" xfId="0" applyFont="1" applyFill="1" applyBorder="1" applyAlignment="1">
      <alignment horizontal="center"/>
    </xf>
    <xf numFmtId="0" fontId="21" fillId="3" borderId="8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165" fontId="19" fillId="8" borderId="7" xfId="0" applyNumberFormat="1" applyFont="1" applyFill="1" applyBorder="1" applyAlignment="1">
      <alignment horizontal="center"/>
    </xf>
    <xf numFmtId="165" fontId="19" fillId="8" borderId="3" xfId="0" applyNumberFormat="1" applyFont="1" applyFill="1" applyBorder="1" applyAlignment="1">
      <alignment horizontal="center"/>
    </xf>
    <xf numFmtId="1" fontId="10" fillId="7" borderId="7" xfId="1" applyNumberFormat="1" applyFont="1" applyFill="1" applyBorder="1" applyAlignment="1" applyProtection="1">
      <alignment horizontal="center" vertical="center"/>
    </xf>
    <xf numFmtId="1" fontId="10" fillId="7" borderId="3" xfId="1" applyNumberFormat="1" applyFont="1" applyFill="1" applyBorder="1" applyAlignment="1" applyProtection="1">
      <alignment horizontal="center" vertical="center"/>
    </xf>
    <xf numFmtId="1" fontId="10" fillId="7" borderId="9" xfId="1" applyNumberFormat="1" applyFont="1" applyFill="1" applyBorder="1" applyAlignment="1" applyProtection="1">
      <alignment horizontal="center" vertical="center"/>
    </xf>
    <xf numFmtId="1" fontId="10" fillId="7" borderId="2" xfId="1" applyNumberFormat="1" applyFont="1" applyFill="1" applyBorder="1" applyAlignment="1" applyProtection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34"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D320"/>
      <rgbColor rgb="00FF00FF"/>
      <rgbColor rgb="0000FFFF"/>
      <rgbColor rgb="00800000"/>
      <rgbColor rgb="0000AE00"/>
      <rgbColor rgb="00000080"/>
      <rgbColor rgb="00806000"/>
      <rgbColor rgb="00800080"/>
      <rgbColor rgb="000084D1"/>
      <rgbColor rgb="00C9C9C9"/>
      <rgbColor rgb="0094BD5E"/>
      <rgbColor rgb="005B9BD5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2E75B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4472C4"/>
      <rgbColor rgb="0033CC66"/>
      <rgbColor rgb="0092D050"/>
      <rgbColor rgb="00FFC000"/>
      <rgbColor rgb="00FF9900"/>
      <rgbColor rgb="00ED7D31"/>
      <rgbColor rgb="00595959"/>
      <rgbColor rgb="00A5A5A5"/>
      <rgbColor rgb="00002060"/>
      <rgbColor rgb="0070AD47"/>
      <rgbColor rgb="00003300"/>
      <rgbColor rgb="00333300"/>
      <rgbColor rgb="00993300"/>
      <rgbColor rgb="00993366"/>
      <rgbColor rgb="00333399"/>
      <rgbColor rgb="00385724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285750</xdr:colOff>
      <xdr:row>0</xdr:row>
      <xdr:rowOff>0</xdr:rowOff>
    </xdr:from>
    <xdr:to>
      <xdr:col>16</xdr:col>
      <xdr:colOff>552450</xdr:colOff>
      <xdr:row>6</xdr:row>
      <xdr:rowOff>38100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6A0D6CFE-4626-3D87-EAD5-84F51A7503DF}"/>
            </a:ext>
          </a:extLst>
        </xdr:cNvPr>
        <xdr:cNvSpPr/>
      </xdr:nvSpPr>
      <xdr:spPr>
        <a:xfrm>
          <a:off x="11877675" y="0"/>
          <a:ext cx="1847850" cy="1266825"/>
        </a:xfrm>
        <a:prstGeom prst="wedgeRoundRectCallout">
          <a:avLst>
            <a:gd name="adj1" fmla="val -96606"/>
            <a:gd name="adj2" fmla="val -7237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Je voudrair mettre cette formule en  K3 et K4 Pourquoi? cette formule ne fonctionne pas sur ce fichier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4D97A71-51B3-454E-A055-17D14494CC82}" name="ANNUEL" displayName="ANNUEL" ref="A9:AB21" totalsRowShown="0" headerRowDxfId="233" dataDxfId="232">
  <autoFilter ref="A9:AB21" xr:uid="{14D97A71-51B3-454E-A055-17D14494CC8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</autoFilter>
  <tableColumns count="28">
    <tableColumn id="1" xr3:uid="{C1284120-E426-4159-AA51-DD9AE95C0133}" name="MOIS" dataDxfId="231"/>
    <tableColumn id="2" xr3:uid="{6384B688-88AC-46B7-9B44-6B16AD2ADE8A}" name="DIAC VN" dataDxfId="230">
      <calculatedColumnFormula>Janvier!J2</calculatedColumnFormula>
    </tableColumn>
    <tableColumn id="3" xr3:uid="{E1AC3045-F3F7-4603-A99A-B706FDF17227}" name="DIAC VO" dataDxfId="229">
      <calculatedColumnFormula>Janvier!L2</calculatedColumnFormula>
    </tableColumn>
    <tableColumn id="4" xr3:uid="{CAE12E3D-D913-477E-AE58-70E5EAFE3FF9}" name="Crédit Classique VN" dataDxfId="228">
      <calculatedColumnFormula>Janvier!J3</calculatedColumnFormula>
    </tableColumn>
    <tableColumn id="5" xr3:uid="{4D2BBAB9-66DE-4AC6-8E07-D58B12A23056}" name="Crédit Classique VO" dataDxfId="227">
      <calculatedColumnFormula>Fevrier!$L$3</calculatedColumnFormula>
    </tableColumn>
    <tableColumn id="6" xr3:uid="{0A2BA164-D51F-434B-A3A0-0DD800D77577}" name="New Deal VN" dataDxfId="226">
      <calculatedColumnFormula>Janvier!J4</calculatedColumnFormula>
    </tableColumn>
    <tableColumn id="7" xr3:uid="{8BD85B36-0D92-45EB-837D-7A361DA0C01B}" name="New Deal VO" dataDxfId="225">
      <calculatedColumnFormula>Janvier!L4</calculatedColumnFormula>
    </tableColumn>
    <tableColumn id="8" xr3:uid="{EC934FBD-99F6-4E27-ACDC-A5B41F846C76}" name="Combo-bail VN" dataDxfId="224">
      <calculatedColumnFormula>Janvier!J5</calculatedColumnFormula>
    </tableColumn>
    <tableColumn id="9" xr3:uid="{B4F15ACF-1C2C-414C-9041-C0032F711032}" name="Combobail VO" dataDxfId="223">
      <calculatedColumnFormula>Janvier!L5</calculatedColumnFormula>
    </tableColumn>
    <tableColumn id="10" xr3:uid="{18D39CC5-A7F2-4E8B-804E-C431926BBFAB}" name="Entretien" dataDxfId="222">
      <calculatedColumnFormula>Janvier!J8</calculatedColumnFormula>
    </tableColumn>
    <tableColumn id="11" xr3:uid="{8881ECDF-EF25-403A-AC2E-20A2D9BCF597}" name="Sérénité" dataDxfId="221">
      <calculatedColumnFormula>Janvier!K8</calculatedColumnFormula>
    </tableColumn>
    <tableColumn id="12" xr3:uid="{42A65B7C-C043-4325-9DFC-9BC0B31CF37C}" name="Intégral" dataDxfId="220">
      <calculatedColumnFormula>Janvier!L8</calculatedColumnFormula>
    </tableColumn>
    <tableColumn id="13" xr3:uid="{AEEB6837-AEAF-423C-88BB-835ED95FFD5D}" name="Garantie" dataDxfId="219">
      <calculatedColumnFormula>Janvier!M8</calculatedColumnFormula>
    </tableColumn>
    <tableColumn id="14" xr3:uid="{B621AAE0-2EA5-40A0-8641-14F4B9629622}" name="GLOBAL" dataDxfId="218">
      <calculatedColumnFormula>Janvier!N8</calculatedColumnFormula>
    </tableColumn>
    <tableColumn id="15" xr3:uid="{A48677D1-6223-4D5D-9587-71E36AB41930}" name="VN/Services" dataDxfId="217">
      <calculatedColumnFormula>Janvier!I13</calculatedColumnFormula>
    </tableColumn>
    <tableColumn id="16" xr3:uid="{5B2E5333-7B6F-401F-99AF-BC5488169360}" name="VO/Services" dataDxfId="216">
      <calculatedColumnFormula>Janvier!J13</calculatedColumnFormula>
    </tableColumn>
    <tableColumn id="17" xr3:uid="{8429F563-EBE3-41FB-AB87-716DFB80AC5D}" name="VN/Garantie" dataDxfId="215"/>
    <tableColumn id="18" xr3:uid="{921BC31E-68DD-4407-B32B-ABC4B7C47FE6}" name="VO/Garantie" dataDxfId="214">
      <calculatedColumnFormula>Janvier!L13</calculatedColumnFormula>
    </tableColumn>
    <tableColumn id="19" xr3:uid="{97062F4A-F6DE-48E7-8B36-DFADF536BBE3}" name="VD/Services" dataDxfId="213">
      <calculatedColumnFormula>Janvier!M13</calculatedColumnFormula>
    </tableColumn>
    <tableColumn id="20" xr3:uid="{050D98E7-5745-40BF-9DEC-E87D151583B4}" name="VD/Garantie" dataDxfId="212">
      <calculatedColumnFormula>Janvier!N13</calculatedColumnFormula>
    </tableColumn>
    <tableColumn id="21" xr3:uid="{0947840A-2BFD-47B5-8C0E-BE2527CD2CF6}" name="Ventes/VN" dataDxfId="211">
      <calculatedColumnFormula>Janvier!I15</calculatedColumnFormula>
    </tableColumn>
    <tableColumn id="22" xr3:uid="{8CE99DB4-451A-45A8-BB54-2144AB5FF6CD}" name="Ventes/VO" dataDxfId="210">
      <calculatedColumnFormula>Janvier!J15</calculatedColumnFormula>
    </tableColumn>
    <tableColumn id="23" xr3:uid="{B57E292E-CCDC-4118-8FC0-2EFE622F1CCB}" name="Ventes/VD" dataDxfId="209">
      <calculatedColumnFormula>Janvier!K15</calculatedColumnFormula>
    </tableColumn>
    <tableColumn id="24" xr3:uid="{207DDE59-81E7-4FCC-8048-D333E5FA6161}" name="Total" dataDxfId="208">
      <calculatedColumnFormula>Janvier!L15</calculatedColumnFormula>
    </tableColumn>
    <tableColumn id="25" xr3:uid="{D138533B-6734-4ACD-BA4D-AF19FADB5E11}" name="Gravage" dataDxfId="207">
      <calculatedColumnFormula>Janvier!M15</calculatedColumnFormula>
    </tableColumn>
    <tableColumn id="26" xr3:uid="{16786E3D-A78F-4793-BE92-1AC7A2AC0510}" name="Protech" dataDxfId="206">
      <calculatedColumnFormula>Janvier!N15</calculatedColumnFormula>
    </tableColumn>
    <tableColumn id="27" xr3:uid="{0441034C-3344-46F3-9101-96AD3419000B}" name="Nb/Financement" dataDxfId="205">
      <calculatedColumnFormula>Janvier!I17</calculatedColumnFormula>
    </tableColumn>
    <tableColumn id="28" xr3:uid="{02EC14AD-9E2A-468F-8670-6A1B004BBE76}" name="Nb/Garantie" dataDxfId="204">
      <calculatedColumnFormula>+Janvier!J17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5D717211-13DE-476C-B64F-A14BD9C05A63}" name="JANVIER" displayName="JANVIER" ref="A18:N42" totalsRowShown="0" headerRowDxfId="203" dataDxfId="202" tableBorderDxfId="201">
  <autoFilter ref="A18:N42" xr:uid="{5D717211-13DE-476C-B64F-A14BD9C05A6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35075F91-ACF9-454C-8D1C-607ADD51F705}" name="Vendeur" dataDxfId="200"/>
    <tableColumn id="2" xr3:uid="{24BACE07-F026-43E2-A060-ADBB7BF02485}" name="Date cde" dataDxfId="199"/>
    <tableColumn id="3" xr3:uid="{ACBBD631-817C-4F28-B4C7-4887BA9C5ACA}" name="Nom client" dataDxfId="198"/>
    <tableColumn id="4" xr3:uid="{059796A4-CA3F-4E35-A17D-7AB4C7483F54}" name="VN/VO/VD" dataDxfId="197"/>
    <tableColumn id="5" xr3:uid="{1AA09DC9-FDBF-4104-BE51-CBEC1B45345C}" name="Modèle" dataDxfId="196"/>
    <tableColumn id="6" xr3:uid="{D91714F0-0221-4BEF-9C43-8F73EDEB717D}" name="Type de client" dataDxfId="195"/>
    <tableColumn id="7" xr3:uid="{E3E6D93B-0995-4D5E-9043-AA8B399D7066}" name="Gravage" dataDxfId="194"/>
    <tableColumn id="8" xr3:uid="{F2A1F428-1BC8-40AE-ACBD-F171637B5E0F}" name="Protech" dataDxfId="193"/>
    <tableColumn id="9" xr3:uid="{576B5E2E-1715-45B2-8501-82A281275EA0}" name="Credit" dataDxfId="192"/>
    <tableColumn id="10" xr3:uid="{C47D06CE-758B-4647-B57C-88A62BF4994A}" name="Nombre assu" dataDxfId="191"/>
    <tableColumn id="11" xr3:uid="{E4388B36-6691-4A6F-80B1-1676732E6E79}" name="Contrat service" dataDxfId="190"/>
    <tableColumn id="12" xr3:uid="{7746585B-AF61-4D9E-8684-BF4A86A53385}" name="Inter" dataDxfId="189"/>
    <tableColumn id="13" xr3:uid="{A159B73D-2C61-475C-AD5E-DB2FFA1E0C1E}" name="Reprise" dataDxfId="188"/>
    <tableColumn id="14" xr3:uid="{15B32530-ACB1-4351-8925-26D95BE55D87}" name="Colonne1" dataDxfId="18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8C7DAB2C-FC80-4057-912D-616F509BC50F}" name="FEVRIER" displayName="FEVRIER" ref="A18:N42" totalsRowShown="0" headerRowDxfId="186" dataDxfId="185" tableBorderDxfId="184">
  <autoFilter ref="A18:N42" xr:uid="{8C7DAB2C-FC80-4057-912D-616F509BC50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357CB60B-2B70-448C-89C6-23078CBEA3FA}" name="Vendeur" dataDxfId="183"/>
    <tableColumn id="2" xr3:uid="{17D6054A-B82A-4016-A1E2-EAEE349DAD33}" name="Date cde" dataDxfId="182"/>
    <tableColumn id="3" xr3:uid="{AB1C3BB9-7D2C-4A8F-B132-EAB411FFF687}" name="Nom client" dataDxfId="181"/>
    <tableColumn id="4" xr3:uid="{096085F4-4D1C-4B14-9C48-79D347D3B1E8}" name="VN/VO/VD" dataDxfId="180"/>
    <tableColumn id="5" xr3:uid="{0898D799-1214-40C4-B896-FAF4D26FA36F}" name="Modèle" dataDxfId="179"/>
    <tableColumn id="6" xr3:uid="{8B676C63-FA6D-4D42-A62F-55F4048D9B21}" name="Type de client" dataDxfId="178"/>
    <tableColumn id="7" xr3:uid="{B54E2367-CF77-414E-869F-6088A6AB6AE9}" name="Gravage" dataDxfId="177"/>
    <tableColumn id="8" xr3:uid="{965E2EA2-1387-4C6F-B7A9-D66B18309A3A}" name="Protech" dataDxfId="176"/>
    <tableColumn id="9" xr3:uid="{25FE21EB-E24D-4158-9378-BAEDD2FB5317}" name="Credit" dataDxfId="175"/>
    <tableColumn id="10" xr3:uid="{3CB5E6FD-8F0F-4745-BFC1-6D90C2E11CAA}" name="Nombre assu" dataDxfId="174"/>
    <tableColumn id="11" xr3:uid="{4F834F50-3FFB-4779-914F-12F4008E3277}" name="Contrat service" dataDxfId="173"/>
    <tableColumn id="12" xr3:uid="{3BE11AB4-6790-4267-9889-28D80AA353D3}" name="Inter" dataDxfId="172"/>
    <tableColumn id="13" xr3:uid="{1A19F7FC-30FE-45D6-900A-2DE37BBB4D01}" name="Reprise" dataDxfId="171"/>
    <tableColumn id="14" xr3:uid="{0F19DD4B-309F-4228-A95D-51D1772463AD}" name="Colonne1" dataDxfId="17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08227DC-5013-4D17-B863-3530977EB8DC}" name="MARS" displayName="MARS" ref="A18:N42" totalsRowShown="0" headerRowDxfId="169" dataDxfId="168" tableBorderDxfId="167">
  <autoFilter ref="A18:N42" xr:uid="{708227DC-5013-4D17-B863-3530977EB8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4AC2825E-44B3-47A5-9380-9144E05B7F99}" name="Vendeur" dataDxfId="166"/>
    <tableColumn id="2" xr3:uid="{555D6020-AB45-4C49-8B61-4AB177DD8B36}" name="Date cde" dataDxfId="165"/>
    <tableColumn id="3" xr3:uid="{0FF470B7-F964-4885-B200-FD3FF6C904CC}" name="Nom client" dataDxfId="164"/>
    <tableColumn id="4" xr3:uid="{19242D65-6495-4F4D-AB3F-C485DF572098}" name="VN/VO/VD" dataDxfId="163"/>
    <tableColumn id="5" xr3:uid="{3CF28D68-913C-42B1-8C88-846C968CBE8A}" name="Modèle" dataDxfId="162"/>
    <tableColumn id="6" xr3:uid="{406FCADA-E67E-4FF6-A18E-CD31EEAD6295}" name="Type de client" dataDxfId="161"/>
    <tableColumn id="7" xr3:uid="{D4B67DCA-89DC-4352-884A-7A4D0496CDC4}" name="Gravage" dataDxfId="160"/>
    <tableColumn id="8" xr3:uid="{9B15EFC9-DB46-4909-B343-A73E18101025}" name="Protech" dataDxfId="159"/>
    <tableColumn id="9" xr3:uid="{18D42EB8-9D2D-4409-B02E-96F19C56BB3F}" name="Credit" dataDxfId="158"/>
    <tableColumn id="10" xr3:uid="{4B31229E-8F92-4506-8F6D-E7762BDBE492}" name="Nombre assu" dataDxfId="157"/>
    <tableColumn id="11" xr3:uid="{D0B967C1-90A4-47E3-AE05-33F4CEC97C6D}" name="Contrat service" dataDxfId="156"/>
    <tableColumn id="12" xr3:uid="{256DA693-902F-45ED-9644-640B1137385F}" name="Inter" dataDxfId="155"/>
    <tableColumn id="13" xr3:uid="{6C76386B-33ED-4DCF-BD67-99CC7F29C2B8}" name="Reprise" dataDxfId="154"/>
    <tableColumn id="14" xr3:uid="{2C8E388E-9CBA-4843-BD89-8C310B3B602C}" name="Colonne1" dataDxfId="15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420646D-70F8-459A-9A41-E86EF1EDCF7E}" name="AVRIL" displayName="AVRIL" ref="A18:N42" totalsRowShown="0" headerRowDxfId="152" dataDxfId="151" tableBorderDxfId="150">
  <autoFilter ref="A18:N42" xr:uid="{D420646D-70F8-459A-9A41-E86EF1EDCF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C77A207E-1E9F-4762-B7EE-210CC410E791}" name="Vendeur" dataDxfId="149"/>
    <tableColumn id="2" xr3:uid="{44DCDED4-63BE-40CD-A521-22F743EF587D}" name="Date cde" dataDxfId="148"/>
    <tableColumn id="3" xr3:uid="{01505827-FFC9-4EC6-AE31-416ECDAC9720}" name="Nom client" dataDxfId="147"/>
    <tableColumn id="4" xr3:uid="{7BDFD5F4-C914-4342-B660-C2FFA622EEC8}" name="VN/VO/VD" dataDxfId="146"/>
    <tableColumn id="5" xr3:uid="{5309AFA8-9991-40D2-95FF-F59B8D50484C}" name="Modèle" dataDxfId="145"/>
    <tableColumn id="6" xr3:uid="{62522A75-9174-4513-AB58-2A3830E2180B}" name="Type de client" dataDxfId="144"/>
    <tableColumn id="7" xr3:uid="{D08D468D-8527-4741-8F52-93A861077DE4}" name="Gravage" dataDxfId="143"/>
    <tableColumn id="8" xr3:uid="{8221825A-EA42-48A4-9FA8-10FE090F3CF1}" name="Protech" dataDxfId="142"/>
    <tableColumn id="9" xr3:uid="{861BAAD9-6B65-451B-9F7E-186FE6E69C65}" name="Credit" dataDxfId="141"/>
    <tableColumn id="10" xr3:uid="{8E15EDC0-3226-4398-B732-4251FC59EC9D}" name="Nombre assu" dataDxfId="140"/>
    <tableColumn id="11" xr3:uid="{B154484F-80E6-4BC9-94E8-5A3206E3FABA}" name="Contrat service" dataDxfId="139"/>
    <tableColumn id="12" xr3:uid="{A39E82B9-8B7E-4A14-9D03-E1E823B3AA71}" name="Inter" dataDxfId="138"/>
    <tableColumn id="13" xr3:uid="{38052595-564B-4769-9C95-CE290C88FAB4}" name="Reprise" dataDxfId="137"/>
    <tableColumn id="14" xr3:uid="{6051F298-534A-4B21-9A76-03FAFB637154}" name="Colonne1" dataDxfId="13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9DC31E5-0DD3-4764-A7D8-2DEB4557FCF5}" name="MAI" displayName="MAI" ref="A18:N42" totalsRowShown="0" headerRowDxfId="135" dataDxfId="134" tableBorderDxfId="133">
  <autoFilter ref="A18:N42" xr:uid="{29DC31E5-0DD3-4764-A7D8-2DEB4557FCF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FCC8F30A-56E8-4CBD-8414-4710F19758C6}" name="Vendeur" dataDxfId="132"/>
    <tableColumn id="2" xr3:uid="{813DA997-2AAD-43B4-B46C-36458AA645E6}" name="Date cde" dataDxfId="131"/>
    <tableColumn id="3" xr3:uid="{4C4C1B50-FCFC-43E8-9695-6EF0CAF0A4B3}" name="Nom client" dataDxfId="130"/>
    <tableColumn id="4" xr3:uid="{2313E26D-A18C-4DCB-AA65-AA3E36388632}" name="VN/VO/VD" dataDxfId="129"/>
    <tableColumn id="5" xr3:uid="{127B0F99-9D6D-4C3C-8052-4C7001938EDB}" name="Modèle" dataDxfId="128"/>
    <tableColumn id="6" xr3:uid="{4F2015B5-EC8F-485C-B31D-9881EF4D1DE6}" name="Type de client" dataDxfId="127"/>
    <tableColumn id="7" xr3:uid="{10E7CD67-F464-4F80-B953-6C02C34605D6}" name="Gravage" dataDxfId="126"/>
    <tableColumn id="8" xr3:uid="{BCC55E3D-0168-47EB-AF0A-B58126A8CE30}" name="Protech" dataDxfId="125"/>
    <tableColumn id="9" xr3:uid="{D1175D79-F586-4DA3-A1AA-276DAB82F1CC}" name="Credit" dataDxfId="124"/>
    <tableColumn id="10" xr3:uid="{F5CF914D-9E1B-4B71-B56B-91411D0E6E17}" name="Nombre assu" dataDxfId="123"/>
    <tableColumn id="11" xr3:uid="{D57E597D-9E32-455F-AEE6-6450671F7CE8}" name="Contrat service" dataDxfId="122"/>
    <tableColumn id="12" xr3:uid="{B9C1D4E4-DBE9-405D-8B15-946917A9E54B}" name="Inter" dataDxfId="121"/>
    <tableColumn id="13" xr3:uid="{D7A66B9B-F6D2-4D9D-AF0E-8F80B70961F2}" name="Reprise" dataDxfId="120"/>
    <tableColumn id="14" xr3:uid="{4690682A-D653-47B5-8BBF-B54D91E5B1F7}" name="Colonne1" dataDxfId="11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209525EA-781C-4436-9758-FE8633F4970C}" name="JUIN" displayName="JUIN" ref="A18:N42" totalsRowShown="0" headerRowDxfId="118" dataDxfId="117" tableBorderDxfId="116">
  <autoFilter ref="A18:N42" xr:uid="{209525EA-781C-4436-9758-FE8633F4970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6E3370CB-EDA7-4654-A9A6-2F7AC0866FA4}" name="Vendeur" dataDxfId="115"/>
    <tableColumn id="2" xr3:uid="{A3829AA0-C1EC-4EF8-BE41-03A861DF498C}" name="Date cde" dataDxfId="114"/>
    <tableColumn id="3" xr3:uid="{DDE1ADD9-95D9-4ACD-89E8-4AD70B7F6FB8}" name="Nom client" dataDxfId="113"/>
    <tableColumn id="4" xr3:uid="{4254CB72-F19F-4D14-8587-9CFD9CED5984}" name="VN/VO/VD" dataDxfId="112"/>
    <tableColumn id="5" xr3:uid="{E99003C1-0C4A-4BD6-AC48-E1FCE06B79B2}" name="Modèle" dataDxfId="111"/>
    <tableColumn id="6" xr3:uid="{2C2B8B8B-AA16-4239-97DE-6C6F6C3C863E}" name="Type de client" dataDxfId="110"/>
    <tableColumn id="7" xr3:uid="{9F03D3D7-E0AD-4898-966C-804A44C12BFE}" name="Gravage" dataDxfId="109"/>
    <tableColumn id="8" xr3:uid="{50996EF4-75FE-4C07-842A-1DDD83246627}" name="Protech" dataDxfId="108"/>
    <tableColumn id="9" xr3:uid="{85CAEA2E-D416-4C6D-81B4-9FBE2438A49D}" name="Credit" dataDxfId="107"/>
    <tableColumn id="10" xr3:uid="{E1EE216D-4FC4-4B6E-AE6A-42A323CA0267}" name="Nombre assu" dataDxfId="106"/>
    <tableColumn id="11" xr3:uid="{3372625F-CADC-46EA-AE7D-10DEE2469F9B}" name="Contrat service" dataDxfId="105"/>
    <tableColumn id="12" xr3:uid="{5F919641-8B62-4CD4-8CB7-0E00C0143546}" name="Inter" dataDxfId="104"/>
    <tableColumn id="13" xr3:uid="{4E21A601-FBD7-4115-B7E3-771034CE62EA}" name="Reprise" dataDxfId="103"/>
    <tableColumn id="14" xr3:uid="{5C596561-9ACC-4C4A-A30C-3F489F8ED22F}" name="Colonne1" dataDxfId="10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7AB8FD11-A36C-4B49-AA3D-52C81AAB3635}" name="JUILLET" displayName="JUILLET" ref="A18:N42" totalsRowShown="0" headerRowDxfId="101" dataDxfId="100" tableBorderDxfId="99">
  <autoFilter ref="A18:N42" xr:uid="{7AB8FD11-A36C-4B49-AA3D-52C81AAB363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2F127F04-777B-48E7-B109-00AD181678D2}" name="Vendeur" dataDxfId="98"/>
    <tableColumn id="2" xr3:uid="{C373B534-F813-4689-9C06-14A2ABF597D6}" name="Date cde" dataDxfId="97"/>
    <tableColumn id="3" xr3:uid="{B668F940-1449-4159-928F-6EF742C6B2F0}" name="Nom client" dataDxfId="96"/>
    <tableColumn id="4" xr3:uid="{2B01112E-DA5A-4A63-8536-2B3F042B2749}" name="VN/VO/VD" dataDxfId="95"/>
    <tableColumn id="5" xr3:uid="{B61B9EDC-5836-4E09-AE02-FEF7AA2B5762}" name="Modèle" dataDxfId="94"/>
    <tableColumn id="6" xr3:uid="{D4762FCE-2B4A-4D2F-A4CB-21A3FC836EB8}" name="Type de client" dataDxfId="93"/>
    <tableColumn id="7" xr3:uid="{F528D351-33DF-454E-8AAA-53B13CB65366}" name="Gravage" dataDxfId="92"/>
    <tableColumn id="8" xr3:uid="{6642D528-C54F-4F9C-8180-B1C59874DA6B}" name="Protech" dataDxfId="91"/>
    <tableColumn id="9" xr3:uid="{3F39DB04-5DCB-428D-B064-42FE3FBC9B2E}" name="Credit" dataDxfId="90"/>
    <tableColumn id="10" xr3:uid="{6A4C5500-ECD6-4CE3-B773-0779243203AC}" name="Nombre assu" dataDxfId="89"/>
    <tableColumn id="11" xr3:uid="{02C9840A-1A3A-4354-B048-29EF0BBFFF4C}" name="Contrat service" dataDxfId="88"/>
    <tableColumn id="12" xr3:uid="{2EB02491-468A-42F0-8B4E-152151BECFA9}" name="Inter" dataDxfId="87"/>
    <tableColumn id="13" xr3:uid="{43135A83-3A98-4290-A9F4-71A0D86951D2}" name="Reprise" dataDxfId="86"/>
    <tableColumn id="14" xr3:uid="{40422F7F-BE52-4D62-BA17-34B3EED20A13}" name="Colonne1" dataDxfId="8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F9DCFDE5-9060-4BB3-8107-9728089FA3E6}" name="AOUT" displayName="AOUT" ref="A18:N42" totalsRowShown="0" headerRowDxfId="84" dataDxfId="83" tableBorderDxfId="82">
  <autoFilter ref="A18:N42" xr:uid="{F9DCFDE5-9060-4BB3-8107-9728089FA3E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38F24D7A-AB9B-40A5-A517-2BD0D6FBAC37}" name="Vendeur" dataDxfId="81"/>
    <tableColumn id="2" xr3:uid="{216DEC91-0D91-4976-BCEE-A9314E1A628C}" name="Date cde" dataDxfId="80"/>
    <tableColumn id="3" xr3:uid="{B26A0084-2A32-4DAB-A350-7D225A438A5C}" name="Nom client" dataDxfId="79"/>
    <tableColumn id="4" xr3:uid="{C6BCE16A-4190-403D-90CA-B6D5E826C927}" name="VN/VO/VD" dataDxfId="78"/>
    <tableColumn id="5" xr3:uid="{ECCA2CD3-78F5-4A09-BBBA-5F40281A9EC5}" name="Modèle" dataDxfId="77"/>
    <tableColumn id="6" xr3:uid="{2F20E5F3-1F80-4741-B54D-A8C444A0014D}" name="Type de client" dataDxfId="76"/>
    <tableColumn id="7" xr3:uid="{C5CB7231-339C-4D46-8A20-A8F78C43A2B0}" name="Gravage" dataDxfId="75"/>
    <tableColumn id="8" xr3:uid="{BBAD81AB-9517-477B-B70C-CA5C3C2F5DB7}" name="Protech" dataDxfId="74"/>
    <tableColumn id="9" xr3:uid="{493A4BFA-DF44-4396-839F-8D0C36E90F78}" name="Credit" dataDxfId="73"/>
    <tableColumn id="10" xr3:uid="{A7FF9409-8052-4698-A493-800547924C34}" name="Nombre assu" dataDxfId="72"/>
    <tableColumn id="11" xr3:uid="{FA7A4490-0B27-4A4B-A9BB-ED7AE377F301}" name="Contrat service" dataDxfId="71"/>
    <tableColumn id="12" xr3:uid="{81C94F81-76F5-48F3-B216-F3ABCDFB22D4}" name="Inter" dataDxfId="70"/>
    <tableColumn id="13" xr3:uid="{E8FD0E4A-B86D-40DC-82F2-CCA51AC5011A}" name="Reprise" dataDxfId="69"/>
    <tableColumn id="14" xr3:uid="{622DD3A2-88CF-42C2-8014-9CF85B706821}" name="Colonne1" dataDxfId="6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B66ABB7F-2E6D-4385-AC67-00BC4EB6F55A}" name="SEPTEMBRE" displayName="SEPTEMBRE" ref="A18:N42" totalsRowShown="0" headerRowDxfId="67" dataDxfId="66" tableBorderDxfId="65">
  <autoFilter ref="A18:N42" xr:uid="{B66ABB7F-2E6D-4385-AC67-00BC4EB6F55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C5E02912-B7C5-43C3-9A2F-5D5B2556FCDA}" name="Vendeur" dataDxfId="64"/>
    <tableColumn id="2" xr3:uid="{0406CEBC-6B5F-401C-B716-1E5174B51A76}" name="Date cde" dataDxfId="63"/>
    <tableColumn id="3" xr3:uid="{9254C9AF-6612-4020-8741-712AA7490F83}" name="Nom client" dataDxfId="62"/>
    <tableColumn id="4" xr3:uid="{AF91EEFF-82E5-4774-891B-FA60C9571135}" name="VN/VO/VD" dataDxfId="61"/>
    <tableColumn id="5" xr3:uid="{23575DF8-E63F-4401-9508-1C5619D2C564}" name="Modèle" dataDxfId="60"/>
    <tableColumn id="6" xr3:uid="{3AA3BE47-947F-48FC-A9EF-9F89711D5FC8}" name="Type de client" dataDxfId="59"/>
    <tableColumn id="7" xr3:uid="{C366ED86-3CE7-4523-9967-79CB43D23124}" name="Gravage" dataDxfId="58"/>
    <tableColumn id="8" xr3:uid="{F3CDF260-512F-4DEF-905E-8903467F300A}" name="Protech" dataDxfId="57"/>
    <tableColumn id="9" xr3:uid="{988221D8-151B-49F2-B07F-E679FF796354}" name="Credit" dataDxfId="56"/>
    <tableColumn id="10" xr3:uid="{32463BB6-5C53-45B3-AA8F-E44BC1FB5EB9}" name="Nombre assu" dataDxfId="55"/>
    <tableColumn id="11" xr3:uid="{34246392-875A-46C8-9B0F-2EE1590DF22C}" name="Contrat service" dataDxfId="54"/>
    <tableColumn id="12" xr3:uid="{07692235-CB6C-4F72-808E-16364BED26B3}" name="Inter" dataDxfId="53"/>
    <tableColumn id="13" xr3:uid="{26581937-BF57-4516-BF03-060F8965966C}" name="Reprise" dataDxfId="52"/>
    <tableColumn id="14" xr3:uid="{54508620-28FA-4C20-BB1B-D2A4F0985FF3}" name="Colonne1" dataDxfId="5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2928D3A-B294-46ED-B753-D8B7447B5D48}" name="OCTOBRE" displayName="OCTOBRE" ref="A18:N42" totalsRowShown="0" headerRowDxfId="50" dataDxfId="49" tableBorderDxfId="48">
  <autoFilter ref="A18:N42" xr:uid="{92928D3A-B294-46ED-B753-D8B7447B5D4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CD5CD98B-A2A8-47EA-B2CD-50429DDF7E32}" name="Vendeur" dataDxfId="47"/>
    <tableColumn id="2" xr3:uid="{F5802431-8B47-4CAB-9F74-61A9411F9FA7}" name="Date cde" dataDxfId="46"/>
    <tableColumn id="3" xr3:uid="{987E1EEB-945D-4628-9C6E-94CDF35AD77D}" name="Nom client" dataDxfId="45"/>
    <tableColumn id="4" xr3:uid="{01C4FEED-C4DC-40AE-8904-9A5F3090CE1D}" name="VN/VO/VD" dataDxfId="44"/>
    <tableColumn id="5" xr3:uid="{897903CE-FAF8-425A-87C1-6693D04E657C}" name="Modèle" dataDxfId="43"/>
    <tableColumn id="6" xr3:uid="{ECF4E17B-BA4A-44CC-80F6-1BE63E42A6D2}" name="Type de client" dataDxfId="42"/>
    <tableColumn id="7" xr3:uid="{480A4680-D869-4E3A-B904-8BE2A6017663}" name="Gravage" dataDxfId="41"/>
    <tableColumn id="8" xr3:uid="{A34D65B0-3136-48B7-9CC6-AADF29F9A792}" name="Protech" dataDxfId="40"/>
    <tableColumn id="9" xr3:uid="{C761C7BE-5224-445D-95B0-0EAE90076652}" name="Credit" dataDxfId="39"/>
    <tableColumn id="10" xr3:uid="{4790AA92-5721-4BC5-9F63-FC17D6242DE2}" name="Nombre assu" dataDxfId="38"/>
    <tableColumn id="11" xr3:uid="{71A2ACD2-03AA-4967-9D10-517131052212}" name="Contrat service" dataDxfId="37"/>
    <tableColumn id="12" xr3:uid="{64CD1028-7D96-4F27-9CBB-C8BF6803FBCB}" name="Inter" dataDxfId="36"/>
    <tableColumn id="13" xr3:uid="{BB635EB8-65A8-4C87-A584-BBC7EB938C6A}" name="Reprise" dataDxfId="35"/>
    <tableColumn id="14" xr3:uid="{1A541C5B-D207-4E8D-8A0E-619FED483727}" name="Colonne1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EA83BE70-14F4-4595-97C9-A9035EA1940D}" name="NOVEMBRE" displayName="NOVEMBRE" ref="A18:N42" totalsRowShown="0" headerRowDxfId="33" dataDxfId="32" tableBorderDxfId="31">
  <autoFilter ref="A18:N42" xr:uid="{EA83BE70-14F4-4595-97C9-A9035EA1940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C5529E2-BC58-44A1-90E1-DC324EF6E92D}" name="Vendeur" dataDxfId="30"/>
    <tableColumn id="2" xr3:uid="{3AA10AED-372D-4B00-B96C-9B0FD16D3616}" name="Date cde" dataDxfId="29"/>
    <tableColumn id="3" xr3:uid="{9E70F727-0489-48BF-B410-C8E3396B66D8}" name="Nom client" dataDxfId="28"/>
    <tableColumn id="4" xr3:uid="{BFAD2D82-3011-458F-8FBD-17980923EA7F}" name="VN/VO/VD" dataDxfId="27"/>
    <tableColumn id="5" xr3:uid="{1BCD8033-EA55-49BA-A19C-F7A5674F281E}" name="Modèle" dataDxfId="26"/>
    <tableColumn id="6" xr3:uid="{20A6F226-5182-4BB0-A18C-047459D72596}" name="Type de client" dataDxfId="25"/>
    <tableColumn id="7" xr3:uid="{D019255D-BBE6-44F5-AD26-B7D61420A00F}" name="Gravage" dataDxfId="24"/>
    <tableColumn id="8" xr3:uid="{4240824B-942A-42AF-B5C1-8AAAEE2D9F11}" name="Protech" dataDxfId="23"/>
    <tableColumn id="9" xr3:uid="{36C89FF0-1701-4FF8-A20A-4618C456B519}" name="Credit" dataDxfId="22"/>
    <tableColumn id="10" xr3:uid="{4F985899-3AEF-4A55-A720-5883CECD890E}" name="Nombre assu" dataDxfId="21"/>
    <tableColumn id="11" xr3:uid="{31E53748-7263-4B41-AF53-D466DE6EC8FD}" name="Contrat service" dataDxfId="20"/>
    <tableColumn id="12" xr3:uid="{EEC00E46-50EC-4F4C-BA48-53C7F0B90D40}" name="Inter" dataDxfId="19"/>
    <tableColumn id="13" xr3:uid="{D1C0D6A5-DEDA-40DB-B8DA-0FB813C48C68}" name="Reprise" dataDxfId="18"/>
    <tableColumn id="14" xr3:uid="{1C70B7EF-EB44-4AA2-8C6F-0470F33B9677}" name="Colonne1" dataDxfId="1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87B7A6AC-92AF-4ED5-AB44-7752646F1175}" name="DECEMBRE" displayName="DECEMBRE" ref="A18:N42" totalsRowShown="0" headerRowDxfId="16" dataDxfId="15" tableBorderDxfId="14">
  <autoFilter ref="A18:N42" xr:uid="{87B7A6AC-92AF-4ED5-AB44-7752646F117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A679F58B-8BC4-4313-A2CF-4B5E92708B0B}" name="Vendeur" dataDxfId="13"/>
    <tableColumn id="2" xr3:uid="{5F10BCBA-3CC9-4F57-B821-FB61259BDCFB}" name="Date cde" dataDxfId="12"/>
    <tableColumn id="3" xr3:uid="{8369D7F6-D406-48E0-B80A-1D5D45028F25}" name="Nom client" dataDxfId="11"/>
    <tableColumn id="4" xr3:uid="{E7146B2D-42CD-43F8-A8D6-5252277F1BEC}" name="VN/VO/VD" dataDxfId="10"/>
    <tableColumn id="5" xr3:uid="{3971F62E-DF86-43F7-8982-49CC670FD9D2}" name="Modèle" dataDxfId="9"/>
    <tableColumn id="6" xr3:uid="{FE6BAFFE-2244-457E-B884-FCBE4FB135FF}" name="Type de client" dataDxfId="8"/>
    <tableColumn id="7" xr3:uid="{72444A03-8BDE-4392-A686-9C9C9E82478D}" name="Gravage" dataDxfId="7"/>
    <tableColumn id="8" xr3:uid="{78A14D47-6707-47A3-886C-898CE10DA401}" name="Protech" dataDxfId="6"/>
    <tableColumn id="9" xr3:uid="{E236931F-B11A-4C1F-A876-D2B044AE1344}" name="Credit" dataDxfId="5"/>
    <tableColumn id="10" xr3:uid="{EB9C16C4-14C8-4C7A-A571-AFB3123099C4}" name="Nombre assu" dataDxfId="4"/>
    <tableColumn id="11" xr3:uid="{097DC57D-C9F9-4509-9630-DF35D084C9FE}" name="Contrat service" dataDxfId="3"/>
    <tableColumn id="12" xr3:uid="{A7150839-71B3-4F40-97A2-7120E62FC9BD}" name="Inter" dataDxfId="2"/>
    <tableColumn id="13" xr3:uid="{454D9850-9173-466D-A444-E68AE1496F80}" name="Reprise" dataDxfId="1"/>
    <tableColumn id="14" xr3:uid="{55CD12B7-6C26-49E7-8309-6E8C4EFF03E9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AB46"/>
  <sheetViews>
    <sheetView tabSelected="1" zoomScaleNormal="100" workbookViewId="0">
      <pane xSplit="1" topLeftCell="B1" activePane="topRight" state="frozen"/>
      <selection pane="topRight" activeCell="L4" sqref="L4"/>
    </sheetView>
  </sheetViews>
  <sheetFormatPr baseColWidth="10" defaultRowHeight="14.5" x14ac:dyDescent="0.35"/>
  <cols>
    <col min="1" max="1" width="16" style="7"/>
    <col min="2" max="2" width="10.81640625" style="7" customWidth="1"/>
    <col min="3" max="3" width="11.54296875" style="7" bestFit="1" customWidth="1"/>
    <col min="4" max="5" width="18.54296875" style="7" bestFit="1" customWidth="1"/>
    <col min="6" max="7" width="12.7265625" style="7" bestFit="1" customWidth="1"/>
    <col min="8" max="8" width="14.453125" style="7" bestFit="1" customWidth="1"/>
    <col min="9" max="9" width="13.7265625" style="7" bestFit="1" customWidth="1"/>
    <col min="10" max="10" width="9.26953125" style="7" bestFit="1" customWidth="1"/>
    <col min="11" max="11" width="10" style="7" customWidth="1"/>
    <col min="12" max="12" width="8.90625" style="7" bestFit="1" customWidth="1"/>
    <col min="13" max="13" width="9.54296875" bestFit="1" customWidth="1"/>
    <col min="14" max="14" width="8" bestFit="1" customWidth="1"/>
    <col min="15" max="16" width="11.81640625" bestFit="1" customWidth="1"/>
    <col min="17" max="18" width="12.26953125" bestFit="1" customWidth="1"/>
    <col min="19" max="19" width="11.7265625" bestFit="1" customWidth="1"/>
    <col min="20" max="20" width="12.7265625" bestFit="1" customWidth="1"/>
    <col min="21" max="22" width="10.81640625" bestFit="1" customWidth="1"/>
    <col min="23" max="23" width="10.7265625" bestFit="1" customWidth="1"/>
    <col min="24" max="25" width="8" customWidth="1"/>
    <col min="26" max="26" width="7.81640625" bestFit="1" customWidth="1"/>
    <col min="27" max="27" width="16.1796875" bestFit="1" customWidth="1"/>
    <col min="28" max="28" width="17.1796875" bestFit="1" customWidth="1"/>
    <col min="29" max="29" width="8" customWidth="1"/>
    <col min="30" max="30" width="9.26953125" bestFit="1" customWidth="1"/>
    <col min="31" max="32" width="9.26953125" customWidth="1"/>
    <col min="33" max="33" width="9.26953125" bestFit="1" customWidth="1"/>
    <col min="34" max="36" width="8.81640625" customWidth="1"/>
    <col min="37" max="37" width="8.54296875" customWidth="1"/>
    <col min="38" max="38" width="9" customWidth="1"/>
    <col min="39" max="54" width="8.7265625" customWidth="1"/>
    <col min="55" max="59" width="10.7265625" customWidth="1"/>
    <col min="60" max="60" width="11.26953125" customWidth="1"/>
    <col min="61" max="75" width="11.54296875" customWidth="1"/>
    <col min="76" max="80" width="10.7265625" customWidth="1"/>
    <col min="81" max="298" width="9"/>
  </cols>
  <sheetData>
    <row r="1" spans="1:28" x14ac:dyDescent="0.35">
      <c r="J1" s="128" t="s">
        <v>90</v>
      </c>
      <c r="K1" s="128" t="s">
        <v>91</v>
      </c>
    </row>
    <row r="2" spans="1:28" ht="15" thickBot="1" x14ac:dyDescent="0.4">
      <c r="B2" s="102" t="s">
        <v>77</v>
      </c>
      <c r="C2" s="107" t="s">
        <v>25</v>
      </c>
      <c r="D2" s="107" t="s">
        <v>0</v>
      </c>
      <c r="E2" s="107" t="s">
        <v>29</v>
      </c>
      <c r="F2" s="107" t="s">
        <v>32</v>
      </c>
      <c r="G2" s="107" t="s">
        <v>74</v>
      </c>
      <c r="H2" s="107" t="s">
        <v>8</v>
      </c>
      <c r="I2" s="121" t="s">
        <v>28</v>
      </c>
      <c r="J2" s="128"/>
      <c r="K2" s="128"/>
    </row>
    <row r="3" spans="1:28" ht="15.5" thickTop="1" thickBot="1" x14ac:dyDescent="0.4">
      <c r="A3" s="129">
        <v>2026</v>
      </c>
      <c r="B3" s="114" t="s">
        <v>72</v>
      </c>
      <c r="C3" s="107">
        <f>Janvier!$B$15</f>
        <v>0</v>
      </c>
      <c r="D3" s="107">
        <f>Janvier!$C$15</f>
        <v>4</v>
      </c>
      <c r="E3" s="107">
        <f>Janvier!$D$15</f>
        <v>0</v>
      </c>
      <c r="F3" s="107">
        <f>Janvier!$E$15</f>
        <v>4</v>
      </c>
      <c r="G3" s="107">
        <f>Janvier!$F$15</f>
        <v>4</v>
      </c>
      <c r="H3" s="107">
        <f>Janvier!$G$15</f>
        <v>4</v>
      </c>
      <c r="I3" s="107">
        <f>Janvier!$H$15</f>
        <v>4</v>
      </c>
      <c r="J3" s="122">
        <f>Janvier!$M$16</f>
        <v>4</v>
      </c>
      <c r="K3" s="122">
        <f>Janvier!M16+Fevrier!M16+Mars!M16+Avril!M16+Mai!M16+Juin!M16+Juillet!M16+Aout!M16+Septembre!M16+Octobre!M16+Novembre!M16+Decembre!M16</f>
        <v>8</v>
      </c>
      <c r="L3" s="7">
        <f>SUM(Début:Fin!M16)</f>
        <v>8</v>
      </c>
    </row>
    <row r="4" spans="1:28" ht="15.5" thickTop="1" thickBot="1" x14ac:dyDescent="0.4">
      <c r="A4" s="129"/>
      <c r="B4" s="114" t="s">
        <v>73</v>
      </c>
      <c r="C4" s="107">
        <f>Janvier!$B$16</f>
        <v>0</v>
      </c>
      <c r="D4" s="107">
        <f>Janvier!$C$16</f>
        <v>3</v>
      </c>
      <c r="E4" s="107">
        <f>Janvier!$D$16</f>
        <v>0</v>
      </c>
      <c r="F4" s="107">
        <f>Janvier!$E$16</f>
        <v>2</v>
      </c>
      <c r="G4" s="107">
        <f>Janvier!$F$16</f>
        <v>2</v>
      </c>
      <c r="H4" s="107">
        <f>Janvier!$G$16</f>
        <v>2</v>
      </c>
      <c r="I4" s="107">
        <f>Janvier!$H$16</f>
        <v>1</v>
      </c>
      <c r="J4" s="122">
        <f>Janvier!$M$17</f>
        <v>3</v>
      </c>
      <c r="K4" s="122">
        <f>Janvier!M17+Fevrier!M17+Mars!M17+Avril!M17+Mai!M17+Juin!M17+Juillet!M17+Aout!M17+Septembre!M17+Octobre!M17+Novembre!M17+Decembre!M17</f>
        <v>6</v>
      </c>
      <c r="L4" s="7">
        <f>SUM(Début:Fin!M17)</f>
        <v>6</v>
      </c>
    </row>
    <row r="5" spans="1:28" ht="15.5" thickTop="1" thickBot="1" x14ac:dyDescent="0.4">
      <c r="A5"/>
      <c r="B5"/>
      <c r="C5"/>
      <c r="D5"/>
      <c r="E5"/>
      <c r="F5"/>
      <c r="G5"/>
      <c r="I5"/>
      <c r="J5"/>
      <c r="K5"/>
      <c r="L5"/>
    </row>
    <row r="6" spans="1:28" ht="15.5" thickTop="1" thickBot="1" x14ac:dyDescent="0.4">
      <c r="B6" s="106"/>
      <c r="C6" s="106"/>
      <c r="D6"/>
      <c r="E6" s="134" t="s">
        <v>75</v>
      </c>
      <c r="F6" s="135"/>
      <c r="G6"/>
      <c r="H6"/>
      <c r="I6"/>
      <c r="J6"/>
      <c r="K6" s="136" t="s">
        <v>75</v>
      </c>
      <c r="L6" s="137"/>
      <c r="M6" s="138"/>
      <c r="O6" s="106"/>
      <c r="P6" s="106"/>
      <c r="Q6" s="139" t="s">
        <v>76</v>
      </c>
      <c r="R6" s="140"/>
      <c r="V6" s="141" t="s">
        <v>76</v>
      </c>
      <c r="W6" s="142"/>
      <c r="Y6" s="130" t="s">
        <v>76</v>
      </c>
      <c r="Z6" s="131"/>
      <c r="AA6" s="132" t="s">
        <v>76</v>
      </c>
      <c r="AB6" s="133"/>
    </row>
    <row r="7" spans="1:28" ht="15.75" customHeight="1" thickTop="1" x14ac:dyDescent="0.35">
      <c r="A7" s="119"/>
      <c r="B7" s="118">
        <f>AVERAGE(ANNUEL[[#All],[DIAC VN]])</f>
        <v>5.9523809523809527E-2</v>
      </c>
      <c r="C7" s="100">
        <f>AVERAGE(ANNUEL[[#All],[DIAC VO]])</f>
        <v>7.1428571428571425E-2</v>
      </c>
      <c r="D7" s="100">
        <f>AVERAGE(ANNUEL[[#All],[Crédit Classique VN]])</f>
        <v>2.3809523809523808E-2</v>
      </c>
      <c r="E7" s="100">
        <f>AVERAGE(ANNUEL[[#All],[Crédit Classique VO]])</f>
        <v>2.3809523809523808E-2</v>
      </c>
      <c r="F7" s="100">
        <f>AVERAGE(ANNUEL[[#All],[New Deal VN]])</f>
        <v>3.5714285714285712E-2</v>
      </c>
      <c r="G7" s="100">
        <f>AVERAGE(ANNUEL[[#All],[New Deal VO]])</f>
        <v>3.5714285714285712E-2</v>
      </c>
      <c r="H7" s="100">
        <f>AVERAGE(ANNUEL[[#All],[Combo-bail VN]])</f>
        <v>0</v>
      </c>
      <c r="I7" s="100">
        <f>AVERAGE(ANNUEL[[#All],[Combobail VO]])</f>
        <v>1.1904761904761904E-2</v>
      </c>
      <c r="J7" s="101">
        <f>AVERAGE(ANNUEL[[#All],[Entretien]])</f>
        <v>2.3809523809523808E-2</v>
      </c>
      <c r="K7" s="101">
        <f>AVERAGE(ANNUEL[[#All],[Sérénité]])</f>
        <v>7.1428571428571425E-2</v>
      </c>
      <c r="L7" s="101">
        <f>AVERAGE(ANNUEL[[#All],[Intégral]])</f>
        <v>4.7619047619047616E-2</v>
      </c>
      <c r="M7" s="101">
        <f>AVERAGE(ANNUEL[[#All],[Garantie]])</f>
        <v>0</v>
      </c>
      <c r="N7" s="101">
        <f>AVERAGE(ANNUEL[[#All],[GLOBAL]])</f>
        <v>0.14285714285714285</v>
      </c>
      <c r="O7" s="102">
        <f>SUM(ANNUEL[VN/Services])</f>
        <v>5</v>
      </c>
      <c r="P7" s="102">
        <f>SUM(ANNUEL[VO/Services])</f>
        <v>6</v>
      </c>
      <c r="Q7" s="102">
        <f>SUM(ANNUEL[VO/Services])</f>
        <v>6</v>
      </c>
      <c r="R7" s="102">
        <f>SUM(ANNUEL[VN/Garantie])</f>
        <v>0</v>
      </c>
      <c r="S7" s="102">
        <f>SUM(ANNUEL[VN/Garantie])</f>
        <v>0</v>
      </c>
      <c r="T7" s="102">
        <f>SUM(ANNUEL[VO/Garantie])</f>
        <v>0</v>
      </c>
      <c r="U7" s="103">
        <f>SUM(ANNUEL[Ventes/VN])</f>
        <v>6</v>
      </c>
      <c r="V7" s="103">
        <f>SUM(ANNUEL[Ventes/VO])</f>
        <v>7</v>
      </c>
      <c r="W7" s="103">
        <f>SUM(ANNUEL[Ventes/VD])</f>
        <v>1</v>
      </c>
      <c r="X7" s="103">
        <f>SUM(ANNUEL[Total])</f>
        <v>14</v>
      </c>
      <c r="Y7" s="104">
        <f>SUM(ANNUEL[Gravage])</f>
        <v>6</v>
      </c>
      <c r="Z7" s="104">
        <f>SUM(ANNUEL[Protech])</f>
        <v>10</v>
      </c>
      <c r="AA7" s="105">
        <f>SUM(ANNUEL[Protech])</f>
        <v>10</v>
      </c>
      <c r="AB7" s="105">
        <f>SUM(ANNUEL[Nb/Garantie])</f>
        <v>12</v>
      </c>
    </row>
    <row r="8" spans="1:28" ht="10.5" customHeight="1" x14ac:dyDescent="0.35">
      <c r="A8" s="119"/>
      <c r="J8" s="87"/>
      <c r="K8" s="87"/>
      <c r="L8" s="87"/>
      <c r="M8" s="87"/>
      <c r="N8" s="87"/>
    </row>
    <row r="9" spans="1:28" x14ac:dyDescent="0.35">
      <c r="A9" s="7" t="s">
        <v>48</v>
      </c>
      <c r="B9" s="117" t="s">
        <v>60</v>
      </c>
      <c r="C9" s="86" t="s">
        <v>61</v>
      </c>
      <c r="D9" s="86" t="s">
        <v>44</v>
      </c>
      <c r="E9" s="86" t="s">
        <v>45</v>
      </c>
      <c r="F9" s="86" t="s">
        <v>46</v>
      </c>
      <c r="G9" s="86" t="s">
        <v>47</v>
      </c>
      <c r="H9" s="86" t="s">
        <v>52</v>
      </c>
      <c r="I9" s="86" t="s">
        <v>53</v>
      </c>
      <c r="J9" s="85" t="s">
        <v>24</v>
      </c>
      <c r="K9" s="85" t="s">
        <v>38</v>
      </c>
      <c r="L9" s="85" t="s">
        <v>26</v>
      </c>
      <c r="M9" s="85" t="s">
        <v>51</v>
      </c>
      <c r="N9" s="85" t="s">
        <v>54</v>
      </c>
      <c r="O9" s="84" t="s">
        <v>56</v>
      </c>
      <c r="P9" s="84" t="s">
        <v>57</v>
      </c>
      <c r="Q9" s="84" t="s">
        <v>58</v>
      </c>
      <c r="R9" s="84" t="s">
        <v>59</v>
      </c>
      <c r="S9" s="98" t="s">
        <v>62</v>
      </c>
      <c r="T9" s="98" t="s">
        <v>63</v>
      </c>
      <c r="U9" s="89" t="s">
        <v>64</v>
      </c>
      <c r="V9" s="89" t="s">
        <v>65</v>
      </c>
      <c r="W9" s="89" t="s">
        <v>66</v>
      </c>
      <c r="X9" s="89" t="s">
        <v>1</v>
      </c>
      <c r="Y9" s="94" t="s">
        <v>8</v>
      </c>
      <c r="Z9" s="94" t="s">
        <v>28</v>
      </c>
      <c r="AA9" s="95" t="s">
        <v>67</v>
      </c>
      <c r="AB9" s="95" t="s">
        <v>70</v>
      </c>
    </row>
    <row r="10" spans="1:28" x14ac:dyDescent="0.35">
      <c r="A10" s="7" t="s">
        <v>77</v>
      </c>
      <c r="B10" s="76">
        <f>Janvier!$J$2</f>
        <v>0</v>
      </c>
      <c r="C10" s="76">
        <f>Janvier!$L$2</f>
        <v>0.8571428571428571</v>
      </c>
      <c r="D10" s="76">
        <f>Janvier!$J$3</f>
        <v>0</v>
      </c>
      <c r="E10" s="76">
        <f>Janvier!$L$3</f>
        <v>0.2857142857142857</v>
      </c>
      <c r="F10" s="76">
        <f>Janvier!$J$4</f>
        <v>0</v>
      </c>
      <c r="G10" s="76">
        <f>Janvier!$L$4</f>
        <v>0.42857142857142855</v>
      </c>
      <c r="H10" s="76">
        <f>Janvier!$J$5</f>
        <v>0</v>
      </c>
      <c r="I10" s="76">
        <f>Janvier!$L$5</f>
        <v>0.14285714285714285</v>
      </c>
      <c r="J10" s="76">
        <f>Janvier!$J$8</f>
        <v>0.14285714285714285</v>
      </c>
      <c r="K10" s="76">
        <f>Janvier!$K$8</f>
        <v>0.42857142857142855</v>
      </c>
      <c r="L10" s="76">
        <f>Janvier!$L$8</f>
        <v>0.2857142857142857</v>
      </c>
      <c r="M10" s="76">
        <f>Janvier!$M$8</f>
        <v>0</v>
      </c>
      <c r="N10" s="76">
        <f>Janvier!$N$8</f>
        <v>0.8571428571428571</v>
      </c>
      <c r="O10" s="7">
        <f>Janvier!$I$13</f>
        <v>0</v>
      </c>
      <c r="P10" s="7">
        <f>Janvier!$J$13</f>
        <v>6</v>
      </c>
      <c r="Q10" s="7">
        <f>Decembre!$K$13</f>
        <v>0</v>
      </c>
      <c r="R10" s="7">
        <f>Janvier!$L$13</f>
        <v>0</v>
      </c>
      <c r="S10" s="7">
        <f>Janvier!$M$13</f>
        <v>0</v>
      </c>
      <c r="T10" s="7">
        <f>Janvier!$N$13</f>
        <v>0</v>
      </c>
      <c r="U10" s="7">
        <f>Janvier!$I$15</f>
        <v>0</v>
      </c>
      <c r="V10" s="7">
        <f>Janvier!$J$15</f>
        <v>7</v>
      </c>
      <c r="W10" s="7">
        <f>Janvier!$K$15</f>
        <v>0</v>
      </c>
      <c r="X10" s="7">
        <f>Janvier!$L$15</f>
        <v>7</v>
      </c>
      <c r="Y10" s="7">
        <f>Janvier!$Y$11</f>
        <v>0</v>
      </c>
      <c r="Z10" s="7">
        <f>Janvier!$N$15</f>
        <v>5</v>
      </c>
      <c r="AA10" s="7">
        <f>Janvier!$I$17</f>
        <v>6</v>
      </c>
      <c r="AB10" s="7">
        <f>Janvier!$J$17</f>
        <v>6</v>
      </c>
    </row>
    <row r="11" spans="1:28" x14ac:dyDescent="0.35">
      <c r="A11" s="7" t="s">
        <v>88</v>
      </c>
      <c r="B11" s="76">
        <f>Fevrier!$J$2</f>
        <v>0.7142857142857143</v>
      </c>
      <c r="C11" s="76">
        <f>Fevrier!$L$2</f>
        <v>0</v>
      </c>
      <c r="D11" s="76">
        <f>Fevrier!J$3</f>
        <v>0.2857142857142857</v>
      </c>
      <c r="E11" s="76">
        <f>Fevrier!$L$3</f>
        <v>0</v>
      </c>
      <c r="F11" s="76">
        <f>Fevrier!$J$4</f>
        <v>0.42857142857142855</v>
      </c>
      <c r="G11" s="76">
        <f>Fevrier!$L$4</f>
        <v>0</v>
      </c>
      <c r="H11" s="76">
        <f>Fevrier!$J$5</f>
        <v>0</v>
      </c>
      <c r="I11" s="76">
        <f>Fevrier!$L$5</f>
        <v>0</v>
      </c>
      <c r="J11" s="76">
        <f>Janvier!$J$8</f>
        <v>0.14285714285714285</v>
      </c>
      <c r="K11" s="76">
        <f>Fevrier!$K$8</f>
        <v>0.42857142857142855</v>
      </c>
      <c r="L11" s="76">
        <f>Fevrier!$L$8</f>
        <v>0.2857142857142857</v>
      </c>
      <c r="M11" s="76">
        <f>Fevrier!$M$8</f>
        <v>0</v>
      </c>
      <c r="N11" s="76">
        <f>Fevrier!$N$8</f>
        <v>0.8571428571428571</v>
      </c>
      <c r="O11" s="7">
        <f>Fevrier!$I$13</f>
        <v>5</v>
      </c>
      <c r="P11" s="7">
        <f>Fevrier!J$13</f>
        <v>0</v>
      </c>
      <c r="Q11" s="7">
        <f>Decembre!$K$13</f>
        <v>0</v>
      </c>
      <c r="R11" s="7">
        <f>Fevrier!$L$13</f>
        <v>0</v>
      </c>
      <c r="S11" s="7">
        <f>Fevrier!$M$13</f>
        <v>1</v>
      </c>
      <c r="T11" s="7">
        <f>Fevrier!$N$13</f>
        <v>0</v>
      </c>
      <c r="U11" s="7">
        <f>Fevrier!$I$15</f>
        <v>6</v>
      </c>
      <c r="V11" s="7">
        <f>Fevrier!$J$15</f>
        <v>0</v>
      </c>
      <c r="W11" s="7">
        <f>Fevrier!$K$15</f>
        <v>1</v>
      </c>
      <c r="X11" s="7">
        <f>Fevrier!$L$15</f>
        <v>7</v>
      </c>
      <c r="Y11" s="7">
        <f>Fevrier!$M$15</f>
        <v>6</v>
      </c>
      <c r="Z11" s="7">
        <f>Fevrier!$N$15</f>
        <v>5</v>
      </c>
      <c r="AA11" s="7">
        <f>Fevrier!$I$17</f>
        <v>6</v>
      </c>
      <c r="AB11" s="7">
        <f>Fevrier!$J$17</f>
        <v>6</v>
      </c>
    </row>
    <row r="12" spans="1:28" x14ac:dyDescent="0.35">
      <c r="A12" s="7" t="s">
        <v>78</v>
      </c>
      <c r="B12" s="76">
        <f>Mars!$J$2</f>
        <v>0</v>
      </c>
      <c r="C12" s="76">
        <f>Mars!$L$2</f>
        <v>0</v>
      </c>
      <c r="D12" s="76">
        <f>Mars!$J$3</f>
        <v>0</v>
      </c>
      <c r="E12" s="76">
        <f>Mars!$L$3</f>
        <v>0</v>
      </c>
      <c r="F12" s="76">
        <f>Mars!$J$4</f>
        <v>0</v>
      </c>
      <c r="G12" s="76">
        <f>Mars!$L$4</f>
        <v>0</v>
      </c>
      <c r="H12" s="76">
        <f>Mars!$J$5</f>
        <v>0</v>
      </c>
      <c r="I12" s="76">
        <f>Mars!$L$5</f>
        <v>0</v>
      </c>
      <c r="J12" s="76">
        <f>Mars!$J$8</f>
        <v>0</v>
      </c>
      <c r="K12" s="76">
        <f>Mars!$K$8</f>
        <v>0</v>
      </c>
      <c r="L12" s="76">
        <f>Mars!$L$8</f>
        <v>0</v>
      </c>
      <c r="M12" s="76">
        <f>Mars!$M$8</f>
        <v>0</v>
      </c>
      <c r="N12" s="76">
        <f>Mars!$N$8</f>
        <v>0</v>
      </c>
      <c r="O12" s="7">
        <f>Mars!$I$13</f>
        <v>0</v>
      </c>
      <c r="P12" s="7">
        <f>Mars!J$13</f>
        <v>0</v>
      </c>
      <c r="Q12" s="7">
        <f>Decembre!$K$13</f>
        <v>0</v>
      </c>
      <c r="R12" s="7">
        <f>Mars!$L$13</f>
        <v>0</v>
      </c>
      <c r="S12" s="7">
        <f>Mars!$M$13</f>
        <v>0</v>
      </c>
      <c r="T12" s="7">
        <f>Mars!$N$13</f>
        <v>0</v>
      </c>
      <c r="U12" s="7">
        <f>Mars!$I$15</f>
        <v>0</v>
      </c>
      <c r="V12" s="7">
        <f>Mars!$J$15</f>
        <v>0</v>
      </c>
      <c r="W12" s="7">
        <f>Mars!$K$15</f>
        <v>0</v>
      </c>
      <c r="X12" s="7">
        <f>Mars!$L$15</f>
        <v>0</v>
      </c>
      <c r="Y12" s="7">
        <f>Mars!$M$15</f>
        <v>0</v>
      </c>
      <c r="Z12" s="7">
        <f>Mars!$N$15</f>
        <v>0</v>
      </c>
      <c r="AA12" s="7">
        <f>Mars!$I$17</f>
        <v>0</v>
      </c>
      <c r="AB12" s="7">
        <f>Mars!$J$17</f>
        <v>0</v>
      </c>
    </row>
    <row r="13" spans="1:28" x14ac:dyDescent="0.35">
      <c r="A13" s="7" t="s">
        <v>79</v>
      </c>
      <c r="B13" s="76">
        <f>Avril!$J$2</f>
        <v>0</v>
      </c>
      <c r="C13" s="76">
        <f>Avril!$L$2</f>
        <v>0</v>
      </c>
      <c r="D13" s="76">
        <f>Avril!$J$3</f>
        <v>0</v>
      </c>
      <c r="E13" s="76">
        <f>Avril!$L$3</f>
        <v>0</v>
      </c>
      <c r="F13" s="76">
        <f>Avril!$J$4</f>
        <v>0</v>
      </c>
      <c r="G13" s="76">
        <f>Avril!$L$4</f>
        <v>0</v>
      </c>
      <c r="H13" s="76">
        <f>Avril!$J$5</f>
        <v>0</v>
      </c>
      <c r="I13" s="76">
        <f>Avril!$L$5</f>
        <v>0</v>
      </c>
      <c r="J13" s="76">
        <f>Avril!$J$8</f>
        <v>0</v>
      </c>
      <c r="K13" s="76">
        <f>Avril!$K$8</f>
        <v>0</v>
      </c>
      <c r="L13" s="76">
        <f>Avril!$L$8</f>
        <v>0</v>
      </c>
      <c r="M13" s="76">
        <f>Avril!$M$8</f>
        <v>0</v>
      </c>
      <c r="N13" s="76">
        <f>Avril!$N$8</f>
        <v>0</v>
      </c>
      <c r="O13" s="7">
        <f>Avril!$I$13</f>
        <v>0</v>
      </c>
      <c r="P13" s="7">
        <f>Avril!J$13</f>
        <v>0</v>
      </c>
      <c r="Q13" s="7">
        <f>Decembre!$K$13</f>
        <v>0</v>
      </c>
      <c r="R13" s="7">
        <f>Avril!$L$13</f>
        <v>0</v>
      </c>
      <c r="S13" s="7">
        <f>Avril!$M$13</f>
        <v>0</v>
      </c>
      <c r="T13" s="7">
        <f>Avril!$N$13</f>
        <v>0</v>
      </c>
      <c r="U13" s="7">
        <f>Avril!$I$15</f>
        <v>0</v>
      </c>
      <c r="V13" s="7">
        <f>Avril!$J$15</f>
        <v>0</v>
      </c>
      <c r="W13" s="7">
        <f>Avril!$K$15</f>
        <v>0</v>
      </c>
      <c r="X13" s="7">
        <f>Avril!$L$15</f>
        <v>0</v>
      </c>
      <c r="Y13" s="7">
        <f>Avril!$M$15</f>
        <v>0</v>
      </c>
      <c r="Z13" s="7">
        <f>Avril!$N$15</f>
        <v>0</v>
      </c>
      <c r="AA13" s="7">
        <f>Avril!$I$17</f>
        <v>0</v>
      </c>
      <c r="AB13" s="7">
        <f>Avril!$J$17</f>
        <v>0</v>
      </c>
    </row>
    <row r="14" spans="1:28" x14ac:dyDescent="0.35">
      <c r="A14" s="7" t="s">
        <v>80</v>
      </c>
      <c r="B14" s="76">
        <f>Mai!$J$2</f>
        <v>0</v>
      </c>
      <c r="C14" s="76">
        <f>Mai!$L$2</f>
        <v>0</v>
      </c>
      <c r="D14" s="76">
        <f>Mai!$J$3</f>
        <v>0</v>
      </c>
      <c r="E14" s="76">
        <f>Mai!$L$3</f>
        <v>0</v>
      </c>
      <c r="F14" s="76">
        <f>Mai!$J$4</f>
        <v>0</v>
      </c>
      <c r="G14" s="76">
        <f>Mai!$L$4</f>
        <v>0</v>
      </c>
      <c r="H14" s="76">
        <f>Mai!$J$5</f>
        <v>0</v>
      </c>
      <c r="I14" s="76">
        <f>Mai!$L$5</f>
        <v>0</v>
      </c>
      <c r="J14" s="76">
        <f>Mai!$J$8</f>
        <v>0</v>
      </c>
      <c r="K14" s="76">
        <f>Mai!$K$8</f>
        <v>0</v>
      </c>
      <c r="L14" s="76">
        <f>Mai!$L$8</f>
        <v>0</v>
      </c>
      <c r="M14" s="76">
        <f>Mai!$M$8</f>
        <v>0</v>
      </c>
      <c r="N14" s="76">
        <f>Mai!$N$8</f>
        <v>0</v>
      </c>
      <c r="O14" s="7">
        <f>Mai!$I$13</f>
        <v>0</v>
      </c>
      <c r="P14" s="7">
        <f>MAI$13</f>
        <v>0</v>
      </c>
      <c r="Q14" s="7">
        <f>Decembre!$K$13</f>
        <v>0</v>
      </c>
      <c r="R14" s="7">
        <f>Mai!$L$13</f>
        <v>0</v>
      </c>
      <c r="S14" s="7">
        <f>Mai!$M$13</f>
        <v>0</v>
      </c>
      <c r="T14" s="7">
        <f>Mai!$N$13</f>
        <v>0</v>
      </c>
      <c r="U14" s="7">
        <f>Mai!$I$15</f>
        <v>0</v>
      </c>
      <c r="V14" s="7">
        <f>Mai!$J$15</f>
        <v>0</v>
      </c>
      <c r="W14" s="7">
        <f>Mai!$K$15</f>
        <v>0</v>
      </c>
      <c r="X14" s="7">
        <f>Mai!$L$15</f>
        <v>0</v>
      </c>
      <c r="Y14" s="7">
        <f>Mai!$M$15</f>
        <v>0</v>
      </c>
      <c r="Z14" s="7">
        <f>Mai!$N$15</f>
        <v>0</v>
      </c>
      <c r="AA14" s="7">
        <f>Mai!$I$17</f>
        <v>0</v>
      </c>
      <c r="AB14" s="7">
        <f>Mai!$J$17</f>
        <v>0</v>
      </c>
    </row>
    <row r="15" spans="1:28" x14ac:dyDescent="0.35">
      <c r="A15" s="7" t="s">
        <v>81</v>
      </c>
      <c r="B15" s="76">
        <f>Juin!$J$2</f>
        <v>0</v>
      </c>
      <c r="C15" s="76">
        <f>Juin!$L$2</f>
        <v>0</v>
      </c>
      <c r="D15" s="76">
        <f>Juin!$J$3</f>
        <v>0</v>
      </c>
      <c r="E15" s="76">
        <f>Juin!$L$3</f>
        <v>0</v>
      </c>
      <c r="F15" s="76">
        <f>Juin!$J$4</f>
        <v>0</v>
      </c>
      <c r="G15" s="76">
        <f>Juin!$L$4</f>
        <v>0</v>
      </c>
      <c r="H15" s="76">
        <f>Juin!$J$5</f>
        <v>0</v>
      </c>
      <c r="I15" s="76">
        <f>Juin!$L$5</f>
        <v>0</v>
      </c>
      <c r="J15" s="76">
        <f>Juin!$J$8</f>
        <v>0</v>
      </c>
      <c r="K15" s="76">
        <f>Juin!$K$8</f>
        <v>0</v>
      </c>
      <c r="L15" s="76">
        <f>Juin!$L$8</f>
        <v>0</v>
      </c>
      <c r="M15" s="76">
        <f>Juin!$M$8</f>
        <v>0</v>
      </c>
      <c r="N15" s="76">
        <f>Juin!$N$8</f>
        <v>0</v>
      </c>
      <c r="O15" s="7">
        <f>Juin!$I$13</f>
        <v>0</v>
      </c>
      <c r="P15" s="7">
        <f>Juin!J$13</f>
        <v>0</v>
      </c>
      <c r="Q15" s="7">
        <f>Decembre!$K$13</f>
        <v>0</v>
      </c>
      <c r="R15" s="7">
        <f>Juin!$L$13</f>
        <v>0</v>
      </c>
      <c r="S15" s="7">
        <f>Juin!$M$13</f>
        <v>0</v>
      </c>
      <c r="T15" s="7">
        <f>Juin!$N$13</f>
        <v>0</v>
      </c>
      <c r="U15" s="7">
        <f>Juin!$I$15</f>
        <v>0</v>
      </c>
      <c r="V15" s="7">
        <f>Juin!$J$15</f>
        <v>0</v>
      </c>
      <c r="W15" s="7">
        <f>Juin!$K$15</f>
        <v>0</v>
      </c>
      <c r="X15" s="7">
        <f>Juin!$L$15</f>
        <v>0</v>
      </c>
      <c r="Y15" s="7">
        <f>Juin!$M$15</f>
        <v>0</v>
      </c>
      <c r="Z15" s="7">
        <f>Juin!$N$15</f>
        <v>0</v>
      </c>
      <c r="AA15" s="7">
        <f>Juin!$I$17</f>
        <v>0</v>
      </c>
      <c r="AB15" s="7">
        <f>Juin!$J$17</f>
        <v>0</v>
      </c>
    </row>
    <row r="16" spans="1:28" x14ac:dyDescent="0.35">
      <c r="A16" s="7" t="s">
        <v>82</v>
      </c>
      <c r="B16" s="76">
        <f>Juillet!$J$2</f>
        <v>0</v>
      </c>
      <c r="C16" s="76">
        <f>Juillet!$L$2</f>
        <v>0</v>
      </c>
      <c r="D16" s="76">
        <f>Juillet!$J$3</f>
        <v>0</v>
      </c>
      <c r="E16" s="76">
        <f>Juillet!$L$3</f>
        <v>0</v>
      </c>
      <c r="F16" s="76">
        <f>Juillet!$J$4</f>
        <v>0</v>
      </c>
      <c r="G16" s="76">
        <f>Juillet!$L$4</f>
        <v>0</v>
      </c>
      <c r="H16" s="76">
        <f>Juillet!$J$5</f>
        <v>0</v>
      </c>
      <c r="I16" s="76">
        <f>Juillet!$L$5</f>
        <v>0</v>
      </c>
      <c r="J16" s="76">
        <f>Juillet!$J$8</f>
        <v>0</v>
      </c>
      <c r="K16" s="76">
        <f>Juillet!$K$8</f>
        <v>0</v>
      </c>
      <c r="L16" s="76">
        <f>Juillet!$L$8</f>
        <v>0</v>
      </c>
      <c r="M16" s="76">
        <f>Juillet!$M$8</f>
        <v>0</v>
      </c>
      <c r="N16" s="76">
        <f>Juillet!$N$8</f>
        <v>0</v>
      </c>
      <c r="O16" s="7">
        <f>Juillet!$I$13</f>
        <v>0</v>
      </c>
      <c r="P16" s="7">
        <f>Juillet!J$13</f>
        <v>0</v>
      </c>
      <c r="Q16" s="7">
        <f>Decembre!$K$13</f>
        <v>0</v>
      </c>
      <c r="R16" s="7">
        <f>Juillet!$L$13</f>
        <v>0</v>
      </c>
      <c r="S16" s="7">
        <f>Juillet!$M$13</f>
        <v>0</v>
      </c>
      <c r="T16" s="7">
        <f>Juillet!$N$13</f>
        <v>0</v>
      </c>
      <c r="U16" s="7">
        <f>Juillet!$I$15</f>
        <v>0</v>
      </c>
      <c r="V16" s="7">
        <f>Juillet!$J$15</f>
        <v>0</v>
      </c>
      <c r="W16" s="7">
        <f>Juillet!$K$15</f>
        <v>0</v>
      </c>
      <c r="X16" s="7">
        <f>Juillet!$L$15</f>
        <v>0</v>
      </c>
      <c r="Y16" s="7">
        <f>Juillet!$M$15</f>
        <v>0</v>
      </c>
      <c r="Z16" s="7">
        <f>Juillet!$N$15</f>
        <v>0</v>
      </c>
      <c r="AA16" s="7">
        <f>Juillet!$I$17</f>
        <v>0</v>
      </c>
      <c r="AB16" s="7">
        <f>Juillet!$J$17</f>
        <v>0</v>
      </c>
    </row>
    <row r="17" spans="1:28" x14ac:dyDescent="0.35">
      <c r="A17" s="7" t="s">
        <v>83</v>
      </c>
      <c r="B17" s="76">
        <f>Aout!$J$2</f>
        <v>0</v>
      </c>
      <c r="C17" s="76">
        <f>Aout!$L$2</f>
        <v>0</v>
      </c>
      <c r="D17" s="76">
        <f>Aout!$J$3</f>
        <v>0</v>
      </c>
      <c r="E17" s="76">
        <f>Aout!$L$3</f>
        <v>0</v>
      </c>
      <c r="F17" s="76">
        <f>Aout!$J$4</f>
        <v>0</v>
      </c>
      <c r="G17" s="76">
        <f>Aout!$L$4</f>
        <v>0</v>
      </c>
      <c r="H17" s="76">
        <f>Aout!$J$5</f>
        <v>0</v>
      </c>
      <c r="I17" s="76">
        <f>Aout!$L$5</f>
        <v>0</v>
      </c>
      <c r="J17" s="76">
        <f>Aout!$J$8</f>
        <v>0</v>
      </c>
      <c r="K17" s="76">
        <f>Aout!$K$8</f>
        <v>0</v>
      </c>
      <c r="L17" s="76">
        <f>Aout!$L$8</f>
        <v>0</v>
      </c>
      <c r="M17" s="76">
        <f>Aout!$M$8</f>
        <v>0</v>
      </c>
      <c r="N17" s="76">
        <f>Aout!$N$8</f>
        <v>0</v>
      </c>
      <c r="O17" s="7">
        <f>Aout!$I$13</f>
        <v>0</v>
      </c>
      <c r="P17" s="7">
        <f>Aout!J$13</f>
        <v>0</v>
      </c>
      <c r="Q17" s="7">
        <f>Decembre!$K$13</f>
        <v>0</v>
      </c>
      <c r="R17" s="7">
        <f>Aout!$L$13</f>
        <v>0</v>
      </c>
      <c r="S17" s="7">
        <f>Aout!$M$13</f>
        <v>0</v>
      </c>
      <c r="T17" s="7">
        <f>Aout!$N$13</f>
        <v>0</v>
      </c>
      <c r="U17" s="7">
        <f>Aout!$I$15</f>
        <v>0</v>
      </c>
      <c r="V17" s="7">
        <f>Aout!$J$15</f>
        <v>0</v>
      </c>
      <c r="W17" s="7">
        <f>Aout!$K$15</f>
        <v>0</v>
      </c>
      <c r="X17" s="7">
        <f>Aout!$L$15</f>
        <v>0</v>
      </c>
      <c r="Y17" s="7">
        <f>Aout!$M$15</f>
        <v>0</v>
      </c>
      <c r="Z17" s="7">
        <f>Aout!$N$15</f>
        <v>0</v>
      </c>
      <c r="AA17" s="7">
        <f>Aout!$I$17</f>
        <v>0</v>
      </c>
      <c r="AB17" s="7">
        <f>Aout!$J$17</f>
        <v>0</v>
      </c>
    </row>
    <row r="18" spans="1:28" x14ac:dyDescent="0.35">
      <c r="A18" s="7" t="s">
        <v>84</v>
      </c>
      <c r="B18" s="76">
        <f>Septembre!$J$2</f>
        <v>0</v>
      </c>
      <c r="C18" s="76">
        <f>Septembre!$L$2</f>
        <v>0</v>
      </c>
      <c r="D18" s="76">
        <f>Septembre!$J$3</f>
        <v>0</v>
      </c>
      <c r="E18" s="76">
        <f>Septembre!$L$3</f>
        <v>0</v>
      </c>
      <c r="F18" s="76">
        <f>Septembre!$J$4</f>
        <v>0</v>
      </c>
      <c r="G18" s="76">
        <f>Septembre!$L$4</f>
        <v>0</v>
      </c>
      <c r="H18" s="76">
        <f>Septembre!$J$5</f>
        <v>0</v>
      </c>
      <c r="I18" s="76">
        <f>Septembre!$L$5</f>
        <v>0</v>
      </c>
      <c r="J18" s="76">
        <f>Septembre!$J$8</f>
        <v>0</v>
      </c>
      <c r="K18" s="76">
        <f>Septembre!$K$8</f>
        <v>0</v>
      </c>
      <c r="L18" s="76">
        <f>Septembre!$L$8</f>
        <v>0</v>
      </c>
      <c r="M18" s="76">
        <f>Septembre!$M$8</f>
        <v>0</v>
      </c>
      <c r="N18" s="76">
        <f>Septembre!$N$8</f>
        <v>0</v>
      </c>
      <c r="O18" s="7">
        <f>Septembre!$I$13</f>
        <v>0</v>
      </c>
      <c r="P18" s="7">
        <f>Septembre!J$13</f>
        <v>0</v>
      </c>
      <c r="Q18" s="7">
        <f>Decembre!$K$13</f>
        <v>0</v>
      </c>
      <c r="R18" s="7">
        <f>Septembre!$L$13</f>
        <v>0</v>
      </c>
      <c r="S18" s="7">
        <f>Septembre!$M$13</f>
        <v>0</v>
      </c>
      <c r="T18" s="7">
        <f>Septembre!$N$13</f>
        <v>0</v>
      </c>
      <c r="U18" s="7">
        <f>Septembre!$I$15</f>
        <v>0</v>
      </c>
      <c r="V18" s="7">
        <f>Septembre!$J$15</f>
        <v>0</v>
      </c>
      <c r="W18" s="7">
        <f>Septembre!$K$15</f>
        <v>0</v>
      </c>
      <c r="X18" s="7">
        <f>Septembre!$L$15</f>
        <v>0</v>
      </c>
      <c r="Y18" s="7">
        <f>Septembre!$M$15</f>
        <v>0</v>
      </c>
      <c r="Z18" s="7">
        <f>Septembre!$N$15</f>
        <v>0</v>
      </c>
      <c r="AA18" s="7">
        <f>Septembre!$I$17</f>
        <v>0</v>
      </c>
      <c r="AB18" s="7">
        <f>Septembre!$J$17</f>
        <v>0</v>
      </c>
    </row>
    <row r="19" spans="1:28" x14ac:dyDescent="0.35">
      <c r="A19" s="7" t="s">
        <v>85</v>
      </c>
      <c r="B19" s="76">
        <f>Octobre!$J$2</f>
        <v>0</v>
      </c>
      <c r="C19" s="76">
        <f>Octobre!$L$2</f>
        <v>0</v>
      </c>
      <c r="D19" s="76">
        <f>Octobre!$J$3</f>
        <v>0</v>
      </c>
      <c r="E19" s="76">
        <f>Octobre!$L$3</f>
        <v>0</v>
      </c>
      <c r="F19" s="76">
        <f>Octobre!$J$4</f>
        <v>0</v>
      </c>
      <c r="G19" s="76">
        <f>Octobre!$L$4</f>
        <v>0</v>
      </c>
      <c r="H19" s="76">
        <f>Octobre!$J$5</f>
        <v>0</v>
      </c>
      <c r="I19" s="76">
        <f>Octobre!$L$5</f>
        <v>0</v>
      </c>
      <c r="J19" s="76">
        <f>Octobre!$J$8</f>
        <v>0</v>
      </c>
      <c r="K19" s="76">
        <f>Octobre!$K$8</f>
        <v>0</v>
      </c>
      <c r="L19" s="76">
        <f>Octobre!$L$8</f>
        <v>0</v>
      </c>
      <c r="M19" s="76">
        <f>Octobre!$M$8</f>
        <v>0</v>
      </c>
      <c r="N19" s="76">
        <f>Octobre!$N$8</f>
        <v>0</v>
      </c>
      <c r="O19" s="7">
        <f>Octobre!$I$13</f>
        <v>0</v>
      </c>
      <c r="P19" s="7">
        <f>Octobre!J$13</f>
        <v>0</v>
      </c>
      <c r="Q19" s="7">
        <f>Decembre!$K$13</f>
        <v>0</v>
      </c>
      <c r="R19" s="7">
        <f>Octobre!$L$13</f>
        <v>0</v>
      </c>
      <c r="S19" s="7">
        <f>Octobre!$M$13</f>
        <v>0</v>
      </c>
      <c r="T19" s="7">
        <f>Octobre!$N$13</f>
        <v>0</v>
      </c>
      <c r="U19" s="7">
        <f>Octobre!$I$15</f>
        <v>0</v>
      </c>
      <c r="V19" s="7">
        <f>Octobre!$J$15</f>
        <v>0</v>
      </c>
      <c r="W19" s="7">
        <f>Octobre!$K$15</f>
        <v>0</v>
      </c>
      <c r="X19" s="7">
        <f>Octobre!$L$15</f>
        <v>0</v>
      </c>
      <c r="Y19" s="7">
        <f>Octobre!$M$15</f>
        <v>0</v>
      </c>
      <c r="Z19" s="7">
        <f>Octobre!$N$15</f>
        <v>0</v>
      </c>
      <c r="AA19" s="7">
        <f>Octobre!$I$17</f>
        <v>0</v>
      </c>
      <c r="AB19" s="7">
        <f>Octobre!$J$17</f>
        <v>0</v>
      </c>
    </row>
    <row r="20" spans="1:28" x14ac:dyDescent="0.35">
      <c r="A20" s="7" t="s">
        <v>86</v>
      </c>
      <c r="B20" s="76">
        <f>Novembre!$J$2</f>
        <v>0</v>
      </c>
      <c r="C20" s="76">
        <f>Novembre!$L$2</f>
        <v>0</v>
      </c>
      <c r="D20" s="76">
        <f>Novembre!$J$3</f>
        <v>0</v>
      </c>
      <c r="E20" s="76">
        <f>Novembre!$L$3</f>
        <v>0</v>
      </c>
      <c r="F20" s="76">
        <f>Novembre!$J$4</f>
        <v>0</v>
      </c>
      <c r="G20" s="76">
        <f>Novembre!$L$4</f>
        <v>0</v>
      </c>
      <c r="H20" s="76">
        <f>Novembre!$J$5</f>
        <v>0</v>
      </c>
      <c r="I20" s="76">
        <f>Novembre!$L$5</f>
        <v>0</v>
      </c>
      <c r="J20" s="76">
        <f>Novembre!$J$8</f>
        <v>0</v>
      </c>
      <c r="K20" s="76">
        <f>Novembre!$K$8</f>
        <v>0</v>
      </c>
      <c r="L20" s="76">
        <f>Novembre!$L$8</f>
        <v>0</v>
      </c>
      <c r="M20" s="76">
        <f>Novembre!$M$8</f>
        <v>0</v>
      </c>
      <c r="N20" s="76">
        <f>Novembre!$N$8</f>
        <v>0</v>
      </c>
      <c r="O20" s="7">
        <f>Novembre!$I$13</f>
        <v>0</v>
      </c>
      <c r="P20" s="7">
        <f>Novembre!J$13</f>
        <v>0</v>
      </c>
      <c r="Q20" s="7">
        <f>Decembre!$K$13</f>
        <v>0</v>
      </c>
      <c r="R20" s="7">
        <f>Novembre!$L$13</f>
        <v>0</v>
      </c>
      <c r="S20" s="7">
        <f>Novembre!$M$13</f>
        <v>0</v>
      </c>
      <c r="T20" s="7">
        <f>Novembre!$N$13</f>
        <v>0</v>
      </c>
      <c r="U20" s="7">
        <f>Novembre!$I$15</f>
        <v>0</v>
      </c>
      <c r="V20" s="7">
        <f>Novembre!$J$15</f>
        <v>0</v>
      </c>
      <c r="W20" s="7">
        <f>Novembre!$K$15</f>
        <v>0</v>
      </c>
      <c r="X20" s="7">
        <f>Novembre!$L$15</f>
        <v>0</v>
      </c>
      <c r="Y20" s="7">
        <f>Novembre!$M$15</f>
        <v>0</v>
      </c>
      <c r="Z20" s="7">
        <f>Novembre!$N$15</f>
        <v>0</v>
      </c>
      <c r="AA20" s="7">
        <f>Novembre!$I$17</f>
        <v>0</v>
      </c>
      <c r="AB20" s="7">
        <f>Novembre!$J$17</f>
        <v>0</v>
      </c>
    </row>
    <row r="21" spans="1:28" x14ac:dyDescent="0.35">
      <c r="A21" s="7" t="s">
        <v>87</v>
      </c>
      <c r="B21" s="76">
        <f>Decembre!$J$2</f>
        <v>0</v>
      </c>
      <c r="C21" s="76">
        <f>Decembre!$L$2</f>
        <v>0</v>
      </c>
      <c r="D21" s="76">
        <f>Decembre!$J$3</f>
        <v>0</v>
      </c>
      <c r="E21" s="76">
        <f>Decembre!$L$3</f>
        <v>0</v>
      </c>
      <c r="F21" s="76">
        <f>Decembre!$J$4</f>
        <v>0</v>
      </c>
      <c r="G21" s="76">
        <f>Decembre!$L$4</f>
        <v>0</v>
      </c>
      <c r="H21" s="76">
        <f>Decembre!$J$5</f>
        <v>0</v>
      </c>
      <c r="I21" s="76">
        <f>Decembre!$L$5</f>
        <v>0</v>
      </c>
      <c r="J21" s="76">
        <f>Decembre!$J$8</f>
        <v>0</v>
      </c>
      <c r="K21" s="76">
        <f>Decembre!$K$8</f>
        <v>0</v>
      </c>
      <c r="L21" s="76">
        <f>Decembre!$L$8</f>
        <v>0</v>
      </c>
      <c r="M21" s="76">
        <f>Decembre!$M$8</f>
        <v>0</v>
      </c>
      <c r="N21" s="76">
        <f>Decembre!$N$8</f>
        <v>0</v>
      </c>
      <c r="O21" s="7">
        <f>Decembre!$I$13</f>
        <v>0</v>
      </c>
      <c r="P21" s="7">
        <f>Decembre!J$13</f>
        <v>0</v>
      </c>
      <c r="Q21" s="7">
        <f>Decembre!$K$13</f>
        <v>0</v>
      </c>
      <c r="R21" s="7">
        <f>Decembre!$L$13</f>
        <v>0</v>
      </c>
      <c r="S21" s="7">
        <f>Decembre!$M$13</f>
        <v>0</v>
      </c>
      <c r="T21" s="7">
        <f>Decembre!$N$13</f>
        <v>0</v>
      </c>
      <c r="U21" s="7">
        <f>Decembre!$I$15</f>
        <v>0</v>
      </c>
      <c r="V21" s="7">
        <f>Decembre!$J$15</f>
        <v>0</v>
      </c>
      <c r="W21" s="7">
        <f>Decembre!$K$15</f>
        <v>0</v>
      </c>
      <c r="X21" s="7">
        <f>Decembre!$L$15</f>
        <v>0</v>
      </c>
      <c r="Y21" s="7">
        <f>Decembre!$M$15</f>
        <v>0</v>
      </c>
      <c r="Z21" s="7">
        <f>Decembre!$N$15</f>
        <v>0</v>
      </c>
      <c r="AA21" s="7">
        <f>Decembre!$I$17</f>
        <v>0</v>
      </c>
      <c r="AB21" s="7">
        <f>Decembre!$J$17</f>
        <v>0</v>
      </c>
    </row>
    <row r="22" spans="1:28" x14ac:dyDescent="0.35">
      <c r="A22" s="115"/>
      <c r="B22" s="115"/>
      <c r="C22" s="115"/>
      <c r="D22" s="115"/>
      <c r="E22" s="115"/>
      <c r="F22" s="115"/>
      <c r="G22" s="115"/>
      <c r="H22" s="115"/>
      <c r="I22" s="115"/>
      <c r="J22" s="115"/>
      <c r="K22" s="115"/>
      <c r="L22" s="115"/>
      <c r="M22" s="116"/>
      <c r="N22" s="116"/>
      <c r="O22" s="116"/>
      <c r="P22" s="116"/>
      <c r="Q22" s="116"/>
      <c r="R22" s="116"/>
      <c r="S22" s="116"/>
      <c r="T22" s="116"/>
      <c r="U22" s="116"/>
      <c r="V22" s="116"/>
      <c r="W22" s="116"/>
      <c r="X22" s="116"/>
      <c r="Y22" s="116"/>
      <c r="Z22" s="116"/>
      <c r="AA22" s="116"/>
      <c r="AB22" s="116"/>
    </row>
    <row r="24" spans="1:28" x14ac:dyDescent="0.35">
      <c r="C24"/>
      <c r="D24"/>
      <c r="E24"/>
      <c r="F24"/>
      <c r="G24"/>
      <c r="H24"/>
      <c r="I24"/>
      <c r="J24"/>
    </row>
    <row r="25" spans="1:28" x14ac:dyDescent="0.35">
      <c r="C25"/>
      <c r="D25"/>
      <c r="E25"/>
      <c r="F25"/>
      <c r="G25"/>
      <c r="H25"/>
      <c r="I25"/>
      <c r="J25"/>
    </row>
    <row r="26" spans="1:28" x14ac:dyDescent="0.35">
      <c r="C26"/>
      <c r="D26"/>
      <c r="E26"/>
      <c r="F26"/>
      <c r="G26"/>
      <c r="H26"/>
      <c r="I26"/>
      <c r="J26"/>
    </row>
    <row r="27" spans="1:28" x14ac:dyDescent="0.35">
      <c r="C27"/>
      <c r="D27"/>
      <c r="E27"/>
      <c r="F27"/>
      <c r="G27"/>
      <c r="H27"/>
      <c r="I27"/>
      <c r="J27"/>
    </row>
    <row r="28" spans="1:28" x14ac:dyDescent="0.35">
      <c r="C28"/>
      <c r="D28"/>
      <c r="E28"/>
      <c r="F28"/>
      <c r="G28"/>
      <c r="H28"/>
      <c r="I28"/>
      <c r="J28"/>
    </row>
    <row r="29" spans="1:28" x14ac:dyDescent="0.35">
      <c r="C29"/>
      <c r="D29"/>
      <c r="E29"/>
      <c r="F29"/>
      <c r="G29"/>
      <c r="H29"/>
      <c r="I29"/>
      <c r="J29"/>
    </row>
    <row r="30" spans="1:28" x14ac:dyDescent="0.35">
      <c r="C30"/>
      <c r="D30"/>
      <c r="E30"/>
      <c r="F30"/>
      <c r="G30"/>
      <c r="H30"/>
      <c r="I30"/>
      <c r="J30"/>
    </row>
    <row r="31" spans="1:28" x14ac:dyDescent="0.35">
      <c r="C31"/>
      <c r="D31"/>
      <c r="E31"/>
      <c r="F31"/>
      <c r="G31"/>
      <c r="H31"/>
      <c r="I31"/>
      <c r="J31"/>
    </row>
    <row r="32" spans="1:28" x14ac:dyDescent="0.35">
      <c r="C32"/>
      <c r="D32"/>
      <c r="E32"/>
      <c r="F32"/>
      <c r="G32"/>
      <c r="H32"/>
      <c r="I32"/>
      <c r="J32"/>
    </row>
    <row r="33" spans="3:10" x14ac:dyDescent="0.35">
      <c r="C33"/>
      <c r="D33"/>
      <c r="E33"/>
      <c r="F33"/>
      <c r="G33"/>
      <c r="H33"/>
      <c r="I33"/>
      <c r="J33"/>
    </row>
    <row r="34" spans="3:10" x14ac:dyDescent="0.35">
      <c r="C34"/>
      <c r="D34"/>
      <c r="E34"/>
      <c r="F34" s="127"/>
      <c r="G34"/>
      <c r="H34"/>
      <c r="I34"/>
      <c r="J34"/>
    </row>
    <row r="35" spans="3:10" x14ac:dyDescent="0.35">
      <c r="C35"/>
      <c r="D35"/>
      <c r="E35"/>
      <c r="F35"/>
      <c r="G35"/>
      <c r="H35"/>
      <c r="I35"/>
      <c r="J35"/>
    </row>
    <row r="36" spans="3:10" x14ac:dyDescent="0.35">
      <c r="C36"/>
      <c r="D36"/>
      <c r="E36"/>
      <c r="F36"/>
      <c r="G36"/>
      <c r="H36"/>
      <c r="I36"/>
      <c r="J36"/>
    </row>
    <row r="37" spans="3:10" x14ac:dyDescent="0.35">
      <c r="C37"/>
      <c r="D37"/>
      <c r="E37"/>
      <c r="F37"/>
      <c r="G37"/>
      <c r="H37"/>
      <c r="I37"/>
    </row>
    <row r="38" spans="3:10" x14ac:dyDescent="0.35">
      <c r="C38"/>
      <c r="D38"/>
      <c r="E38"/>
      <c r="F38"/>
      <c r="G38"/>
      <c r="H38"/>
      <c r="I38"/>
      <c r="J38"/>
    </row>
    <row r="39" spans="3:10" x14ac:dyDescent="0.35">
      <c r="D39"/>
      <c r="H39"/>
      <c r="I39"/>
      <c r="J39"/>
    </row>
    <row r="40" spans="3:10" x14ac:dyDescent="0.35">
      <c r="D40"/>
      <c r="H40"/>
      <c r="I40"/>
      <c r="J40"/>
    </row>
    <row r="41" spans="3:10" x14ac:dyDescent="0.35">
      <c r="D41"/>
      <c r="J41"/>
    </row>
    <row r="42" spans="3:10" x14ac:dyDescent="0.35">
      <c r="D42"/>
      <c r="J42"/>
    </row>
    <row r="43" spans="3:10" x14ac:dyDescent="0.35">
      <c r="D43"/>
      <c r="J43"/>
    </row>
    <row r="44" spans="3:10" x14ac:dyDescent="0.35">
      <c r="J44"/>
    </row>
    <row r="45" spans="3:10" x14ac:dyDescent="0.35">
      <c r="D45" s="120"/>
    </row>
    <row r="46" spans="3:10" x14ac:dyDescent="0.35">
      <c r="J46" s="120"/>
    </row>
  </sheetData>
  <mergeCells count="9">
    <mergeCell ref="K1:K2"/>
    <mergeCell ref="A3:A4"/>
    <mergeCell ref="Y6:Z6"/>
    <mergeCell ref="AA6:AB6"/>
    <mergeCell ref="E6:F6"/>
    <mergeCell ref="K6:M6"/>
    <mergeCell ref="Q6:R6"/>
    <mergeCell ref="V6:W6"/>
    <mergeCell ref="J1:J2"/>
  </mergeCells>
  <phoneticPr fontId="22" type="noConversion"/>
  <dataValidations count="1">
    <dataValidation type="list" allowBlank="1" showInputMessage="1" showErrorMessage="1" sqref="B2" xr:uid="{804FB262-B6EF-4F6F-ADBE-60C821BC4F8B}">
      <formula1>$A$10:$A$22</formula1>
    </dataValidation>
  </dataValidations>
  <pageMargins left="0.7" right="0.7" top="0.75" bottom="0.75" header="0.51180555555555496" footer="0.51180555555555496"/>
  <pageSetup firstPageNumber="0" orientation="portrait" r:id="rId1"/>
  <ignoredErrors>
    <ignoredError sqref="B10:B11 O12:O21 P10:P21 R10:R21 O10:O11 S10:AB13 S14:AB18 S19:AB21 D20 D19 D18 D17 D16 D15 D14 D13 D12 D21 C10:N11 C21 E21:N21 C20 C12 E12:N12 C13 E13:N13 C14 E14:N14 C15 E15:N15 C16 E16:N16 C17 E17:N17 C18 E18:N18 C19 E19:N19 E20:N20 B12:B21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2A207-066E-40D9-8430-6A0523E6A9AF}">
  <sheetPr>
    <tabColor rgb="FFC00000"/>
  </sheetPr>
  <dimension ref="A1"/>
  <sheetViews>
    <sheetView workbookViewId="0">
      <selection activeCell="C21" sqref="C21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C54"/>
  <sheetViews>
    <sheetView showGridLines="0" topLeftCell="A7" zoomScaleNormal="100" workbookViewId="0">
      <selection activeCell="B37" sqref="B3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IFERROR(SUM(COUNTIFS(JANVIER[VN/VO/VD],"VN",JANVIER[Credit],{"Crédit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IFERROR(SUM(COUNTIFS(JANVIER[VN/VO/VD],"VO",JANVIER[Credit],{"Crédit Classique";"Compo-bail";"New Deal"}))/COUNTA(F19:F42),0)</f>
        <v>0.8571428571428571</v>
      </c>
      <c r="M2" s="73">
        <f>COUNTIF(D19:D42,"VO")</f>
        <v>7</v>
      </c>
      <c r="N2" s="63">
        <f>SUM(K2,M2)</f>
        <v>7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0.2857142857142857</v>
      </c>
      <c r="M3" s="73">
        <f>COUNTIF(D19:D42,"VO")</f>
        <v>7</v>
      </c>
      <c r="N3" s="63">
        <f>SUM(K3,M3)</f>
        <v>7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IFERROR(SUM(COUNTIFS(JANVIER[VN/VO/VD],"VN",JANVIER[Credit],{"MFS loc";"New Deal"}))/COUNTA(D19:D42),0)</f>
        <v>0</v>
      </c>
      <c r="K4" s="73">
        <f>COUNTIF($D$19:$D$42,$J$1)</f>
        <v>0</v>
      </c>
      <c r="L4" s="72" cm="1">
        <f t="array" ref="L4">IFERROR(SUM(COUNTIFS(JANVIER[VN/VO/VD],"VO",JANVIER[Credit],{"MFS loc";"New Deal"}))/COUNTA(F19:F42),0)</f>
        <v>0.42857142857142855</v>
      </c>
      <c r="M4" s="73">
        <f>COUNTIF(D19:D42,"VO")</f>
        <v>7</v>
      </c>
      <c r="N4" s="63">
        <f>SUM(K4,M4)</f>
        <v>7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7</v>
      </c>
      <c r="G5" s="65">
        <v>10</v>
      </c>
      <c r="H5" s="75">
        <f>IF(ISERROR(F5/G5),"-",F5/G5)</f>
        <v>0.7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0.14285714285714285</v>
      </c>
      <c r="M5" s="63">
        <f>COUNTIF(D21:D25,"VO")</f>
        <v>5</v>
      </c>
      <c r="N5" s="63">
        <f>SUM(K5,M5)</f>
        <v>5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0.14285714285714285</v>
      </c>
      <c r="K8" s="18">
        <f>IFERROR(COUNTIF($K$19:$K$42,"Sérénité")/COUNTA($K$19:$K$42),0)</f>
        <v>0.42857142857142855</v>
      </c>
      <c r="L8" s="18">
        <f>IFERROR(COUNTIF($K$19:$K$42,"Intégral")/COUNTA($K$19:$K$42),0)</f>
        <v>0.2857142857142857</v>
      </c>
      <c r="M8" s="18">
        <f>IFERROR(COUNTIF($K$19:$K$42,"Garantie")/COUNTA($K$19:$K$42),0)</f>
        <v>0</v>
      </c>
      <c r="N8" s="3">
        <f>SUM(J8:M8)</f>
        <v>0.8571428571428571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0.8571428571428571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7</v>
      </c>
      <c r="C11" s="154"/>
      <c r="D11" s="154"/>
      <c r="E11" s="154" t="s">
        <v>21</v>
      </c>
      <c r="F11" s="145">
        <f>IF(ISERROR(IF(B11=0,0,B11/(Janvier!G5+C5))),"-",IF(B11=0,0,B11/(Janvier!G5+C5)))</f>
        <v>0.35</v>
      </c>
      <c r="G11" s="145"/>
      <c r="H11" s="143">
        <f>B11/(Janvier!G5+C5)</f>
        <v>0.35</v>
      </c>
      <c r="I11" s="54" t="s">
        <v>28</v>
      </c>
      <c r="J11" s="71">
        <f>IFERROR(COUNTIF(H19:H42,"OUI")/COUNTA(H19:H42),0)</f>
        <v>0.7142857142857143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6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COUNTIFS(JANVIER[Vendeur],"Timothé",JANVIER[VN/VO/VD],"VN")</f>
        <v>0</v>
      </c>
      <c r="C15" s="107">
        <f>COUNTIFS(JANVIER[Vendeur],"Timothé",JANVIER[VN/VO/VD],"VO")</f>
        <v>4</v>
      </c>
      <c r="D15" s="107">
        <f>COUNTIFS(JANVIER[Vendeur],"Timothé",JANVIER[VN/VO/VD],"VD")</f>
        <v>0</v>
      </c>
      <c r="E15" s="107">
        <f>COUNTIFS(JANVIER[Vendeur],"Timothé",I19:I42,"&lt;&gt;",I19:I42,"&lt;&gt;NON")</f>
        <v>4</v>
      </c>
      <c r="F15" s="107">
        <f>COUNTIFS(JANVIER[Vendeur],"Timothé",K19:K42,"&lt;&gt;",K19:K42,"&lt;&gt;NON")</f>
        <v>4</v>
      </c>
      <c r="G15" s="107">
        <f>COUNTIFS(JANVIER[Vendeur],"Timothé",G19:G42,"&lt;&gt;",G19:G42,"&lt;&gt;NON")</f>
        <v>4</v>
      </c>
      <c r="H15" s="107">
        <f>COUNTIFS(JANVIER[Vendeur],"Timothé",H19:H42,"&lt;&gt;",H19:H42,"&lt;&gt;NON")</f>
        <v>4</v>
      </c>
      <c r="I15" s="90">
        <f>COUNTIFS(D19:D41,"VN",E19:E41,"&lt;&gt;")</f>
        <v>0</v>
      </c>
      <c r="J15" s="90">
        <f>COUNTIFS(D19:D41,"VO",E19:E41,"&lt;&gt;")</f>
        <v>7</v>
      </c>
      <c r="K15" s="90">
        <f>COUNTIFS(D19:D41,"VD",E19:E41,"&lt;&gt;")</f>
        <v>0</v>
      </c>
      <c r="L15" s="91">
        <f>SUM(I15:K15)</f>
        <v>7</v>
      </c>
      <c r="M15" s="93">
        <f>COUNTIF(G19:G41,"OUI")</f>
        <v>6</v>
      </c>
      <c r="N15" s="93">
        <f>COUNTIF(H19:H41,"OUI")</f>
        <v>5</v>
      </c>
    </row>
    <row r="16" spans="1:17" ht="14.5" customHeight="1" x14ac:dyDescent="0.35">
      <c r="A16" s="113" t="s">
        <v>73</v>
      </c>
      <c r="B16" s="107">
        <f>COUNTIFS(JANVIER[Vendeur],"Cristian",JANVIER[VN/VO/VD],"VN")</f>
        <v>0</v>
      </c>
      <c r="C16" s="107">
        <f>COUNTIFS(JANVIER[Vendeur],"Cristian",JANVIER[VN/VO/VD],"VO")</f>
        <v>3</v>
      </c>
      <c r="D16" s="107">
        <f>COUNTIFS(JANVIER[Vendeur],"Cristian",JANVIER[VN/VO/VD],"VD")</f>
        <v>0</v>
      </c>
      <c r="E16" s="107">
        <f>COUNTIFS(JANVIER[Vendeur],"Cristian",I19:I42,"&lt;&gt;",I19:I42,"&lt;&gt;NON")</f>
        <v>2</v>
      </c>
      <c r="F16" s="107">
        <f>COUNTIFS(JANVIER[Vendeur],"Cristian",K19:K42,"&lt;&gt;",K19:K42,"&lt;&gt;NON")</f>
        <v>2</v>
      </c>
      <c r="G16" s="107">
        <f>COUNTIFS(JANVIER[Vendeur],"Cristian",G20:G43,"&lt;&gt;",G20:G43,"&lt;&gt;NON")</f>
        <v>2</v>
      </c>
      <c r="H16" s="107">
        <f>COUNTIFS(JANVIER[Vendeur],"Cristian",H19:H42,"&lt;&gt;",H19:H42,"&lt;&gt;NON")</f>
        <v>1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4</v>
      </c>
      <c r="N16" s="123" t="s">
        <v>89</v>
      </c>
    </row>
    <row r="17" spans="1:29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6</v>
      </c>
      <c r="J17" s="96">
        <f>COUNTIFS(K19:K42,"&lt;&gt;",K19:K42,"&lt;&gt;NON")</f>
        <v>6</v>
      </c>
      <c r="K17" s="125" t="s">
        <v>73</v>
      </c>
      <c r="L17" s="123" t="s">
        <v>12</v>
      </c>
      <c r="M17" s="126">
        <f>SUM(B16:D16)</f>
        <v>3</v>
      </c>
      <c r="N17" s="123" t="s">
        <v>89</v>
      </c>
    </row>
    <row r="18" spans="1:29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</row>
    <row r="19" spans="1:29" s="78" customFormat="1" x14ac:dyDescent="0.35">
      <c r="A19" s="58" t="s">
        <v>33</v>
      </c>
      <c r="B19" s="59">
        <v>45660</v>
      </c>
      <c r="C19" s="60"/>
      <c r="D19" s="60" t="s">
        <v>0</v>
      </c>
      <c r="E19" s="60" t="s">
        <v>35</v>
      </c>
      <c r="F19" s="58" t="s">
        <v>37</v>
      </c>
      <c r="G19" s="58" t="s">
        <v>30</v>
      </c>
      <c r="H19" s="58" t="s">
        <v>30</v>
      </c>
      <c r="I19" s="58" t="s">
        <v>23</v>
      </c>
      <c r="J19" s="58">
        <v>2</v>
      </c>
      <c r="K19" s="58" t="s">
        <v>24</v>
      </c>
      <c r="L19" s="58" t="s">
        <v>30</v>
      </c>
      <c r="M19" s="99" t="s">
        <v>30</v>
      </c>
      <c r="N19" s="58" t="s">
        <v>40</v>
      </c>
      <c r="O19" s="77"/>
      <c r="P19"/>
      <c r="Q19"/>
      <c r="R19"/>
      <c r="S19"/>
      <c r="T19"/>
      <c r="U19"/>
      <c r="V19"/>
      <c r="W19"/>
      <c r="X19"/>
      <c r="Y19"/>
      <c r="Z19"/>
      <c r="AA19"/>
      <c r="AB19"/>
      <c r="AC19"/>
    </row>
    <row r="20" spans="1:29" x14ac:dyDescent="0.35">
      <c r="A20" s="58" t="s">
        <v>34</v>
      </c>
      <c r="B20" s="59">
        <v>45661</v>
      </c>
      <c r="C20" s="60"/>
      <c r="D20" s="60" t="s">
        <v>0</v>
      </c>
      <c r="E20" s="60" t="s">
        <v>35</v>
      </c>
      <c r="F20" s="58" t="s">
        <v>39</v>
      </c>
      <c r="G20" s="58" t="s">
        <v>30</v>
      </c>
      <c r="H20" s="58" t="s">
        <v>31</v>
      </c>
      <c r="I20" s="58" t="s">
        <v>49</v>
      </c>
      <c r="J20" s="58">
        <v>1</v>
      </c>
      <c r="K20" s="58" t="s">
        <v>38</v>
      </c>
      <c r="L20" s="58" t="s">
        <v>30</v>
      </c>
      <c r="M20" s="99" t="s">
        <v>31</v>
      </c>
      <c r="N20" s="58" t="s">
        <v>40</v>
      </c>
      <c r="O20" s="22"/>
    </row>
    <row r="21" spans="1:29" x14ac:dyDescent="0.35">
      <c r="A21" s="58" t="s">
        <v>34</v>
      </c>
      <c r="B21" s="59">
        <v>45662</v>
      </c>
      <c r="C21" s="60"/>
      <c r="D21" s="60" t="s">
        <v>0</v>
      </c>
      <c r="E21" s="60" t="s">
        <v>36</v>
      </c>
      <c r="F21" s="58" t="s">
        <v>41</v>
      </c>
      <c r="G21" s="58" t="s">
        <v>30</v>
      </c>
      <c r="H21" s="58" t="s">
        <v>30</v>
      </c>
      <c r="I21" s="58" t="s">
        <v>50</v>
      </c>
      <c r="J21" s="58">
        <v>2</v>
      </c>
      <c r="K21" s="58" t="s">
        <v>50</v>
      </c>
      <c r="L21" s="58" t="s">
        <v>30</v>
      </c>
      <c r="M21" s="99" t="s">
        <v>30</v>
      </c>
      <c r="N21" s="58" t="s">
        <v>40</v>
      </c>
      <c r="O21" s="22"/>
    </row>
    <row r="22" spans="1:29" x14ac:dyDescent="0.35">
      <c r="A22" s="58" t="s">
        <v>34</v>
      </c>
      <c r="B22" s="59">
        <v>45663</v>
      </c>
      <c r="C22" s="60"/>
      <c r="D22" s="60" t="s">
        <v>0</v>
      </c>
      <c r="E22" s="60" t="s">
        <v>35</v>
      </c>
      <c r="F22" s="58" t="s">
        <v>37</v>
      </c>
      <c r="G22" s="58" t="s">
        <v>31</v>
      </c>
      <c r="H22" s="58" t="s">
        <v>31</v>
      </c>
      <c r="I22" s="58" t="s">
        <v>22</v>
      </c>
      <c r="J22" s="58">
        <v>2</v>
      </c>
      <c r="K22" s="58" t="s">
        <v>38</v>
      </c>
      <c r="L22" s="58" t="s">
        <v>30</v>
      </c>
      <c r="M22" s="99" t="s">
        <v>30</v>
      </c>
      <c r="N22" s="58" t="s">
        <v>40</v>
      </c>
      <c r="O22" s="22"/>
    </row>
    <row r="23" spans="1:29" x14ac:dyDescent="0.35">
      <c r="A23" s="58" t="s">
        <v>33</v>
      </c>
      <c r="B23" s="59">
        <v>45664</v>
      </c>
      <c r="C23" s="60"/>
      <c r="D23" s="60" t="s">
        <v>0</v>
      </c>
      <c r="E23" s="60" t="s">
        <v>36</v>
      </c>
      <c r="F23" s="58" t="s">
        <v>39</v>
      </c>
      <c r="G23" s="58" t="s">
        <v>30</v>
      </c>
      <c r="H23" s="58" t="s">
        <v>30</v>
      </c>
      <c r="I23" s="58" t="s">
        <v>22</v>
      </c>
      <c r="J23" s="58">
        <v>1</v>
      </c>
      <c r="K23" s="58" t="s">
        <v>26</v>
      </c>
      <c r="L23" s="58" t="s">
        <v>30</v>
      </c>
      <c r="M23" s="99" t="s">
        <v>31</v>
      </c>
      <c r="N23" s="58" t="s">
        <v>40</v>
      </c>
      <c r="O23" s="22"/>
    </row>
    <row r="24" spans="1:29" x14ac:dyDescent="0.35">
      <c r="A24" s="58" t="s">
        <v>33</v>
      </c>
      <c r="B24" s="59">
        <v>45665</v>
      </c>
      <c r="C24" s="60"/>
      <c r="D24" s="60" t="s">
        <v>0</v>
      </c>
      <c r="E24" s="60" t="s">
        <v>35</v>
      </c>
      <c r="F24" s="58" t="s">
        <v>41</v>
      </c>
      <c r="G24" s="58" t="s">
        <v>30</v>
      </c>
      <c r="H24" s="58" t="s">
        <v>30</v>
      </c>
      <c r="I24" s="58" t="s">
        <v>23</v>
      </c>
      <c r="J24" s="58">
        <v>2</v>
      </c>
      <c r="K24" s="58" t="s">
        <v>26</v>
      </c>
      <c r="L24" s="58" t="s">
        <v>30</v>
      </c>
      <c r="M24" s="99" t="s">
        <v>30</v>
      </c>
      <c r="N24" s="58" t="s">
        <v>40</v>
      </c>
      <c r="O24" s="22"/>
    </row>
    <row r="25" spans="1:29" x14ac:dyDescent="0.35">
      <c r="A25" s="58" t="s">
        <v>33</v>
      </c>
      <c r="B25" s="59">
        <v>45660</v>
      </c>
      <c r="C25" s="60"/>
      <c r="D25" s="60" t="s">
        <v>0</v>
      </c>
      <c r="E25" s="60" t="s">
        <v>35</v>
      </c>
      <c r="F25" s="58" t="s">
        <v>37</v>
      </c>
      <c r="G25" s="58" t="s">
        <v>30</v>
      </c>
      <c r="H25" s="58" t="s">
        <v>30</v>
      </c>
      <c r="I25" s="58" t="s">
        <v>23</v>
      </c>
      <c r="J25" s="58">
        <v>2</v>
      </c>
      <c r="K25" s="58" t="s">
        <v>38</v>
      </c>
      <c r="L25" s="58" t="s">
        <v>30</v>
      </c>
      <c r="M25" s="99" t="s">
        <v>30</v>
      </c>
      <c r="N25" s="79" t="s">
        <v>40</v>
      </c>
      <c r="O25" s="22"/>
    </row>
    <row r="26" spans="1:29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</row>
    <row r="27" spans="1:29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29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29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29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29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29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sheetProtection autoFilter="0"/>
  <mergeCells count="7">
    <mergeCell ref="H11:H12"/>
    <mergeCell ref="F11:G12"/>
    <mergeCell ref="F2:H2"/>
    <mergeCell ref="A11:A12"/>
    <mergeCell ref="B2:D2"/>
    <mergeCell ref="B11:D12"/>
    <mergeCell ref="E11:E12"/>
  </mergeCells>
  <phoneticPr fontId="22" type="noConversion"/>
  <conditionalFormatting sqref="D5">
    <cfRule type="iconSet" priority="1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1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18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00000000-0002-0000-0000-000007000000}">
      <formula1>"Particulier,Société,Agent,MRA"</formula1>
    </dataValidation>
    <dataValidation type="list" allowBlank="1" showInputMessage="1" showErrorMessage="1" sqref="F20 G19:M42 D19:E42 A19:A42" xr:uid="{2466FACD-156E-4F7F-B2BF-7C10F0E8D6CA}">
      <formula1>#REF!</formula1>
    </dataValidation>
  </dataValidations>
  <pageMargins left="0" right="0" top="0" bottom="0" header="0" footer="0"/>
  <pageSetup scale="65" firstPageNumber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D07DC-BF0A-49CA-BA68-020B18DF13D3}">
  <sheetPr codeName="Feuil3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IFERROR(SUM(COUNTIFS(FEVRIER[VN/VO/VD],"VN",FEVRIER[Credit],{"Crédit Classique";"Compo-bail";"New Deal"}))/COUNTA(D19:D42),0)</f>
        <v>0.7142857142857143</v>
      </c>
      <c r="K2" s="73">
        <f>COUNTIF($D$19:$D$42,$J$1)</f>
        <v>6</v>
      </c>
      <c r="L2" s="72" cm="1">
        <f t="array" ref="L2">IFERROR(SUM(COUNTIFS(FEVRIER[VN/VO/VD],"VO",FEVRIER[Credit],{"Crédit Classique";"Compo-bail";"New Deal"}))/COUNTA(F19:F42),0)</f>
        <v>0</v>
      </c>
      <c r="M2" s="73">
        <f>COUNTIF(D19:D42,"VO")</f>
        <v>0</v>
      </c>
      <c r="N2" s="63">
        <f>SUM(K2,M2)</f>
        <v>6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0.2857142857142857</v>
      </c>
      <c r="K3" s="73">
        <f>COUNTIF($D$19:$D$42,$J$1)</f>
        <v>6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6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IFERROR(SUM(COUNTIFS(FEVRIER[VN/VO/VD],"VN",FEVRIER[Credit],{"MFS loc";"New Deal"}))/COUNTA(D19:D42),0)</f>
        <v>0.42857142857142855</v>
      </c>
      <c r="K4" s="73">
        <f>COUNTIF($D$19:$D$42,$J$1)</f>
        <v>6</v>
      </c>
      <c r="L4" s="72" cm="1">
        <f t="array" ref="L4">IFERROR(SUM(COUNTIFS(FEVRIER[VN/VO/VD],"VO",FEVRIER[Credit],{"MFS loc";"New Deal"}))/COUNTA(F19:F42),0)</f>
        <v>0</v>
      </c>
      <c r="M4" s="73">
        <f>COUNTIF(D19:D42,"VO")</f>
        <v>0</v>
      </c>
      <c r="N4" s="63">
        <f>SUM(K4,M4)</f>
        <v>6</v>
      </c>
    </row>
    <row r="5" spans="1:17" ht="14.5" customHeight="1" x14ac:dyDescent="0.35">
      <c r="A5" s="26" t="s">
        <v>1</v>
      </c>
      <c r="B5" s="70">
        <f>COUNTIF(D19:D42,"VN")+COUNTIF(D19:D42,"VD")</f>
        <v>7</v>
      </c>
      <c r="C5" s="65">
        <v>10</v>
      </c>
      <c r="D5" s="67">
        <f>IF(ISERROR(B5/C5),"-",B5/C5)</f>
        <v>0.7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6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6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0.14285714285714285</v>
      </c>
      <c r="K8" s="18">
        <f>IFERROR(COUNTIF($K$19:$K$42,"Sérénité")/COUNTA($K$19:$K$42),0)</f>
        <v>0.42857142857142855</v>
      </c>
      <c r="L8" s="18">
        <f>IFERROR(COUNTIF($K$19:$K$42,"Intégral")/COUNTA($K$19:$K$42),0)</f>
        <v>0.2857142857142857</v>
      </c>
      <c r="M8" s="18">
        <f>IFERROR(COUNTIF($K$19:$K$42,"Garantie")/COUNTA($K$19:$K$42),0)</f>
        <v>0</v>
      </c>
      <c r="N8" s="3">
        <f>SUM(J8:M8)</f>
        <v>0.8571428571428571</v>
      </c>
    </row>
    <row r="9" spans="1:17" ht="14.5" customHeight="1" x14ac:dyDescent="0.35">
      <c r="A9" s="39" t="s">
        <v>7</v>
      </c>
      <c r="B9" s="69">
        <f>COUNTIF(D19:D42,"VD")</f>
        <v>1</v>
      </c>
      <c r="C9" s="66">
        <v>10</v>
      </c>
      <c r="D9" s="68">
        <f>IF(ISERROR(B9/C9),"-",B9/C9)</f>
        <v>0.1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0.8571428571428571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7</v>
      </c>
      <c r="C11" s="154"/>
      <c r="D11" s="154"/>
      <c r="E11" s="154" t="s">
        <v>21</v>
      </c>
      <c r="F11" s="145">
        <f>IF(ISERROR(IF(B11=0,0,B11/(Janvier!G5+C5))),"-",IF(B11=0,0,B11/(Janvier!G5+C5)))</f>
        <v>0.35</v>
      </c>
      <c r="G11" s="145"/>
      <c r="H11" s="143">
        <f>B11/(Janvier!G5+C5)</f>
        <v>0.35</v>
      </c>
      <c r="I11" s="54" t="s">
        <v>28</v>
      </c>
      <c r="J11" s="71">
        <f>IFERROR(COUNTIF(H19:H42,"OUI")/COUNTA(H19:H42),0)</f>
        <v>0.7142857142857143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5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1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COUNTIFS(FEVRIER[Vendeur],"Timothé",FEVRIER[VN/VO/VD],"VN")</f>
        <v>4</v>
      </c>
      <c r="C15" s="107">
        <f>COUNTIFS(FEVRIER[Vendeur],"Timothé",FEVRIER[VN/VO/VD],"VO")</f>
        <v>0</v>
      </c>
      <c r="D15" s="107">
        <f>COUNTIFS(FEVRIER[Vendeur],"Timothé",FEVRIER[VN/VO/VD],"VD")</f>
        <v>0</v>
      </c>
      <c r="E15" s="107">
        <f>COUNTIFS(FEVRIER[Vendeur],"Timothé",I19:I42,"&lt;&gt;",I19:I42,"&lt;&gt;NON")</f>
        <v>4</v>
      </c>
      <c r="F15" s="107">
        <f>COUNTIFS(FEVRIER[Vendeur],"Timothé",K19:K42,"&lt;&gt;",K19:K42,"&lt;&gt;NON")</f>
        <v>4</v>
      </c>
      <c r="G15" s="107">
        <f>COUNTIFS(FEVRIER[Vendeur],"Timothé",G19:G42,"&lt;&gt;",G19:G42,"&lt;&gt;NON")</f>
        <v>3</v>
      </c>
      <c r="H15" s="107">
        <f>COUNTIFS(FEVRIER[Vendeur],"Timothé",H19:H42,"&lt;&gt;",H19:H42,"&lt;&gt;NON")</f>
        <v>3</v>
      </c>
      <c r="I15" s="90">
        <f>COUNTIFS(D19:D41,"VN",E19:E41,"&lt;&gt;")</f>
        <v>6</v>
      </c>
      <c r="J15" s="90">
        <f>COUNTIFS(D19:D41,"VO",E19:E41,"&lt;&gt;")</f>
        <v>0</v>
      </c>
      <c r="K15" s="90">
        <f>COUNTIFS(D19:D41,"VD",E19:E41,"&lt;&gt;")</f>
        <v>1</v>
      </c>
      <c r="L15" s="91">
        <f>SUM(I15:K15)</f>
        <v>7</v>
      </c>
      <c r="M15" s="93">
        <f>COUNTIF(G19:G41,"OUI")</f>
        <v>6</v>
      </c>
      <c r="N15" s="93">
        <f>COUNTIF(H19:H41,"OUI")</f>
        <v>5</v>
      </c>
    </row>
    <row r="16" spans="1:17" ht="14.5" customHeight="1" x14ac:dyDescent="0.35">
      <c r="A16" s="113" t="s">
        <v>73</v>
      </c>
      <c r="B16" s="107">
        <f>COUNTIFS(FEVRIER[Vendeur],"Cristian",FEVRIER[VN/VO/VD],"VN")</f>
        <v>2</v>
      </c>
      <c r="C16" s="107">
        <f>COUNTIFS(FEVRIER[Vendeur],"Cristian",FEVRIER[VN/VO/VD],"VO")</f>
        <v>0</v>
      </c>
      <c r="D16" s="107">
        <f>COUNTIFS(FEVRIER[Vendeur],"Cristian",FEVRIER[VN/VO/VD],"VD")</f>
        <v>1</v>
      </c>
      <c r="E16" s="107">
        <f>COUNTIFS(FEVRIER[Vendeur],"Cristian",I19:I42,"&lt;&gt;",I19:I42,"&lt;&gt;NON")</f>
        <v>2</v>
      </c>
      <c r="F16" s="107">
        <f>COUNTIFS(FEVRIER[Vendeur],"Cristian",K19:K42,"&lt;&gt;",K19:K42,"&lt;&gt;NON")</f>
        <v>2</v>
      </c>
      <c r="G16" s="107">
        <f>COUNTIFS(FEVRIER[Vendeur],"Cristian",G20:G43,"&lt;&gt;",G20:G43,"&lt;&gt;NON")</f>
        <v>2</v>
      </c>
      <c r="H16" s="107">
        <f>COUNTIFS(FEVRIER[Vendeur],"Cristian",H19:H42,"&lt;&gt;",H19:H42,"&lt;&gt;NON")</f>
        <v>2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4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6</v>
      </c>
      <c r="J17" s="96">
        <f>COUNTIFS(K19:K42,"&lt;&gt;",K19:K42,"&lt;&gt;NON")</f>
        <v>6</v>
      </c>
      <c r="K17" s="125" t="s">
        <v>73</v>
      </c>
      <c r="L17" s="123" t="s">
        <v>12</v>
      </c>
      <c r="M17" s="126">
        <f>SUM(B16:D16)</f>
        <v>3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 t="s">
        <v>34</v>
      </c>
      <c r="B19" s="59">
        <v>45660</v>
      </c>
      <c r="C19" s="60"/>
      <c r="D19" s="60" t="s">
        <v>25</v>
      </c>
      <c r="E19" s="60" t="s">
        <v>35</v>
      </c>
      <c r="F19" s="58" t="s">
        <v>37</v>
      </c>
      <c r="G19" s="58" t="s">
        <v>30</v>
      </c>
      <c r="H19" s="58" t="s">
        <v>30</v>
      </c>
      <c r="I19" s="58" t="s">
        <v>23</v>
      </c>
      <c r="J19" s="58">
        <v>2</v>
      </c>
      <c r="K19" s="58" t="s">
        <v>24</v>
      </c>
      <c r="L19" s="58" t="s">
        <v>30</v>
      </c>
      <c r="M19" s="99" t="s">
        <v>30</v>
      </c>
      <c r="N19" s="58" t="s">
        <v>40</v>
      </c>
      <c r="O19" s="77"/>
      <c r="P19" s="77"/>
      <c r="Q19" s="77"/>
    </row>
    <row r="20" spans="1:17" x14ac:dyDescent="0.35">
      <c r="A20" s="58" t="s">
        <v>34</v>
      </c>
      <c r="B20" s="59">
        <v>45661</v>
      </c>
      <c r="C20" s="60"/>
      <c r="D20" s="60" t="s">
        <v>29</v>
      </c>
      <c r="E20" s="60" t="s">
        <v>35</v>
      </c>
      <c r="F20" s="58" t="s">
        <v>39</v>
      </c>
      <c r="G20" s="58" t="s">
        <v>30</v>
      </c>
      <c r="H20" s="58" t="s">
        <v>31</v>
      </c>
      <c r="I20" s="58" t="s">
        <v>49</v>
      </c>
      <c r="J20" s="58">
        <v>1</v>
      </c>
      <c r="K20" s="58" t="s">
        <v>38</v>
      </c>
      <c r="L20" s="58" t="s">
        <v>30</v>
      </c>
      <c r="M20" s="99" t="s">
        <v>31</v>
      </c>
      <c r="N20" s="58" t="s">
        <v>40</v>
      </c>
      <c r="O20" s="22"/>
      <c r="P20" s="22"/>
      <c r="Q20" s="22"/>
    </row>
    <row r="21" spans="1:17" x14ac:dyDescent="0.35">
      <c r="A21" s="58" t="s">
        <v>34</v>
      </c>
      <c r="B21" s="59">
        <v>45662</v>
      </c>
      <c r="C21" s="60"/>
      <c r="D21" s="60" t="s">
        <v>25</v>
      </c>
      <c r="E21" s="60" t="s">
        <v>36</v>
      </c>
      <c r="F21" s="58" t="s">
        <v>41</v>
      </c>
      <c r="G21" s="58" t="s">
        <v>30</v>
      </c>
      <c r="H21" s="58" t="s">
        <v>30</v>
      </c>
      <c r="I21" s="58" t="s">
        <v>50</v>
      </c>
      <c r="J21" s="58">
        <v>2</v>
      </c>
      <c r="K21" s="58" t="s">
        <v>50</v>
      </c>
      <c r="L21" s="58" t="s">
        <v>30</v>
      </c>
      <c r="M21" s="99" t="s">
        <v>30</v>
      </c>
      <c r="N21" s="58" t="s">
        <v>40</v>
      </c>
      <c r="O21" s="22"/>
      <c r="P21" s="22"/>
      <c r="Q21" s="22"/>
    </row>
    <row r="22" spans="1:17" x14ac:dyDescent="0.35">
      <c r="A22" s="58" t="s">
        <v>33</v>
      </c>
      <c r="B22" s="59">
        <v>45663</v>
      </c>
      <c r="C22" s="60"/>
      <c r="D22" s="60" t="s">
        <v>25</v>
      </c>
      <c r="E22" s="60" t="s">
        <v>35</v>
      </c>
      <c r="F22" s="58" t="s">
        <v>37</v>
      </c>
      <c r="G22" s="58" t="s">
        <v>31</v>
      </c>
      <c r="H22" s="58" t="s">
        <v>31</v>
      </c>
      <c r="I22" s="58" t="s">
        <v>22</v>
      </c>
      <c r="J22" s="58">
        <v>2</v>
      </c>
      <c r="K22" s="58" t="s">
        <v>38</v>
      </c>
      <c r="L22" s="58" t="s">
        <v>30</v>
      </c>
      <c r="M22" s="99" t="s">
        <v>30</v>
      </c>
      <c r="N22" s="58" t="s">
        <v>40</v>
      </c>
      <c r="O22" s="22"/>
      <c r="P22" s="22"/>
      <c r="Q22" s="22"/>
    </row>
    <row r="23" spans="1:17" x14ac:dyDescent="0.35">
      <c r="A23" s="58" t="s">
        <v>33</v>
      </c>
      <c r="B23" s="59">
        <v>45664</v>
      </c>
      <c r="C23" s="60"/>
      <c r="D23" s="60" t="s">
        <v>25</v>
      </c>
      <c r="E23" s="60" t="s">
        <v>36</v>
      </c>
      <c r="F23" s="58" t="s">
        <v>39</v>
      </c>
      <c r="G23" s="58" t="s">
        <v>30</v>
      </c>
      <c r="H23" s="58" t="s">
        <v>30</v>
      </c>
      <c r="I23" s="58" t="s">
        <v>22</v>
      </c>
      <c r="J23" s="58">
        <v>1</v>
      </c>
      <c r="K23" s="58" t="s">
        <v>26</v>
      </c>
      <c r="L23" s="58" t="s">
        <v>30</v>
      </c>
      <c r="M23" s="99" t="s">
        <v>31</v>
      </c>
      <c r="N23" s="58" t="s">
        <v>40</v>
      </c>
      <c r="O23" s="22"/>
      <c r="P23" s="22"/>
      <c r="Q23" s="22"/>
    </row>
    <row r="24" spans="1:17" x14ac:dyDescent="0.35">
      <c r="A24" s="58" t="s">
        <v>33</v>
      </c>
      <c r="B24" s="59">
        <v>45665</v>
      </c>
      <c r="C24" s="60"/>
      <c r="D24" s="60" t="s">
        <v>25</v>
      </c>
      <c r="E24" s="60" t="s">
        <v>35</v>
      </c>
      <c r="F24" s="58" t="s">
        <v>41</v>
      </c>
      <c r="G24" s="58" t="s">
        <v>30</v>
      </c>
      <c r="H24" s="58" t="s">
        <v>30</v>
      </c>
      <c r="I24" s="58" t="s">
        <v>23</v>
      </c>
      <c r="J24" s="58">
        <v>2</v>
      </c>
      <c r="K24" s="58" t="s">
        <v>26</v>
      </c>
      <c r="L24" s="58" t="s">
        <v>30</v>
      </c>
      <c r="M24" s="99" t="s">
        <v>30</v>
      </c>
      <c r="N24" s="58" t="s">
        <v>40</v>
      </c>
      <c r="O24" s="22"/>
      <c r="P24" s="22"/>
      <c r="Q24" s="22"/>
    </row>
    <row r="25" spans="1:17" x14ac:dyDescent="0.35">
      <c r="A25" s="58" t="s">
        <v>33</v>
      </c>
      <c r="B25" s="59">
        <v>45660</v>
      </c>
      <c r="C25" s="60"/>
      <c r="D25" s="60" t="s">
        <v>25</v>
      </c>
      <c r="E25" s="60" t="s">
        <v>35</v>
      </c>
      <c r="F25" s="58" t="s">
        <v>37</v>
      </c>
      <c r="G25" s="58" t="s">
        <v>30</v>
      </c>
      <c r="H25" s="58" t="s">
        <v>30</v>
      </c>
      <c r="I25" s="58" t="s">
        <v>23</v>
      </c>
      <c r="J25" s="58">
        <v>2</v>
      </c>
      <c r="K25" s="58" t="s">
        <v>38</v>
      </c>
      <c r="L25" s="58" t="s">
        <v>30</v>
      </c>
      <c r="M25" s="99" t="s">
        <v>30</v>
      </c>
      <c r="N25" s="79" t="s">
        <v>40</v>
      </c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856975CD-D1E1-4348-AE9E-A1AD488E86F1}">
      <formula1>"Particulier,Société,Agent,MRA"</formula1>
    </dataValidation>
    <dataValidation type="list" allowBlank="1" showInputMessage="1" showErrorMessage="1" sqref="F20 A19:A42 D19:E42 G19:M42" xr:uid="{8B28C138-7B64-4C13-992F-69D4D06FE21D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64936-6606-4D0F-A5AA-EFAFF16649D0}">
  <sheetPr codeName="Feuil4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IFERROR(SUM(COUNTIFS(MARS[VN/VO/VD],"VN",MARS[Credit],{"Crédit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IFERROR(SUM(COUNTIFS(MARS[VN/VO/VD],"VO",MARS[Credit],{"Crédit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IFERROR(SUM(COUNTIFS(MARS[VN/VO/VD],"VN",MARS[Credit],{"MFS loc";"New Deal"}))/COUNTA(D19:D42),0)</f>
        <v>0</v>
      </c>
      <c r="K4" s="73">
        <f>COUNTIF($D$19:$D$42,$J$1)</f>
        <v>0</v>
      </c>
      <c r="L4" s="72" cm="1">
        <f t="array" ref="L4">IFERROR(SUM(COUNTIFS(MARS[VN/VO/VD],"VO",MARS[Credit],{"MFS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COUNTIFS(MARS[Vendeur],"Timothé",MARS[VN/VO/VD],"VN")</f>
        <v>0</v>
      </c>
      <c r="C15" s="107">
        <f>COUNTIFS(MARS[Vendeur],"Timothé",MARS[VN/VO/VD],"VO")</f>
        <v>0</v>
      </c>
      <c r="D15" s="107">
        <f>COUNTIFS(MARS[Vendeur],"Timothé",MARS[VN/VO/VD],"VD")</f>
        <v>0</v>
      </c>
      <c r="E15" s="107">
        <f>COUNTIFS(MARS[Vendeur],"Timothé",I19:I42,"&lt;&gt;",I19:I42,"&lt;&gt;NON")</f>
        <v>0</v>
      </c>
      <c r="F15" s="107">
        <f>COUNTIFS(MARS[Vendeur],"Timothé",K19:K42,"&lt;&gt;",K19:K42,"&lt;&gt;NON")</f>
        <v>0</v>
      </c>
      <c r="G15" s="107">
        <f>COUNTIFS(MARS[Vendeur],"Timothé",G19:G42,"&lt;&gt;",G19:G42,"&lt;&gt;NON")</f>
        <v>0</v>
      </c>
      <c r="H15" s="107">
        <f>COUNTIFS(MARS[Vendeur],"Timothé",H19:H42,"&lt;&gt;",H19:H42,"&lt;&gt;NON")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COUNTIFS(MARS[Vendeur],"Cristian",MARS[VN/VO/VD],"VN")</f>
        <v>0</v>
      </c>
      <c r="C16" s="107">
        <f>COUNTIFS(MARS[Vendeur],"Cristian",MARS[VN/VO/VD],"VO")</f>
        <v>0</v>
      </c>
      <c r="D16" s="107">
        <f>COUNTIFS(MARS[Vendeur],"Cristian",MARS[VN/VO/VD],"VD")</f>
        <v>0</v>
      </c>
      <c r="E16" s="107">
        <f>COUNTIFS(MARS[Vendeur],"Cristian",I19:I42,"&lt;&gt;",I19:I42,"&lt;&gt;NON")</f>
        <v>0</v>
      </c>
      <c r="F16" s="107">
        <f>COUNTIFS(MARS[Vendeur],"Cristian",K19:K42,"&lt;&gt;",K19:K42,"&lt;&gt;NON")</f>
        <v>0</v>
      </c>
      <c r="G16" s="107">
        <f>COUNTIFS(MARS[Vendeur],"Cristian",G20:G43,"&lt;&gt;",G20:G43,"&lt;&gt;NON")</f>
        <v>0</v>
      </c>
      <c r="H16" s="107">
        <f>COUNTIFS(MARS[Vendeur],"Cristian",H19:H42,"&lt;&gt;",H19:H42,"&lt;&gt;NON")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A28B212E-3138-49D9-95B8-7C6F413949DD}">
      <formula1>"Particulier,Société,Agent,MRA"</formula1>
    </dataValidation>
    <dataValidation type="list" allowBlank="1" showInputMessage="1" showErrorMessage="1" sqref="F20 A19:A42 D19:E42 G19:M42" xr:uid="{7648CB04-048B-407E-BC0E-6F24F7818274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3B1A5-AB38-486E-98D0-546B2301792D}">
  <sheetPr codeName="Feuil5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IFERROR(SUM(COUNTIFS(AVRIL[VN/VO/VD],"VN",AVRIL[Credit],{"Crédit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IFERROR(SUM(COUNTIFS(AVRIL[VN/VO/VD],"VO",AVRIL[Credit],{"Crédit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IFERROR(SUM(COUNTIFS(AVRIL[VN/VO/VD],"VN",AVRIL[Credit],{"MFS loc";"New Deal"}))/COUNTA(D19:D42),0)</f>
        <v>0</v>
      </c>
      <c r="K4" s="73">
        <f>COUNTIF($D$19:$D$42,$J$1)</f>
        <v>0</v>
      </c>
      <c r="L4" s="72" cm="1">
        <f t="array" ref="L4">IFERROR(SUM(COUNTIFS(AVRIL[VN/VO/VD],"VO",AVRIL[Credit],{"MFS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COUNTIFS(AVRIL[Vendeur],"Timothé",AVRIL[VN/VO/VD],"VN")</f>
        <v>0</v>
      </c>
      <c r="C15" s="107">
        <f>COUNTIFS(AVRIL[Vendeur],"Timothé",AVRIL[VN/VO/VD],"VO")</f>
        <v>0</v>
      </c>
      <c r="D15" s="107">
        <f>COUNTIFS(AVRIL[Vendeur],"Timothé",AVRIL[VN/VO/VD],"VD")</f>
        <v>0</v>
      </c>
      <c r="E15" s="107">
        <f>COUNTIFS(AVRIL[Vendeur],"Timothé",I19:I42,"&lt;&gt;",I19:I42,"&lt;&gt;NON")</f>
        <v>0</v>
      </c>
      <c r="F15" s="107">
        <f>COUNTIFS(AVRIL[Vendeur],"Timothé",K19:K42,"&lt;&gt;",K19:K42,"&lt;&gt;NON")</f>
        <v>0</v>
      </c>
      <c r="G15" s="107">
        <f>COUNTIFS(AVRIL[Vendeur],"Timothé",G19:G42,"&lt;&gt;",G19:G42,"&lt;&gt;NON")</f>
        <v>0</v>
      </c>
      <c r="H15" s="107">
        <f>COUNTIFS(AVRIL[Vendeur],"Timothé",H19:H42,"&lt;&gt;",H19:H42,"&lt;&gt;NON")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COUNTIFS(AVRIL[Vendeur],"Cristian",AVRIL[VN/VO/VD],"VN")</f>
        <v>0</v>
      </c>
      <c r="C16" s="107">
        <f>COUNTIFS(AVRIL[Vendeur],"Cristian",AVRIL[VN/VO/VD],"VO")</f>
        <v>0</v>
      </c>
      <c r="D16" s="107">
        <f>COUNTIFS(AVRIL[Vendeur],"Cristian",AVRIL[VN/VO/VD],"VD")</f>
        <v>0</v>
      </c>
      <c r="E16" s="107">
        <f>COUNTIFS(AVRIL[Vendeur],"Cristian",I19:I42,"&lt;&gt;",I19:I42,"&lt;&gt;NON")</f>
        <v>0</v>
      </c>
      <c r="F16" s="107">
        <f>COUNTIFS(AVRIL[Vendeur],"Cristian",K19:K42,"&lt;&gt;",K19:K42,"&lt;&gt;NON")</f>
        <v>0</v>
      </c>
      <c r="G16" s="107">
        <f>COUNTIFS(AVRIL[Vendeur],"Cristian",G20:G43,"&lt;&gt;",G20:G43,"&lt;&gt;NON")</f>
        <v>0</v>
      </c>
      <c r="H16" s="107">
        <f>COUNTIFS(AVRIL[Vendeur],"Cristian",H19:H42,"&lt;&gt;",H19:H42,"&lt;&gt;NON")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phoneticPr fontId="22" type="noConversion"/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89E77B8F-C51C-4EDF-853D-172318151D32}">
      <formula1>"Particulier,Société,Agent,MRA"</formula1>
    </dataValidation>
    <dataValidation type="list" allowBlank="1" showInputMessage="1" showErrorMessage="1" sqref="F20 G19:M42 D19:E42 A19:A42" xr:uid="{3EC08F51-DE5F-4430-8B4F-F56D8FB262F9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1DA459-7994-4D26-910A-307AA7163814}">
  <sheetPr codeName="Feuil6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IFERROR(SUM(COUNTIFS(MAI[VN/VO/VD],"VN",MAI[Credit],{"Crédit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IFERROR(SUM(COUNTIFS(MAI[VN/VO/VD],"VO",MAI[Credit],{"Crédit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IFERROR(SUM(COUNTIFS(MAI[VN/VO/VD],"VN",MAI[Credit],{"MFS loc";"New Deal"}))/COUNTA(D19:D42),0)</f>
        <v>0</v>
      </c>
      <c r="K4" s="73">
        <f>COUNTIF($D$19:$D$42,$J$1)</f>
        <v>0</v>
      </c>
      <c r="L4" s="72" cm="1">
        <f t="array" ref="L4">IFERROR(SUM(COUNTIFS(MAI[VN/VO/VD],"VO",MAI[Credit],{"MFS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COUNTIFS(MAI[Vendeur],"Timothé",MAI[VN/VO/VD],"VN")</f>
        <v>0</v>
      </c>
      <c r="C15" s="107">
        <f>COUNTIFS(MAI[Vendeur],"Timothé",MAI[VN/VO/VD],"VO")</f>
        <v>0</v>
      </c>
      <c r="D15" s="107">
        <f>COUNTIFS(MAI[Vendeur],"Timothé",MAI[VN/VO/VD],"VD")</f>
        <v>0</v>
      </c>
      <c r="E15" s="107">
        <f>COUNTIFS(MAI[Vendeur],"Timothé",I19:I42,"&lt;&gt;",I19:I42,"&lt;&gt;NON")</f>
        <v>0</v>
      </c>
      <c r="F15" s="107">
        <f>COUNTIFS(MAI[Vendeur],"Timothé",K19:K42,"&lt;&gt;",K19:K42,"&lt;&gt;NON")</f>
        <v>0</v>
      </c>
      <c r="G15" s="107">
        <f>COUNTIFS(MAI[Vendeur],"Timothé",G19:G42,"&lt;&gt;",G19:G42,"&lt;&gt;NON")</f>
        <v>0</v>
      </c>
      <c r="H15" s="107">
        <f>COUNTIFS(MAI[Vendeur],"Timothé",H19:H42,"&lt;&gt;",H19:H42,"&lt;&gt;NON")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COUNTIFS(MAI[Vendeur],"Cristian",MAI[VN/VO/VD],"VN")</f>
        <v>0</v>
      </c>
      <c r="C16" s="107">
        <f>COUNTIFS(MAI[Vendeur],"Cristian",MAI[VN/VO/VD],"VO")</f>
        <v>0</v>
      </c>
      <c r="D16" s="107">
        <f>COUNTIFS(MAI[Vendeur],"Cristian",MAI[VN/VO/VD],"VD")</f>
        <v>0</v>
      </c>
      <c r="E16" s="107">
        <f>COUNTIFS(MAI[Vendeur],"Cristian",I19:I42,"&lt;&gt;",I19:I42,"&lt;&gt;NON")</f>
        <v>0</v>
      </c>
      <c r="F16" s="107">
        <f>COUNTIFS(MAI[Vendeur],"Cristian",K19:K42,"&lt;&gt;",K19:K42,"&lt;&gt;NON")</f>
        <v>0</v>
      </c>
      <c r="G16" s="107">
        <f>COUNTIFS(MAI[Vendeur],"Cristian",G20:G43,"&lt;&gt;",G20:G43,"&lt;&gt;NON")</f>
        <v>0</v>
      </c>
      <c r="H16" s="107">
        <f>COUNTIFS(MAI[Vendeur],"Cristian",H19:H42,"&lt;&gt;",H19:H42,"&lt;&gt;NON")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phoneticPr fontId="22" type="noConversion"/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D86F04F1-9957-44A4-9642-B6DE857F90EF}">
      <formula1>"Particulier,Société,Agent,MRA"</formula1>
    </dataValidation>
    <dataValidation type="list" allowBlank="1" showInputMessage="1" showErrorMessage="1" sqref="F20 A19:A42 D19:E42 G19:M42" xr:uid="{E9722170-10C2-4D4F-BE3D-2CA1DA8E7050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05C80-B1BE-4B57-8396-E3E4135CD839}">
  <sheetPr codeName="Feuil7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IFERROR(SUM(COUNTIFS(JUIN[VN/VO/VD],"VN",JUIN[Credit],{"Crédit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IFERROR(SUM(COUNTIFS(JUIN[VN/VO/VD],"VO",JUIN[Credit],{"Crédit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IFERROR(SUM(COUNTIFS(JUIN[VN/VO/VD],"VN",JUIN[Credit],{"MFS loc";"New Deal"}))/COUNTA(D19:D42),0)</f>
        <v>0</v>
      </c>
      <c r="K4" s="73">
        <f>COUNTIF($D$19:$D$42,$J$1)</f>
        <v>0</v>
      </c>
      <c r="L4" s="72" cm="1">
        <f t="array" ref="L4">IFERROR(SUM(COUNTIFS(JUIN[VN/VO/VD],"VO",JUIN[Credit],{"MFS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COUNTIFS(JUIN[Vendeur],"Timothé",JUIN[VN/VO/VD],"VN")</f>
        <v>0</v>
      </c>
      <c r="C15" s="107">
        <f>COUNTIFS(JUIN[Vendeur],"Timothé",JUIN[VN/VO/VD],"VO")</f>
        <v>0</v>
      </c>
      <c r="D15" s="107">
        <f>COUNTIFS(JUIN[Vendeur],"Timothé",JUIN[VN/VO/VD],"VD")</f>
        <v>0</v>
      </c>
      <c r="E15" s="107">
        <f>COUNTIFS(JUIN[Vendeur],"Timothé",I19:I42,"&lt;&gt;",I19:I42,"&lt;&gt;NON")</f>
        <v>0</v>
      </c>
      <c r="F15" s="107">
        <f>COUNTIFS(JUIN[Vendeur],"Timothé",K19:K42,"&lt;&gt;",K19:K42,"&lt;&gt;NON")</f>
        <v>0</v>
      </c>
      <c r="G15" s="107">
        <f>COUNTIFS(JUIN[Vendeur],"Timothé",G19:G42,"&lt;&gt;",G19:G42,"&lt;&gt;NON")</f>
        <v>0</v>
      </c>
      <c r="H15" s="107">
        <f>COUNTIFS(JUIN[Vendeur],"Timothé",H19:H42,"&lt;&gt;",H19:H42,"&lt;&gt;NON")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COUNTIFS(JUIN[Vendeur],"Cristian",JUIN[VN/VO/VD],"VN")</f>
        <v>0</v>
      </c>
      <c r="C16" s="107">
        <f>COUNTIFS(JUIN[Vendeur],"Cristian",JUIN[VN/VO/VD],"VO")</f>
        <v>0</v>
      </c>
      <c r="D16" s="107">
        <f>COUNTIFS(JUIN[Vendeur],"Cristian",JUIN[VN/VO/VD],"VD")</f>
        <v>0</v>
      </c>
      <c r="E16" s="107">
        <f>COUNTIFS(JUIN[Vendeur],"Cristian",I19:I42,"&lt;&gt;",I19:I42,"&lt;&gt;NON")</f>
        <v>0</v>
      </c>
      <c r="F16" s="107">
        <f>COUNTIFS(JUIN[Vendeur],"Cristian",K19:K42,"&lt;&gt;",K19:K42,"&lt;&gt;NON")</f>
        <v>0</v>
      </c>
      <c r="G16" s="107">
        <f>COUNTIFS(JUIN[Vendeur],"Cristian",G20:G43,"&lt;&gt;",G20:G43,"&lt;&gt;NON")</f>
        <v>0</v>
      </c>
      <c r="H16" s="107">
        <f>COUNTIFS(JUIN[Vendeur],"Cristian",H19:H42,"&lt;&gt;",H19:H42,"&lt;&gt;NON")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8F6F0B75-D3E8-455C-B9F4-B94D3276BA29}">
      <formula1>"Particulier,Société,Agent,MRA"</formula1>
    </dataValidation>
    <dataValidation type="list" allowBlank="1" showInputMessage="1" showErrorMessage="1" sqref="F20 G19:M42 D19:E42 A19:A42" xr:uid="{FE7CBF5B-442C-4566-8F6E-CA65C93C3452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2E4794-AE0B-4AF7-BDD9-0B4048E71CA4}">
  <sheetPr codeName="Feuil8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IFERROR(SUM(COUNTIFS(JUILLET[VN/VO/VD],"VN",JUILLET[Credit],{"Crédit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IFERROR(SUM(COUNTIFS(JUILLET[VN/VO/VD],"VO",JUILLET[Credit],{"Crédit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IFERROR(SUM(COUNTIFS(JUILLET[VN/VO/VD],"VN",JUILLET[Credit],{"MFS loc";"New Deal"}))/COUNTA(D19:D42),0)</f>
        <v>0</v>
      </c>
      <c r="K4" s="73">
        <f>COUNTIF($D$19:$D$42,$J$1)</f>
        <v>0</v>
      </c>
      <c r="L4" s="72" cm="1">
        <f t="array" ref="L4">IFERROR(SUM(COUNTIFS(JUILLET[VN/VO/VD],"VO",JUILLET[Credit],{"MFS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COUNTIFS(JUILLET[Vendeur],"Timothé",JUILLET[VN/VO/VD],"VN")</f>
        <v>0</v>
      </c>
      <c r="C15" s="107">
        <f>COUNTIFS(JUILLET[Vendeur],"Timothé",JUILLET[VN/VO/VD],"VO")</f>
        <v>0</v>
      </c>
      <c r="D15" s="107">
        <f>COUNTIFS(JUILLET[Vendeur],"Timothé",JUILLET[VN/VO/VD],"VD")</f>
        <v>0</v>
      </c>
      <c r="E15" s="107">
        <f>COUNTIFS(JUILLET[Vendeur],"Timothé",I19:I42,"&lt;&gt;",I19:I42,"&lt;&gt;NON")</f>
        <v>0</v>
      </c>
      <c r="F15" s="107">
        <f>COUNTIFS(JUILLET[Vendeur],"Timothé",K19:K42,"&lt;&gt;",K19:K42,"&lt;&gt;NON")</f>
        <v>0</v>
      </c>
      <c r="G15" s="107">
        <f>COUNTIFS(JUILLET[Vendeur],"Timothé",G19:G42,"&lt;&gt;",G19:G42,"&lt;&gt;NON")</f>
        <v>0</v>
      </c>
      <c r="H15" s="107">
        <f>COUNTIFS(JUILLET[Vendeur],"Timothé",H19:H42,"&lt;&gt;",H19:H42,"&lt;&gt;NON")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COUNTIFS(JUILLET[Vendeur],"Cristian",JUILLET[VN/VO/VD],"VN")</f>
        <v>0</v>
      </c>
      <c r="C16" s="107">
        <f>COUNTIFS(JUILLET[Vendeur],"Cristian",JUILLET[VN/VO/VD],"VO")</f>
        <v>0</v>
      </c>
      <c r="D16" s="107">
        <f>COUNTIFS(JUILLET[Vendeur],"Cristian",JUILLET[VN/VO/VD],"VD")</f>
        <v>0</v>
      </c>
      <c r="E16" s="107">
        <f>COUNTIFS(JUILLET[Vendeur],"Cristian",I19:I42,"&lt;&gt;",I19:I42,"&lt;&gt;NON")</f>
        <v>0</v>
      </c>
      <c r="F16" s="107">
        <f>COUNTIFS(JUILLET[Vendeur],"Cristian",K19:K42,"&lt;&gt;",K19:K42,"&lt;&gt;NON")</f>
        <v>0</v>
      </c>
      <c r="G16" s="107">
        <f>COUNTIFS(JUILLET[Vendeur],"Cristian",G20:G43,"&lt;&gt;",G20:G43,"&lt;&gt;NON")</f>
        <v>0</v>
      </c>
      <c r="H16" s="107">
        <f>COUNTIFS(JUILLET[Vendeur],"Cristian",H19:H42,"&lt;&gt;",H19:H42,"&lt;&gt;NON")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61B28810-4FCF-491F-9B0D-35198025D73D}">
      <formula1>"Particulier,Société,Agent,MRA"</formula1>
    </dataValidation>
    <dataValidation type="list" allowBlank="1" showInputMessage="1" showErrorMessage="1" sqref="F20 A19:A42 D19:E42 G19:M42" xr:uid="{4C3F766A-13A5-4063-B360-F5FBF0820985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D02E5-388C-43A0-BF17-950184C64F70}">
  <sheetPr codeName="Feuil9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IFERROR(SUM(COUNTIFS(AOUT[VN/VO/VD],"VN",AOUT[Credit],{"Crédit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IFERROR(SUM(COUNTIFS(AOUT[VN/VO/VD],"VO",AOUT[Credit],{"Crédit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IFERROR(SUM(COUNTIFS(AOUT[VN/VO/VD],"VN",AOUT[Credit],{"MFS loc";"New Deal"}))/COUNTA(D19:D42),0)</f>
        <v>0</v>
      </c>
      <c r="K4" s="73">
        <f>COUNTIF($D$19:$D$42,$J$1)</f>
        <v>0</v>
      </c>
      <c r="L4" s="72" cm="1">
        <f t="array" ref="L4">IFERROR(SUM(COUNTIFS(AOUT[VN/VO/VD],"VO",AOUT[Credit],{"MFS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COUNTIFS(AOUT[Vendeur],"Timothé",AOUT[VN/VO/VD],"VN")</f>
        <v>0</v>
      </c>
      <c r="C15" s="107">
        <f>COUNTIFS(AOUT[Vendeur],"Timothé",AOUT[VN/VO/VD],"VO")</f>
        <v>0</v>
      </c>
      <c r="D15" s="107">
        <f>COUNTIFS(AOUT[Vendeur],"Timothé",AOUT[VN/VO/VD],"VD")</f>
        <v>0</v>
      </c>
      <c r="E15" s="107">
        <f>COUNTIFS(AOUT[Vendeur],"Timothé",I19:I42,"&lt;&gt;",I19:I42,"&lt;&gt;NON")</f>
        <v>0</v>
      </c>
      <c r="F15" s="107">
        <f>COUNTIFS(AOUT[Vendeur],"Timothé",K19:K42,"&lt;&gt;",K19:K42,"&lt;&gt;NON")</f>
        <v>0</v>
      </c>
      <c r="G15" s="107">
        <f>COUNTIFS(AOUT[Vendeur],"Timothé",G19:G42,"&lt;&gt;",G19:G42,"&lt;&gt;NON")</f>
        <v>0</v>
      </c>
      <c r="H15" s="107">
        <f>COUNTIFS(AOUT[Vendeur],"Timothé",H19:H42,"&lt;&gt;",H19:H42,"&lt;&gt;NON")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COUNTIFS(AOUT[Vendeur],"Cristian",AOUT[VN/VO/VD],"VN")</f>
        <v>0</v>
      </c>
      <c r="C16" s="107">
        <f>COUNTIFS(AOUT[Vendeur],"Cristian",AOUT[VN/VO/VD],"VO")</f>
        <v>0</v>
      </c>
      <c r="D16" s="107">
        <f>COUNTIFS(AOUT[Vendeur],"Cristian",AOUT[VN/VO/VD],"VD")</f>
        <v>0</v>
      </c>
      <c r="E16" s="107">
        <f>COUNTIFS(AOUT[Vendeur],"Cristian",I19:I42,"&lt;&gt;",I19:I42,"&lt;&gt;NON")</f>
        <v>0</v>
      </c>
      <c r="F16" s="107">
        <f>COUNTIFS(AOUT[Vendeur],"Cristian",K19:K42,"&lt;&gt;",K19:K42,"&lt;&gt;NON")</f>
        <v>0</v>
      </c>
      <c r="G16" s="107">
        <f>COUNTIFS(AOUT[Vendeur],"Cristian",G20:G43,"&lt;&gt;",G20:G43,"&lt;&gt;NON")</f>
        <v>0</v>
      </c>
      <c r="H16" s="107">
        <f>COUNTIFS(AOUT[Vendeur],"Cristian",H19:H42,"&lt;&gt;",H19:H42,"&lt;&gt;NON")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4C26EF28-51DF-4020-B068-7A226E739499}">
      <formula1>"Particulier,Société,Agent,MRA"</formula1>
    </dataValidation>
    <dataValidation type="list" allowBlank="1" showInputMessage="1" showErrorMessage="1" sqref="F20 G19:M42 D19:E42 A19:A42" xr:uid="{A4CC084F-48F3-40B4-BC9D-7E4C9624C2AC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9AB77-00EC-44B1-B653-8415B2930749}">
  <sheetPr codeName="Feuil10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IFERROR(SUM(COUNTIFS(SEPTEMBRE[VN/VO/VD],"VN",SEPTEMBRE[Credit],{"Crédit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IFERROR(SUM(COUNTIFS(SEPTEMBRE[VN/VO/VD],"VO",SEPTEMBRE[Credit],{"Crédit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IFERROR(SUM(COUNTIFS(SEPTEMBRE[VN/VO/VD],"VN",SEPTEMBRE[Credit],{"MFS loc";"New Deal"}))/COUNTA(D19:D42),0)</f>
        <v>0</v>
      </c>
      <c r="K4" s="73">
        <f>COUNTIF($D$19:$D$42,$J$1)</f>
        <v>0</v>
      </c>
      <c r="L4" s="72" cm="1">
        <f t="array" ref="L4">IFERROR(SUM(COUNTIFS(SEPTEMBRE[VN/VO/VD],"VO",SEPTEMBRE[Credit],{"MFS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COUNTIFS(SEPTEMBRE[Vendeur],"Timothé",SEPTEMBRE[VN/VO/VD],"VN")</f>
        <v>0</v>
      </c>
      <c r="C15" s="107">
        <f>COUNTIFS(SEPTEMBRE[Vendeur],"Timothé",SEPTEMBRE[VN/VO/VD],"VO")</f>
        <v>0</v>
      </c>
      <c r="D15" s="107">
        <f>COUNTIFS(SEPTEMBRE[Vendeur],"Timothé",SEPTEMBRE[VN/VO/VD],"VD")</f>
        <v>0</v>
      </c>
      <c r="E15" s="107">
        <f>COUNTIFS(SEPTEMBRE[Vendeur],"Timothé",I19:I42,"&lt;&gt;",I19:I42,"&lt;&gt;NON")</f>
        <v>0</v>
      </c>
      <c r="F15" s="107">
        <f>COUNTIFS(SEPTEMBRE[Vendeur],"Timothé",K19:K42,"&lt;&gt;",K19:K42,"&lt;&gt;NON")</f>
        <v>0</v>
      </c>
      <c r="G15" s="107">
        <f>COUNTIFS(SEPTEMBRE[Vendeur],"Timothé",G19:G42,"&lt;&gt;",G19:G42,"&lt;&gt;NON")</f>
        <v>0</v>
      </c>
      <c r="H15" s="107">
        <f>COUNTIFS(SEPTEMBRE[Vendeur],"Timothé",H19:H42,"&lt;&gt;",H19:H42,"&lt;&gt;NON")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COUNTIFS(SEPTEMBRE[Vendeur],"Cristian",SEPTEMBRE[VN/VO/VD],"VN")</f>
        <v>0</v>
      </c>
      <c r="C16" s="107">
        <f>COUNTIFS(SEPTEMBRE[Vendeur],"Cristian",SEPTEMBRE[VN/VO/VD],"VO")</f>
        <v>0</v>
      </c>
      <c r="D16" s="107">
        <f>COUNTIFS(SEPTEMBRE[Vendeur],"Cristian",SEPTEMBRE[VN/VO/VD],"VD")</f>
        <v>0</v>
      </c>
      <c r="E16" s="107">
        <f>COUNTIFS(SEPTEMBRE[Vendeur],"Cristian",I19:I42,"&lt;&gt;",I19:I42,"&lt;&gt;NON")</f>
        <v>0</v>
      </c>
      <c r="F16" s="107">
        <f>COUNTIFS(SEPTEMBRE[Vendeur],"Cristian",K19:K42,"&lt;&gt;",K19:K42,"&lt;&gt;NON")</f>
        <v>0</v>
      </c>
      <c r="G16" s="107">
        <f>COUNTIFS(SEPTEMBRE[Vendeur],"Cristian",G20:G43,"&lt;&gt;",G20:G43,"&lt;&gt;NON")</f>
        <v>0</v>
      </c>
      <c r="H16" s="107">
        <f>COUNTIFS(SEPTEMBRE[Vendeur],"Cristian",H19:H42,"&lt;&gt;",H19:H42,"&lt;&gt;NON")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2810BB97-BC78-447C-A59F-621085EE8D9B}">
      <formula1>"Particulier,Société,Agent,MRA"</formula1>
    </dataValidation>
    <dataValidation type="list" allowBlank="1" showInputMessage="1" showErrorMessage="1" sqref="F20 A19:A42 D19:E42 G19:M42" xr:uid="{9DCDDAD7-D653-41B5-B2E7-3A23DBE8A2BB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92A3B-54E4-4339-85F5-F4E3488B04C5}">
  <sheetPr codeName="Feuil11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IFERROR(SUM(COUNTIFS(OCTOBRE[VN/VO/VD],"VN",OCTOBRE[Credit],{"Crédit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IFERROR(SUM(COUNTIFS(OCTOBRE[VN/VO/VD],"VO",OCTOBRE[Credit],{"Crédit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IFERROR(SUM(COUNTIFS(OCTOBRE[VN/VO/VD],"VN",OCTOBRE[Credit],{"MFS loc";"New Deal"}))/COUNTA(D19:D42),0)</f>
        <v>0</v>
      </c>
      <c r="K4" s="73">
        <f>COUNTIF($D$19:$D$42,$J$1)</f>
        <v>0</v>
      </c>
      <c r="L4" s="72" cm="1">
        <f t="array" ref="L4">IFERROR(SUM(COUNTIFS(OCTOBRE[VN/VO/VD],"VO",OCTOBRE[Credit],{"MFS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COUNTIFS(OCTOBRE[Vendeur],"Timothé",OCTOBRE[VN/VO/VD],"VN")</f>
        <v>0</v>
      </c>
      <c r="C15" s="107">
        <f>COUNTIFS(OCTOBRE[Vendeur],"Timothé",OCTOBRE[VN/VO/VD],"VO")</f>
        <v>0</v>
      </c>
      <c r="D15" s="107">
        <f>COUNTIFS(OCTOBRE[Vendeur],"Timothé",OCTOBRE[VN/VO/VD],"VD")</f>
        <v>0</v>
      </c>
      <c r="E15" s="107">
        <f>COUNTIFS(OCTOBRE[Vendeur],"Timothé",I19:I42,"&lt;&gt;",I19:I42,"&lt;&gt;NON")</f>
        <v>0</v>
      </c>
      <c r="F15" s="107">
        <f>COUNTIFS(OCTOBRE[Vendeur],"Timothé",K19:K42,"&lt;&gt;",K19:K42,"&lt;&gt;NON")</f>
        <v>0</v>
      </c>
      <c r="G15" s="107">
        <f>COUNTIFS(OCTOBRE[Vendeur],"Timothé",G19:G42,"&lt;&gt;",G19:G42,"&lt;&gt;NON")</f>
        <v>0</v>
      </c>
      <c r="H15" s="107">
        <f>COUNTIFS(OCTOBRE[Vendeur],"Timothé",H19:H42,"&lt;&gt;",H19:H42,"&lt;&gt;NON")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COUNTIFS(OCTOBRE[Vendeur],"Cristian",OCTOBRE[VN/VO/VD],"VN")</f>
        <v>0</v>
      </c>
      <c r="C16" s="107">
        <f>COUNTIFS(OCTOBRE[Vendeur],"Cristian",OCTOBRE[VN/VO/VD],"VO")</f>
        <v>0</v>
      </c>
      <c r="D16" s="107">
        <f>COUNTIFS(OCTOBRE[Vendeur],"Cristian",OCTOBRE[VN/VO/VD],"VD")</f>
        <v>0</v>
      </c>
      <c r="E16" s="107">
        <f>COUNTIFS(OCTOBRE[Vendeur],"Cristian",I19:I42,"&lt;&gt;",I19:I42,"&lt;&gt;NON")</f>
        <v>0</v>
      </c>
      <c r="F16" s="107">
        <f>COUNTIFS(OCTOBRE[Vendeur],"Cristian",K19:K42,"&lt;&gt;",K19:K42,"&lt;&gt;NON")</f>
        <v>0</v>
      </c>
      <c r="G16" s="107">
        <f>COUNTIFS(OCTOBRE[Vendeur],"Cristian",G20:G43,"&lt;&gt;",G20:G43,"&lt;&gt;NON")</f>
        <v>0</v>
      </c>
      <c r="H16" s="107">
        <f>COUNTIFS(OCTOBRE[Vendeur],"Cristian",H19:H42,"&lt;&gt;",H19:H42,"&lt;&gt;NON")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26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1C73C751-506E-446A-BC68-3F49AD60CD5A}">
      <formula1>"Particulier,Société,Agent,MRA"</formula1>
    </dataValidation>
    <dataValidation type="list" allowBlank="1" showInputMessage="1" showErrorMessage="1" sqref="F20 G19:M42 D19:E42 A19:A42" xr:uid="{AA237DC9-078E-4697-B54C-FFD75394B7A2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783E22-991B-47E6-A9BE-63A84D9AD83B}">
  <sheetPr codeName="Feuil12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IFERROR(SUM(COUNTIFS(NOVEMBRE[VN/VO/VD],"VN",NOVEMBRE[Credit],{"Crédit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IFERROR(SUM(COUNTIFS(NOVEMBRE[VN/VO/VD],"VO",NOVEMBRE[Credit],{"Crédit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IFERROR(SUM(COUNTIFS(NOVEMBRE[VN/VO/VD],"VN",NOVEMBRE[Credit],{"MFS loc";"New Deal"}))/COUNTA(D19:D42),0)</f>
        <v>0</v>
      </c>
      <c r="K4" s="73">
        <f>COUNTIF($D$19:$D$42,$J$1)</f>
        <v>0</v>
      </c>
      <c r="L4" s="72" cm="1">
        <f t="array" ref="L4">IFERROR(SUM(COUNTIFS(NOVEMBRE[VN/VO/VD],"VO",NOVEMBRE[Credit],{"MFS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COUNTIFS(NOVEMBRE[Vendeur],"Timothé",NOVEMBRE[VN/VO/VD],"VN")</f>
        <v>0</v>
      </c>
      <c r="C15" s="107">
        <f>COUNTIFS(NOVEMBRE[Vendeur],"Timothé",NOVEMBRE[VN/VO/VD],"VO")</f>
        <v>0</v>
      </c>
      <c r="D15" s="107">
        <f>COUNTIFS(NOVEMBRE[Vendeur],"Timothé",NOVEMBRE[VN/VO/VD],"VD")</f>
        <v>0</v>
      </c>
      <c r="E15" s="107">
        <f>COUNTIFS(NOVEMBRE[Vendeur],"Timothé",I19:I42,"&lt;&gt;",I19:I42,"&lt;&gt;NON")</f>
        <v>0</v>
      </c>
      <c r="F15" s="107">
        <f>COUNTIFS(NOVEMBRE[Vendeur],"Timothé",K19:K42,"&lt;&gt;",K19:K42,"&lt;&gt;NON")</f>
        <v>0</v>
      </c>
      <c r="G15" s="107">
        <f>COUNTIFS(NOVEMBRE[Vendeur],"Timothé",G19:G42,"&lt;&gt;",G19:G42,"&lt;&gt;NON")</f>
        <v>0</v>
      </c>
      <c r="H15" s="107">
        <f>COUNTIFS(NOVEMBRE[Vendeur],"Timothé",H19:H42,"&lt;&gt;",H19:H42,"&lt;&gt;NON")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COUNTIFS(NOVEMBRE[Vendeur],"Cristian",NOVEMBRE[VN/VO/VD],"VN")</f>
        <v>0</v>
      </c>
      <c r="C16" s="107">
        <f>COUNTIFS(NOVEMBRE[Vendeur],"Cristian",NOVEMBRE[VN/VO/VD],"VO")</f>
        <v>0</v>
      </c>
      <c r="D16" s="107">
        <f>COUNTIFS(NOVEMBRE[Vendeur],"Cristian",NOVEMBRE[VN/VO/VD],"VD")</f>
        <v>0</v>
      </c>
      <c r="E16" s="107">
        <f>COUNTIFS(NOVEMBRE[Vendeur],"Cristian",I19:I42,"&lt;&gt;",I19:I42,"&lt;&gt;NON")</f>
        <v>0</v>
      </c>
      <c r="F16" s="107">
        <f>COUNTIFS(NOVEMBRE[Vendeur],"Cristian",K19:K42,"&lt;&gt;",K19:K42,"&lt;&gt;NON")</f>
        <v>0</v>
      </c>
      <c r="G16" s="107">
        <f>COUNTIFS(NOVEMBRE[Vendeur],"Cristian",G20:G43,"&lt;&gt;",G20:G43,"&lt;&gt;NON")</f>
        <v>0</v>
      </c>
      <c r="H16" s="107">
        <f>COUNTIFS(NOVEMBRE[Vendeur],"Cristian",H19:H42,"&lt;&gt;",H19:H42,"&lt;&gt;NON")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26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CF5646E7-32C2-44ED-B2AC-6E8B455BE01F}">
      <formula1>"Particulier,Société,Agent,MRA"</formula1>
    </dataValidation>
    <dataValidation type="list" allowBlank="1" showInputMessage="1" showErrorMessage="1" sqref="F20 A19:A42 D19:E42 G19:M42" xr:uid="{2D8B820B-A363-4E1B-A035-DE3768994BD8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AF80D-E52C-4257-A42F-187D980FB410}">
  <sheetPr codeName="Feuil13"/>
  <dimension ref="A1:Q54"/>
  <sheetViews>
    <sheetView workbookViewId="0">
      <selection activeCell="M17" sqref="M17"/>
    </sheetView>
  </sheetViews>
  <sheetFormatPr baseColWidth="10" defaultColWidth="11.54296875" defaultRowHeight="14.5" x14ac:dyDescent="0.35"/>
  <cols>
    <col min="1" max="1" width="12.26953125" customWidth="1"/>
    <col min="2" max="2" width="10.81640625" style="8" customWidth="1"/>
    <col min="3" max="3" width="14.7265625" bestFit="1" customWidth="1"/>
    <col min="4" max="6" width="12.81640625" customWidth="1"/>
    <col min="7" max="8" width="10.7265625" customWidth="1"/>
    <col min="9" max="9" width="19" bestFit="1" customWidth="1"/>
    <col min="10" max="10" width="16.1796875" bestFit="1" customWidth="1"/>
    <col min="11" max="11" width="16.453125" customWidth="1"/>
    <col min="12" max="13" width="12.26953125" bestFit="1" customWidth="1"/>
    <col min="14" max="14" width="15.26953125" style="17" customWidth="1"/>
    <col min="15" max="17" width="12.26953125" customWidth="1"/>
    <col min="18" max="18" width="9.26953125" customWidth="1"/>
    <col min="19" max="19" width="12.1796875" bestFit="1" customWidth="1"/>
    <col min="20" max="22" width="9.26953125" customWidth="1"/>
  </cols>
  <sheetData>
    <row r="1" spans="1:17" ht="16.5" customHeight="1" x14ac:dyDescent="0.3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5" x14ac:dyDescent="0.3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IFERROR(SUM(COUNTIFS(DECEMBRE[VN/VO/VD],"VN",DECEMBRE[Credit],{"Crédit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IFERROR(SUM(COUNTIFS(DECEMBRE[VN/VO/VD],"VO",DECEMBRE[Credit],{"Crédit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3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3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IFERROR(SUM(COUNTIFS(DECEMBRE[VN/VO/VD],"VN",DECEMBRE[Credit],{"MFS loc";"New Deal"}))/COUNTA(D19:D42),0)</f>
        <v>0</v>
      </c>
      <c r="K4" s="73">
        <f>COUNTIF($D$19:$D$42,$J$1)</f>
        <v>0</v>
      </c>
      <c r="L4" s="72" cm="1">
        <f t="array" ref="L4">IFERROR(SUM(COUNTIFS(DECEMBRE[VN/VO/VD],"VO",DECEMBRE[Credit],{"MFS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5" customHeight="1" x14ac:dyDescent="0.3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5" customHeight="1" x14ac:dyDescent="0.3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5" customHeight="1" x14ac:dyDescent="0.3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5" customHeight="1" x14ac:dyDescent="0.3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5" customHeight="1" x14ac:dyDescent="0.3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5" customHeight="1" x14ac:dyDescent="0.3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3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5" customHeight="1" x14ac:dyDescent="0.3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5" customHeight="1" x14ac:dyDescent="0.3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5" customHeight="1" x14ac:dyDescent="0.3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5" customHeight="1" x14ac:dyDescent="0.35">
      <c r="A15" s="112" t="s">
        <v>72</v>
      </c>
      <c r="B15" s="107">
        <f>COUNTIFS(DECEMBRE[Vendeur],"Timothé",DECEMBRE[VN/VO/VD],"VN")</f>
        <v>0</v>
      </c>
      <c r="C15" s="107">
        <f>COUNTIFS(DECEMBRE[Vendeur],"Timothé",DECEMBRE[VN/VO/VD],"VO")</f>
        <v>0</v>
      </c>
      <c r="D15" s="107">
        <f>COUNTIFS(DECEMBRE[Vendeur],"Timothé",DECEMBRE[VN/VO/VD],"VD")</f>
        <v>0</v>
      </c>
      <c r="E15" s="107">
        <f>COUNTIFS(DECEMBRE[Vendeur],"Timothé",I19:I42,"&lt;&gt;",I19:I42,"&lt;&gt;NON")</f>
        <v>0</v>
      </c>
      <c r="F15" s="107">
        <f>COUNTIFS(DECEMBRE[Vendeur],"Timothé",K19:K42,"&lt;&gt;",K19:K42,"&lt;&gt;NON")</f>
        <v>0</v>
      </c>
      <c r="G15" s="107">
        <f>COUNTIFS(DECEMBRE[Vendeur],"Timothé",G19:G42,"&lt;&gt;",G19:G42,"&lt;&gt;NON")</f>
        <v>0</v>
      </c>
      <c r="H15" s="107">
        <f>COUNTIFS(DECEMBRE[Vendeur],"Timothé",H19:H42,"&lt;&gt;",H19:H42,"&lt;&gt;NON")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5" customHeight="1" x14ac:dyDescent="0.35">
      <c r="A16" s="113" t="s">
        <v>73</v>
      </c>
      <c r="B16" s="107">
        <f>COUNTIFS(DECEMBRE[Vendeur],"Cristian",DECEMBRE[VN/VO/VD],"VN")</f>
        <v>0</v>
      </c>
      <c r="C16" s="107">
        <f>COUNTIFS(DECEMBRE[Vendeur],"Cristian",DECEMBRE[VN/VO/VD],"VO")</f>
        <v>0</v>
      </c>
      <c r="D16" s="107">
        <f>COUNTIFS(DECEMBRE[Vendeur],"Cristian",DECEMBRE[VN/VO/VD],"VD")</f>
        <v>0</v>
      </c>
      <c r="E16" s="107">
        <f>COUNTIFS(DECEMBRE[Vendeur],"Cristian",I19:I42,"&lt;&gt;",I19:I42,"&lt;&gt;NON")</f>
        <v>0</v>
      </c>
      <c r="F16" s="107">
        <f>COUNTIFS(DECEMBRE[Vendeur],"Cristian",K19:K42,"&lt;&gt;",K19:K42,"&lt;&gt;NON")</f>
        <v>0</v>
      </c>
      <c r="G16" s="107">
        <f>COUNTIFS(DECEMBRE[Vendeur],"Cristian",G20:G43,"&lt;&gt;",G20:G43,"&lt;&gt;NON")</f>
        <v>0</v>
      </c>
      <c r="H16" s="107">
        <f>COUNTIFS(DECEMBRE[Vendeur],"Cristian",H19:H42,"&lt;&gt;",H19:H42,"&lt;&gt;NON")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0</v>
      </c>
      <c r="N16" s="123" t="s">
        <v>89</v>
      </c>
    </row>
    <row r="17" spans="1:17" ht="14.5" customHeight="1" x14ac:dyDescent="0.3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26">
        <f>SUM(B16:D16)</f>
        <v>0</v>
      </c>
      <c r="N17" s="123" t="s">
        <v>89</v>
      </c>
    </row>
    <row r="18" spans="1:17" ht="30" customHeight="1" x14ac:dyDescent="0.3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3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3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3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3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3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3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3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3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3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3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3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3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3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3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3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3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3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3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3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3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3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3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3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3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35">
      <c r="B43"/>
      <c r="N43"/>
    </row>
    <row r="44" spans="1:14" x14ac:dyDescent="0.35">
      <c r="B44"/>
      <c r="N44"/>
    </row>
    <row r="45" spans="1:14" x14ac:dyDescent="0.35">
      <c r="B45"/>
      <c r="N45"/>
    </row>
    <row r="46" spans="1:14" x14ac:dyDescent="0.35">
      <c r="B46"/>
      <c r="N46"/>
    </row>
    <row r="47" spans="1:14" x14ac:dyDescent="0.35">
      <c r="B47"/>
      <c r="N47"/>
    </row>
    <row r="48" spans="1:14" x14ac:dyDescent="0.35">
      <c r="B48"/>
      <c r="N48"/>
    </row>
    <row r="49" spans="2:17" x14ac:dyDescent="0.35">
      <c r="B49"/>
      <c r="N49"/>
    </row>
    <row r="50" spans="2:17" x14ac:dyDescent="0.35">
      <c r="B50"/>
      <c r="N50"/>
    </row>
    <row r="51" spans="2:17" x14ac:dyDescent="0.35">
      <c r="B51"/>
      <c r="N51"/>
    </row>
    <row r="52" spans="2:17" x14ac:dyDescent="0.35">
      <c r="B52"/>
      <c r="N52"/>
    </row>
    <row r="53" spans="2:17" x14ac:dyDescent="0.35">
      <c r="B53"/>
      <c r="N53"/>
    </row>
    <row r="54" spans="2:17" x14ac:dyDescent="0.3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2">
    <dataValidation type="list" allowBlank="1" showInputMessage="1" showErrorMessage="1" sqref="F21:F24 F19" xr:uid="{DCD4C65C-4979-44EB-BBD8-993DEA09C258}">
      <formula1>"Particulier,Société,Agent,MRA"</formula1>
    </dataValidation>
    <dataValidation type="list" allowBlank="1" showInputMessage="1" showErrorMessage="1" sqref="F20 G19:M42 D19:E42 A19:A42" xr:uid="{C48B3824-3546-4F19-B864-82604CA10429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3E47C-448B-4283-82A7-0D858707CD56}">
  <sheetPr>
    <tabColor rgb="FFC00000"/>
  </sheetPr>
  <dimension ref="A1"/>
  <sheetViews>
    <sheetView workbookViewId="0">
      <selection activeCell="J24" sqref="J24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Annuel</vt:lpstr>
      <vt:lpstr>Début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Fin</vt:lpstr>
      <vt:lpstr>_FilterDatabase_4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Figest</dc:creator>
  <cp:lastModifiedBy>JB_</cp:lastModifiedBy>
  <cp:revision>0</cp:revision>
  <cp:lastPrinted>2021-04-08T08:21:17Z</cp:lastPrinted>
  <dcterms:created xsi:type="dcterms:W3CDTF">2016-09-08T12:22:39Z</dcterms:created>
  <dcterms:modified xsi:type="dcterms:W3CDTF">2025-11-16T20:06:19Z</dcterms:modified>
</cp:coreProperties>
</file>