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 activeTab="1"/>
  </bookViews>
  <sheets>
    <sheet name="A" sheetId="1" r:id="rId1"/>
    <sheet name="Feuil2" sheetId="2" r:id="rId2"/>
  </sheets>
  <definedNames>
    <definedName name="DonnéesExternes_1" localSheetId="1" hidden="1">Feuil2!$A$1:$F$24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H7" i="1"/>
  <c r="I7" i="1"/>
  <c r="J7" i="1"/>
  <c r="K7" i="1"/>
  <c r="L7" i="1"/>
  <c r="M7" i="1"/>
  <c r="N7" i="1"/>
  <c r="O7" i="1"/>
  <c r="P7" i="1"/>
  <c r="Q7" i="1"/>
  <c r="T7" i="1"/>
  <c r="S7" i="1"/>
  <c r="G7" i="1"/>
  <c r="F7" i="1"/>
  <c r="C7" i="1"/>
  <c r="B7" i="1"/>
  <c r="U6" i="1"/>
  <c r="D6" i="1"/>
  <c r="E6" i="1" s="1"/>
  <c r="V6" i="1" s="1"/>
  <c r="U5" i="1"/>
  <c r="D5" i="1"/>
  <c r="E5" i="1" s="1"/>
  <c r="V5" i="1" s="1"/>
  <c r="U4" i="1"/>
  <c r="D4" i="1"/>
  <c r="E4" i="1" s="1"/>
  <c r="U3" i="1"/>
  <c r="D3" i="1"/>
  <c r="W6" i="1" l="1"/>
  <c r="D7" i="1"/>
  <c r="X6" i="1"/>
  <c r="R7" i="1"/>
  <c r="V4" i="1"/>
  <c r="X4" i="1"/>
  <c r="W4" i="1"/>
  <c r="U7" i="1"/>
  <c r="W5" i="1"/>
  <c r="X5" i="1"/>
  <c r="E3" i="1"/>
  <c r="X3" i="1" l="1"/>
  <c r="X7" i="1" s="1"/>
  <c r="V3" i="1"/>
  <c r="E7" i="1"/>
  <c r="V7" i="1" s="1"/>
  <c r="W3" i="1"/>
  <c r="W7" i="1" l="1"/>
</calcChain>
</file>

<file path=xl/connections.xml><?xml version="1.0" encoding="utf-8"?>
<connections xmlns="http://schemas.openxmlformats.org/spreadsheetml/2006/main">
  <connection id="1" keepAlive="1" name="Requête - TAB_MO" description="Connexion à la requête « TAB_MO » dans le classeur." type="5" refreshedVersion="6" background="1" saveData="1">
    <dbPr connection="Provider=Microsoft.Mashup.OleDb.1;Data Source=$Workbook$;Location=TAB_MO;Extended Properties=&quot;&quot;" command="SELECT * FROM [TAB_MO]"/>
  </connection>
</connections>
</file>

<file path=xl/sharedStrings.xml><?xml version="1.0" encoding="utf-8"?>
<sst xmlns="http://schemas.openxmlformats.org/spreadsheetml/2006/main" count="58" uniqueCount="31">
  <si>
    <t>TITULAIRE / sous-traitants / Fournisseurs</t>
  </si>
  <si>
    <t>MARCHE HT</t>
  </si>
  <si>
    <t>AVENANTS HT</t>
  </si>
  <si>
    <r>
      <rPr>
        <b/>
        <sz val="10"/>
        <rFont val="Calibri"/>
        <family val="2"/>
        <scheme val="minor"/>
      </rPr>
      <t>MARCHE DE BASE
+ AVENANTS HT</t>
    </r>
  </si>
  <si>
    <r>
      <rPr>
        <b/>
        <sz val="10"/>
        <rFont val="Calibri"/>
        <family val="2"/>
        <scheme val="minor"/>
      </rPr>
      <t>MARCHE DE BASE
+ AVENANTS TTC</t>
    </r>
  </si>
  <si>
    <t>Situation 1</t>
  </si>
  <si>
    <t>Situation 2</t>
  </si>
  <si>
    <t>Situation 3</t>
  </si>
  <si>
    <t>Situation 4</t>
  </si>
  <si>
    <t>Situation 5</t>
  </si>
  <si>
    <t>Situation 6</t>
  </si>
  <si>
    <t>Situation 7</t>
  </si>
  <si>
    <t>Situation 8</t>
  </si>
  <si>
    <t>Situation 9</t>
  </si>
  <si>
    <t>Situation 10</t>
  </si>
  <si>
    <t>Situation 11</t>
  </si>
  <si>
    <t>Situation 12</t>
  </si>
  <si>
    <t>NB factures réglées</t>
  </si>
  <si>
    <t>Avancement Montants cumulés (Hors révisions) TTC</t>
  </si>
  <si>
    <t>Indication des révisions de prix réglées en plus des honos TTC</t>
  </si>
  <si>
    <t>TOTAL REGLE (honos + révisions)</t>
  </si>
  <si>
    <t>% d'avancement (hors révision)</t>
  </si>
  <si>
    <t>% d'avancement (avec révision)</t>
  </si>
  <si>
    <t>RESTE A PAYER TTC (hors révisions)</t>
  </si>
  <si>
    <t>Total</t>
  </si>
  <si>
    <t>Y</t>
  </si>
  <si>
    <t>X</t>
  </si>
  <si>
    <t>Z</t>
  </si>
  <si>
    <t>N</t>
  </si>
  <si>
    <t>MARCHE DE BASE
+ AVENANTS HT</t>
  </si>
  <si>
    <t>MARCHE DE BASE
+ AVENANTS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</si>
</sst>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5">
    <xf numFmtId="0" fontId="0" fillId="0" borderId="0" xfId="0"/>
    <xf numFmtId="0" fontId="3" fillId="0" borderId="0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right" vertical="center" shrinkToFit="1"/>
    </xf>
    <xf numFmtId="44" fontId="6" fillId="0" borderId="3" xfId="2" applyNumberFormat="1" applyFont="1" applyFill="1" applyBorder="1" applyAlignment="1">
      <alignment horizontal="center" vertical="center" shrinkToFit="1"/>
    </xf>
    <xf numFmtId="0" fontId="6" fillId="0" borderId="3" xfId="2" applyNumberFormat="1" applyFont="1" applyFill="1" applyBorder="1" applyAlignment="1">
      <alignment horizontal="center" vertical="center" shrinkToFit="1"/>
    </xf>
    <xf numFmtId="44" fontId="6" fillId="0" borderId="3" xfId="2" applyNumberFormat="1" applyFont="1" applyBorder="1" applyAlignment="1">
      <alignment horizontal="right" vertical="center" shrinkToFit="1"/>
    </xf>
    <xf numFmtId="10" fontId="6" fillId="0" borderId="3" xfId="1" applyNumberFormat="1" applyFont="1" applyBorder="1" applyAlignment="1">
      <alignment horizontal="center" vertical="center" shrinkToFit="1"/>
    </xf>
    <xf numFmtId="10" fontId="6" fillId="0" borderId="3" xfId="2" applyNumberFormat="1" applyFont="1" applyBorder="1" applyAlignment="1">
      <alignment horizontal="center" vertical="center" shrinkToFit="1"/>
    </xf>
    <xf numFmtId="44" fontId="7" fillId="0" borderId="3" xfId="2" applyNumberFormat="1" applyFont="1" applyBorder="1" applyAlignment="1">
      <alignment horizontal="right" vertical="center" shrinkToFit="1"/>
    </xf>
    <xf numFmtId="44" fontId="6" fillId="2" borderId="3" xfId="2" applyNumberFormat="1" applyFont="1" applyFill="1" applyBorder="1" applyAlignment="1">
      <alignment horizontal="center" vertical="center" shrinkToFit="1"/>
    </xf>
    <xf numFmtId="0" fontId="6" fillId="2" borderId="3" xfId="2" applyNumberFormat="1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right" vertical="center" shrinkToFit="1"/>
    </xf>
    <xf numFmtId="0" fontId="6" fillId="0" borderId="1" xfId="0" applyNumberFormat="1" applyFont="1" applyFill="1" applyBorder="1" applyAlignment="1" applyProtection="1">
      <alignment horizontal="center" vertical="center" shrinkToFit="1"/>
    </xf>
    <xf numFmtId="10" fontId="6" fillId="0" borderId="1" xfId="1" applyNumberFormat="1" applyFont="1" applyFill="1" applyBorder="1" applyAlignment="1" applyProtection="1">
      <alignment horizontal="center" vertical="center" shrinkToFit="1"/>
    </xf>
    <xf numFmtId="10" fontId="6" fillId="0" borderId="1" xfId="0" applyNumberFormat="1" applyFont="1" applyFill="1" applyBorder="1" applyAlignment="1" applyProtection="1">
      <alignment horizontal="center" vertical="center" shrinkToFit="1"/>
    </xf>
    <xf numFmtId="164" fontId="0" fillId="0" borderId="0" xfId="0" applyNumberFormat="1"/>
    <xf numFmtId="44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wrapText="1"/>
    </xf>
    <xf numFmtId="0" fontId="0" fillId="0" borderId="0" xfId="1" applyNumberFormat="1" applyFont="1"/>
  </cellXfs>
  <cellStyles count="3">
    <cellStyle name="Normal" xfId="0" builtinId="0"/>
    <cellStyle name="Normal 3" xfId="2"/>
    <cellStyle name="Pourcentage" xfId="1" builtinId="5"/>
  </cellStyles>
  <dxfs count="5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gray0625"/>
      </fill>
    </dxf>
    <dxf>
      <numFmt numFmtId="0" formatCode="General"/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4" formatCode="0.00%"/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4" formatCode="0.00%"/>
      <alignment horizontal="center" vertical="center" textRotation="0" wrapText="0" indent="0" justifyLastLine="0" shrinkToFit="1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1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/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alignment horizontal="right" vertical="center" textRotation="0" wrapText="0" indent="0" justifyLastLine="0" shrinkToFit="1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alignment horizontal="right" vertical="center" textRotation="0" wrapText="0" indent="0" justifyLastLine="0" shrinkToFit="1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alignment horizontal="right" vertical="center" textRotation="0" wrapText="0" indent="0" justifyLastLine="0" shrinkToFit="1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64" formatCode="#,##0.00\ &quot;€&quot;"/>
      <alignment horizontal="right" vertical="center" textRotation="0" wrapText="0" indent="0" justifyLastLine="0" shrinkToFit="1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000000"/>
        </top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right" vertical="center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25">
    <queryTableFields count="6">
      <queryTableField id="1" name="TITULAIRE / sous-traitants / Fournisseurs" tableColumnId="73"/>
      <queryTableField id="2" name="Y" tableColumnId="74"/>
      <queryTableField id="3" name="X" tableColumnId="75"/>
      <queryTableField id="4" name="Z" tableColumnId="76"/>
      <queryTableField id="5" name="N" tableColumnId="77"/>
      <queryTableField id="6" name="Total" tableColumnId="7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_MO" displayName="TAB_MO" ref="A2:X7" totalsRowCount="1" headerRowDxfId="57" dataDxfId="56" tableBorderDxfId="55" headerRowCellStyle="Normal 3" dataCellStyle="Normal 3">
  <autoFilter ref="A2:X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name="TITULAIRE / sous-traitants / Fournisseurs" totalsRowLabel="Total" dataDxfId="54" totalsRowDxfId="29" dataCellStyle="Normal 3"/>
    <tableColumn id="2" name="MARCHE HT" totalsRowFunction="sum" dataDxfId="53" totalsRowDxfId="28" dataCellStyle="Normal 3"/>
    <tableColumn id="3" name="AVENANTS HT" totalsRowFunction="sum" dataDxfId="52" totalsRowDxfId="27" dataCellStyle="Normal 3"/>
    <tableColumn id="4" name="MARCHE DE BASE_x000a_+ AVENANTS HT" totalsRowFunction="sum" dataDxfId="51" totalsRowDxfId="26" dataCellStyle="Normal 3">
      <calculatedColumnFormula>B3+C3</calculatedColumnFormula>
    </tableColumn>
    <tableColumn id="5" name="MARCHE DE BASE_x000a_+ AVENANTS TTC" totalsRowFunction="sum" dataDxfId="50" totalsRowDxfId="25" dataCellStyle="Normal 3">
      <calculatedColumnFormula>D3*1.2</calculatedColumnFormula>
    </tableColumn>
    <tableColumn id="6" name="Situation 1" totalsRowFunction="sum" dataDxfId="49" totalsRowDxfId="24"/>
    <tableColumn id="7" name="Situation 2" totalsRowFunction="sum" dataDxfId="48" totalsRowDxfId="23"/>
    <tableColumn id="8" name="Situation 3" totalsRowFunction="sum" dataDxfId="41" totalsRowDxfId="22"/>
    <tableColumn id="9" name="Situation 4" totalsRowFunction="sum" dataDxfId="40" totalsRowDxfId="21"/>
    <tableColumn id="10" name="Situation 5" totalsRowFunction="sum" dataDxfId="39" totalsRowDxfId="20"/>
    <tableColumn id="11" name="Situation 6" totalsRowFunction="sum" dataDxfId="38" totalsRowDxfId="19"/>
    <tableColumn id="12" name="Situation 7" totalsRowFunction="sum" dataDxfId="37" totalsRowDxfId="18"/>
    <tableColumn id="13" name="Situation 8" totalsRowFunction="sum" dataDxfId="36" totalsRowDxfId="17" dataCellStyle="Normal 3"/>
    <tableColumn id="14" name="Situation 9" totalsRowFunction="sum" dataDxfId="35" totalsRowDxfId="16"/>
    <tableColumn id="15" name="Situation 10" totalsRowFunction="sum" dataDxfId="34" totalsRowDxfId="15"/>
    <tableColumn id="16" name="Situation 11" totalsRowFunction="sum" dataDxfId="33" totalsRowDxfId="14"/>
    <tableColumn id="17" name="Situation 12" totalsRowFunction="sum" dataDxfId="32" totalsRowDxfId="13"/>
    <tableColumn id="28" name="NB factures réglées" totalsRowFunction="sum" dataDxfId="31" totalsRowDxfId="12">
      <calculatedColumnFormula>COUNTIF(TAB_MO[[#This Row],[Situation 1]:[Situation 12]],"&lt;&gt;")</calculatedColumnFormula>
    </tableColumn>
    <tableColumn id="21" name="Avancement Montants cumulés (Hors révisions) TTC" totalsRowFunction="sum" dataDxfId="47" totalsRowDxfId="11" dataCellStyle="Normal 3"/>
    <tableColumn id="22" name="Indication des révisions de prix réglées en plus des honos TTC" totalsRowFunction="sum" dataDxfId="46" totalsRowDxfId="10" dataCellStyle="Normal 3"/>
    <tableColumn id="23" name="TOTAL REGLE (honos + révisions)" totalsRowFunction="sum" dataDxfId="45" totalsRowDxfId="9" dataCellStyle="Normal 3">
      <calculatedColumnFormula>IF(SUM(TAB_MO[[#This Row],[Situation 1]:[Situation 12]])=TAB_MO[[#This Row],[Avancement Montants cumulés (Hors révisions) TTC]]+TAB_MO[[#This Row],[Indication des révisions de prix réglées en plus des honos TTC]],TAB_MO[[#This Row],[Avancement Montants cumulés (Hors révisions) TTC]]+TAB_MO[[#This Row],[Indication des révisions de prix réglées en plus des honos TTC]],"ERREUR")</calculatedColumnFormula>
    </tableColumn>
    <tableColumn id="19" name="% d'avancement (hors révision)" totalsRowFunction="custom" dataDxfId="44" totalsRowDxfId="8" dataCellStyle="Pourcentage">
      <calculatedColumnFormula>TAB_MO[[#This Row],[Avancement Montants cumulés (Hors révisions) TTC]]/TAB_MO[[#This Row],[MARCHE DE BASE
+ AVENANTS TTC]]</calculatedColumnFormula>
      <totalsRowFormula>TAB_MO[[#Totals],[Avancement Montants cumulés (Hors révisions) TTC]]/TAB_MO[[#Totals],[MARCHE DE BASE
+ AVENANTS TTC]]</totalsRowFormula>
    </tableColumn>
    <tableColumn id="24" name="% d'avancement (avec révision)" totalsRowFunction="custom" dataDxfId="43" totalsRowDxfId="7" dataCellStyle="Pourcentage">
      <calculatedColumnFormula>TAB_MO[[#This Row],[TOTAL REGLE (honos + révisions)]]/TAB_MO[[#This Row],[MARCHE DE BASE
+ AVENANTS TTC]]</calculatedColumnFormula>
      <totalsRowFormula>TAB_MO[[#Totals],[TOTAL REGLE (honos + révisions)]]/TAB_MO[[#Totals],[MARCHE DE BASE
+ AVENANTS TTC]]</totalsRowFormula>
    </tableColumn>
    <tableColumn id="25" name="RESTE A PAYER TTC (hors révisions)" totalsRowFunction="sum" dataDxfId="42" totalsRowDxfId="6" dataCellStyle="Normal 3">
      <calculatedColumnFormula>TAB_MO[[#This Row],[MARCHE DE BASE
+ AVENANTS TTC]]-TAB_MO[[#This Row],[Avancement Montants cumulés (Hors révisions) TTC]]</calculatedColumnFormula>
    </tableColumn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TAB_MO_2" displayName="TAB_MO_2" ref="A1:F24" tableType="queryTable" totalsRowShown="0">
  <autoFilter ref="A1:F24"/>
  <tableColumns count="6">
    <tableColumn id="73" uniqueName="73" name="TITULAIRE / sous-traitants / Fournisseurs" queryTableFieldId="1" dataDxfId="5"/>
    <tableColumn id="74" uniqueName="74" name="Y" queryTableFieldId="2" dataDxfId="4"/>
    <tableColumn id="75" uniqueName="75" name="X" queryTableFieldId="3" dataDxfId="3"/>
    <tableColumn id="76" uniqueName="76" name="Z" queryTableFieldId="4" dataDxfId="2"/>
    <tableColumn id="77" uniqueName="77" name="N" queryTableFieldId="5" dataDxfId="1"/>
    <tableColumn id="78" uniqueName="78" name="Total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2:X11"/>
  <sheetViews>
    <sheetView showGridLines="0" zoomScale="85" zoomScaleNormal="85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T20" sqref="T20"/>
    </sheetView>
  </sheetViews>
  <sheetFormatPr baseColWidth="10" defaultRowHeight="15" x14ac:dyDescent="0.25"/>
  <cols>
    <col min="1" max="1" width="29.140625" customWidth="1"/>
    <col min="2" max="2" width="17.85546875" customWidth="1"/>
    <col min="3" max="4" width="14.5703125" customWidth="1"/>
    <col min="5" max="5" width="15.140625" customWidth="1"/>
    <col min="6" max="7" width="11.5703125" customWidth="1"/>
    <col min="8" max="17" width="10.7109375" customWidth="1"/>
    <col min="18" max="18" width="12.5703125" customWidth="1"/>
    <col min="19" max="24" width="16.5703125" customWidth="1"/>
  </cols>
  <sheetData>
    <row r="2" spans="1:24" ht="54.95" customHeight="1" x14ac:dyDescent="0.25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</row>
    <row r="3" spans="1:24" ht="23.25" customHeight="1" x14ac:dyDescent="0.25">
      <c r="A3" s="5" t="s">
        <v>25</v>
      </c>
      <c r="B3" s="6">
        <v>35000</v>
      </c>
      <c r="C3" s="6">
        <v>5000</v>
      </c>
      <c r="D3" s="6">
        <f>B3+C3</f>
        <v>40000</v>
      </c>
      <c r="E3" s="6">
        <f>D3*1.2</f>
        <v>48000</v>
      </c>
      <c r="F3" s="7">
        <v>4000</v>
      </c>
      <c r="G3" s="7">
        <v>6000</v>
      </c>
      <c r="H3" s="7"/>
      <c r="I3" s="7"/>
      <c r="J3" s="7"/>
      <c r="K3" s="7"/>
      <c r="L3" s="7"/>
      <c r="M3" s="7"/>
      <c r="N3" s="7"/>
      <c r="O3" s="7"/>
      <c r="P3" s="7"/>
      <c r="Q3" s="7"/>
      <c r="R3" s="8">
        <f>COUNTIF(TAB_MO[[#This Row],[Situation 1]:[Situation 12]],"&lt;&gt;")</f>
        <v>2</v>
      </c>
      <c r="S3" s="9">
        <v>9000</v>
      </c>
      <c r="T3" s="9">
        <v>1000</v>
      </c>
      <c r="U3" s="9">
        <f>IF(SUM(TAB_MO[[#This Row],[Situation 1]:[Situation 12]])=TAB_MO[[#This Row],[Avancement Montants cumulés (Hors révisions) TTC]]+TAB_MO[[#This Row],[Indication des révisions de prix réglées en plus des honos TTC]],TAB_MO[[#This Row],[Avancement Montants cumulés (Hors révisions) TTC]]+TAB_MO[[#This Row],[Indication des révisions de prix réglées en plus des honos TTC]],"ERREUR")</f>
        <v>10000</v>
      </c>
      <c r="V3" s="10">
        <f>TAB_MO[[#This Row],[Avancement Montants cumulés (Hors révisions) TTC]]/TAB_MO[[#This Row],[MARCHE DE BASE
+ AVENANTS TTC]]</f>
        <v>0.1875</v>
      </c>
      <c r="W3" s="11">
        <f>TAB_MO[[#This Row],[TOTAL REGLE (honos + révisions)]]/TAB_MO[[#This Row],[MARCHE DE BASE
+ AVENANTS TTC]]</f>
        <v>0.20833333333333334</v>
      </c>
      <c r="X3" s="12">
        <f>TAB_MO[[#This Row],[MARCHE DE BASE
+ AVENANTS TTC]]-TAB_MO[[#This Row],[Avancement Montants cumulés (Hors révisions) TTC]]</f>
        <v>39000</v>
      </c>
    </row>
    <row r="4" spans="1:24" ht="23.25" customHeight="1" x14ac:dyDescent="0.25">
      <c r="A4" s="5" t="s">
        <v>26</v>
      </c>
      <c r="B4" s="6">
        <v>10000</v>
      </c>
      <c r="C4" s="6">
        <v>5000</v>
      </c>
      <c r="D4" s="6">
        <f>B4+C4</f>
        <v>15000</v>
      </c>
      <c r="E4" s="6">
        <f t="shared" ref="E4:E6" si="0">D4*1.2</f>
        <v>18000</v>
      </c>
      <c r="F4" s="7">
        <v>5000</v>
      </c>
      <c r="G4" s="7">
        <v>5000</v>
      </c>
      <c r="H4" s="7"/>
      <c r="I4" s="7"/>
      <c r="J4" s="7"/>
      <c r="K4" s="7"/>
      <c r="L4" s="13"/>
      <c r="M4" s="7"/>
      <c r="N4" s="7"/>
      <c r="O4" s="7"/>
      <c r="P4" s="7"/>
      <c r="Q4" s="7"/>
      <c r="R4" s="8">
        <f>COUNTIF(TAB_MO[[#This Row],[Situation 1]:[Situation 12]],"&lt;&gt;")</f>
        <v>2</v>
      </c>
      <c r="S4" s="9">
        <v>8000</v>
      </c>
      <c r="T4" s="9">
        <v>2000</v>
      </c>
      <c r="U4" s="9">
        <f>IF(SUM(TAB_MO[[#This Row],[Situation 1]:[Situation 12]])=TAB_MO[[#This Row],[Avancement Montants cumulés (Hors révisions) TTC]]+TAB_MO[[#This Row],[Indication des révisions de prix réglées en plus des honos TTC]],TAB_MO[[#This Row],[Avancement Montants cumulés (Hors révisions) TTC]]+TAB_MO[[#This Row],[Indication des révisions de prix réglées en plus des honos TTC]],"ERREUR")</f>
        <v>10000</v>
      </c>
      <c r="V4" s="10">
        <f>TAB_MO[[#This Row],[Avancement Montants cumulés (Hors révisions) TTC]]/TAB_MO[[#This Row],[MARCHE DE BASE
+ AVENANTS TTC]]</f>
        <v>0.44444444444444442</v>
      </c>
      <c r="W4" s="11">
        <f>TAB_MO[[#This Row],[TOTAL REGLE (honos + révisions)]]/TAB_MO[[#This Row],[MARCHE DE BASE
+ AVENANTS TTC]]</f>
        <v>0.55555555555555558</v>
      </c>
      <c r="X4" s="12">
        <f>TAB_MO[[#This Row],[MARCHE DE BASE
+ AVENANTS TTC]]-TAB_MO[[#This Row],[Avancement Montants cumulés (Hors révisions) TTC]]</f>
        <v>10000</v>
      </c>
    </row>
    <row r="5" spans="1:24" ht="23.25" customHeight="1" x14ac:dyDescent="0.25">
      <c r="A5" s="5" t="s">
        <v>27</v>
      </c>
      <c r="B5" s="6">
        <v>0</v>
      </c>
      <c r="C5" s="6">
        <v>2000</v>
      </c>
      <c r="D5" s="6">
        <f>B5+C5</f>
        <v>2000</v>
      </c>
      <c r="E5" s="6">
        <f t="shared" si="0"/>
        <v>2400</v>
      </c>
      <c r="F5" s="13"/>
      <c r="G5" s="13"/>
      <c r="H5" s="13"/>
      <c r="I5" s="13"/>
      <c r="J5" s="13"/>
      <c r="K5" s="13"/>
      <c r="L5" s="7">
        <v>2400</v>
      </c>
      <c r="M5" s="13"/>
      <c r="N5" s="13"/>
      <c r="O5" s="13"/>
      <c r="P5" s="13"/>
      <c r="Q5" s="13"/>
      <c r="R5" s="14">
        <f>COUNTIF(TAB_MO[[#This Row],[Situation 1]:[Situation 12]],"&lt;&gt;")</f>
        <v>1</v>
      </c>
      <c r="S5" s="9">
        <v>2400</v>
      </c>
      <c r="T5" s="9">
        <v>0</v>
      </c>
      <c r="U5" s="9">
        <f>IF(SUM(TAB_MO[[#This Row],[Situation 1]:[Situation 12]])=TAB_MO[[#This Row],[Avancement Montants cumulés (Hors révisions) TTC]]+TAB_MO[[#This Row],[Indication des révisions de prix réglées en plus des honos TTC]],TAB_MO[[#This Row],[Avancement Montants cumulés (Hors révisions) TTC]]+TAB_MO[[#This Row],[Indication des révisions de prix réglées en plus des honos TTC]],"ERREUR")</f>
        <v>2400</v>
      </c>
      <c r="V5" s="10">
        <f>TAB_MO[[#This Row],[Avancement Montants cumulés (Hors révisions) TTC]]/TAB_MO[[#This Row],[MARCHE DE BASE
+ AVENANTS TTC]]</f>
        <v>1</v>
      </c>
      <c r="W5" s="11">
        <f>TAB_MO[[#This Row],[TOTAL REGLE (honos + révisions)]]/TAB_MO[[#This Row],[MARCHE DE BASE
+ AVENANTS TTC]]</f>
        <v>1</v>
      </c>
      <c r="X5" s="12">
        <f>TAB_MO[[#This Row],[MARCHE DE BASE
+ AVENANTS TTC]]-TAB_MO[[#This Row],[Avancement Montants cumulés (Hors révisions) TTC]]</f>
        <v>0</v>
      </c>
    </row>
    <row r="6" spans="1:24" ht="23.25" customHeight="1" x14ac:dyDescent="0.25">
      <c r="A6" s="5" t="s">
        <v>28</v>
      </c>
      <c r="B6" s="6">
        <v>0</v>
      </c>
      <c r="C6" s="6">
        <v>1200</v>
      </c>
      <c r="D6" s="6">
        <f>B6+C6</f>
        <v>1200</v>
      </c>
      <c r="E6" s="6">
        <f t="shared" si="0"/>
        <v>1440</v>
      </c>
      <c r="F6" s="13"/>
      <c r="G6" s="13"/>
      <c r="H6" s="13"/>
      <c r="I6" s="13"/>
      <c r="J6" s="13"/>
      <c r="K6" s="13"/>
      <c r="L6" s="13"/>
      <c r="M6" s="7">
        <v>1440</v>
      </c>
      <c r="N6" s="13"/>
      <c r="O6" s="13"/>
      <c r="P6" s="13"/>
      <c r="Q6" s="13"/>
      <c r="R6" s="14">
        <f>COUNTIF(TAB_MO[[#This Row],[Situation 1]:[Situation 12]],"&lt;&gt;")</f>
        <v>1</v>
      </c>
      <c r="S6" s="9">
        <v>1440</v>
      </c>
      <c r="T6" s="9">
        <v>0</v>
      </c>
      <c r="U6" s="9">
        <f>IF(SUM(TAB_MO[[#This Row],[Situation 1]:[Situation 12]])=TAB_MO[[#This Row],[Avancement Montants cumulés (Hors révisions) TTC]]+TAB_MO[[#This Row],[Indication des révisions de prix réglées en plus des honos TTC]],TAB_MO[[#This Row],[Avancement Montants cumulés (Hors révisions) TTC]]+TAB_MO[[#This Row],[Indication des révisions de prix réglées en plus des honos TTC]],"ERREUR")</f>
        <v>1440</v>
      </c>
      <c r="V6" s="10">
        <f>TAB_MO[[#This Row],[Avancement Montants cumulés (Hors révisions) TTC]]/TAB_MO[[#This Row],[MARCHE DE BASE
+ AVENANTS TTC]]</f>
        <v>1</v>
      </c>
      <c r="W6" s="11">
        <f>TAB_MO[[#This Row],[TOTAL REGLE (honos + révisions)]]/TAB_MO[[#This Row],[MARCHE DE BASE
+ AVENANTS TTC]]</f>
        <v>1</v>
      </c>
      <c r="X6" s="12">
        <f>TAB_MO[[#This Row],[MARCHE DE BASE
+ AVENANTS TTC]]-TAB_MO[[#This Row],[Avancement Montants cumulés (Hors révisions) TTC]]</f>
        <v>0</v>
      </c>
    </row>
    <row r="7" spans="1:24" ht="23.25" customHeight="1" x14ac:dyDescent="0.25">
      <c r="A7" s="15" t="s">
        <v>24</v>
      </c>
      <c r="B7" s="16">
        <f>SUBTOTAL(109,TAB_MO[MARCHE HT])</f>
        <v>45000</v>
      </c>
      <c r="C7" s="16">
        <f>SUBTOTAL(109,TAB_MO[AVENANTS HT])</f>
        <v>13200</v>
      </c>
      <c r="D7" s="16">
        <f>SUBTOTAL(109,TAB_MO[MARCHE DE BASE
+ AVENANTS HT])</f>
        <v>58200</v>
      </c>
      <c r="E7" s="16">
        <f>SUBTOTAL(109,TAB_MO[MARCHE DE BASE
+ AVENANTS TTC])</f>
        <v>69840</v>
      </c>
      <c r="F7" s="16">
        <f>SUBTOTAL(109,TAB_MO[Situation 1])</f>
        <v>9000</v>
      </c>
      <c r="G7" s="16">
        <f>SUBTOTAL(109,TAB_MO[Situation 2])</f>
        <v>11000</v>
      </c>
      <c r="H7" s="16">
        <f>SUBTOTAL(109,TAB_MO[Situation 3])</f>
        <v>0</v>
      </c>
      <c r="I7" s="16">
        <f>SUBTOTAL(109,TAB_MO[Situation 4])</f>
        <v>0</v>
      </c>
      <c r="J7" s="16">
        <f>SUBTOTAL(109,TAB_MO[Situation 5])</f>
        <v>0</v>
      </c>
      <c r="K7" s="16">
        <f>SUBTOTAL(109,TAB_MO[Situation 6])</f>
        <v>0</v>
      </c>
      <c r="L7" s="16">
        <f>SUBTOTAL(109,TAB_MO[Situation 7])</f>
        <v>2400</v>
      </c>
      <c r="M7" s="16">
        <f>SUBTOTAL(109,TAB_MO[Situation 8])</f>
        <v>1440</v>
      </c>
      <c r="N7" s="16">
        <f>SUBTOTAL(109,TAB_MO[Situation 9])</f>
        <v>0</v>
      </c>
      <c r="O7" s="16">
        <f>SUBTOTAL(109,TAB_MO[Situation 10])</f>
        <v>0</v>
      </c>
      <c r="P7" s="16">
        <f>SUBTOTAL(109,TAB_MO[Situation 11])</f>
        <v>0</v>
      </c>
      <c r="Q7" s="16">
        <f>SUBTOTAL(109,TAB_MO[Situation 12])</f>
        <v>0</v>
      </c>
      <c r="R7" s="17">
        <f>SUBTOTAL(109,TAB_MO[NB factures réglées])</f>
        <v>6</v>
      </c>
      <c r="S7" s="16">
        <f>SUBTOTAL(109,TAB_MO[Avancement Montants cumulés (Hors révisions) TTC])</f>
        <v>20840</v>
      </c>
      <c r="T7" s="16">
        <f>SUBTOTAL(109,TAB_MO[Indication des révisions de prix réglées en plus des honos TTC])</f>
        <v>3000</v>
      </c>
      <c r="U7" s="16">
        <f>SUBTOTAL(109,TAB_MO[TOTAL REGLE (honos + révisions)])</f>
        <v>23840</v>
      </c>
      <c r="V7" s="18">
        <f>TAB_MO[[#Totals],[Avancement Montants cumulés (Hors révisions) TTC]]/TAB_MO[[#Totals],[MARCHE DE BASE
+ AVENANTS TTC]]</f>
        <v>0.2983963344788087</v>
      </c>
      <c r="W7" s="19">
        <f>TAB_MO[[#Totals],[TOTAL REGLE (honos + révisions)]]/TAB_MO[[#Totals],[MARCHE DE BASE
+ AVENANTS TTC]]</f>
        <v>0.34135166093928981</v>
      </c>
      <c r="X7" s="16">
        <f>SUBTOTAL(109,TAB_MO[RESTE A PAYER TTC (hors révisions)])</f>
        <v>49000</v>
      </c>
    </row>
    <row r="10" spans="1:24" x14ac:dyDescent="0.25">
      <c r="E10" s="20"/>
      <c r="S10" s="21"/>
      <c r="T10" s="21"/>
    </row>
    <row r="11" spans="1:24" x14ac:dyDescent="0.25">
      <c r="S11" s="21"/>
    </row>
  </sheetData>
  <conditionalFormatting sqref="W3:W7">
    <cfRule type="dataBar" priority="3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{29E24835-CD94-419B-B800-CB9D448F5B85}</x14:id>
        </ext>
      </extLst>
    </cfRule>
  </conditionalFormatting>
  <conditionalFormatting sqref="A2:X7">
    <cfRule type="cellIs" dxfId="30" priority="2" operator="equal">
      <formula>0</formula>
    </cfRule>
  </conditionalFormatting>
  <conditionalFormatting sqref="V3:V7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{66F2DCE9-B83D-42C5-93F5-7840BE59FBA1}</x14:id>
        </ext>
      </extLst>
    </cfRule>
  </conditionalFormatting>
  <pageMargins left="0.7" right="0.7" top="0.75" bottom="0.75" header="0.3" footer="0.3"/>
  <pageSetup paperSize="9" scale="36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9E24835-CD94-419B-B800-CB9D448F5B85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W3:W7</xm:sqref>
        </x14:conditionalFormatting>
        <x14:conditionalFormatting xmlns:xm="http://schemas.microsoft.com/office/excel/2006/main">
          <x14:cfRule type="dataBar" id="{66F2DCE9-B83D-42C5-93F5-7840BE59FB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V3:V7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tabSelected="1" workbookViewId="0">
      <selection activeCell="C31" sqref="C31"/>
    </sheetView>
  </sheetViews>
  <sheetFormatPr baseColWidth="10" defaultRowHeight="15" x14ac:dyDescent="0.25"/>
  <cols>
    <col min="1" max="1" width="56.42578125" bestFit="1" customWidth="1"/>
    <col min="2" max="6" width="24.5703125" customWidth="1"/>
    <col min="7" max="15" width="11.7109375" bestFit="1" customWidth="1"/>
    <col min="16" max="24" width="12.7109375" bestFit="1" customWidth="1"/>
  </cols>
  <sheetData>
    <row r="1" spans="1:24" x14ac:dyDescent="0.25">
      <c r="A1" s="22" t="s">
        <v>0</v>
      </c>
      <c r="B1" s="22" t="s">
        <v>25</v>
      </c>
      <c r="C1" s="22" t="s">
        <v>26</v>
      </c>
      <c r="D1" s="23" t="s">
        <v>27</v>
      </c>
      <c r="E1" s="23" t="s">
        <v>28</v>
      </c>
      <c r="F1" s="22" t="s">
        <v>24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x14ac:dyDescent="0.25">
      <c r="A2" s="22" t="s">
        <v>1</v>
      </c>
      <c r="B2" s="22">
        <v>35000</v>
      </c>
      <c r="C2" s="22">
        <v>10000</v>
      </c>
      <c r="D2" s="22">
        <v>0</v>
      </c>
      <c r="E2" s="22">
        <v>0</v>
      </c>
      <c r="F2" s="22">
        <v>45000</v>
      </c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x14ac:dyDescent="0.25">
      <c r="A3" s="22" t="s">
        <v>2</v>
      </c>
      <c r="B3" s="22">
        <v>5000</v>
      </c>
      <c r="C3" s="22">
        <v>5000</v>
      </c>
      <c r="D3" s="22">
        <v>2000</v>
      </c>
      <c r="E3" s="22">
        <v>1200</v>
      </c>
      <c r="F3" s="22">
        <v>13200</v>
      </c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x14ac:dyDescent="0.25">
      <c r="A4" s="22" t="s">
        <v>29</v>
      </c>
      <c r="B4" s="22">
        <v>40000</v>
      </c>
      <c r="C4" s="22">
        <v>15000</v>
      </c>
      <c r="D4" s="22">
        <v>2000</v>
      </c>
      <c r="E4" s="22">
        <v>1200</v>
      </c>
      <c r="F4" s="22">
        <v>58200</v>
      </c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</row>
    <row r="5" spans="1:24" x14ac:dyDescent="0.25">
      <c r="A5" s="22" t="s">
        <v>30</v>
      </c>
      <c r="B5" s="22">
        <v>48000</v>
      </c>
      <c r="C5" s="22">
        <v>18000</v>
      </c>
      <c r="D5" s="22">
        <v>2400</v>
      </c>
      <c r="E5" s="22">
        <v>1440</v>
      </c>
      <c r="F5" s="22">
        <v>69840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</row>
    <row r="6" spans="1:24" x14ac:dyDescent="0.25">
      <c r="A6" s="22" t="s">
        <v>5</v>
      </c>
      <c r="B6" s="22">
        <v>4000</v>
      </c>
      <c r="C6" s="22">
        <v>5000</v>
      </c>
      <c r="D6" s="22"/>
      <c r="E6" s="22"/>
      <c r="F6" s="22">
        <v>9000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x14ac:dyDescent="0.25">
      <c r="A7" s="22" t="s">
        <v>6</v>
      </c>
      <c r="B7" s="22">
        <v>6000</v>
      </c>
      <c r="C7" s="22">
        <v>5000</v>
      </c>
      <c r="D7" s="22"/>
      <c r="E7" s="22"/>
      <c r="F7" s="22">
        <v>11000</v>
      </c>
    </row>
    <row r="8" spans="1:24" x14ac:dyDescent="0.25">
      <c r="A8" s="22" t="s">
        <v>7</v>
      </c>
      <c r="B8" s="22"/>
      <c r="C8" s="22"/>
      <c r="D8" s="22"/>
      <c r="E8" s="22"/>
      <c r="F8" s="22">
        <v>0</v>
      </c>
    </row>
    <row r="9" spans="1:24" x14ac:dyDescent="0.25">
      <c r="A9" s="22" t="s">
        <v>8</v>
      </c>
      <c r="B9" s="22"/>
      <c r="C9" s="22"/>
      <c r="D9" s="22"/>
      <c r="E9" s="22"/>
      <c r="F9" s="22">
        <v>0</v>
      </c>
    </row>
    <row r="10" spans="1:24" x14ac:dyDescent="0.25">
      <c r="A10" s="22" t="s">
        <v>9</v>
      </c>
      <c r="B10" s="22"/>
      <c r="C10" s="22"/>
      <c r="D10" s="22"/>
      <c r="E10" s="22"/>
      <c r="F10" s="22">
        <v>0</v>
      </c>
    </row>
    <row r="11" spans="1:24" x14ac:dyDescent="0.25">
      <c r="A11" s="22" t="s">
        <v>10</v>
      </c>
      <c r="B11" s="22"/>
      <c r="C11" s="22"/>
      <c r="D11" s="22"/>
      <c r="E11" s="22"/>
      <c r="F11" s="22">
        <v>0</v>
      </c>
    </row>
    <row r="12" spans="1:24" x14ac:dyDescent="0.25">
      <c r="A12" s="22" t="s">
        <v>11</v>
      </c>
      <c r="B12" s="22"/>
      <c r="C12" s="22"/>
      <c r="D12" s="22">
        <v>2400</v>
      </c>
      <c r="E12" s="22"/>
      <c r="F12" s="22">
        <v>2400</v>
      </c>
    </row>
    <row r="13" spans="1:24" x14ac:dyDescent="0.25">
      <c r="A13" s="22" t="s">
        <v>12</v>
      </c>
      <c r="B13" s="22"/>
      <c r="C13" s="22"/>
      <c r="D13" s="22"/>
      <c r="E13" s="22">
        <v>1440</v>
      </c>
      <c r="F13" s="22">
        <v>1440</v>
      </c>
    </row>
    <row r="14" spans="1:24" x14ac:dyDescent="0.25">
      <c r="A14" s="22" t="s">
        <v>13</v>
      </c>
      <c r="B14" s="22"/>
      <c r="C14" s="22"/>
      <c r="D14" s="22"/>
      <c r="E14" s="22"/>
      <c r="F14" s="22">
        <v>0</v>
      </c>
    </row>
    <row r="15" spans="1:24" x14ac:dyDescent="0.25">
      <c r="A15" s="22" t="s">
        <v>14</v>
      </c>
      <c r="B15" s="22"/>
      <c r="C15" s="22"/>
      <c r="D15" s="22"/>
      <c r="E15" s="22"/>
      <c r="F15" s="22">
        <v>0</v>
      </c>
    </row>
    <row r="16" spans="1:24" x14ac:dyDescent="0.25">
      <c r="A16" s="22" t="s">
        <v>15</v>
      </c>
      <c r="B16" s="22"/>
      <c r="C16" s="22"/>
      <c r="D16" s="22"/>
      <c r="E16" s="22"/>
      <c r="F16" s="22">
        <v>0</v>
      </c>
    </row>
    <row r="17" spans="1:6" x14ac:dyDescent="0.25">
      <c r="A17" s="22" t="s">
        <v>16</v>
      </c>
      <c r="B17" s="22"/>
      <c r="C17" s="22"/>
      <c r="D17" s="22"/>
      <c r="E17" s="22"/>
      <c r="F17" s="22">
        <v>0</v>
      </c>
    </row>
    <row r="18" spans="1:6" x14ac:dyDescent="0.25">
      <c r="A18" s="22" t="s">
        <v>17</v>
      </c>
      <c r="B18" s="22">
        <v>2</v>
      </c>
      <c r="C18" s="22">
        <v>2</v>
      </c>
      <c r="D18" s="22">
        <v>1</v>
      </c>
      <c r="E18" s="22">
        <v>1</v>
      </c>
      <c r="F18" s="22">
        <v>6</v>
      </c>
    </row>
    <row r="19" spans="1:6" x14ac:dyDescent="0.25">
      <c r="A19" s="22" t="s">
        <v>18</v>
      </c>
      <c r="B19" s="22">
        <v>9000</v>
      </c>
      <c r="C19" s="22">
        <v>8000</v>
      </c>
      <c r="D19" s="22">
        <v>2400</v>
      </c>
      <c r="E19" s="22">
        <v>1440</v>
      </c>
      <c r="F19" s="22">
        <v>20840</v>
      </c>
    </row>
    <row r="20" spans="1:6" x14ac:dyDescent="0.25">
      <c r="A20" s="22" t="s">
        <v>19</v>
      </c>
      <c r="B20" s="22">
        <v>1000</v>
      </c>
      <c r="C20" s="22">
        <v>2000</v>
      </c>
      <c r="D20" s="22">
        <v>0</v>
      </c>
      <c r="E20" s="22">
        <v>0</v>
      </c>
      <c r="F20" s="22">
        <v>3000</v>
      </c>
    </row>
    <row r="21" spans="1:6" x14ac:dyDescent="0.25">
      <c r="A21" s="22" t="s">
        <v>20</v>
      </c>
      <c r="B21" s="22">
        <v>10000</v>
      </c>
      <c r="C21" s="22">
        <v>10000</v>
      </c>
      <c r="D21" s="22">
        <v>2400</v>
      </c>
      <c r="E21" s="22">
        <v>1440</v>
      </c>
      <c r="F21" s="22">
        <v>23840</v>
      </c>
    </row>
    <row r="22" spans="1:6" x14ac:dyDescent="0.25">
      <c r="A22" s="22" t="s">
        <v>21</v>
      </c>
      <c r="B22" s="24">
        <v>0.1875</v>
      </c>
      <c r="C22" s="24">
        <v>0.44444444444444442</v>
      </c>
      <c r="D22" s="24">
        <v>1</v>
      </c>
      <c r="E22" s="24">
        <v>1</v>
      </c>
      <c r="F22" s="24">
        <v>0.2983963344788087</v>
      </c>
    </row>
    <row r="23" spans="1:6" x14ac:dyDescent="0.25">
      <c r="A23" s="22" t="s">
        <v>22</v>
      </c>
      <c r="B23" s="24">
        <v>0.20833333333333334</v>
      </c>
      <c r="C23" s="24">
        <v>0.55555555555555558</v>
      </c>
      <c r="D23" s="24">
        <v>1</v>
      </c>
      <c r="E23" s="24">
        <v>1</v>
      </c>
      <c r="F23" s="24">
        <v>0.34135166093928981</v>
      </c>
    </row>
    <row r="24" spans="1:6" x14ac:dyDescent="0.25">
      <c r="A24" s="22" t="s">
        <v>23</v>
      </c>
      <c r="B24" s="22">
        <v>39000</v>
      </c>
      <c r="C24" s="22">
        <v>10000</v>
      </c>
      <c r="D24" s="22">
        <v>0</v>
      </c>
      <c r="E24" s="22">
        <v>0</v>
      </c>
      <c r="F24" s="22">
        <v>49000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861F5C-BDF6-463B-8713-68E975FB56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Feuil2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2021-09-10T07:32:03Z</dcterms:created>
  <dcterms:modified xsi:type="dcterms:W3CDTF">2021-09-10T07:50:59Z</dcterms:modified>
</cp:coreProperties>
</file>