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Objects="none"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GSN2066\Documents\Patrimoine\GAEC Duval frères\"/>
    </mc:Choice>
  </mc:AlternateContent>
  <bookViews>
    <workbookView xWindow="0" yWindow="0" windowWidth="20490" windowHeight="4320" activeTab="2"/>
  </bookViews>
  <sheets>
    <sheet name="Pas de holding" sheetId="1" r:id="rId1"/>
    <sheet name="100% Holding" sheetId="4" r:id="rId2"/>
    <sheet name="% Optimal de holding" sheetId="5" r:id="rId3"/>
    <sheet name="Résultats" sheetId="6" r:id="rId4"/>
    <sheet name="Feuil1" sheetId="7" r:id="rId5"/>
  </sheets>
  <definedNames>
    <definedName name="solver_adj" localSheetId="2" hidden="1">'% Optimal de holding'!$H$8</definedName>
    <definedName name="solver_cvg" localSheetId="2" hidden="1">0.0001</definedName>
    <definedName name="solver_drv" localSheetId="2" hidden="1">1</definedName>
    <definedName name="solver_eng" localSheetId="2" hidden="1">1</definedName>
    <definedName name="solver_eng" localSheetId="1" hidden="1">1</definedName>
    <definedName name="solver_est" localSheetId="2" hidden="1">1</definedName>
    <definedName name="solver_itr" localSheetId="2" hidden="1">2147483647</definedName>
    <definedName name="solver_lhs1" localSheetId="2" hidden="1">'% Optimal de holding'!$H$8</definedName>
    <definedName name="solver_lhs2" localSheetId="2" hidden="1">'% Optimal de holding'!$H$8</definedName>
    <definedName name="solver_mip" localSheetId="2" hidden="1">2147483647</definedName>
    <definedName name="solver_mni" localSheetId="2" hidden="1">30</definedName>
    <definedName name="solver_mrt" localSheetId="2" hidden="1">0.075</definedName>
    <definedName name="solver_msl" localSheetId="2" hidden="1">2</definedName>
    <definedName name="solver_neg" localSheetId="2" hidden="1">1</definedName>
    <definedName name="solver_neg" localSheetId="1" hidden="1">1</definedName>
    <definedName name="solver_nod" localSheetId="2" hidden="1">2147483647</definedName>
    <definedName name="solver_num" localSheetId="2" hidden="1">2</definedName>
    <definedName name="solver_num" localSheetId="1" hidden="1">0</definedName>
    <definedName name="solver_nwt" localSheetId="2" hidden="1">1</definedName>
    <definedName name="solver_opt" localSheetId="2" hidden="1">'% Optimal de holding'!$C$78</definedName>
    <definedName name="solver_opt" localSheetId="1" hidden="1">'100% Holding'!$C$46</definedName>
    <definedName name="solver_pre" localSheetId="2" hidden="1">0.000001</definedName>
    <definedName name="solver_rbv" localSheetId="2" hidden="1">1</definedName>
    <definedName name="solver_rel1" localSheetId="2" hidden="1">1</definedName>
    <definedName name="solver_rel2" localSheetId="2" hidden="1">3</definedName>
    <definedName name="solver_rhs1" localSheetId="2" hidden="1">1</definedName>
    <definedName name="solver_rhs2" localSheetId="2" hidden="1">0</definedName>
    <definedName name="solver_rlx" localSheetId="2" hidden="1">2</definedName>
    <definedName name="solver_rsd" localSheetId="2" hidden="1">0</definedName>
    <definedName name="solver_scl" localSheetId="2" hidden="1">1</definedName>
    <definedName name="solver_sho" localSheetId="2" hidden="1">2</definedName>
    <definedName name="solver_ssz" localSheetId="2" hidden="1">100</definedName>
    <definedName name="solver_tim" localSheetId="2" hidden="1">2147483647</definedName>
    <definedName name="solver_tol" localSheetId="2" hidden="1">0.01</definedName>
    <definedName name="solver_typ" localSheetId="2" hidden="1">1</definedName>
    <definedName name="solver_typ" localSheetId="1" hidden="1">1</definedName>
    <definedName name="solver_val" localSheetId="2" hidden="1">0</definedName>
    <definedName name="solver_val" localSheetId="1" hidden="1">0</definedName>
    <definedName name="solver_ver" localSheetId="2" hidden="1">3</definedName>
    <definedName name="solver_ver" localSheetId="1" hidden="1">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8" i="5" l="1"/>
  <c r="C30" i="4" l="1"/>
  <c r="C27" i="4"/>
  <c r="E5" i="7"/>
  <c r="F5" i="7" s="1"/>
  <c r="G5" i="7" s="1"/>
  <c r="H5" i="7" s="1"/>
  <c r="I5" i="7" s="1"/>
  <c r="D5" i="7"/>
  <c r="E6" i="1"/>
  <c r="E5" i="1"/>
  <c r="E4" i="1"/>
  <c r="E4" i="4" s="1"/>
  <c r="K3" i="6" l="1"/>
  <c r="K4" i="6"/>
  <c r="K2" i="6"/>
  <c r="E11" i="5" l="1"/>
  <c r="E12" i="1"/>
  <c r="H15" i="1" s="1"/>
  <c r="E16" i="1" l="1"/>
  <c r="G49" i="5"/>
  <c r="G50" i="5" s="1"/>
  <c r="E55" i="5" s="1"/>
  <c r="J59" i="5"/>
  <c r="J22" i="5"/>
  <c r="H22" i="5"/>
  <c r="J19" i="5"/>
  <c r="C49" i="5"/>
  <c r="E8" i="5"/>
  <c r="K12" i="6" s="1"/>
  <c r="E11" i="4"/>
  <c r="H22" i="4"/>
  <c r="J22" i="4"/>
  <c r="E5" i="4"/>
  <c r="E6" i="4"/>
  <c r="E8" i="4"/>
  <c r="C29" i="4" s="1"/>
  <c r="C32" i="4" s="1"/>
  <c r="J19" i="4"/>
  <c r="C36" i="1"/>
  <c r="J19" i="1"/>
  <c r="E10" i="1"/>
  <c r="E15" i="1" s="1"/>
  <c r="E11" i="1"/>
  <c r="E17" i="1" l="1"/>
  <c r="H16" i="1"/>
  <c r="H17" i="1" s="1"/>
  <c r="H20" i="1" s="1"/>
  <c r="E12" i="4"/>
  <c r="H15" i="4" s="1"/>
  <c r="C37" i="4"/>
  <c r="C36" i="5"/>
  <c r="G38" i="5" s="1"/>
  <c r="E12" i="5"/>
  <c r="K11" i="6"/>
  <c r="C37" i="5"/>
  <c r="E10" i="5"/>
  <c r="E15" i="5" s="1"/>
  <c r="E10" i="4"/>
  <c r="E15" i="4" s="1"/>
  <c r="C36" i="4"/>
  <c r="G38" i="4" s="1"/>
  <c r="C50" i="5"/>
  <c r="C29" i="5"/>
  <c r="C32" i="5" s="1"/>
  <c r="H55" i="5" l="1"/>
  <c r="E16" i="5"/>
  <c r="H15" i="5"/>
  <c r="E16" i="4"/>
  <c r="E17" i="4" s="1"/>
  <c r="E20" i="4" s="1"/>
  <c r="C38" i="5"/>
  <c r="C42" i="5" s="1"/>
  <c r="G36" i="5" s="1"/>
  <c r="C71" i="5" s="1"/>
  <c r="C38" i="4"/>
  <c r="C42" i="4" s="1"/>
  <c r="G36" i="4" s="1"/>
  <c r="E56" i="5"/>
  <c r="E20" i="1"/>
  <c r="E19" i="1"/>
  <c r="H56" i="5" l="1"/>
  <c r="H57" i="5" s="1"/>
  <c r="H59" i="5" s="1"/>
  <c r="E57" i="5"/>
  <c r="E59" i="5" s="1"/>
  <c r="H16" i="4"/>
  <c r="C82" i="5"/>
  <c r="G39" i="4"/>
  <c r="G39" i="5"/>
  <c r="E19" i="4"/>
  <c r="E22" i="4" s="1"/>
  <c r="C25" i="4" s="1"/>
  <c r="E22" i="1"/>
  <c r="J20" i="1"/>
  <c r="J22" i="1" s="1"/>
  <c r="H19" i="1"/>
  <c r="H22" i="1" s="1"/>
  <c r="H16" i="5"/>
  <c r="H17" i="5" s="1"/>
  <c r="E17" i="5"/>
  <c r="H17" i="4" l="1"/>
  <c r="H20" i="4" s="1"/>
  <c r="J20" i="4" s="1"/>
  <c r="C34" i="1"/>
  <c r="G40" i="4"/>
  <c r="G42" i="4" s="1"/>
  <c r="C46" i="4" s="1"/>
  <c r="C51" i="4"/>
  <c r="M8" i="6" s="1"/>
  <c r="O11" i="6"/>
  <c r="G40" i="5"/>
  <c r="H60" i="5"/>
  <c r="H62" i="5" s="1"/>
  <c r="E60" i="5"/>
  <c r="E62" i="5" s="1"/>
  <c r="E20" i="5"/>
  <c r="E19" i="5"/>
  <c r="H20" i="5"/>
  <c r="H19" i="5"/>
  <c r="C37" i="1" l="1"/>
  <c r="M6" i="6" s="1"/>
  <c r="P8" i="6" s="1"/>
  <c r="H19" i="4"/>
  <c r="G42" i="5"/>
  <c r="C72" i="5"/>
  <c r="M7" i="6"/>
  <c r="J60" i="5"/>
  <c r="J62" i="5" s="1"/>
  <c r="C65" i="5" s="1"/>
  <c r="J20" i="5"/>
  <c r="E22" i="5"/>
  <c r="C25" i="5" s="1"/>
  <c r="C67" i="5" l="1"/>
  <c r="C76" i="5" s="1"/>
  <c r="O10" i="6" s="1"/>
  <c r="P7" i="6"/>
  <c r="C73" i="5"/>
  <c r="C45" i="5"/>
  <c r="M9" i="6" l="1"/>
  <c r="P9" i="6" s="1"/>
  <c r="C83" i="5"/>
  <c r="C85" i="5" s="1"/>
  <c r="M11" i="6" s="1"/>
  <c r="P11" i="6" s="1"/>
  <c r="O9" i="6"/>
  <c r="O12" i="6" l="1"/>
</calcChain>
</file>

<file path=xl/sharedStrings.xml><?xml version="1.0" encoding="utf-8"?>
<sst xmlns="http://schemas.openxmlformats.org/spreadsheetml/2006/main" count="339" uniqueCount="84">
  <si>
    <t>CA</t>
  </si>
  <si>
    <t>CA / associé</t>
  </si>
  <si>
    <t>QP PV imposable</t>
  </si>
  <si>
    <t>PV Bertrand</t>
  </si>
  <si>
    <t>PV Imposable</t>
  </si>
  <si>
    <t>Prix d'acquisition</t>
  </si>
  <si>
    <t>151 septies A : Départ en retraite</t>
  </si>
  <si>
    <t>Applicable dans le cas où il vend les parts du GAEC à son départ en retraite.</t>
  </si>
  <si>
    <t>Non applicable dans la holding</t>
  </si>
  <si>
    <t>151 septies : CA</t>
  </si>
  <si>
    <t>238 Quindecies : Fonction prix vente</t>
  </si>
  <si>
    <t>Valeur vente</t>
  </si>
  <si>
    <t>QP Exo</t>
  </si>
  <si>
    <t>Fiscalité</t>
  </si>
  <si>
    <t xml:space="preserve">IR </t>
  </si>
  <si>
    <t>PS</t>
  </si>
  <si>
    <t>IR</t>
  </si>
  <si>
    <t>151 Septies A : départ en retraite</t>
  </si>
  <si>
    <t>Total</t>
  </si>
  <si>
    <t>Fin de carrière sans holding</t>
  </si>
  <si>
    <t>Part associé</t>
  </si>
  <si>
    <t>Valeur société 2022</t>
  </si>
  <si>
    <t>Valeur société 2026</t>
  </si>
  <si>
    <t>Fiscalité totale</t>
  </si>
  <si>
    <t>Produit de la vente</t>
  </si>
  <si>
    <t>Gain net</t>
  </si>
  <si>
    <t>Fin de carrière avec holding</t>
  </si>
  <si>
    <t>Applicable</t>
  </si>
  <si>
    <t>Oui</t>
  </si>
  <si>
    <t>Non</t>
  </si>
  <si>
    <t>Coût apport</t>
  </si>
  <si>
    <t>Apporté à la holding</t>
  </si>
  <si>
    <t>Capitalisation 100% holding</t>
  </si>
  <si>
    <t>Capitalisation cas présent</t>
  </si>
  <si>
    <t>Nb année capitalisation</t>
  </si>
  <si>
    <t>Total capitalisation</t>
  </si>
  <si>
    <t xml:space="preserve">Vente </t>
  </si>
  <si>
    <t>Montant acquisition</t>
  </si>
  <si>
    <t>Montant vente</t>
  </si>
  <si>
    <t>Plus value</t>
  </si>
  <si>
    <t>Taux IS applicable</t>
  </si>
  <si>
    <t>Capitaux holding</t>
  </si>
  <si>
    <t>Sortie :</t>
  </si>
  <si>
    <t>Sans fiscalité</t>
  </si>
  <si>
    <t>Avec fiscalité</t>
  </si>
  <si>
    <t>PFU</t>
  </si>
  <si>
    <t>Net de fiscalité</t>
  </si>
  <si>
    <t>Imputation du coût de l'apport</t>
  </si>
  <si>
    <t>Valeur acquisition</t>
  </si>
  <si>
    <t>Part résiduelle associé</t>
  </si>
  <si>
    <t>Part perso</t>
  </si>
  <si>
    <t>Part holding</t>
  </si>
  <si>
    <t>Total dispo</t>
  </si>
  <si>
    <t>QP Imposable</t>
  </si>
  <si>
    <t>100% Holding</t>
  </si>
  <si>
    <t>Mixte</t>
  </si>
  <si>
    <t>Si sortie de la holding</t>
  </si>
  <si>
    <t>Si reste dans la holding</t>
  </si>
  <si>
    <t>Si sort de la holding</t>
  </si>
  <si>
    <t>Sans holding</t>
  </si>
  <si>
    <t>si sortie</t>
  </si>
  <si>
    <t>si reste en holding</t>
  </si>
  <si>
    <t>part holding</t>
  </si>
  <si>
    <t>part perso</t>
  </si>
  <si>
    <t>si non sortie</t>
  </si>
  <si>
    <t>Répartition du capital</t>
  </si>
  <si>
    <t>Bertrand</t>
  </si>
  <si>
    <t>Holding</t>
  </si>
  <si>
    <t>Optimisation si reste dans la holding</t>
  </si>
  <si>
    <t>Optimisation si sort de la holding</t>
  </si>
  <si>
    <t>Même prix 2022-2026, optimisation sortie holding</t>
  </si>
  <si>
    <t>Même prix 2022-2026, optimisation reste en holding</t>
  </si>
  <si>
    <t>Même prix mais plus élévé, optimisation reste en holding</t>
  </si>
  <si>
    <t>Frais juridiques</t>
  </si>
  <si>
    <t>Plus de CA, optimisation reste dans la holding</t>
  </si>
  <si>
    <t>Fiscalité sortie</t>
  </si>
  <si>
    <t>Coît apport</t>
  </si>
  <si>
    <t>100% Holding et sortie</t>
  </si>
  <si>
    <t>100% Holding sans sortie</t>
  </si>
  <si>
    <t>Optimal pour sortir</t>
  </si>
  <si>
    <t>%</t>
  </si>
  <si>
    <t>Optimal pour rester</t>
  </si>
  <si>
    <t>Valeur 2022</t>
  </si>
  <si>
    <t>Valeur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</si>
</sst>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6" formatCode="#,##0\ &quot;€&quot;;[Red]\-#,##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  <numFmt numFmtId="165" formatCode="0.0%"/>
    <numFmt numFmtId="166" formatCode="#,##0\ &quot;€&quot;"/>
    <numFmt numFmtId="167" formatCode="_-* #,##0.0\ &quot;€&quot;_-;\-* #,##0.0\ &quot;€&quot;_-;_-* &quot;-&quot;?\ &quot;€&quot;_-;_-@_-"/>
    <numFmt numFmtId="168" formatCode="#,##0.00\ &quot;€&quot;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18A096"/>
        <bgColor indexed="64"/>
      </patternFill>
    </fill>
    <fill>
      <patternFill patternType="solid">
        <fgColor rgb="FFF8B332"/>
        <bgColor indexed="64"/>
      </patternFill>
    </fill>
    <fill>
      <patternFill patternType="solid">
        <fgColor rgb="FFE7511E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dashed">
        <color auto="1"/>
      </left>
      <right/>
      <top style="thin">
        <color auto="1"/>
      </top>
      <bottom/>
      <diagonal/>
    </border>
    <border>
      <left style="dashed">
        <color auto="1"/>
      </left>
      <right/>
      <top/>
      <bottom/>
      <diagonal/>
    </border>
    <border>
      <left style="dashed">
        <color auto="1"/>
      </left>
      <right/>
      <top/>
      <bottom style="medium">
        <color auto="1"/>
      </bottom>
      <diagonal/>
    </border>
    <border>
      <left style="dashed">
        <color auto="1"/>
      </left>
      <right/>
      <top style="dashed">
        <color auto="1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6">
    <xf numFmtId="0" fontId="0" fillId="0" borderId="0" xfId="0"/>
    <xf numFmtId="164" fontId="0" fillId="0" borderId="0" xfId="1" applyNumberFormat="1" applyFont="1"/>
    <xf numFmtId="9" fontId="0" fillId="0" borderId="0" xfId="2" applyFont="1"/>
    <xf numFmtId="44" fontId="0" fillId="0" borderId="0" xfId="1" applyNumberFormat="1" applyFont="1"/>
    <xf numFmtId="0" fontId="2" fillId="0" borderId="0" xfId="0" applyFont="1"/>
    <xf numFmtId="164" fontId="0" fillId="0" borderId="0" xfId="0" applyNumberFormat="1"/>
    <xf numFmtId="44" fontId="0" fillId="0" borderId="0" xfId="0" applyNumberFormat="1"/>
    <xf numFmtId="165" fontId="0" fillId="0" borderId="0" xfId="2" applyNumberFormat="1" applyFont="1"/>
    <xf numFmtId="0" fontId="3" fillId="0" borderId="0" xfId="0" applyFont="1"/>
    <xf numFmtId="9" fontId="0" fillId="0" borderId="0" xfId="1" applyNumberFormat="1" applyFont="1"/>
    <xf numFmtId="164" fontId="2" fillId="0" borderId="0" xfId="0" applyNumberFormat="1" applyFont="1"/>
    <xf numFmtId="0" fontId="0" fillId="2" borderId="0" xfId="0" applyFill="1"/>
    <xf numFmtId="9" fontId="0" fillId="0" borderId="0" xfId="0" applyNumberFormat="1"/>
    <xf numFmtId="44" fontId="2" fillId="0" borderId="0" xfId="0" applyNumberFormat="1" applyFont="1"/>
    <xf numFmtId="164" fontId="2" fillId="0" borderId="0" xfId="1" applyNumberFormat="1" applyFont="1"/>
    <xf numFmtId="166" fontId="0" fillId="0" borderId="0" xfId="0" applyNumberFormat="1"/>
    <xf numFmtId="166" fontId="2" fillId="0" borderId="0" xfId="0" applyNumberFormat="1" applyFont="1"/>
    <xf numFmtId="9" fontId="0" fillId="0" borderId="0" xfId="0" applyNumberFormat="1" applyFont="1"/>
    <xf numFmtId="8" fontId="0" fillId="0" borderId="0" xfId="1" applyNumberFormat="1" applyFont="1"/>
    <xf numFmtId="8" fontId="0" fillId="0" borderId="0" xfId="0" applyNumberFormat="1"/>
    <xf numFmtId="4" fontId="0" fillId="0" borderId="0" xfId="0" applyNumberFormat="1"/>
    <xf numFmtId="0" fontId="0" fillId="0" borderId="0" xfId="0"/>
    <xf numFmtId="0" fontId="0" fillId="0" borderId="0" xfId="0" applyBorder="1"/>
    <xf numFmtId="164" fontId="0" fillId="0" borderId="0" xfId="1" applyNumberFormat="1" applyFont="1" applyBorder="1"/>
    <xf numFmtId="8" fontId="0" fillId="0" borderId="0" xfId="0" applyNumberFormat="1" applyBorder="1"/>
    <xf numFmtId="9" fontId="0" fillId="0" borderId="0" xfId="0" applyNumberFormat="1" applyBorder="1"/>
    <xf numFmtId="8" fontId="0" fillId="0" borderId="0" xfId="0" applyNumberFormat="1" applyFont="1" applyBorder="1"/>
    <xf numFmtId="0" fontId="0" fillId="0" borderId="0" xfId="0" applyBorder="1" applyAlignment="1"/>
    <xf numFmtId="166" fontId="0" fillId="0" borderId="0" xfId="0" applyNumberFormat="1" applyBorder="1"/>
    <xf numFmtId="166" fontId="0" fillId="0" borderId="1" xfId="0" applyNumberFormat="1" applyBorder="1"/>
    <xf numFmtId="164" fontId="0" fillId="0" borderId="3" xfId="1" applyNumberFormat="1" applyFont="1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5" xfId="0" applyBorder="1"/>
    <xf numFmtId="166" fontId="0" fillId="0" borderId="6" xfId="0" applyNumberFormat="1" applyBorder="1"/>
    <xf numFmtId="0" fontId="0" fillId="0" borderId="8" xfId="0" applyBorder="1"/>
    <xf numFmtId="0" fontId="0" fillId="0" borderId="9" xfId="0" applyBorder="1"/>
    <xf numFmtId="0" fontId="2" fillId="0" borderId="0" xfId="0" applyFont="1" applyBorder="1"/>
    <xf numFmtId="0" fontId="4" fillId="4" borderId="0" xfId="0" applyFont="1" applyFill="1" applyBorder="1"/>
    <xf numFmtId="0" fontId="4" fillId="5" borderId="0" xfId="0" applyFont="1" applyFill="1" applyBorder="1"/>
    <xf numFmtId="0" fontId="4" fillId="3" borderId="2" xfId="0" applyFont="1" applyFill="1" applyBorder="1"/>
    <xf numFmtId="0" fontId="4" fillId="3" borderId="5" xfId="0" applyFont="1" applyFill="1" applyBorder="1"/>
    <xf numFmtId="0" fontId="4" fillId="3" borderId="11" xfId="0" applyFont="1" applyFill="1" applyBorder="1"/>
    <xf numFmtId="0" fontId="0" fillId="0" borderId="12" xfId="0" applyBorder="1"/>
    <xf numFmtId="166" fontId="0" fillId="0" borderId="12" xfId="0" applyNumberFormat="1" applyBorder="1"/>
    <xf numFmtId="0" fontId="0" fillId="0" borderId="13" xfId="0" applyBorder="1"/>
    <xf numFmtId="0" fontId="4" fillId="3" borderId="14" xfId="0" applyFont="1" applyFill="1" applyBorder="1"/>
    <xf numFmtId="0" fontId="0" fillId="0" borderId="10" xfId="0" applyBorder="1"/>
    <xf numFmtId="0" fontId="4" fillId="5" borderId="10" xfId="0" applyFont="1" applyFill="1" applyBorder="1"/>
    <xf numFmtId="166" fontId="0" fillId="0" borderId="10" xfId="0" applyNumberFormat="1" applyBorder="1"/>
    <xf numFmtId="166" fontId="0" fillId="0" borderId="15" xfId="0" applyNumberFormat="1" applyBorder="1"/>
    <xf numFmtId="0" fontId="0" fillId="0" borderId="16" xfId="0" applyBorder="1"/>
    <xf numFmtId="0" fontId="0" fillId="0" borderId="17" xfId="0" applyBorder="1"/>
    <xf numFmtId="166" fontId="0" fillId="0" borderId="17" xfId="0" applyNumberFormat="1" applyBorder="1"/>
    <xf numFmtId="166" fontId="0" fillId="0" borderId="18" xfId="0" applyNumberFormat="1" applyBorder="1"/>
    <xf numFmtId="0" fontId="4" fillId="4" borderId="10" xfId="0" applyFont="1" applyFill="1" applyBorder="1"/>
    <xf numFmtId="0" fontId="4" fillId="4" borderId="1" xfId="0" applyFont="1" applyFill="1" applyBorder="1"/>
    <xf numFmtId="0" fontId="0" fillId="0" borderId="19" xfId="0" applyBorder="1"/>
    <xf numFmtId="0" fontId="4" fillId="4" borderId="8" xfId="0" applyFont="1" applyFill="1" applyBorder="1"/>
    <xf numFmtId="166" fontId="0" fillId="0" borderId="8" xfId="0" applyNumberFormat="1" applyBorder="1"/>
    <xf numFmtId="0" fontId="5" fillId="0" borderId="5" xfId="0" applyFont="1" applyFill="1" applyBorder="1"/>
    <xf numFmtId="0" fontId="5" fillId="0" borderId="5" xfId="0" applyFont="1" applyFill="1" applyBorder="1" applyAlignment="1">
      <alignment horizontal="left" indent="7"/>
    </xf>
    <xf numFmtId="0" fontId="5" fillId="0" borderId="7" xfId="0" applyFont="1" applyFill="1" applyBorder="1" applyAlignment="1">
      <alignment horizontal="left" indent="7"/>
    </xf>
    <xf numFmtId="9" fontId="0" fillId="0" borderId="0" xfId="0" applyNumberFormat="1" applyBorder="1" applyAlignment="1">
      <alignment horizontal="left"/>
    </xf>
    <xf numFmtId="9" fontId="0" fillId="0" borderId="8" xfId="0" applyNumberFormat="1" applyBorder="1" applyAlignment="1">
      <alignment horizontal="left"/>
    </xf>
    <xf numFmtId="0" fontId="4" fillId="5" borderId="20" xfId="0" applyFont="1" applyFill="1" applyBorder="1"/>
    <xf numFmtId="8" fontId="0" fillId="0" borderId="21" xfId="0" applyNumberFormat="1" applyFont="1" applyBorder="1"/>
    <xf numFmtId="8" fontId="0" fillId="0" borderId="22" xfId="0" applyNumberFormat="1" applyFont="1" applyBorder="1"/>
    <xf numFmtId="0" fontId="4" fillId="5" borderId="23" xfId="0" applyFont="1" applyFill="1" applyBorder="1"/>
    <xf numFmtId="167" fontId="0" fillId="0" borderId="0" xfId="0" applyNumberFormat="1" applyBorder="1"/>
    <xf numFmtId="168" fontId="0" fillId="0" borderId="0" xfId="0" applyNumberFormat="1"/>
    <xf numFmtId="165" fontId="0" fillId="0" borderId="0" xfId="0" applyNumberFormat="1"/>
    <xf numFmtId="10" fontId="0" fillId="0" borderId="0" xfId="2" applyNumberFormat="1" applyFont="1"/>
    <xf numFmtId="166" fontId="0" fillId="0" borderId="0" xfId="1" applyNumberFormat="1" applyFont="1"/>
    <xf numFmtId="6" fontId="0" fillId="0" borderId="0" xfId="0" applyNumberFormat="1"/>
  </cellXfs>
  <cellStyles count="3">
    <cellStyle name="Monétaire" xfId="1" builtinId="4"/>
    <cellStyle name="Normal" xfId="0" builtinId="0"/>
    <cellStyle name="Pourcentage" xfId="2" builtinId="5"/>
  </cellStyles>
  <dxfs count="5">
    <dxf>
      <font>
        <color rgb="FF9C0006"/>
      </font>
    </dxf>
    <dxf>
      <font>
        <color rgb="FF00B050"/>
      </font>
    </dxf>
    <dxf>
      <font>
        <color rgb="FF9C0006"/>
      </font>
    </dxf>
    <dxf>
      <font>
        <color rgb="FF00B050"/>
      </font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E7511E"/>
      <color rgb="FFF8B332"/>
      <color rgb="FF18A0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K37"/>
  <sheetViews>
    <sheetView topLeftCell="A7" workbookViewId="0">
      <selection activeCell="C34" sqref="C34"/>
    </sheetView>
  </sheetViews>
  <sheetFormatPr baseColWidth="10" defaultRowHeight="15" x14ac:dyDescent="0.25"/>
  <cols>
    <col min="2" max="2" width="21.85546875" customWidth="1"/>
    <col min="4" max="4" width="24.7109375" customWidth="1"/>
    <col min="5" max="5" width="12.85546875" style="1" bestFit="1" customWidth="1"/>
    <col min="7" max="7" width="20.28515625" customWidth="1"/>
    <col min="8" max="8" width="12.85546875" customWidth="1"/>
    <col min="10" max="10" width="11.85546875" bestFit="1" customWidth="1"/>
  </cols>
  <sheetData>
    <row r="2" spans="2:11" ht="18.75" x14ac:dyDescent="0.3">
      <c r="B2" s="8" t="s">
        <v>19</v>
      </c>
    </row>
    <row r="4" spans="2:11" x14ac:dyDescent="0.25">
      <c r="D4" t="s">
        <v>0</v>
      </c>
      <c r="E4" s="23">
        <f>'% Optimal de holding'!E4</f>
        <v>800000</v>
      </c>
      <c r="H4" t="s">
        <v>6</v>
      </c>
      <c r="K4" t="s">
        <v>7</v>
      </c>
    </row>
    <row r="5" spans="2:11" x14ac:dyDescent="0.25">
      <c r="D5" t="s">
        <v>21</v>
      </c>
      <c r="E5" s="23">
        <f>'% Optimal de holding'!E5</f>
        <v>1050000</v>
      </c>
      <c r="K5" t="s">
        <v>8</v>
      </c>
    </row>
    <row r="6" spans="2:11" x14ac:dyDescent="0.25">
      <c r="D6" t="s">
        <v>22</v>
      </c>
      <c r="E6" s="23">
        <f>'% Optimal de holding'!E6</f>
        <v>1200000</v>
      </c>
    </row>
    <row r="8" spans="2:11" x14ac:dyDescent="0.25">
      <c r="D8" t="s">
        <v>20</v>
      </c>
      <c r="E8" s="9">
        <v>0.5</v>
      </c>
    </row>
    <row r="9" spans="2:11" x14ac:dyDescent="0.25">
      <c r="E9" s="9"/>
    </row>
    <row r="10" spans="2:11" x14ac:dyDescent="0.25">
      <c r="D10" t="s">
        <v>1</v>
      </c>
      <c r="E10" s="1">
        <f>E4*E8</f>
        <v>400000</v>
      </c>
    </row>
    <row r="11" spans="2:11" x14ac:dyDescent="0.25">
      <c r="D11" t="s">
        <v>5</v>
      </c>
      <c r="E11" s="1">
        <f>313150+98000</f>
        <v>411150</v>
      </c>
    </row>
    <row r="12" spans="2:11" x14ac:dyDescent="0.25">
      <c r="D12" t="s">
        <v>11</v>
      </c>
      <c r="E12" s="1">
        <f>E6*E8</f>
        <v>600000</v>
      </c>
    </row>
    <row r="14" spans="2:11" x14ac:dyDescent="0.25">
      <c r="D14" s="4" t="s">
        <v>9</v>
      </c>
      <c r="G14" s="4" t="s">
        <v>10</v>
      </c>
      <c r="J14" s="4" t="s">
        <v>17</v>
      </c>
    </row>
    <row r="15" spans="2:11" x14ac:dyDescent="0.25">
      <c r="D15" t="s">
        <v>2</v>
      </c>
      <c r="E15" s="2">
        <f>MIN(1,(E10-250000)/100000)</f>
        <v>1</v>
      </c>
      <c r="G15" t="s">
        <v>53</v>
      </c>
      <c r="H15" s="2">
        <f>MIN(1,1-(1000000-E12)/500000)</f>
        <v>0.19999999999999996</v>
      </c>
    </row>
    <row r="16" spans="2:11" x14ac:dyDescent="0.25">
      <c r="D16" t="s">
        <v>3</v>
      </c>
      <c r="E16" s="1">
        <f>E12-E11</f>
        <v>188850</v>
      </c>
      <c r="G16" t="s">
        <v>3</v>
      </c>
      <c r="H16" s="5">
        <f>E16</f>
        <v>188850</v>
      </c>
      <c r="J16" t="s">
        <v>27</v>
      </c>
      <c r="K16" s="11" t="s">
        <v>28</v>
      </c>
    </row>
    <row r="17" spans="2:10" x14ac:dyDescent="0.25">
      <c r="D17" t="s">
        <v>4</v>
      </c>
      <c r="E17" s="1">
        <f>E16*E15</f>
        <v>188850</v>
      </c>
      <c r="G17" t="s">
        <v>4</v>
      </c>
      <c r="H17" s="5">
        <f>(H15)*H16</f>
        <v>37769.999999999993</v>
      </c>
    </row>
    <row r="19" spans="2:10" x14ac:dyDescent="0.25">
      <c r="B19" s="4" t="s">
        <v>13</v>
      </c>
      <c r="D19" t="s">
        <v>16</v>
      </c>
      <c r="E19" s="1">
        <f>$E$17*C21</f>
        <v>24172.799999999999</v>
      </c>
      <c r="H19" s="1">
        <f>$H$17*C21</f>
        <v>4834.5599999999995</v>
      </c>
      <c r="J19">
        <f>0</f>
        <v>0</v>
      </c>
    </row>
    <row r="20" spans="2:10" x14ac:dyDescent="0.25">
      <c r="D20" t="s">
        <v>15</v>
      </c>
      <c r="E20" s="1">
        <f>$E$17*C22</f>
        <v>32482.199999999997</v>
      </c>
      <c r="H20" s="1">
        <f>$H$17*C22</f>
        <v>6496.4399999999978</v>
      </c>
      <c r="J20" s="5">
        <f>MIN(E20,H20)</f>
        <v>6496.4399999999978</v>
      </c>
    </row>
    <row r="21" spans="2:10" x14ac:dyDescent="0.25">
      <c r="B21" t="s">
        <v>14</v>
      </c>
      <c r="C21" s="7">
        <v>0.128</v>
      </c>
    </row>
    <row r="22" spans="2:10" x14ac:dyDescent="0.25">
      <c r="B22" t="s">
        <v>15</v>
      </c>
      <c r="C22" s="7">
        <v>0.17199999999999999</v>
      </c>
      <c r="D22" t="s">
        <v>18</v>
      </c>
      <c r="E22" s="1">
        <f>SUM(E19:E20)</f>
        <v>56655</v>
      </c>
      <c r="H22" s="1">
        <f>SUM(H19:H20)</f>
        <v>11330.999999999996</v>
      </c>
      <c r="J22" s="1">
        <f>IF(K16="Oui",SUM(J19:J20))</f>
        <v>6496.4399999999978</v>
      </c>
    </row>
    <row r="34" spans="2:3" x14ac:dyDescent="0.25">
      <c r="B34" s="4" t="s">
        <v>23</v>
      </c>
      <c r="C34" s="10">
        <f>MIN(E22,H22,J22)</f>
        <v>6496.4399999999978</v>
      </c>
    </row>
    <row r="36" spans="2:3" x14ac:dyDescent="0.25">
      <c r="B36" t="s">
        <v>24</v>
      </c>
      <c r="C36" s="5">
        <f>E12</f>
        <v>600000</v>
      </c>
    </row>
    <row r="37" spans="2:3" x14ac:dyDescent="0.25">
      <c r="B37" s="4" t="s">
        <v>25</v>
      </c>
      <c r="C37" s="10">
        <f>C36-C34</f>
        <v>593503.56000000006</v>
      </c>
    </row>
  </sheetData>
  <dataValidations count="1">
    <dataValidation type="list" allowBlank="1" showInputMessage="1" showErrorMessage="1" sqref="K16">
      <formula1>"Oui,Non"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K51"/>
  <sheetViews>
    <sheetView topLeftCell="A25" workbookViewId="0">
      <selection activeCell="D52" sqref="D52"/>
    </sheetView>
  </sheetViews>
  <sheetFormatPr baseColWidth="10" defaultRowHeight="15" x14ac:dyDescent="0.25"/>
  <cols>
    <col min="2" max="2" width="33" bestFit="1" customWidth="1"/>
    <col min="4" max="4" width="24.7109375" customWidth="1"/>
    <col min="5" max="5" width="12.85546875" style="1" bestFit="1" customWidth="1"/>
    <col min="7" max="7" width="20.28515625" customWidth="1"/>
    <col min="8" max="8" width="12.85546875" customWidth="1"/>
    <col min="10" max="10" width="11.85546875" bestFit="1" customWidth="1"/>
  </cols>
  <sheetData>
    <row r="2" spans="2:11" ht="18.75" x14ac:dyDescent="0.3">
      <c r="B2" s="8" t="s">
        <v>26</v>
      </c>
    </row>
    <row r="4" spans="2:11" x14ac:dyDescent="0.25">
      <c r="D4" t="s">
        <v>0</v>
      </c>
      <c r="E4" s="1">
        <f>'Pas de holding'!E4</f>
        <v>800000</v>
      </c>
      <c r="H4" t="s">
        <v>6</v>
      </c>
      <c r="K4" t="s">
        <v>7</v>
      </c>
    </row>
    <row r="5" spans="2:11" x14ac:dyDescent="0.25">
      <c r="D5" t="s">
        <v>21</v>
      </c>
      <c r="E5" s="1">
        <f>'Pas de holding'!E5</f>
        <v>1050000</v>
      </c>
      <c r="K5" t="s">
        <v>8</v>
      </c>
    </row>
    <row r="6" spans="2:11" x14ac:dyDescent="0.25">
      <c r="D6" t="s">
        <v>22</v>
      </c>
      <c r="E6" s="1">
        <f>'Pas de holding'!E6</f>
        <v>1200000</v>
      </c>
    </row>
    <row r="8" spans="2:11" x14ac:dyDescent="0.25">
      <c r="D8" t="s">
        <v>20</v>
      </c>
      <c r="E8" s="2">
        <f>'Pas de holding'!E8</f>
        <v>0.5</v>
      </c>
      <c r="G8" t="s">
        <v>31</v>
      </c>
      <c r="H8" s="2">
        <v>1</v>
      </c>
    </row>
    <row r="10" spans="2:11" x14ac:dyDescent="0.25">
      <c r="D10" t="s">
        <v>1</v>
      </c>
      <c r="E10" s="1">
        <f>'Pas de holding'!E10</f>
        <v>400000</v>
      </c>
    </row>
    <row r="11" spans="2:11" x14ac:dyDescent="0.25">
      <c r="D11" t="s">
        <v>5</v>
      </c>
      <c r="E11" s="1">
        <f>'Pas de holding'!E11*H8</f>
        <v>411150</v>
      </c>
    </row>
    <row r="12" spans="2:11" x14ac:dyDescent="0.25">
      <c r="D12" t="s">
        <v>11</v>
      </c>
      <c r="E12" s="1">
        <f>E5*E8*H8</f>
        <v>525000</v>
      </c>
    </row>
    <row r="14" spans="2:11" x14ac:dyDescent="0.25">
      <c r="D14" s="4" t="s">
        <v>9</v>
      </c>
      <c r="G14" s="4" t="s">
        <v>10</v>
      </c>
      <c r="J14" s="4" t="s">
        <v>17</v>
      </c>
    </row>
    <row r="15" spans="2:11" x14ac:dyDescent="0.25">
      <c r="D15" t="s">
        <v>2</v>
      </c>
      <c r="E15" s="2">
        <f>MIN(1,(E10-250000)/100000)</f>
        <v>1</v>
      </c>
      <c r="G15" t="s">
        <v>53</v>
      </c>
      <c r="H15" s="2">
        <f>MIN(1,1-(1000000-E12)/500000)</f>
        <v>5.0000000000000044E-2</v>
      </c>
    </row>
    <row r="16" spans="2:11" x14ac:dyDescent="0.25">
      <c r="D16" t="s">
        <v>3</v>
      </c>
      <c r="E16" s="1">
        <f>E12-E11</f>
        <v>113850</v>
      </c>
      <c r="G16" t="s">
        <v>3</v>
      </c>
      <c r="H16" s="5">
        <f>E16</f>
        <v>113850</v>
      </c>
      <c r="J16" t="s">
        <v>27</v>
      </c>
      <c r="K16" s="11" t="s">
        <v>29</v>
      </c>
    </row>
    <row r="17" spans="2:10" x14ac:dyDescent="0.25">
      <c r="D17" t="s">
        <v>4</v>
      </c>
      <c r="E17" s="1">
        <f>E16*E15</f>
        <v>113850</v>
      </c>
      <c r="G17" t="s">
        <v>4</v>
      </c>
      <c r="H17" s="5">
        <f>(H15)*H16</f>
        <v>5692.5000000000055</v>
      </c>
    </row>
    <row r="18" spans="2:10" x14ac:dyDescent="0.25">
      <c r="G18" t="s">
        <v>27</v>
      </c>
      <c r="H18" s="11" t="s">
        <v>29</v>
      </c>
    </row>
    <row r="19" spans="2:10" x14ac:dyDescent="0.25">
      <c r="B19" s="4" t="s">
        <v>13</v>
      </c>
      <c r="D19" t="s">
        <v>16</v>
      </c>
      <c r="E19" s="1">
        <f>$E$17*C21</f>
        <v>14572.800000000001</v>
      </c>
      <c r="H19" s="1">
        <f>$H$17*C21</f>
        <v>728.64000000000067</v>
      </c>
      <c r="J19">
        <f>0</f>
        <v>0</v>
      </c>
    </row>
    <row r="20" spans="2:10" x14ac:dyDescent="0.25">
      <c r="D20" t="s">
        <v>15</v>
      </c>
      <c r="E20" s="1">
        <f>$E$17*C22</f>
        <v>19582.199999999997</v>
      </c>
      <c r="H20" s="1">
        <f>$H$17*C22</f>
        <v>979.11000000000081</v>
      </c>
      <c r="J20" s="5">
        <f>MIN(E20,H20)</f>
        <v>979.11000000000081</v>
      </c>
    </row>
    <row r="21" spans="2:10" x14ac:dyDescent="0.25">
      <c r="B21" t="s">
        <v>14</v>
      </c>
      <c r="C21" s="7">
        <v>0.128</v>
      </c>
    </row>
    <row r="22" spans="2:10" x14ac:dyDescent="0.25">
      <c r="B22" t="s">
        <v>15</v>
      </c>
      <c r="C22" s="7">
        <v>0.17199999999999999</v>
      </c>
      <c r="D22" t="s">
        <v>18</v>
      </c>
      <c r="E22" s="1">
        <f>SUM(E19:E20)</f>
        <v>34155</v>
      </c>
      <c r="H22" s="1" t="b">
        <f>IF(H18="Oui",SUM(H19:H20))</f>
        <v>0</v>
      </c>
      <c r="J22" s="1" t="b">
        <f>IF(K16="Oui",SUM(J19:J20))</f>
        <v>0</v>
      </c>
    </row>
    <row r="25" spans="2:10" x14ac:dyDescent="0.25">
      <c r="B25" s="4" t="s">
        <v>30</v>
      </c>
      <c r="C25" s="10">
        <f>E22</f>
        <v>34155</v>
      </c>
    </row>
    <row r="27" spans="2:10" x14ac:dyDescent="0.25">
      <c r="B27" t="s">
        <v>32</v>
      </c>
      <c r="C27" s="5">
        <f>+'% Optimal de holding'!C27</f>
        <v>8000</v>
      </c>
    </row>
    <row r="28" spans="2:10" x14ac:dyDescent="0.25">
      <c r="C28" s="5"/>
    </row>
    <row r="29" spans="2:10" x14ac:dyDescent="0.25">
      <c r="B29" t="s">
        <v>33</v>
      </c>
      <c r="C29" s="5">
        <f>C27*E8*H8</f>
        <v>4000</v>
      </c>
    </row>
    <row r="30" spans="2:10" x14ac:dyDescent="0.25">
      <c r="B30" t="s">
        <v>34</v>
      </c>
      <c r="C30">
        <f>+'% Optimal de holding'!C30</f>
        <v>5</v>
      </c>
    </row>
    <row r="32" spans="2:10" x14ac:dyDescent="0.25">
      <c r="B32" t="s">
        <v>35</v>
      </c>
      <c r="C32" s="5">
        <f>C30*C29</f>
        <v>20000</v>
      </c>
    </row>
    <row r="35" spans="2:7" x14ac:dyDescent="0.25">
      <c r="B35" s="4" t="s">
        <v>36</v>
      </c>
    </row>
    <row r="36" spans="2:7" x14ac:dyDescent="0.25">
      <c r="B36" t="s">
        <v>37</v>
      </c>
      <c r="C36" s="5">
        <f>E5*E8*H8</f>
        <v>525000</v>
      </c>
      <c r="E36" s="1" t="s">
        <v>41</v>
      </c>
      <c r="G36" s="5">
        <f>C37-C42+C32</f>
        <v>617750</v>
      </c>
    </row>
    <row r="37" spans="2:7" x14ac:dyDescent="0.25">
      <c r="B37" t="s">
        <v>38</v>
      </c>
      <c r="C37" s="5">
        <f>E6*E8*H8</f>
        <v>600000</v>
      </c>
    </row>
    <row r="38" spans="2:7" x14ac:dyDescent="0.25">
      <c r="B38" t="s">
        <v>39</v>
      </c>
      <c r="C38" s="5">
        <f>C37-C36</f>
        <v>75000</v>
      </c>
      <c r="E38" s="1" t="s">
        <v>42</v>
      </c>
      <c r="F38" t="s">
        <v>43</v>
      </c>
      <c r="G38" s="5">
        <f>C36</f>
        <v>525000</v>
      </c>
    </row>
    <row r="39" spans="2:7" x14ac:dyDescent="0.25">
      <c r="F39" t="s">
        <v>44</v>
      </c>
      <c r="G39" s="5">
        <f>(G36-G38)</f>
        <v>92750</v>
      </c>
    </row>
    <row r="40" spans="2:7" x14ac:dyDescent="0.25">
      <c r="B40" t="s">
        <v>40</v>
      </c>
      <c r="C40" s="12">
        <v>0.25</v>
      </c>
      <c r="F40" s="4" t="s">
        <v>45</v>
      </c>
      <c r="G40" s="13">
        <f>G39*0.3</f>
        <v>27825</v>
      </c>
    </row>
    <row r="42" spans="2:7" x14ac:dyDescent="0.25">
      <c r="B42" s="4" t="s">
        <v>13</v>
      </c>
      <c r="C42" s="10">
        <f>C38*0.12*C40</f>
        <v>2250</v>
      </c>
      <c r="E42" s="14" t="s">
        <v>46</v>
      </c>
      <c r="F42" s="4"/>
      <c r="G42" s="10">
        <f>G38+G39-G40</f>
        <v>589925</v>
      </c>
    </row>
    <row r="44" spans="2:7" x14ac:dyDescent="0.25">
      <c r="B44" t="s">
        <v>58</v>
      </c>
    </row>
    <row r="45" spans="2:7" x14ac:dyDescent="0.25">
      <c r="B45" t="s">
        <v>73</v>
      </c>
      <c r="C45" s="15">
        <v>0</v>
      </c>
    </row>
    <row r="46" spans="2:7" x14ac:dyDescent="0.25">
      <c r="B46" s="4" t="s">
        <v>47</v>
      </c>
      <c r="C46" s="10">
        <f>G42-C25-C45</f>
        <v>555770</v>
      </c>
    </row>
    <row r="50" spans="2:3" x14ac:dyDescent="0.25">
      <c r="B50" t="s">
        <v>73</v>
      </c>
      <c r="C50" s="15">
        <v>0</v>
      </c>
    </row>
    <row r="51" spans="2:3" x14ac:dyDescent="0.25">
      <c r="B51" s="4" t="s">
        <v>57</v>
      </c>
      <c r="C51" s="10">
        <f>G36-C25-C50</f>
        <v>583595</v>
      </c>
    </row>
  </sheetData>
  <dataValidations count="1">
    <dataValidation type="list" allowBlank="1" showInputMessage="1" showErrorMessage="1" sqref="K16 H18">
      <formula1>"Oui,Non"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T111"/>
  <sheetViews>
    <sheetView tabSelected="1" workbookViewId="0">
      <selection activeCell="B62" sqref="B62"/>
    </sheetView>
  </sheetViews>
  <sheetFormatPr baseColWidth="10" defaultRowHeight="15" x14ac:dyDescent="0.25"/>
  <cols>
    <col min="2" max="2" width="33" bestFit="1" customWidth="1"/>
    <col min="3" max="3" width="14.140625" customWidth="1"/>
    <col min="4" max="4" width="24.7109375" customWidth="1"/>
    <col min="5" max="5" width="12.85546875" style="1" bestFit="1" customWidth="1"/>
    <col min="7" max="7" width="20.28515625" customWidth="1"/>
    <col min="8" max="8" width="12.85546875" customWidth="1"/>
    <col min="9" max="13" width="12.85546875" bestFit="1" customWidth="1"/>
  </cols>
  <sheetData>
    <row r="2" spans="2:11" ht="18.75" x14ac:dyDescent="0.3">
      <c r="B2" s="8" t="s">
        <v>26</v>
      </c>
    </row>
    <row r="4" spans="2:11" x14ac:dyDescent="0.25">
      <c r="D4" t="s">
        <v>0</v>
      </c>
      <c r="E4" s="1">
        <v>800000</v>
      </c>
      <c r="H4" t="s">
        <v>6</v>
      </c>
      <c r="K4" t="s">
        <v>7</v>
      </c>
    </row>
    <row r="5" spans="2:11" x14ac:dyDescent="0.25">
      <c r="D5" t="s">
        <v>21</v>
      </c>
      <c r="E5" s="1">
        <v>1050000</v>
      </c>
      <c r="K5" t="s">
        <v>8</v>
      </c>
    </row>
    <row r="6" spans="2:11" x14ac:dyDescent="0.25">
      <c r="D6" t="s">
        <v>22</v>
      </c>
      <c r="E6" s="1">
        <v>1200000</v>
      </c>
    </row>
    <row r="7" spans="2:11" x14ac:dyDescent="0.25">
      <c r="B7" s="17"/>
    </row>
    <row r="8" spans="2:11" x14ac:dyDescent="0.25">
      <c r="D8" t="s">
        <v>20</v>
      </c>
      <c r="E8" s="2">
        <f>'Pas de holding'!E8</f>
        <v>0.5</v>
      </c>
      <c r="G8" t="s">
        <v>31</v>
      </c>
      <c r="H8" s="2">
        <v>0</v>
      </c>
    </row>
    <row r="10" spans="2:11" x14ac:dyDescent="0.25">
      <c r="D10" t="s">
        <v>1</v>
      </c>
      <c r="E10" s="1">
        <f>'Pas de holding'!E10</f>
        <v>400000</v>
      </c>
    </row>
    <row r="11" spans="2:11" x14ac:dyDescent="0.25">
      <c r="D11" t="s">
        <v>5</v>
      </c>
      <c r="E11" s="1">
        <f>'Pas de holding'!E11*H8</f>
        <v>0</v>
      </c>
    </row>
    <row r="12" spans="2:11" x14ac:dyDescent="0.25">
      <c r="D12" t="s">
        <v>11</v>
      </c>
      <c r="E12" s="3">
        <f>E5*E8*H8</f>
        <v>0</v>
      </c>
    </row>
    <row r="14" spans="2:11" x14ac:dyDescent="0.25">
      <c r="D14" s="4" t="s">
        <v>9</v>
      </c>
      <c r="G14" s="4" t="s">
        <v>10</v>
      </c>
      <c r="J14" s="4" t="s">
        <v>17</v>
      </c>
    </row>
    <row r="15" spans="2:11" x14ac:dyDescent="0.25">
      <c r="D15" t="s">
        <v>2</v>
      </c>
      <c r="E15" s="2">
        <f>MIN(1,(E10-250000)/100000)</f>
        <v>1</v>
      </c>
      <c r="G15" t="s">
        <v>12</v>
      </c>
      <c r="H15" s="2">
        <f>MIN(1,(1000000-E12)/500000)</f>
        <v>1</v>
      </c>
    </row>
    <row r="16" spans="2:11" x14ac:dyDescent="0.25">
      <c r="D16" t="s">
        <v>3</v>
      </c>
      <c r="E16" s="1">
        <f>E12-E11</f>
        <v>0</v>
      </c>
      <c r="G16" t="s">
        <v>3</v>
      </c>
      <c r="H16" s="5">
        <f>E16</f>
        <v>0</v>
      </c>
      <c r="J16" t="s">
        <v>27</v>
      </c>
      <c r="K16" s="11" t="s">
        <v>29</v>
      </c>
    </row>
    <row r="17" spans="2:10" x14ac:dyDescent="0.25">
      <c r="D17" t="s">
        <v>4</v>
      </c>
      <c r="E17" s="1">
        <f>E16*E15</f>
        <v>0</v>
      </c>
      <c r="G17" t="s">
        <v>4</v>
      </c>
      <c r="H17" s="6">
        <f>(1-H15)*H16</f>
        <v>0</v>
      </c>
    </row>
    <row r="18" spans="2:10" x14ac:dyDescent="0.25">
      <c r="G18" t="s">
        <v>27</v>
      </c>
      <c r="H18" s="11" t="s">
        <v>29</v>
      </c>
    </row>
    <row r="19" spans="2:10" x14ac:dyDescent="0.25">
      <c r="B19" s="4" t="s">
        <v>13</v>
      </c>
      <c r="D19" t="s">
        <v>16</v>
      </c>
      <c r="E19" s="1">
        <f>$E$17*C21</f>
        <v>0</v>
      </c>
      <c r="H19" s="1">
        <f>$H$17*C21</f>
        <v>0</v>
      </c>
      <c r="J19">
        <f>0</f>
        <v>0</v>
      </c>
    </row>
    <row r="20" spans="2:10" x14ac:dyDescent="0.25">
      <c r="D20" t="s">
        <v>15</v>
      </c>
      <c r="E20" s="1">
        <f>$E$17*C22</f>
        <v>0</v>
      </c>
      <c r="H20" s="1">
        <f>$H$17*C22</f>
        <v>0</v>
      </c>
      <c r="J20" s="5">
        <f>MIN(E20,H20)</f>
        <v>0</v>
      </c>
    </row>
    <row r="21" spans="2:10" x14ac:dyDescent="0.25">
      <c r="B21" t="s">
        <v>14</v>
      </c>
      <c r="C21" s="7">
        <v>0.128</v>
      </c>
    </row>
    <row r="22" spans="2:10" x14ac:dyDescent="0.25">
      <c r="B22" t="s">
        <v>15</v>
      </c>
      <c r="C22" s="7">
        <v>0.17199999999999999</v>
      </c>
      <c r="D22" t="s">
        <v>18</v>
      </c>
      <c r="E22" s="18">
        <f>SUM(E19:E20)</f>
        <v>0</v>
      </c>
      <c r="H22" s="1" t="b">
        <f>IF(H18="Oui",SUM(H19:H20))</f>
        <v>0</v>
      </c>
      <c r="J22" s="1" t="b">
        <f>IF(K16="Oui",SUM(J19:J20))</f>
        <v>0</v>
      </c>
    </row>
    <row r="25" spans="2:10" x14ac:dyDescent="0.25">
      <c r="B25" s="4" t="s">
        <v>30</v>
      </c>
      <c r="C25" s="10">
        <f>E22</f>
        <v>0</v>
      </c>
    </row>
    <row r="26" spans="2:10" x14ac:dyDescent="0.25">
      <c r="F26" s="19"/>
    </row>
    <row r="27" spans="2:10" x14ac:dyDescent="0.25">
      <c r="B27" t="s">
        <v>32</v>
      </c>
      <c r="C27" s="5">
        <v>8000</v>
      </c>
      <c r="F27" s="20"/>
    </row>
    <row r="28" spans="2:10" x14ac:dyDescent="0.25">
      <c r="C28" s="5"/>
    </row>
    <row r="29" spans="2:10" x14ac:dyDescent="0.25">
      <c r="B29" t="s">
        <v>33</v>
      </c>
      <c r="C29" s="5">
        <f>C27*E8*H8</f>
        <v>0</v>
      </c>
    </row>
    <row r="30" spans="2:10" x14ac:dyDescent="0.25">
      <c r="B30" t="s">
        <v>34</v>
      </c>
      <c r="C30">
        <v>5</v>
      </c>
    </row>
    <row r="32" spans="2:10" x14ac:dyDescent="0.25">
      <c r="B32" t="s">
        <v>35</v>
      </c>
      <c r="C32" s="5">
        <f>C30*C29</f>
        <v>0</v>
      </c>
    </row>
    <row r="35" spans="2:7" x14ac:dyDescent="0.25">
      <c r="B35" s="4" t="s">
        <v>36</v>
      </c>
    </row>
    <row r="36" spans="2:7" x14ac:dyDescent="0.25">
      <c r="B36" t="s">
        <v>37</v>
      </c>
      <c r="C36" s="5">
        <f>E5*E8*H8</f>
        <v>0</v>
      </c>
      <c r="E36" s="1" t="s">
        <v>41</v>
      </c>
      <c r="G36" s="5">
        <f>C37-C42+C32</f>
        <v>0</v>
      </c>
    </row>
    <row r="37" spans="2:7" x14ac:dyDescent="0.25">
      <c r="B37" t="s">
        <v>38</v>
      </c>
      <c r="C37" s="5">
        <f>E6*E8*H8</f>
        <v>0</v>
      </c>
    </row>
    <row r="38" spans="2:7" x14ac:dyDescent="0.25">
      <c r="B38" t="s">
        <v>39</v>
      </c>
      <c r="C38" s="5">
        <f>C37-C36</f>
        <v>0</v>
      </c>
      <c r="E38" s="1" t="s">
        <v>42</v>
      </c>
      <c r="F38" t="s">
        <v>43</v>
      </c>
      <c r="G38" s="5">
        <f>C36</f>
        <v>0</v>
      </c>
    </row>
    <row r="39" spans="2:7" x14ac:dyDescent="0.25">
      <c r="F39" t="s">
        <v>44</v>
      </c>
      <c r="G39" s="5">
        <f>(G36-G38)</f>
        <v>0</v>
      </c>
    </row>
    <row r="40" spans="2:7" x14ac:dyDescent="0.25">
      <c r="B40" t="s">
        <v>40</v>
      </c>
      <c r="C40" s="12">
        <v>0.25</v>
      </c>
      <c r="F40" s="4" t="s">
        <v>45</v>
      </c>
      <c r="G40" s="13">
        <f>G39*0.3</f>
        <v>0</v>
      </c>
    </row>
    <row r="42" spans="2:7" x14ac:dyDescent="0.25">
      <c r="B42" s="4" t="s">
        <v>13</v>
      </c>
      <c r="C42" s="10">
        <f>C38*0.12*C40</f>
        <v>0</v>
      </c>
      <c r="E42" s="14" t="s">
        <v>46</v>
      </c>
      <c r="F42" s="4"/>
      <c r="G42" s="10">
        <f>G38+G39-G40</f>
        <v>0</v>
      </c>
    </row>
    <row r="45" spans="2:7" x14ac:dyDescent="0.25">
      <c r="B45" s="4" t="s">
        <v>47</v>
      </c>
      <c r="C45" s="10">
        <f>G42-C25</f>
        <v>0</v>
      </c>
    </row>
    <row r="49" spans="2:11" x14ac:dyDescent="0.25">
      <c r="B49" t="s">
        <v>48</v>
      </c>
      <c r="C49" s="15">
        <f>'Pas de holding'!E11-'% Optimal de holding'!E11</f>
        <v>411150</v>
      </c>
      <c r="E49" s="1" t="s">
        <v>49</v>
      </c>
      <c r="G49" s="72">
        <f>E8-E8*H8</f>
        <v>0.5</v>
      </c>
    </row>
    <row r="50" spans="2:11" x14ac:dyDescent="0.25">
      <c r="B50" t="s">
        <v>11</v>
      </c>
      <c r="C50" s="15">
        <f>'Pas de holding'!E6*'% Optimal de holding'!G49</f>
        <v>600000</v>
      </c>
      <c r="E50" s="1" t="s">
        <v>1</v>
      </c>
      <c r="G50" s="15">
        <f>'Pas de holding'!E4*'% Optimal de holding'!G49</f>
        <v>400000</v>
      </c>
    </row>
    <row r="54" spans="2:11" x14ac:dyDescent="0.25">
      <c r="D54" s="4" t="s">
        <v>9</v>
      </c>
      <c r="G54" s="4" t="s">
        <v>10</v>
      </c>
      <c r="J54" s="4" t="s">
        <v>17</v>
      </c>
    </row>
    <row r="55" spans="2:11" x14ac:dyDescent="0.25">
      <c r="D55" t="s">
        <v>2</v>
      </c>
      <c r="E55" s="2">
        <f>IF(G50&lt;250000,0,IF(G50&gt;350000,1,(G50-250000)/100000))</f>
        <v>1</v>
      </c>
      <c r="G55" t="s">
        <v>2</v>
      </c>
      <c r="H55" s="2">
        <f>MIN(1,1-IF(C50&lt;500000,0,(1000000-C50)/500000))</f>
        <v>0.19999999999999996</v>
      </c>
    </row>
    <row r="56" spans="2:11" x14ac:dyDescent="0.25">
      <c r="D56" t="s">
        <v>3</v>
      </c>
      <c r="E56" s="1">
        <f>C50-C49</f>
        <v>188850</v>
      </c>
      <c r="G56" t="s">
        <v>3</v>
      </c>
      <c r="H56" s="5">
        <f>E56</f>
        <v>188850</v>
      </c>
      <c r="J56" t="s">
        <v>27</v>
      </c>
      <c r="K56" s="11" t="s">
        <v>28</v>
      </c>
    </row>
    <row r="57" spans="2:11" x14ac:dyDescent="0.25">
      <c r="D57" t="s">
        <v>4</v>
      </c>
      <c r="E57" s="1">
        <f>E56*E55</f>
        <v>188850</v>
      </c>
      <c r="G57" t="s">
        <v>4</v>
      </c>
      <c r="H57" s="6">
        <f>H55*H56</f>
        <v>37769.999999999993</v>
      </c>
    </row>
    <row r="58" spans="2:11" x14ac:dyDescent="0.25">
      <c r="G58" t="s">
        <v>27</v>
      </c>
      <c r="H58" s="11" t="s">
        <v>28</v>
      </c>
    </row>
    <row r="59" spans="2:11" x14ac:dyDescent="0.25">
      <c r="B59" s="4" t="s">
        <v>13</v>
      </c>
      <c r="D59" t="s">
        <v>16</v>
      </c>
      <c r="E59" s="1">
        <f>E57*C61</f>
        <v>24172.799999999999</v>
      </c>
      <c r="H59" s="1">
        <f>H57*C61</f>
        <v>4834.5599999999995</v>
      </c>
      <c r="J59">
        <f>0</f>
        <v>0</v>
      </c>
    </row>
    <row r="60" spans="2:11" x14ac:dyDescent="0.25">
      <c r="D60" t="s">
        <v>15</v>
      </c>
      <c r="E60" s="1">
        <f>E57*C62</f>
        <v>32482.199999999997</v>
      </c>
      <c r="H60" s="1">
        <f>H57*C62</f>
        <v>6496.4399999999978</v>
      </c>
      <c r="J60" s="5">
        <f>MIN(E60,H60)</f>
        <v>6496.4399999999978</v>
      </c>
    </row>
    <row r="61" spans="2:11" x14ac:dyDescent="0.25">
      <c r="B61" t="s">
        <v>14</v>
      </c>
      <c r="C61" s="7">
        <v>0.128</v>
      </c>
    </row>
    <row r="62" spans="2:11" x14ac:dyDescent="0.25">
      <c r="B62" t="s">
        <v>15</v>
      </c>
      <c r="C62" s="7">
        <v>0.17199999999999999</v>
      </c>
      <c r="D62" t="s">
        <v>18</v>
      </c>
      <c r="E62" s="1">
        <f>SUM(E59:E60)</f>
        <v>56655</v>
      </c>
      <c r="H62" s="1">
        <f>IF(H58="Oui",SUM(H59:H60))</f>
        <v>11330.999999999996</v>
      </c>
      <c r="J62" s="1">
        <f>IF(K56="Oui",SUM(J59:J60))</f>
        <v>6496.4399999999978</v>
      </c>
    </row>
    <row r="65" spans="2:3" x14ac:dyDescent="0.25">
      <c r="B65" s="4" t="s">
        <v>18</v>
      </c>
      <c r="C65" s="10">
        <f>MIN(E62,H62,J62)</f>
        <v>6496.4399999999978</v>
      </c>
    </row>
    <row r="67" spans="2:3" x14ac:dyDescent="0.25">
      <c r="B67" s="4" t="s">
        <v>46</v>
      </c>
      <c r="C67" s="16">
        <f>C50-C65</f>
        <v>593503.56000000006</v>
      </c>
    </row>
    <row r="70" spans="2:3" x14ac:dyDescent="0.25">
      <c r="B70" t="s">
        <v>56</v>
      </c>
    </row>
    <row r="71" spans="2:3" x14ac:dyDescent="0.25">
      <c r="B71" t="s">
        <v>41</v>
      </c>
      <c r="C71" s="15">
        <f>G36</f>
        <v>0</v>
      </c>
    </row>
    <row r="72" spans="2:3" x14ac:dyDescent="0.25">
      <c r="B72" t="s">
        <v>75</v>
      </c>
      <c r="C72" s="6">
        <f>G40</f>
        <v>0</v>
      </c>
    </row>
    <row r="73" spans="2:3" x14ac:dyDescent="0.25">
      <c r="B73" t="s">
        <v>76</v>
      </c>
      <c r="C73" s="5">
        <f>C25</f>
        <v>0</v>
      </c>
    </row>
    <row r="76" spans="2:3" x14ac:dyDescent="0.25">
      <c r="B76" t="s">
        <v>50</v>
      </c>
      <c r="C76" s="15">
        <f>+C67</f>
        <v>593503.56000000006</v>
      </c>
    </row>
    <row r="77" spans="2:3" x14ac:dyDescent="0.25">
      <c r="B77" t="s">
        <v>73</v>
      </c>
      <c r="C77" s="15">
        <v>0</v>
      </c>
    </row>
    <row r="78" spans="2:3" x14ac:dyDescent="0.25">
      <c r="B78" s="4" t="s">
        <v>52</v>
      </c>
      <c r="C78" s="16">
        <f>C71+C76-C72-C73-C77</f>
        <v>593503.56000000006</v>
      </c>
    </row>
    <row r="81" spans="2:13" x14ac:dyDescent="0.25">
      <c r="B81" t="s">
        <v>57</v>
      </c>
    </row>
    <row r="82" spans="2:13" x14ac:dyDescent="0.25">
      <c r="B82" s="21" t="s">
        <v>51</v>
      </c>
      <c r="C82" s="5">
        <f>G36</f>
        <v>0</v>
      </c>
    </row>
    <row r="83" spans="2:13" x14ac:dyDescent="0.25">
      <c r="B83" s="21" t="s">
        <v>50</v>
      </c>
      <c r="C83" s="71">
        <f>-C25+C67</f>
        <v>593503.56000000006</v>
      </c>
    </row>
    <row r="84" spans="2:13" x14ac:dyDescent="0.25">
      <c r="B84" t="s">
        <v>73</v>
      </c>
      <c r="C84" s="15">
        <v>0</v>
      </c>
    </row>
    <row r="85" spans="2:13" x14ac:dyDescent="0.25">
      <c r="B85" s="4" t="s">
        <v>52</v>
      </c>
      <c r="C85" s="10">
        <f>SUM(C82:C83)-C84</f>
        <v>593503.56000000006</v>
      </c>
    </row>
    <row r="87" spans="2:13" x14ac:dyDescent="0.25">
      <c r="C87" s="15"/>
      <c r="D87" s="15"/>
      <c r="E87" s="74"/>
      <c r="F87" s="15"/>
      <c r="G87" s="15"/>
      <c r="H87" s="15"/>
      <c r="I87" s="15"/>
      <c r="J87" s="15"/>
      <c r="K87" s="15"/>
      <c r="L87" s="15"/>
    </row>
    <row r="88" spans="2:13" x14ac:dyDescent="0.25">
      <c r="C88" s="15"/>
      <c r="D88" s="15"/>
      <c r="E88" s="74"/>
      <c r="F88" s="15"/>
      <c r="G88" s="15"/>
      <c r="H88" s="15"/>
      <c r="I88" s="15"/>
      <c r="J88" s="15"/>
      <c r="K88" s="15"/>
      <c r="L88" s="15"/>
    </row>
    <row r="89" spans="2:13" x14ac:dyDescent="0.25">
      <c r="C89" s="15"/>
      <c r="D89" s="15"/>
      <c r="E89" s="74"/>
      <c r="F89" s="15"/>
      <c r="G89" s="15"/>
      <c r="H89" s="15"/>
      <c r="I89" s="15"/>
      <c r="J89" s="15"/>
      <c r="K89" s="15"/>
      <c r="L89" s="15"/>
    </row>
    <row r="90" spans="2:13" x14ac:dyDescent="0.25">
      <c r="C90" s="15"/>
      <c r="D90" s="15"/>
      <c r="E90" s="74"/>
      <c r="F90" s="15"/>
      <c r="G90" s="15"/>
      <c r="H90" s="15"/>
      <c r="I90" s="15"/>
      <c r="J90" s="15"/>
      <c r="K90" s="15"/>
      <c r="L90" s="15"/>
      <c r="M90" s="15"/>
    </row>
    <row r="91" spans="2:13" x14ac:dyDescent="0.25">
      <c r="G91" s="15"/>
      <c r="H91" s="15"/>
      <c r="I91" s="15"/>
      <c r="J91" s="15"/>
      <c r="K91" s="15"/>
      <c r="L91" s="15"/>
      <c r="M91" s="15"/>
    </row>
    <row r="92" spans="2:13" x14ac:dyDescent="0.25">
      <c r="C92" s="15"/>
      <c r="D92" s="15"/>
      <c r="E92" s="74"/>
      <c r="F92" s="15"/>
      <c r="G92" s="15"/>
      <c r="H92" s="15"/>
      <c r="I92" s="15"/>
      <c r="J92" s="15"/>
      <c r="K92" s="15"/>
      <c r="L92" s="15"/>
    </row>
    <row r="93" spans="2:13" x14ac:dyDescent="0.25">
      <c r="C93" s="73"/>
      <c r="D93" s="73"/>
      <c r="E93" s="73"/>
      <c r="F93" s="73"/>
      <c r="G93" s="73"/>
      <c r="H93" s="73"/>
      <c r="I93" s="73"/>
      <c r="J93" s="73"/>
      <c r="K93" s="73"/>
      <c r="L93" s="73"/>
    </row>
    <row r="94" spans="2:13" x14ac:dyDescent="0.25">
      <c r="C94" s="15"/>
      <c r="D94" s="15"/>
      <c r="E94" s="74"/>
      <c r="F94" s="15"/>
      <c r="G94" s="15"/>
      <c r="H94" s="15"/>
      <c r="I94" s="15"/>
      <c r="J94" s="15"/>
      <c r="K94" s="15"/>
      <c r="L94" s="15"/>
    </row>
    <row r="95" spans="2:13" x14ac:dyDescent="0.25">
      <c r="C95" s="73"/>
      <c r="D95" s="73"/>
      <c r="E95" s="73"/>
      <c r="F95" s="73"/>
      <c r="G95" s="73"/>
      <c r="H95" s="73"/>
      <c r="I95" s="73"/>
      <c r="J95" s="73"/>
      <c r="K95" s="73"/>
      <c r="L95" s="73"/>
    </row>
    <row r="99" spans="1:20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</row>
    <row r="100" spans="1:20" s="15" customFormat="1" x14ac:dyDescent="0.25">
      <c r="E100" s="74"/>
    </row>
    <row r="110" spans="1:20" x14ac:dyDescent="0.25">
      <c r="A110" s="15">
        <v>524044.22739999997</v>
      </c>
      <c r="B110" s="15">
        <v>547613.96019999997</v>
      </c>
      <c r="C110" s="15">
        <v>570774.10860000004</v>
      </c>
      <c r="D110" s="15">
        <v>593513.50280000002</v>
      </c>
    </row>
    <row r="111" spans="1:20" x14ac:dyDescent="0.25">
      <c r="A111" s="7">
        <v>3.3689974029104716E-2</v>
      </c>
      <c r="B111" s="7">
        <v>9.1098506208309362E-3</v>
      </c>
      <c r="C111" s="7">
        <v>6.662546480553224E-3</v>
      </c>
      <c r="D111" s="7">
        <v>1.597131146702065E-2</v>
      </c>
    </row>
  </sheetData>
  <conditionalFormatting sqref="A100:T100">
    <cfRule type="top10" dxfId="4" priority="1" rank="1"/>
  </conditionalFormatting>
  <dataValidations count="1">
    <dataValidation type="list" allowBlank="1" showInputMessage="1" showErrorMessage="1" sqref="K16 H18 K56 H58">
      <formula1>"Oui,Non"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P103"/>
  <sheetViews>
    <sheetView topLeftCell="A25" workbookViewId="0">
      <selection activeCell="E54" sqref="E54"/>
    </sheetView>
  </sheetViews>
  <sheetFormatPr baseColWidth="10" defaultRowHeight="15" x14ac:dyDescent="0.25"/>
  <cols>
    <col min="1" max="1" width="11.42578125" style="22"/>
    <col min="2" max="2" width="20.5703125" style="22" customWidth="1"/>
    <col min="3" max="3" width="12.85546875" style="22" bestFit="1" customWidth="1"/>
    <col min="4" max="4" width="19.28515625" style="22" customWidth="1"/>
    <col min="5" max="5" width="11.42578125" style="22"/>
    <col min="6" max="6" width="19.28515625" style="22" customWidth="1"/>
    <col min="7" max="9" width="11.42578125" style="22"/>
    <col min="10" max="10" width="22.85546875" style="22" customWidth="1"/>
    <col min="11" max="11" width="14.28515625" style="22" customWidth="1"/>
    <col min="12" max="12" width="22.85546875" style="22" customWidth="1"/>
    <col min="13" max="13" width="15" style="22" customWidth="1"/>
    <col min="14" max="14" width="22.85546875" style="22" customWidth="1"/>
    <col min="15" max="16" width="14.28515625" style="22" customWidth="1"/>
    <col min="17" max="16384" width="11.42578125" style="22"/>
  </cols>
  <sheetData>
    <row r="1" spans="2:16" ht="15.75" thickBot="1" x14ac:dyDescent="0.3"/>
    <row r="2" spans="2:16" x14ac:dyDescent="0.25">
      <c r="B2" s="41" t="s">
        <v>0</v>
      </c>
      <c r="C2" s="30">
        <v>608000</v>
      </c>
      <c r="D2" s="31"/>
      <c r="E2" s="31"/>
      <c r="F2" s="31"/>
      <c r="G2" s="31"/>
      <c r="H2" s="32"/>
      <c r="J2" s="41" t="s">
        <v>0</v>
      </c>
      <c r="K2" s="30">
        <f>'Pas de holding'!E4</f>
        <v>800000</v>
      </c>
      <c r="L2" s="31"/>
      <c r="M2" s="31"/>
      <c r="N2" s="31"/>
      <c r="O2" s="31"/>
      <c r="P2" s="32"/>
    </row>
    <row r="3" spans="2:16" x14ac:dyDescent="0.25">
      <c r="B3" s="42" t="s">
        <v>21</v>
      </c>
      <c r="C3" s="23">
        <v>1169795</v>
      </c>
      <c r="H3" s="33"/>
      <c r="J3" s="42" t="s">
        <v>21</v>
      </c>
      <c r="K3" s="23">
        <f>'Pas de holding'!E5</f>
        <v>1050000</v>
      </c>
      <c r="P3" s="33"/>
    </row>
    <row r="4" spans="2:16" x14ac:dyDescent="0.25">
      <c r="B4" s="42" t="s">
        <v>22</v>
      </c>
      <c r="C4" s="23">
        <v>1266224</v>
      </c>
      <c r="E4" s="38" t="s">
        <v>68</v>
      </c>
      <c r="H4" s="33"/>
      <c r="J4" s="42" t="s">
        <v>22</v>
      </c>
      <c r="K4" s="23">
        <f>'Pas de holding'!E6</f>
        <v>1200000</v>
      </c>
      <c r="P4" s="33"/>
    </row>
    <row r="5" spans="2:16" x14ac:dyDescent="0.25">
      <c r="B5" s="34"/>
      <c r="H5" s="33"/>
      <c r="J5" s="34"/>
      <c r="P5" s="33"/>
    </row>
    <row r="6" spans="2:16" x14ac:dyDescent="0.25">
      <c r="B6" s="43" t="s">
        <v>59</v>
      </c>
      <c r="C6" s="44"/>
      <c r="D6" s="44"/>
      <c r="E6" s="45">
        <v>622948.24282406399</v>
      </c>
      <c r="F6" s="44"/>
      <c r="G6" s="44"/>
      <c r="H6" s="46"/>
      <c r="J6" s="43" t="s">
        <v>59</v>
      </c>
      <c r="K6" s="44"/>
      <c r="L6" s="44"/>
      <c r="M6" s="45">
        <f>'Pas de holding'!C37</f>
        <v>593503.56000000006</v>
      </c>
      <c r="N6" s="44"/>
      <c r="O6" s="44"/>
      <c r="P6" s="46"/>
    </row>
    <row r="7" spans="2:16" x14ac:dyDescent="0.25">
      <c r="B7" s="47" t="s">
        <v>54</v>
      </c>
      <c r="C7" s="48"/>
      <c r="D7" s="49" t="s">
        <v>60</v>
      </c>
      <c r="E7" s="50">
        <v>593488.05050000001</v>
      </c>
      <c r="F7" s="48"/>
      <c r="G7" s="48"/>
      <c r="H7" s="51">
        <v>-29460.192324063974</v>
      </c>
      <c r="J7" s="47" t="s">
        <v>54</v>
      </c>
      <c r="K7" s="48"/>
      <c r="L7" s="49" t="s">
        <v>60</v>
      </c>
      <c r="M7" s="50">
        <f>'100% Holding'!C46</f>
        <v>555770</v>
      </c>
      <c r="N7" s="48"/>
      <c r="O7" s="48"/>
      <c r="P7" s="51">
        <f>+M7-M6</f>
        <v>-37733.560000000056</v>
      </c>
    </row>
    <row r="8" spans="2:16" x14ac:dyDescent="0.25">
      <c r="B8" s="52"/>
      <c r="C8" s="53"/>
      <c r="D8" s="40" t="s">
        <v>61</v>
      </c>
      <c r="E8" s="54">
        <v>616518.47</v>
      </c>
      <c r="F8" s="53"/>
      <c r="G8" s="53"/>
      <c r="H8" s="55">
        <v>-6429.7728240640135</v>
      </c>
      <c r="J8" s="52"/>
      <c r="K8" s="53"/>
      <c r="L8" s="40" t="s">
        <v>61</v>
      </c>
      <c r="M8" s="54">
        <f>'100% Holding'!C51</f>
        <v>583595</v>
      </c>
      <c r="N8" s="53"/>
      <c r="O8" s="53"/>
      <c r="P8" s="55">
        <f>+M8-$M$6</f>
        <v>-9908.5600000000559</v>
      </c>
    </row>
    <row r="9" spans="2:16" x14ac:dyDescent="0.25">
      <c r="B9" s="47" t="s">
        <v>55</v>
      </c>
      <c r="C9" s="48"/>
      <c r="D9" s="66" t="s">
        <v>60</v>
      </c>
      <c r="E9" s="50">
        <v>617849.85051243997</v>
      </c>
      <c r="F9" s="56" t="s">
        <v>62</v>
      </c>
      <c r="G9" s="50">
        <v>107198.53012214972</v>
      </c>
      <c r="H9" s="51">
        <v>-5098.3923116240185</v>
      </c>
      <c r="J9" s="47" t="s">
        <v>55</v>
      </c>
      <c r="K9" s="48"/>
      <c r="L9" s="66" t="s">
        <v>60</v>
      </c>
      <c r="M9" s="50">
        <f>'% Optimal de holding'!C78</f>
        <v>593503.56000000006</v>
      </c>
      <c r="N9" s="56" t="s">
        <v>62</v>
      </c>
      <c r="O9" s="50">
        <f>'% Optimal de holding'!C71</f>
        <v>0</v>
      </c>
      <c r="P9" s="51">
        <f>+M9-$M$6</f>
        <v>0</v>
      </c>
    </row>
    <row r="10" spans="2:16" x14ac:dyDescent="0.25">
      <c r="B10" s="61" t="s">
        <v>65</v>
      </c>
      <c r="D10" s="67"/>
      <c r="E10" s="29"/>
      <c r="F10" s="57" t="s">
        <v>63</v>
      </c>
      <c r="G10" s="29">
        <v>520651.32039029023</v>
      </c>
      <c r="H10" s="58"/>
      <c r="J10" s="61" t="s">
        <v>65</v>
      </c>
      <c r="L10" s="67"/>
      <c r="M10" s="29"/>
      <c r="N10" s="57" t="s">
        <v>63</v>
      </c>
      <c r="O10" s="29">
        <f>'% Optimal de holding'!C76</f>
        <v>593503.56000000006</v>
      </c>
      <c r="P10" s="58"/>
    </row>
    <row r="11" spans="2:16" x14ac:dyDescent="0.25">
      <c r="B11" s="62" t="s">
        <v>66</v>
      </c>
      <c r="C11" s="64">
        <v>0.41118421480480521</v>
      </c>
      <c r="D11" s="69" t="s">
        <v>64</v>
      </c>
      <c r="E11" s="28">
        <v>624407.88538380316</v>
      </c>
      <c r="F11" s="39" t="s">
        <v>62</v>
      </c>
      <c r="G11" s="28">
        <v>115756.37768029049</v>
      </c>
      <c r="H11" s="35">
        <v>1459.6425597391799</v>
      </c>
      <c r="J11" s="62" t="s">
        <v>66</v>
      </c>
      <c r="K11" s="64">
        <f>'% Optimal de holding'!G49</f>
        <v>0.5</v>
      </c>
      <c r="L11" s="69" t="s">
        <v>64</v>
      </c>
      <c r="M11" s="28">
        <f>'% Optimal de holding'!C85</f>
        <v>593503.56000000006</v>
      </c>
      <c r="N11" s="39" t="s">
        <v>62</v>
      </c>
      <c r="O11" s="28">
        <f>'% Optimal de holding'!C82</f>
        <v>0</v>
      </c>
      <c r="P11" s="35">
        <f>+M11-$M$6</f>
        <v>0</v>
      </c>
    </row>
    <row r="12" spans="2:16" ht="15.75" thickBot="1" x14ac:dyDescent="0.3">
      <c r="B12" s="63" t="s">
        <v>67</v>
      </c>
      <c r="C12" s="65">
        <v>8.8815785195194799E-2</v>
      </c>
      <c r="D12" s="68"/>
      <c r="E12" s="36"/>
      <c r="F12" s="59" t="s">
        <v>63</v>
      </c>
      <c r="G12" s="60">
        <v>515651.50770351273</v>
      </c>
      <c r="H12" s="37"/>
      <c r="J12" s="63" t="s">
        <v>67</v>
      </c>
      <c r="K12" s="65">
        <f>'% Optimal de holding'!H8*'% Optimal de holding'!E8</f>
        <v>0</v>
      </c>
      <c r="L12" s="68"/>
      <c r="M12" s="36"/>
      <c r="N12" s="59" t="s">
        <v>63</v>
      </c>
      <c r="O12" s="60">
        <f>'% Optimal de holding'!C83</f>
        <v>593503.56000000006</v>
      </c>
      <c r="P12" s="37"/>
    </row>
    <row r="14" spans="2:16" ht="15.75" thickBot="1" x14ac:dyDescent="0.3"/>
    <row r="15" spans="2:16" x14ac:dyDescent="0.25">
      <c r="B15" s="41" t="s">
        <v>0</v>
      </c>
      <c r="C15" s="30">
        <v>608000</v>
      </c>
      <c r="D15" s="31"/>
      <c r="E15" s="31"/>
      <c r="F15" s="31"/>
      <c r="G15" s="31"/>
      <c r="H15" s="32"/>
    </row>
    <row r="16" spans="2:16" x14ac:dyDescent="0.25">
      <c r="B16" s="42" t="s">
        <v>21</v>
      </c>
      <c r="C16" s="23">
        <v>1169795</v>
      </c>
      <c r="H16" s="33"/>
    </row>
    <row r="17" spans="2:12" x14ac:dyDescent="0.25">
      <c r="B17" s="42" t="s">
        <v>22</v>
      </c>
      <c r="C17" s="23">
        <v>1266224</v>
      </c>
      <c r="E17" s="38" t="s">
        <v>69</v>
      </c>
      <c r="H17" s="33"/>
      <c r="L17" s="24"/>
    </row>
    <row r="18" spans="2:12" x14ac:dyDescent="0.25">
      <c r="B18" s="34"/>
      <c r="H18" s="33"/>
      <c r="L18" s="24"/>
    </row>
    <row r="19" spans="2:12" x14ac:dyDescent="0.25">
      <c r="B19" s="43" t="s">
        <v>59</v>
      </c>
      <c r="C19" s="44"/>
      <c r="D19" s="44"/>
      <c r="E19" s="45">
        <v>622948.24282406399</v>
      </c>
      <c r="F19" s="44"/>
      <c r="G19" s="44"/>
      <c r="H19" s="46"/>
      <c r="L19" s="24"/>
    </row>
    <row r="20" spans="2:12" x14ac:dyDescent="0.25">
      <c r="B20" s="47" t="s">
        <v>54</v>
      </c>
      <c r="C20" s="48"/>
      <c r="D20" s="49" t="s">
        <v>60</v>
      </c>
      <c r="E20" s="50">
        <v>593488.05050000001</v>
      </c>
      <c r="F20" s="48"/>
      <c r="G20" s="48"/>
      <c r="H20" s="51">
        <v>-29460.192324063974</v>
      </c>
    </row>
    <row r="21" spans="2:12" x14ac:dyDescent="0.25">
      <c r="B21" s="52"/>
      <c r="C21" s="53"/>
      <c r="D21" s="40" t="s">
        <v>61</v>
      </c>
      <c r="E21" s="54">
        <v>616518.47</v>
      </c>
      <c r="F21" s="53"/>
      <c r="G21" s="53"/>
      <c r="H21" s="55">
        <v>-6429.7728240640135</v>
      </c>
    </row>
    <row r="22" spans="2:12" x14ac:dyDescent="0.25">
      <c r="B22" s="47" t="s">
        <v>55</v>
      </c>
      <c r="C22" s="48"/>
      <c r="D22" s="66" t="s">
        <v>60</v>
      </c>
      <c r="E22" s="50">
        <v>617849.85051243997</v>
      </c>
      <c r="F22" s="56" t="s">
        <v>62</v>
      </c>
      <c r="G22" s="50">
        <v>107198.53012214972</v>
      </c>
      <c r="H22" s="51">
        <v>-5098.3923116240185</v>
      </c>
    </row>
    <row r="23" spans="2:12" x14ac:dyDescent="0.25">
      <c r="B23" s="61" t="s">
        <v>65</v>
      </c>
      <c r="D23" s="67"/>
      <c r="E23" s="29"/>
      <c r="F23" s="57" t="s">
        <v>63</v>
      </c>
      <c r="G23" s="29">
        <v>520651.32039029023</v>
      </c>
      <c r="H23" s="58"/>
    </row>
    <row r="24" spans="2:12" x14ac:dyDescent="0.25">
      <c r="B24" s="62" t="s">
        <v>66</v>
      </c>
      <c r="C24" s="64">
        <v>0.41118421480480521</v>
      </c>
      <c r="D24" s="69" t="s">
        <v>64</v>
      </c>
      <c r="E24" s="28">
        <v>624407.88538380316</v>
      </c>
      <c r="F24" s="39" t="s">
        <v>62</v>
      </c>
      <c r="G24" s="28">
        <v>115756.37768029049</v>
      </c>
      <c r="H24" s="35">
        <v>1459.6425597391799</v>
      </c>
      <c r="I24" s="27"/>
      <c r="J24" s="26"/>
    </row>
    <row r="25" spans="2:12" ht="15.75" thickBot="1" x14ac:dyDescent="0.3">
      <c r="B25" s="63" t="s">
        <v>67</v>
      </c>
      <c r="C25" s="65">
        <v>8.8815785195194799E-2</v>
      </c>
      <c r="D25" s="68"/>
      <c r="E25" s="36"/>
      <c r="F25" s="59" t="s">
        <v>63</v>
      </c>
      <c r="G25" s="60">
        <v>515651.50770351273</v>
      </c>
      <c r="H25" s="37"/>
      <c r="I25" s="27"/>
      <c r="J25" s="26"/>
    </row>
    <row r="26" spans="2:12" x14ac:dyDescent="0.25">
      <c r="I26" s="25"/>
      <c r="J26" s="26"/>
    </row>
    <row r="27" spans="2:12" ht="15.75" thickBot="1" x14ac:dyDescent="0.3"/>
    <row r="28" spans="2:12" x14ac:dyDescent="0.25">
      <c r="B28" s="41" t="s">
        <v>0</v>
      </c>
      <c r="C28" s="30">
        <v>800000</v>
      </c>
      <c r="D28" s="31"/>
      <c r="E28" s="31"/>
      <c r="F28" s="31"/>
      <c r="G28" s="31"/>
      <c r="H28" s="32"/>
    </row>
    <row r="29" spans="2:12" x14ac:dyDescent="0.25">
      <c r="B29" s="42" t="s">
        <v>21</v>
      </c>
      <c r="C29" s="23">
        <v>1169795</v>
      </c>
      <c r="H29" s="33"/>
    </row>
    <row r="30" spans="2:12" x14ac:dyDescent="0.25">
      <c r="B30" s="42" t="s">
        <v>22</v>
      </c>
      <c r="C30" s="23">
        <v>1266224</v>
      </c>
      <c r="E30" s="38"/>
      <c r="H30" s="33"/>
    </row>
    <row r="31" spans="2:12" x14ac:dyDescent="0.25">
      <c r="B31" s="34"/>
      <c r="H31" s="33"/>
    </row>
    <row r="32" spans="2:12" x14ac:dyDescent="0.25">
      <c r="B32" s="43" t="s">
        <v>59</v>
      </c>
      <c r="C32" s="44"/>
      <c r="D32" s="44"/>
      <c r="E32" s="45">
        <v>622948.24282406399</v>
      </c>
      <c r="F32" s="44"/>
      <c r="G32" s="44"/>
      <c r="H32" s="46"/>
    </row>
    <row r="33" spans="2:8" x14ac:dyDescent="0.25">
      <c r="B33" s="47" t="s">
        <v>54</v>
      </c>
      <c r="C33" s="48"/>
      <c r="D33" s="49" t="s">
        <v>60</v>
      </c>
      <c r="E33" s="50">
        <v>543448.77049999998</v>
      </c>
      <c r="F33" s="48"/>
      <c r="G33" s="48"/>
      <c r="H33" s="51">
        <v>-79499.472324064001</v>
      </c>
    </row>
    <row r="34" spans="2:8" x14ac:dyDescent="0.25">
      <c r="B34" s="52"/>
      <c r="C34" s="53"/>
      <c r="D34" s="40" t="s">
        <v>61</v>
      </c>
      <c r="E34" s="54">
        <v>566479.18999999994</v>
      </c>
      <c r="F34" s="53"/>
      <c r="G34" s="53"/>
      <c r="H34" s="55">
        <v>-56469.052824064041</v>
      </c>
    </row>
    <row r="35" spans="2:8" x14ac:dyDescent="0.25">
      <c r="B35" s="47" t="s">
        <v>55</v>
      </c>
      <c r="C35" s="48"/>
      <c r="D35" s="66" t="s">
        <v>60</v>
      </c>
      <c r="E35" s="50">
        <v>612948.24282406399</v>
      </c>
      <c r="F35" s="56" t="s">
        <v>62</v>
      </c>
      <c r="G35" s="50">
        <v>0</v>
      </c>
      <c r="H35" s="51">
        <v>-10000</v>
      </c>
    </row>
    <row r="36" spans="2:8" x14ac:dyDescent="0.25">
      <c r="B36" s="61" t="s">
        <v>65</v>
      </c>
      <c r="D36" s="67"/>
      <c r="E36" s="29"/>
      <c r="F36" s="57" t="s">
        <v>63</v>
      </c>
      <c r="G36" s="29">
        <v>622948.24282406399</v>
      </c>
      <c r="H36" s="58"/>
    </row>
    <row r="37" spans="2:8" x14ac:dyDescent="0.25">
      <c r="B37" s="62" t="s">
        <v>66</v>
      </c>
      <c r="C37" s="64">
        <v>0.5</v>
      </c>
      <c r="D37" s="69" t="s">
        <v>64</v>
      </c>
      <c r="E37" s="28">
        <v>615948.24282406399</v>
      </c>
      <c r="F37" s="39" t="s">
        <v>62</v>
      </c>
      <c r="G37" s="28">
        <v>0</v>
      </c>
      <c r="H37" s="35">
        <v>-7000</v>
      </c>
    </row>
    <row r="38" spans="2:8" ht="15.75" thickBot="1" x14ac:dyDescent="0.3">
      <c r="B38" s="63" t="s">
        <v>67</v>
      </c>
      <c r="C38" s="65">
        <v>0</v>
      </c>
      <c r="D38" s="68"/>
      <c r="E38" s="36"/>
      <c r="F38" s="59" t="s">
        <v>63</v>
      </c>
      <c r="G38" s="60">
        <v>622948.24282406399</v>
      </c>
      <c r="H38" s="37"/>
    </row>
    <row r="40" spans="2:8" ht="15.75" thickBot="1" x14ac:dyDescent="0.3"/>
    <row r="41" spans="2:8" x14ac:dyDescent="0.25">
      <c r="B41" s="41" t="s">
        <v>0</v>
      </c>
      <c r="C41" s="30">
        <v>800000</v>
      </c>
      <c r="D41" s="31"/>
      <c r="E41" s="31"/>
      <c r="F41" s="31"/>
      <c r="G41" s="31"/>
      <c r="H41" s="32"/>
    </row>
    <row r="42" spans="2:8" x14ac:dyDescent="0.25">
      <c r="B42" s="42" t="s">
        <v>21</v>
      </c>
      <c r="C42" s="23">
        <v>1169795</v>
      </c>
      <c r="H42" s="33"/>
    </row>
    <row r="43" spans="2:8" x14ac:dyDescent="0.25">
      <c r="B43" s="42" t="s">
        <v>22</v>
      </c>
      <c r="C43" s="23">
        <v>1266224</v>
      </c>
      <c r="E43" s="38" t="s">
        <v>74</v>
      </c>
      <c r="H43" s="33"/>
    </row>
    <row r="44" spans="2:8" x14ac:dyDescent="0.25">
      <c r="B44" s="34"/>
      <c r="H44" s="33"/>
    </row>
    <row r="45" spans="2:8" x14ac:dyDescent="0.25">
      <c r="B45" s="43" t="s">
        <v>59</v>
      </c>
      <c r="C45" s="44"/>
      <c r="D45" s="44"/>
      <c r="E45" s="45">
        <v>622948.24282406399</v>
      </c>
      <c r="F45" s="44"/>
      <c r="G45" s="44"/>
      <c r="H45" s="46"/>
    </row>
    <row r="46" spans="2:8" x14ac:dyDescent="0.25">
      <c r="B46" s="47" t="s">
        <v>54</v>
      </c>
      <c r="C46" s="48"/>
      <c r="D46" s="49" t="s">
        <v>60</v>
      </c>
      <c r="E46" s="50">
        <v>543448.77049999998</v>
      </c>
      <c r="F46" s="48"/>
      <c r="G46" s="48"/>
      <c r="H46" s="51">
        <v>-79499.472324064001</v>
      </c>
    </row>
    <row r="47" spans="2:8" x14ac:dyDescent="0.25">
      <c r="B47" s="52"/>
      <c r="C47" s="53"/>
      <c r="D47" s="40" t="s">
        <v>61</v>
      </c>
      <c r="E47" s="54">
        <v>566479.18999999994</v>
      </c>
      <c r="F47" s="53"/>
      <c r="G47" s="53"/>
      <c r="H47" s="55">
        <v>-56469.052824064041</v>
      </c>
    </row>
    <row r="48" spans="2:8" x14ac:dyDescent="0.25">
      <c r="B48" s="47" t="s">
        <v>55</v>
      </c>
      <c r="C48" s="48"/>
      <c r="D48" s="66" t="s">
        <v>60</v>
      </c>
      <c r="E48" s="50">
        <v>612948.24282406399</v>
      </c>
      <c r="F48" s="56" t="s">
        <v>62</v>
      </c>
      <c r="G48" s="50">
        <v>0</v>
      </c>
      <c r="H48" s="51">
        <v>-10000</v>
      </c>
    </row>
    <row r="49" spans="2:8" x14ac:dyDescent="0.25">
      <c r="B49" s="61" t="s">
        <v>65</v>
      </c>
      <c r="D49" s="67"/>
      <c r="E49" s="29"/>
      <c r="F49" s="57" t="s">
        <v>63</v>
      </c>
      <c r="G49" s="29">
        <v>622948.24282406399</v>
      </c>
      <c r="H49" s="58"/>
    </row>
    <row r="50" spans="2:8" x14ac:dyDescent="0.25">
      <c r="B50" s="62" t="s">
        <v>66</v>
      </c>
      <c r="C50" s="64">
        <v>0.5</v>
      </c>
      <c r="D50" s="69" t="s">
        <v>64</v>
      </c>
      <c r="E50" s="28">
        <v>615948.24282406399</v>
      </c>
      <c r="F50" s="39" t="s">
        <v>62</v>
      </c>
      <c r="G50" s="28">
        <v>0</v>
      </c>
      <c r="H50" s="35">
        <v>-7000</v>
      </c>
    </row>
    <row r="51" spans="2:8" ht="15.75" thickBot="1" x14ac:dyDescent="0.3">
      <c r="B51" s="63" t="s">
        <v>67</v>
      </c>
      <c r="C51" s="65">
        <v>0</v>
      </c>
      <c r="D51" s="68"/>
      <c r="E51" s="36"/>
      <c r="F51" s="59" t="s">
        <v>63</v>
      </c>
      <c r="G51" s="60">
        <v>622948.24282406399</v>
      </c>
      <c r="H51" s="37"/>
    </row>
    <row r="53" spans="2:8" ht="15.75" thickBot="1" x14ac:dyDescent="0.3"/>
    <row r="54" spans="2:8" x14ac:dyDescent="0.25">
      <c r="B54" s="41" t="s">
        <v>0</v>
      </c>
      <c r="C54" s="30">
        <v>608000</v>
      </c>
      <c r="D54" s="31"/>
      <c r="E54" s="31"/>
      <c r="F54" s="31"/>
      <c r="G54" s="31"/>
      <c r="H54" s="32"/>
    </row>
    <row r="55" spans="2:8" x14ac:dyDescent="0.25">
      <c r="B55" s="42" t="s">
        <v>21</v>
      </c>
      <c r="C55" s="23">
        <v>1169795</v>
      </c>
      <c r="H55" s="33"/>
    </row>
    <row r="56" spans="2:8" x14ac:dyDescent="0.25">
      <c r="B56" s="42" t="s">
        <v>22</v>
      </c>
      <c r="C56" s="23">
        <v>1169795</v>
      </c>
      <c r="E56" s="38" t="s">
        <v>70</v>
      </c>
      <c r="H56" s="33"/>
    </row>
    <row r="57" spans="2:8" x14ac:dyDescent="0.25">
      <c r="B57" s="34"/>
      <c r="H57" s="33"/>
    </row>
    <row r="58" spans="2:8" x14ac:dyDescent="0.25">
      <c r="B58" s="43" t="s">
        <v>59</v>
      </c>
      <c r="C58" s="44"/>
      <c r="D58" s="44"/>
      <c r="E58" s="45">
        <v>579823.24943684996</v>
      </c>
      <c r="F58" s="44"/>
      <c r="G58" s="44"/>
      <c r="H58" s="46"/>
    </row>
    <row r="59" spans="2:8" x14ac:dyDescent="0.25">
      <c r="B59" s="47" t="s">
        <v>54</v>
      </c>
      <c r="C59" s="48"/>
      <c r="D59" s="49" t="s">
        <v>60</v>
      </c>
      <c r="E59" s="50">
        <v>570750.40500000003</v>
      </c>
      <c r="F59" s="48"/>
      <c r="G59" s="48"/>
      <c r="H59" s="51">
        <v>-9072.8444368499331</v>
      </c>
    </row>
    <row r="60" spans="2:8" x14ac:dyDescent="0.25">
      <c r="B60" s="52"/>
      <c r="C60" s="53"/>
      <c r="D60" s="40" t="s">
        <v>61</v>
      </c>
      <c r="E60" s="54">
        <v>604897.5</v>
      </c>
      <c r="F60" s="53"/>
      <c r="G60" s="53"/>
      <c r="H60" s="55">
        <v>25074.250563150039</v>
      </c>
    </row>
    <row r="61" spans="2:8" x14ac:dyDescent="0.25">
      <c r="B61" s="47" t="s">
        <v>55</v>
      </c>
      <c r="C61" s="48"/>
      <c r="D61" s="66" t="s">
        <v>60</v>
      </c>
      <c r="E61" s="50">
        <v>582384.52917457977</v>
      </c>
      <c r="F61" s="56" t="s">
        <v>62</v>
      </c>
      <c r="G61" s="50">
        <v>101383.29574812</v>
      </c>
      <c r="H61" s="51">
        <v>2561.279737729812</v>
      </c>
    </row>
    <row r="62" spans="2:8" x14ac:dyDescent="0.25">
      <c r="B62" s="61" t="s">
        <v>65</v>
      </c>
      <c r="D62" s="67"/>
      <c r="E62" s="29"/>
      <c r="F62" s="57" t="s">
        <v>63</v>
      </c>
      <c r="G62" s="29">
        <v>481001.23342645977</v>
      </c>
      <c r="H62" s="58"/>
    </row>
    <row r="63" spans="2:8" x14ac:dyDescent="0.25">
      <c r="B63" s="62" t="s">
        <v>66</v>
      </c>
      <c r="C63" s="64">
        <v>0.41118421041845776</v>
      </c>
      <c r="D63" s="69" t="s">
        <v>64</v>
      </c>
      <c r="E63" s="28">
        <v>588450.13158326165</v>
      </c>
      <c r="F63" s="39" t="s">
        <v>62</v>
      </c>
      <c r="G63" s="28">
        <v>107448.89815680186</v>
      </c>
      <c r="H63" s="35">
        <v>8626.8821464116918</v>
      </c>
    </row>
    <row r="64" spans="2:8" ht="15.75" thickBot="1" x14ac:dyDescent="0.3">
      <c r="B64" s="63" t="s">
        <v>67</v>
      </c>
      <c r="C64" s="65">
        <v>8.8815789581542223E-2</v>
      </c>
      <c r="D64" s="68"/>
      <c r="E64" s="36"/>
      <c r="F64" s="59" t="s">
        <v>63</v>
      </c>
      <c r="G64" s="60">
        <v>481001.23342645977</v>
      </c>
      <c r="H64" s="37"/>
    </row>
    <row r="66" spans="2:8" ht="15.75" thickBot="1" x14ac:dyDescent="0.3"/>
    <row r="67" spans="2:8" x14ac:dyDescent="0.25">
      <c r="B67" s="41" t="s">
        <v>0</v>
      </c>
      <c r="C67" s="30">
        <v>608000</v>
      </c>
      <c r="D67" s="31"/>
      <c r="E67" s="31"/>
      <c r="F67" s="31"/>
      <c r="G67" s="31"/>
      <c r="H67" s="32"/>
    </row>
    <row r="68" spans="2:8" x14ac:dyDescent="0.25">
      <c r="B68" s="42" t="s">
        <v>21</v>
      </c>
      <c r="C68" s="23">
        <v>1169795</v>
      </c>
      <c r="H68" s="33"/>
    </row>
    <row r="69" spans="2:8" x14ac:dyDescent="0.25">
      <c r="B69" s="42" t="s">
        <v>22</v>
      </c>
      <c r="C69" s="23">
        <v>1169795</v>
      </c>
      <c r="E69" s="38" t="s">
        <v>71</v>
      </c>
      <c r="H69" s="33"/>
    </row>
    <row r="70" spans="2:8" x14ac:dyDescent="0.25">
      <c r="B70" s="34"/>
      <c r="H70" s="33"/>
    </row>
    <row r="71" spans="2:8" x14ac:dyDescent="0.25">
      <c r="B71" s="43" t="s">
        <v>59</v>
      </c>
      <c r="C71" s="44"/>
      <c r="D71" s="44"/>
      <c r="E71" s="45">
        <v>579823.24943684996</v>
      </c>
      <c r="F71" s="44"/>
      <c r="G71" s="44"/>
      <c r="H71" s="46"/>
    </row>
    <row r="72" spans="2:8" x14ac:dyDescent="0.25">
      <c r="B72" s="47" t="s">
        <v>54</v>
      </c>
      <c r="C72" s="48"/>
      <c r="D72" s="49" t="s">
        <v>60</v>
      </c>
      <c r="E72" s="50">
        <v>570750.40500000003</v>
      </c>
      <c r="F72" s="48"/>
      <c r="G72" s="48"/>
      <c r="H72" s="51">
        <v>-9072.8444368499331</v>
      </c>
    </row>
    <row r="73" spans="2:8" x14ac:dyDescent="0.25">
      <c r="B73" s="52"/>
      <c r="C73" s="53"/>
      <c r="D73" s="40" t="s">
        <v>61</v>
      </c>
      <c r="E73" s="54">
        <v>604897.5</v>
      </c>
      <c r="F73" s="53"/>
      <c r="G73" s="53"/>
      <c r="H73" s="55">
        <v>25074.250563150039</v>
      </c>
    </row>
    <row r="74" spans="2:8" x14ac:dyDescent="0.25">
      <c r="B74" s="47" t="s">
        <v>55</v>
      </c>
      <c r="C74" s="48"/>
      <c r="D74" s="66" t="s">
        <v>60</v>
      </c>
      <c r="E74" s="50">
        <v>570750.40500000003</v>
      </c>
      <c r="F74" s="56" t="s">
        <v>62</v>
      </c>
      <c r="G74" s="50">
        <v>570750.40500000003</v>
      </c>
      <c r="H74" s="51">
        <v>-9072.8444368499331</v>
      </c>
    </row>
    <row r="75" spans="2:8" x14ac:dyDescent="0.25">
      <c r="B75" s="61" t="s">
        <v>65</v>
      </c>
      <c r="D75" s="67"/>
      <c r="E75" s="29"/>
      <c r="F75" s="57" t="s">
        <v>63</v>
      </c>
      <c r="G75" s="29">
        <v>0</v>
      </c>
      <c r="H75" s="58"/>
    </row>
    <row r="76" spans="2:8" x14ac:dyDescent="0.25">
      <c r="B76" s="62" t="s">
        <v>66</v>
      </c>
      <c r="C76" s="64">
        <v>0</v>
      </c>
      <c r="D76" s="69" t="s">
        <v>64</v>
      </c>
      <c r="E76" s="28">
        <v>604897.5</v>
      </c>
      <c r="F76" s="39" t="s">
        <v>62</v>
      </c>
      <c r="G76" s="28">
        <v>604897.5</v>
      </c>
      <c r="H76" s="35">
        <v>25074.250563150039</v>
      </c>
    </row>
    <row r="77" spans="2:8" ht="15.75" thickBot="1" x14ac:dyDescent="0.3">
      <c r="B77" s="63" t="s">
        <v>67</v>
      </c>
      <c r="C77" s="65">
        <v>0.5</v>
      </c>
      <c r="D77" s="68"/>
      <c r="E77" s="36"/>
      <c r="F77" s="59" t="s">
        <v>63</v>
      </c>
      <c r="G77" s="60">
        <v>0</v>
      </c>
      <c r="H77" s="37"/>
    </row>
    <row r="79" spans="2:8" ht="15.75" thickBot="1" x14ac:dyDescent="0.3"/>
    <row r="80" spans="2:8" x14ac:dyDescent="0.25">
      <c r="B80" s="41" t="s">
        <v>0</v>
      </c>
      <c r="C80" s="30">
        <v>800000</v>
      </c>
      <c r="D80" s="31"/>
      <c r="E80" s="31"/>
      <c r="F80" s="31"/>
      <c r="G80" s="31"/>
      <c r="H80" s="32"/>
    </row>
    <row r="81" spans="2:8" x14ac:dyDescent="0.25">
      <c r="B81" s="42" t="s">
        <v>21</v>
      </c>
      <c r="C81" s="23">
        <v>1300000</v>
      </c>
      <c r="H81" s="33"/>
    </row>
    <row r="82" spans="2:8" x14ac:dyDescent="0.25">
      <c r="B82" s="42" t="s">
        <v>22</v>
      </c>
      <c r="C82" s="23">
        <v>1300000</v>
      </c>
      <c r="H82" s="33"/>
    </row>
    <row r="83" spans="2:8" x14ac:dyDescent="0.25">
      <c r="B83" s="34"/>
      <c r="H83" s="33"/>
    </row>
    <row r="84" spans="2:8" x14ac:dyDescent="0.25">
      <c r="B84" s="43" t="s">
        <v>59</v>
      </c>
      <c r="C84" s="44"/>
      <c r="D84" s="44"/>
      <c r="E84" s="45">
        <v>637675.34</v>
      </c>
      <c r="F84" s="44"/>
      <c r="G84" s="44"/>
      <c r="H84" s="46"/>
    </row>
    <row r="85" spans="2:8" x14ac:dyDescent="0.25">
      <c r="B85" s="47" t="s">
        <v>54</v>
      </c>
      <c r="C85" s="48"/>
      <c r="D85" s="49" t="s">
        <v>60</v>
      </c>
      <c r="E85" s="50">
        <v>546517.5</v>
      </c>
      <c r="F85" s="48"/>
      <c r="G85" s="48"/>
      <c r="H85" s="51">
        <v>-91157.839999999967</v>
      </c>
    </row>
    <row r="86" spans="2:8" x14ac:dyDescent="0.25">
      <c r="B86" s="52"/>
      <c r="C86" s="53"/>
      <c r="D86" s="40" t="s">
        <v>61</v>
      </c>
      <c r="E86" s="54">
        <v>555517.5</v>
      </c>
      <c r="F86" s="53"/>
      <c r="G86" s="53"/>
      <c r="H86" s="55">
        <v>-82157.839999999967</v>
      </c>
    </row>
    <row r="87" spans="2:8" x14ac:dyDescent="0.25">
      <c r="B87" s="47" t="s">
        <v>55</v>
      </c>
      <c r="C87" s="48"/>
      <c r="D87" s="66" t="s">
        <v>60</v>
      </c>
      <c r="E87" s="50">
        <v>627675.34</v>
      </c>
      <c r="F87" s="56" t="s">
        <v>62</v>
      </c>
      <c r="G87" s="50">
        <v>0</v>
      </c>
      <c r="H87" s="51">
        <v>-10000</v>
      </c>
    </row>
    <row r="88" spans="2:8" x14ac:dyDescent="0.25">
      <c r="B88" s="61" t="s">
        <v>65</v>
      </c>
      <c r="D88" s="67"/>
      <c r="E88" s="29"/>
      <c r="F88" s="57" t="s">
        <v>63</v>
      </c>
      <c r="G88" s="29">
        <v>637675.34</v>
      </c>
      <c r="H88" s="58"/>
    </row>
    <row r="89" spans="2:8" x14ac:dyDescent="0.25">
      <c r="B89" s="62" t="s">
        <v>66</v>
      </c>
      <c r="C89" s="64">
        <v>0.5</v>
      </c>
      <c r="D89" s="69" t="s">
        <v>64</v>
      </c>
      <c r="E89" s="28">
        <v>630675.34</v>
      </c>
      <c r="F89" s="39" t="s">
        <v>62</v>
      </c>
      <c r="G89" s="28">
        <v>0</v>
      </c>
      <c r="H89" s="35">
        <v>-7000</v>
      </c>
    </row>
    <row r="90" spans="2:8" ht="15.75" thickBot="1" x14ac:dyDescent="0.3">
      <c r="B90" s="63" t="s">
        <v>67</v>
      </c>
      <c r="C90" s="65">
        <v>0</v>
      </c>
      <c r="D90" s="68"/>
      <c r="E90" s="36"/>
      <c r="F90" s="59" t="s">
        <v>63</v>
      </c>
      <c r="G90" s="60">
        <v>637675.34</v>
      </c>
      <c r="H90" s="37"/>
    </row>
    <row r="92" spans="2:8" ht="15.75" thickBot="1" x14ac:dyDescent="0.3"/>
    <row r="93" spans="2:8" x14ac:dyDescent="0.25">
      <c r="B93" s="41" t="s">
        <v>0</v>
      </c>
      <c r="C93" s="30">
        <v>608000</v>
      </c>
      <c r="D93" s="31"/>
      <c r="E93" s="31"/>
      <c r="F93" s="31"/>
      <c r="G93" s="31"/>
      <c r="H93" s="32"/>
    </row>
    <row r="94" spans="2:8" x14ac:dyDescent="0.25">
      <c r="B94" s="42" t="s">
        <v>21</v>
      </c>
      <c r="C94" s="23">
        <v>1300000</v>
      </c>
      <c r="H94" s="33"/>
    </row>
    <row r="95" spans="2:8" x14ac:dyDescent="0.25">
      <c r="B95" s="42" t="s">
        <v>22</v>
      </c>
      <c r="C95" s="23">
        <v>1300000</v>
      </c>
      <c r="D95" s="70"/>
      <c r="E95" s="38" t="s">
        <v>72</v>
      </c>
      <c r="H95" s="33"/>
    </row>
    <row r="96" spans="2:8" x14ac:dyDescent="0.25">
      <c r="B96" s="34"/>
      <c r="H96" s="33"/>
    </row>
    <row r="97" spans="2:8" x14ac:dyDescent="0.25">
      <c r="B97" s="43" t="s">
        <v>59</v>
      </c>
      <c r="C97" s="44"/>
      <c r="D97" s="44"/>
      <c r="E97" s="45">
        <v>637675.34</v>
      </c>
      <c r="F97" s="44"/>
      <c r="G97" s="44"/>
      <c r="H97" s="46"/>
    </row>
    <row r="98" spans="2:8" x14ac:dyDescent="0.25">
      <c r="B98" s="47" t="s">
        <v>54</v>
      </c>
      <c r="C98" s="48"/>
      <c r="D98" s="49" t="s">
        <v>60</v>
      </c>
      <c r="E98" s="50">
        <v>625306.30000000005</v>
      </c>
      <c r="F98" s="48"/>
      <c r="G98" s="48"/>
      <c r="H98" s="51">
        <v>-12369.039999999921</v>
      </c>
    </row>
    <row r="99" spans="2:8" x14ac:dyDescent="0.25">
      <c r="B99" s="52"/>
      <c r="C99" s="53"/>
      <c r="D99" s="40" t="s">
        <v>61</v>
      </c>
      <c r="E99" s="54">
        <v>670000</v>
      </c>
      <c r="F99" s="53"/>
      <c r="G99" s="53"/>
      <c r="H99" s="55">
        <v>32324.660000000033</v>
      </c>
    </row>
    <row r="100" spans="2:8" x14ac:dyDescent="0.25">
      <c r="B100" s="47" t="s">
        <v>55</v>
      </c>
      <c r="C100" s="48"/>
      <c r="D100" s="66" t="s">
        <v>60</v>
      </c>
      <c r="E100" s="50">
        <v>625306.29999999993</v>
      </c>
      <c r="F100" s="56" t="s">
        <v>62</v>
      </c>
      <c r="G100" s="50">
        <v>625306.29999999993</v>
      </c>
      <c r="H100" s="51">
        <v>-12369.040000000037</v>
      </c>
    </row>
    <row r="101" spans="2:8" x14ac:dyDescent="0.25">
      <c r="B101" s="61" t="s">
        <v>65</v>
      </c>
      <c r="D101" s="67"/>
      <c r="E101" s="29"/>
      <c r="F101" s="57" t="s">
        <v>63</v>
      </c>
      <c r="G101" s="29">
        <v>0</v>
      </c>
      <c r="H101" s="58"/>
    </row>
    <row r="102" spans="2:8" x14ac:dyDescent="0.25">
      <c r="B102" s="62" t="s">
        <v>66</v>
      </c>
      <c r="C102" s="64">
        <v>0</v>
      </c>
      <c r="D102" s="69" t="s">
        <v>64</v>
      </c>
      <c r="E102" s="28">
        <v>669999.99999999988</v>
      </c>
      <c r="F102" s="39" t="s">
        <v>62</v>
      </c>
      <c r="G102" s="28">
        <v>669999.99999999988</v>
      </c>
      <c r="H102" s="35">
        <v>32324.659999999916</v>
      </c>
    </row>
    <row r="103" spans="2:8" ht="15.75" thickBot="1" x14ac:dyDescent="0.3">
      <c r="B103" s="63" t="s">
        <v>67</v>
      </c>
      <c r="C103" s="65">
        <v>0.49999999999999994</v>
      </c>
      <c r="D103" s="68"/>
      <c r="E103" s="36"/>
      <c r="F103" s="59" t="s">
        <v>63</v>
      </c>
      <c r="G103" s="60">
        <v>0</v>
      </c>
      <c r="H103" s="37"/>
    </row>
  </sheetData>
  <conditionalFormatting sqref="H1 H13:H79 H91:H1048576">
    <cfRule type="cellIs" dxfId="3" priority="3" operator="greaterThan">
      <formula>0</formula>
    </cfRule>
    <cfRule type="cellIs" dxfId="2" priority="4" operator="lessThan">
      <formula>0</formula>
    </cfRule>
  </conditionalFormatting>
  <conditionalFormatting sqref="H2:H12">
    <cfRule type="cellIs" dxfId="1" priority="1" operator="greaterThan">
      <formula>0</formula>
    </cfRule>
    <cfRule type="cellIs" dxfId="0" priority="2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2:I15"/>
  <sheetViews>
    <sheetView workbookViewId="0">
      <selection activeCell="E24" sqref="E24"/>
    </sheetView>
  </sheetViews>
  <sheetFormatPr baseColWidth="10" defaultRowHeight="15" x14ac:dyDescent="0.25"/>
  <cols>
    <col min="2" max="2" width="36.42578125" customWidth="1"/>
    <col min="3" max="3" width="12.85546875" bestFit="1" customWidth="1"/>
    <col min="4" max="6" width="11.5703125" bestFit="1" customWidth="1"/>
    <col min="7" max="9" width="12.85546875" bestFit="1" customWidth="1"/>
  </cols>
  <sheetData>
    <row r="2" spans="2:9" x14ac:dyDescent="0.25">
      <c r="B2" t="s">
        <v>82</v>
      </c>
      <c r="C2" s="75">
        <v>1300000</v>
      </c>
    </row>
    <row r="3" spans="2:9" x14ac:dyDescent="0.25">
      <c r="B3" t="s">
        <v>83</v>
      </c>
      <c r="C3" s="75">
        <v>1300000</v>
      </c>
    </row>
    <row r="5" spans="2:9" x14ac:dyDescent="0.25">
      <c r="B5" t="s">
        <v>0</v>
      </c>
      <c r="C5" s="15">
        <v>600000</v>
      </c>
      <c r="D5" s="15">
        <f t="shared" ref="D5:I5" si="0">C5+100000</f>
        <v>700000</v>
      </c>
      <c r="E5" s="15">
        <f t="shared" si="0"/>
        <v>800000</v>
      </c>
      <c r="F5" s="15">
        <f t="shared" si="0"/>
        <v>900000</v>
      </c>
      <c r="G5" s="15">
        <f t="shared" si="0"/>
        <v>1000000</v>
      </c>
      <c r="H5" s="15">
        <f t="shared" si="0"/>
        <v>1100000</v>
      </c>
      <c r="I5" s="15">
        <f t="shared" si="0"/>
        <v>1200000</v>
      </c>
    </row>
    <row r="6" spans="2:9" s="21" customFormat="1" x14ac:dyDescent="0.25">
      <c r="C6" s="15"/>
      <c r="D6" s="15"/>
      <c r="E6" s="15"/>
      <c r="F6" s="15"/>
      <c r="G6" s="15"/>
      <c r="H6" s="15"/>
      <c r="I6" s="15"/>
    </row>
    <row r="7" spans="2:9" x14ac:dyDescent="0.25">
      <c r="B7" s="21" t="s">
        <v>59</v>
      </c>
      <c r="C7" s="15">
        <v>637675.34</v>
      </c>
      <c r="D7" s="15">
        <v>637675.34</v>
      </c>
      <c r="E7" s="74">
        <v>637675.34</v>
      </c>
      <c r="F7" s="15">
        <v>637675.34</v>
      </c>
      <c r="G7" s="15">
        <v>637675.34</v>
      </c>
      <c r="H7" s="15">
        <v>637675.34</v>
      </c>
      <c r="I7" s="15">
        <v>637675.34</v>
      </c>
    </row>
    <row r="8" spans="2:9" x14ac:dyDescent="0.25">
      <c r="B8" s="21"/>
      <c r="C8" s="15"/>
      <c r="D8" s="15"/>
      <c r="E8" s="74"/>
      <c r="F8" s="15"/>
      <c r="G8" s="15"/>
      <c r="H8" s="15"/>
      <c r="I8" s="15"/>
    </row>
    <row r="9" spans="2:9" x14ac:dyDescent="0.25">
      <c r="B9" s="21" t="s">
        <v>77</v>
      </c>
      <c r="C9" s="15">
        <v>618172.5</v>
      </c>
      <c r="D9" s="15">
        <v>582345</v>
      </c>
      <c r="E9" s="74">
        <v>582345</v>
      </c>
      <c r="F9" s="15">
        <v>582345</v>
      </c>
      <c r="G9" s="15">
        <v>582345</v>
      </c>
      <c r="H9" s="15">
        <v>582345</v>
      </c>
      <c r="I9" s="15">
        <v>582345</v>
      </c>
    </row>
    <row r="10" spans="2:9" x14ac:dyDescent="0.25">
      <c r="B10" s="21" t="s">
        <v>78</v>
      </c>
      <c r="C10" s="15">
        <v>627172.5</v>
      </c>
      <c r="D10" s="15">
        <v>591345</v>
      </c>
      <c r="E10" s="74">
        <v>591345</v>
      </c>
      <c r="F10" s="15">
        <v>591345</v>
      </c>
      <c r="G10" s="15">
        <v>591345</v>
      </c>
      <c r="H10" s="15">
        <v>591345</v>
      </c>
      <c r="I10" s="15">
        <v>591345</v>
      </c>
    </row>
    <row r="11" spans="2:9" x14ac:dyDescent="0.25">
      <c r="B11" s="21"/>
      <c r="C11" s="21"/>
      <c r="D11" s="21"/>
      <c r="E11" s="1"/>
      <c r="F11" s="21"/>
      <c r="G11" s="15"/>
      <c r="H11" s="15"/>
      <c r="I11" s="15"/>
    </row>
    <row r="12" spans="2:9" x14ac:dyDescent="0.25">
      <c r="B12" s="21" t="s">
        <v>79</v>
      </c>
      <c r="C12" s="15">
        <v>636362.08330000006</v>
      </c>
      <c r="D12" s="15">
        <v>627980.68550000002</v>
      </c>
      <c r="E12" s="74">
        <v>627980.68550000002</v>
      </c>
      <c r="F12" s="15">
        <v>627980.68550000002</v>
      </c>
      <c r="G12" s="15">
        <v>627980.68550000002</v>
      </c>
      <c r="H12" s="15">
        <v>627980.68550000002</v>
      </c>
      <c r="I12" s="15">
        <v>627980.68550000002</v>
      </c>
    </row>
    <row r="13" spans="2:9" x14ac:dyDescent="0.25">
      <c r="B13" s="21" t="s">
        <v>80</v>
      </c>
      <c r="C13" s="73">
        <v>0.16666666669414304</v>
      </c>
      <c r="D13" s="73">
        <v>7.5613109490269323E-2</v>
      </c>
      <c r="E13" s="73">
        <v>7.5613117246910846E-2</v>
      </c>
      <c r="F13" s="73">
        <v>7.5613116207104203E-2</v>
      </c>
      <c r="G13" s="73">
        <v>7.5613099569450393E-2</v>
      </c>
      <c r="H13" s="73">
        <v>7.5613117246958031E-2</v>
      </c>
      <c r="I13" s="73">
        <v>7.5613117246990269E-2</v>
      </c>
    </row>
    <row r="14" spans="2:9" x14ac:dyDescent="0.25">
      <c r="B14" s="21" t="s">
        <v>81</v>
      </c>
      <c r="C14" s="15">
        <v>640362.08330000006</v>
      </c>
      <c r="D14" s="15">
        <v>631602.88199999998</v>
      </c>
      <c r="E14" s="74">
        <v>631602.88199999998</v>
      </c>
      <c r="F14" s="15">
        <v>631602.88199999998</v>
      </c>
      <c r="G14" s="15">
        <v>631602.88199999998</v>
      </c>
      <c r="H14" s="15">
        <v>631602.88199999998</v>
      </c>
      <c r="I14" s="15">
        <v>631602.88199999998</v>
      </c>
    </row>
    <row r="15" spans="2:9" x14ac:dyDescent="0.25">
      <c r="B15" s="21" t="s">
        <v>80</v>
      </c>
      <c r="C15" s="73">
        <v>0.16666666669414304</v>
      </c>
      <c r="D15" s="73">
        <v>0.13178568560390283</v>
      </c>
      <c r="E15" s="73">
        <v>0.13178568564807769</v>
      </c>
      <c r="F15" s="73">
        <v>0.13178567315299314</v>
      </c>
      <c r="G15" s="73">
        <v>0.13178569195040429</v>
      </c>
      <c r="H15" s="73">
        <v>0.1317856919504054</v>
      </c>
      <c r="I15" s="73">
        <v>0.13178569195044609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Pas de holding</vt:lpstr>
      <vt:lpstr>100% Holding</vt:lpstr>
      <vt:lpstr>% Optimal de holding</vt:lpstr>
      <vt:lpstr>Résultats</vt:lpstr>
      <vt:lpstr>Feuil1</vt:lpstr>
    </vt:vector>
  </TitlesOfParts>
  <Company>CERFRANCE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 PONTY</dc:creator>
  <cp:lastModifiedBy>Lucas PONTY</cp:lastModifiedBy>
  <dcterms:created xsi:type="dcterms:W3CDTF">2022-10-17T13:18:05Z</dcterms:created>
  <dcterms:modified xsi:type="dcterms:W3CDTF">2022-10-28T15:39:39Z</dcterms:modified>
</cp:coreProperties>
</file>