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GSN2066\Desktop\"/>
    </mc:Choice>
  </mc:AlternateContent>
  <bookViews>
    <workbookView xWindow="0" yWindow="0" windowWidth="14370" windowHeight="7020" activeTab="2"/>
  </bookViews>
  <sheets>
    <sheet name="Client" sheetId="3" r:id="rId1"/>
    <sheet name="Trimestres" sheetId="5" r:id="rId2"/>
    <sheet name="MSA" sheetId="10" r:id="rId3"/>
    <sheet name="Salarié et assimilés" sheetId="9" r:id="rId4"/>
    <sheet name="MSA + Salarié" sheetId="12" r:id="rId5"/>
    <sheet name="CARMF" sheetId="8" r:id="rId6"/>
    <sheet name="Outils" sheetId="2" r:id="rId7"/>
    <sheet name="Hypothèse de base" sheetId="13" r:id="rId8"/>
    <sheet name="6" sheetId="19" r:id="rId9"/>
    <sheet name="2" sheetId="20" r:id="rId10"/>
  </sheets>
  <functionGroups builtInGroupCount="18"/>
  <definedNames>
    <definedName name="Table1">#REF!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4" i="5" l="1"/>
  <c r="O45" i="5"/>
  <c r="O46" i="5"/>
  <c r="O47" i="5"/>
  <c r="O48" i="5"/>
  <c r="O49" i="5"/>
  <c r="O50" i="5"/>
  <c r="O51" i="5"/>
  <c r="O52" i="5"/>
  <c r="O53" i="5"/>
  <c r="O54" i="5"/>
  <c r="O55" i="5"/>
  <c r="Q6" i="12" l="1"/>
  <c r="R6" i="12"/>
  <c r="F8" i="3"/>
  <c r="K1" i="3" l="1"/>
  <c r="O2" i="5" l="1"/>
  <c r="N2" i="5" l="1"/>
  <c r="E25" i="10" l="1"/>
  <c r="F25" i="10"/>
  <c r="G1" i="10"/>
  <c r="E1" i="10" s="1"/>
  <c r="F1" i="10" l="1"/>
  <c r="B16" i="3"/>
  <c r="B14" i="3" s="1"/>
  <c r="G2" i="10" s="1"/>
  <c r="S6" i="12"/>
  <c r="F2" i="10" l="1"/>
  <c r="H2" i="10"/>
  <c r="F16" i="3"/>
  <c r="D2" i="9"/>
  <c r="S7" i="9"/>
  <c r="R7" i="9"/>
  <c r="Q7" i="9"/>
  <c r="L25" i="10"/>
  <c r="K25" i="10"/>
  <c r="J25" i="10"/>
  <c r="I25" i="10"/>
  <c r="H25" i="10"/>
  <c r="G25" i="10"/>
  <c r="E2" i="9" l="1"/>
  <c r="F2" i="9" s="1"/>
  <c r="R1" i="10"/>
  <c r="R1" i="12" s="1"/>
  <c r="E2" i="10"/>
  <c r="F24" i="10"/>
  <c r="H1" i="10"/>
  <c r="I1" i="10" s="1"/>
  <c r="J1" i="10" s="1"/>
  <c r="K1" i="10" s="1"/>
  <c r="L1" i="10" s="1"/>
  <c r="S1" i="10"/>
  <c r="S1" i="12" s="1"/>
  <c r="G24" i="10"/>
  <c r="Q1" i="10" l="1"/>
  <c r="Q1" i="12" s="1"/>
  <c r="E24" i="10"/>
  <c r="G2" i="9"/>
  <c r="H24" i="10"/>
  <c r="T1" i="10"/>
  <c r="T1" i="12" s="1"/>
  <c r="I2" i="10"/>
  <c r="H2" i="9" l="1"/>
  <c r="I24" i="10"/>
  <c r="U1" i="10"/>
  <c r="U1" i="12" s="1"/>
  <c r="J2" i="10"/>
  <c r="I2" i="9" l="1"/>
  <c r="J24" i="10"/>
  <c r="V1" i="10"/>
  <c r="V1" i="12" s="1"/>
  <c r="K2" i="10"/>
  <c r="J2" i="9" l="1"/>
  <c r="K24" i="10"/>
  <c r="W1" i="10"/>
  <c r="W1" i="12" s="1"/>
  <c r="L2" i="10"/>
  <c r="K2" i="9" l="1"/>
  <c r="L24" i="10"/>
  <c r="X1" i="10"/>
  <c r="X1" i="12" s="1"/>
  <c r="B12" i="3" l="1"/>
  <c r="B13" i="3" s="1"/>
  <c r="B11" i="3" l="1"/>
  <c r="N56" i="5" l="1"/>
  <c r="I56" i="5"/>
  <c r="C3" i="8"/>
  <c r="Q57" i="5"/>
  <c r="P57" i="5"/>
  <c r="R57" i="5"/>
  <c r="P56" i="5"/>
  <c r="Q56" i="5"/>
  <c r="R56" i="5"/>
  <c r="D3" i="8" l="1"/>
  <c r="E3" i="8" s="1"/>
  <c r="F3" i="8" s="1"/>
  <c r="G3" i="8" s="1"/>
  <c r="H3" i="8" s="1"/>
  <c r="I3" i="8" s="1"/>
  <c r="J3" i="8" s="1"/>
  <c r="K3" i="8" s="1"/>
  <c r="L3" i="8" l="1"/>
  <c r="M3" i="8" l="1"/>
  <c r="H56" i="5" l="1"/>
  <c r="O56" i="5" l="1"/>
  <c r="M56" i="5" l="1"/>
  <c r="Z61" i="5" l="1"/>
  <c r="AB61" i="5" s="1"/>
  <c r="A4" i="5" l="1"/>
  <c r="D4" i="5" l="1"/>
  <c r="E4" i="5"/>
  <c r="A5" i="5"/>
  <c r="B4" i="5"/>
  <c r="F4" i="5" l="1"/>
  <c r="J4" i="5" s="1"/>
  <c r="D5" i="5"/>
  <c r="A6" i="5"/>
  <c r="B5" i="5"/>
  <c r="F5" i="5" l="1"/>
  <c r="J5" i="5" s="1"/>
  <c r="E5" i="5"/>
  <c r="D6" i="5"/>
  <c r="B6" i="5"/>
  <c r="A7" i="5"/>
  <c r="F6" i="5" l="1"/>
  <c r="J6" i="5" s="1"/>
  <c r="E6" i="5"/>
  <c r="D7" i="5"/>
  <c r="B7" i="5"/>
  <c r="A8" i="5"/>
  <c r="F7" i="5" l="1"/>
  <c r="J7" i="5" s="1"/>
  <c r="E7" i="5"/>
  <c r="D8" i="5"/>
  <c r="E8" i="5" s="1"/>
  <c r="B8" i="5"/>
  <c r="A9" i="5"/>
  <c r="F8" i="5" l="1"/>
  <c r="J8" i="5" s="1"/>
  <c r="D9" i="5"/>
  <c r="B9" i="5"/>
  <c r="A10" i="5"/>
  <c r="F9" i="5" l="1"/>
  <c r="J9" i="5" s="1"/>
  <c r="E9" i="5"/>
  <c r="D10" i="5"/>
  <c r="B10" i="5"/>
  <c r="A11" i="5"/>
  <c r="F10" i="5" l="1"/>
  <c r="J10" i="5" s="1"/>
  <c r="E10" i="5"/>
  <c r="D11" i="5"/>
  <c r="B11" i="5"/>
  <c r="A12" i="5"/>
  <c r="G29" i="2"/>
  <c r="U45" i="2"/>
  <c r="F11" i="5" l="1"/>
  <c r="J11" i="5" s="1"/>
  <c r="E11" i="5"/>
  <c r="D12" i="5"/>
  <c r="B12" i="5"/>
  <c r="A13" i="5"/>
  <c r="F12" i="5" l="1"/>
  <c r="J12" i="5" s="1"/>
  <c r="E12" i="5"/>
  <c r="D13" i="5"/>
  <c r="B13" i="5"/>
  <c r="A14" i="5"/>
  <c r="F13" i="5" l="1"/>
  <c r="J13" i="5" s="1"/>
  <c r="E13" i="5"/>
  <c r="D14" i="5"/>
  <c r="B14" i="5"/>
  <c r="A15" i="5"/>
  <c r="F14" i="5" l="1"/>
  <c r="J14" i="5" s="1"/>
  <c r="E14" i="5"/>
  <c r="D15" i="5"/>
  <c r="B15" i="5"/>
  <c r="A16" i="5"/>
  <c r="F15" i="5" l="1"/>
  <c r="J15" i="5" s="1"/>
  <c r="E15" i="5"/>
  <c r="D16" i="5"/>
  <c r="B16" i="5"/>
  <c r="A17" i="5"/>
  <c r="F16" i="5" l="1"/>
  <c r="J16" i="5" s="1"/>
  <c r="E16" i="5"/>
  <c r="D17" i="5"/>
  <c r="E17" i="5" s="1"/>
  <c r="B17" i="5"/>
  <c r="A18" i="5"/>
  <c r="F17" i="5" l="1"/>
  <c r="J17" i="5" s="1"/>
  <c r="D18" i="5"/>
  <c r="B18" i="5"/>
  <c r="A19" i="5"/>
  <c r="F18" i="5" l="1"/>
  <c r="J18" i="5" s="1"/>
  <c r="E18" i="5"/>
  <c r="D19" i="5"/>
  <c r="E19" i="5" s="1"/>
  <c r="B19" i="5"/>
  <c r="A20" i="5"/>
  <c r="F19" i="5" l="1"/>
  <c r="J19" i="5" s="1"/>
  <c r="D20" i="5"/>
  <c r="B20" i="5"/>
  <c r="A21" i="5"/>
  <c r="F20" i="5" l="1"/>
  <c r="J20" i="5" s="1"/>
  <c r="E20" i="5"/>
  <c r="D21" i="5"/>
  <c r="B21" i="5"/>
  <c r="A22" i="5"/>
  <c r="F21" i="5" l="1"/>
  <c r="J21" i="5" s="1"/>
  <c r="E21" i="5"/>
  <c r="D22" i="5"/>
  <c r="B22" i="5"/>
  <c r="A23" i="5"/>
  <c r="F22" i="5" l="1"/>
  <c r="J22" i="5" s="1"/>
  <c r="E22" i="5"/>
  <c r="D23" i="5"/>
  <c r="E23" i="5" s="1"/>
  <c r="B23" i="5"/>
  <c r="A24" i="5"/>
  <c r="F23" i="5" l="1"/>
  <c r="J23" i="5" s="1"/>
  <c r="D24" i="5"/>
  <c r="B24" i="5"/>
  <c r="F24" i="5" s="1"/>
  <c r="J24" i="5" s="1"/>
  <c r="A25" i="5"/>
  <c r="E24" i="5" l="1"/>
  <c r="D25" i="5"/>
  <c r="E25" i="5" s="1"/>
  <c r="B25" i="5"/>
  <c r="F25" i="5" s="1"/>
  <c r="J25" i="5" s="1"/>
  <c r="A26" i="5"/>
  <c r="D26" i="5" l="1"/>
  <c r="E26" i="5" s="1"/>
  <c r="B26" i="5"/>
  <c r="F26" i="5" s="1"/>
  <c r="J26" i="5" s="1"/>
  <c r="A27" i="5"/>
  <c r="D27" i="5" l="1"/>
  <c r="E27" i="5" s="1"/>
  <c r="B27" i="5"/>
  <c r="F27" i="5" s="1"/>
  <c r="J27" i="5" s="1"/>
  <c r="A28" i="5"/>
  <c r="D28" i="5" l="1"/>
  <c r="E28" i="5" s="1"/>
  <c r="B28" i="5"/>
  <c r="F28" i="5" s="1"/>
  <c r="J28" i="5" s="1"/>
  <c r="A29" i="5"/>
  <c r="D29" i="5" l="1"/>
  <c r="E29" i="5" s="1"/>
  <c r="B29" i="5"/>
  <c r="F29" i="5" s="1"/>
  <c r="J29" i="5" s="1"/>
  <c r="A30" i="5"/>
  <c r="D30" i="5" l="1"/>
  <c r="E30" i="5" s="1"/>
  <c r="B30" i="5"/>
  <c r="F30" i="5" s="1"/>
  <c r="J30" i="5" s="1"/>
  <c r="A31" i="5"/>
  <c r="D31" i="5" l="1"/>
  <c r="B31" i="5"/>
  <c r="F31" i="5" s="1"/>
  <c r="J31" i="5" s="1"/>
  <c r="A32" i="5"/>
  <c r="E31" i="5" l="1"/>
  <c r="D32" i="5"/>
  <c r="B32" i="5"/>
  <c r="F32" i="5" s="1"/>
  <c r="J32" i="5" s="1"/>
  <c r="A33" i="5"/>
  <c r="E32" i="5" l="1"/>
  <c r="D33" i="5"/>
  <c r="E33" i="5" s="1"/>
  <c r="B33" i="5"/>
  <c r="F33" i="5" s="1"/>
  <c r="J33" i="5" s="1"/>
  <c r="A34" i="5"/>
  <c r="D34" i="5" l="1"/>
  <c r="E34" i="5" s="1"/>
  <c r="B34" i="5"/>
  <c r="F34" i="5" s="1"/>
  <c r="J34" i="5" s="1"/>
  <c r="A35" i="5"/>
  <c r="D35" i="5" l="1"/>
  <c r="E35" i="5" s="1"/>
  <c r="B35" i="5"/>
  <c r="F35" i="5" s="1"/>
  <c r="J35" i="5" s="1"/>
  <c r="A36" i="5"/>
  <c r="D36" i="5" l="1"/>
  <c r="E36" i="5" s="1"/>
  <c r="B36" i="5"/>
  <c r="F36" i="5" s="1"/>
  <c r="J36" i="5" s="1"/>
  <c r="A37" i="5"/>
  <c r="E37" i="5" l="1"/>
  <c r="D37" i="5"/>
  <c r="B37" i="5"/>
  <c r="F37" i="5" s="1"/>
  <c r="J37" i="5" s="1"/>
  <c r="A38" i="5"/>
  <c r="E38" i="5" l="1"/>
  <c r="D38" i="5"/>
  <c r="B38" i="5"/>
  <c r="F38" i="5" s="1"/>
  <c r="J38" i="5" s="1"/>
  <c r="A39" i="5"/>
  <c r="D39" i="5" l="1"/>
  <c r="E39" i="5" s="1"/>
  <c r="B39" i="5"/>
  <c r="F39" i="5" s="1"/>
  <c r="J39" i="5" s="1"/>
  <c r="A40" i="5"/>
  <c r="D40" i="5" l="1"/>
  <c r="E40" i="5" s="1"/>
  <c r="B40" i="5"/>
  <c r="F40" i="5" s="1"/>
  <c r="J40" i="5" s="1"/>
  <c r="A41" i="5"/>
  <c r="D41" i="5" l="1"/>
  <c r="E41" i="5" s="1"/>
  <c r="B41" i="5"/>
  <c r="F41" i="5" s="1"/>
  <c r="J41" i="5" s="1"/>
  <c r="A42" i="5"/>
  <c r="D42" i="5" l="1"/>
  <c r="E42" i="5" s="1"/>
  <c r="B42" i="5"/>
  <c r="F42" i="5" s="1"/>
  <c r="J42" i="5" s="1"/>
  <c r="A43" i="5"/>
  <c r="D43" i="5" l="1"/>
  <c r="E43" i="5" s="1"/>
  <c r="B43" i="5"/>
  <c r="F43" i="5" s="1"/>
  <c r="J43" i="5" s="1"/>
  <c r="A44" i="5"/>
  <c r="D44" i="5" l="1"/>
  <c r="B44" i="5"/>
  <c r="F44" i="5" s="1"/>
  <c r="J44" i="5" s="1"/>
  <c r="A45" i="5"/>
  <c r="E44" i="5" l="1"/>
  <c r="D45" i="5"/>
  <c r="E45" i="5" s="1"/>
  <c r="B45" i="5"/>
  <c r="F45" i="5" s="1"/>
  <c r="J45" i="5" s="1"/>
  <c r="A46" i="5"/>
  <c r="D46" i="5" l="1"/>
  <c r="E46" i="5" s="1"/>
  <c r="B46" i="5"/>
  <c r="F46" i="5" s="1"/>
  <c r="J46" i="5" s="1"/>
  <c r="A47" i="5"/>
  <c r="D47" i="5" l="1"/>
  <c r="E47" i="5" s="1"/>
  <c r="B47" i="5"/>
  <c r="F47" i="5" s="1"/>
  <c r="J47" i="5" s="1"/>
  <c r="A48" i="5"/>
  <c r="D48" i="5" l="1"/>
  <c r="E48" i="5" s="1"/>
  <c r="B48" i="5"/>
  <c r="F48" i="5" s="1"/>
  <c r="J48" i="5" s="1"/>
  <c r="A49" i="5"/>
  <c r="D49" i="5" l="1"/>
  <c r="E49" i="5" s="1"/>
  <c r="B49" i="5"/>
  <c r="F49" i="5" s="1"/>
  <c r="J49" i="5" s="1"/>
  <c r="A50" i="5"/>
  <c r="D50" i="5" l="1"/>
  <c r="B50" i="5"/>
  <c r="G56" i="5" s="1"/>
  <c r="A51" i="5"/>
  <c r="F50" i="5" l="1"/>
  <c r="J50" i="5" s="1"/>
  <c r="E50" i="5"/>
  <c r="Q1" i="9"/>
  <c r="C4" i="8"/>
  <c r="D4" i="8" s="1"/>
  <c r="E4" i="8" s="1"/>
  <c r="F4" i="8" s="1"/>
  <c r="G4" i="8" s="1"/>
  <c r="H4" i="8" s="1"/>
  <c r="I4" i="8" s="1"/>
  <c r="J4" i="8" s="1"/>
  <c r="K4" i="8" s="1"/>
  <c r="L4" i="8" s="1"/>
  <c r="M4" i="8" s="1"/>
  <c r="F12" i="9"/>
  <c r="F13" i="9" s="1"/>
  <c r="S4" i="9" s="1"/>
  <c r="F10" i="9"/>
  <c r="F11" i="9" s="1"/>
  <c r="S5" i="9" s="1"/>
  <c r="D51" i="5"/>
  <c r="B51" i="5"/>
  <c r="A52" i="5"/>
  <c r="D21" i="9" l="1"/>
  <c r="E21" i="9" s="1"/>
  <c r="D22" i="9"/>
  <c r="F22" i="9" s="1"/>
  <c r="G22" i="9" s="1"/>
  <c r="F51" i="5"/>
  <c r="J51" i="5" s="1"/>
  <c r="G12" i="9"/>
  <c r="G13" i="9" s="1"/>
  <c r="T4" i="9" s="1"/>
  <c r="E51" i="5"/>
  <c r="R1" i="9"/>
  <c r="S1" i="9" s="1"/>
  <c r="T1" i="9" s="1"/>
  <c r="U1" i="9" s="1"/>
  <c r="V1" i="9" s="1"/>
  <c r="W1" i="9" s="1"/>
  <c r="X1" i="9" s="1"/>
  <c r="B52" i="5"/>
  <c r="F52" i="5" s="1"/>
  <c r="J52" i="5" s="1"/>
  <c r="G10" i="9"/>
  <c r="G11" i="9" s="1"/>
  <c r="T5" i="9" s="1"/>
  <c r="D52" i="5"/>
  <c r="A53" i="5"/>
  <c r="E22" i="9" l="1"/>
  <c r="F21" i="9"/>
  <c r="G21" i="9" s="1"/>
  <c r="H10" i="9"/>
  <c r="H11" i="9" s="1"/>
  <c r="U5" i="9" s="1"/>
  <c r="E52" i="5"/>
  <c r="H12" i="9"/>
  <c r="H13" i="9" s="1"/>
  <c r="U4" i="9" s="1"/>
  <c r="H12" i="3"/>
  <c r="E53" i="5"/>
  <c r="D53" i="5"/>
  <c r="B53" i="5"/>
  <c r="A54" i="5"/>
  <c r="F53" i="5" l="1"/>
  <c r="J53" i="5" s="1"/>
  <c r="I10" i="9"/>
  <c r="I11" i="9" s="1"/>
  <c r="V5" i="9" s="1"/>
  <c r="I12" i="9"/>
  <c r="I13" i="9" s="1"/>
  <c r="V4" i="9" s="1"/>
  <c r="D54" i="5"/>
  <c r="E54" i="5" s="1"/>
  <c r="B54" i="5"/>
  <c r="A55" i="5"/>
  <c r="F54" i="5" l="1"/>
  <c r="J54" i="5" s="1"/>
  <c r="J10" i="9"/>
  <c r="J11" i="9" s="1"/>
  <c r="W5" i="9" s="1"/>
  <c r="J12" i="9"/>
  <c r="J13" i="9" s="1"/>
  <c r="W4" i="9" s="1"/>
  <c r="B55" i="5"/>
  <c r="D55" i="5"/>
  <c r="E55" i="5" s="1"/>
  <c r="F55" i="5" l="1"/>
  <c r="J55" i="5" s="1"/>
  <c r="E5" i="10"/>
  <c r="E13" i="10"/>
  <c r="F13" i="10"/>
  <c r="F3" i="10"/>
  <c r="E3" i="10"/>
  <c r="F5" i="10"/>
  <c r="E4" i="10"/>
  <c r="F4" i="10"/>
  <c r="K12" i="9"/>
  <c r="K13" i="9" s="1"/>
  <c r="X4" i="9" s="1"/>
  <c r="C2" i="8"/>
  <c r="K10" i="9"/>
  <c r="K11" i="9" s="1"/>
  <c r="X5" i="9" s="1"/>
  <c r="E12" i="9"/>
  <c r="E13" i="9" s="1"/>
  <c r="R4" i="9" s="1"/>
  <c r="E10" i="9"/>
  <c r="E11" i="9" s="1"/>
  <c r="R5" i="9" s="1"/>
  <c r="D10" i="9"/>
  <c r="D11" i="9" s="1"/>
  <c r="D12" i="9"/>
  <c r="D13" i="9" s="1"/>
  <c r="Q4" i="9" s="1"/>
  <c r="H13" i="10"/>
  <c r="G5" i="10"/>
  <c r="K13" i="10"/>
  <c r="I5" i="10"/>
  <c r="J4" i="10"/>
  <c r="L13" i="10"/>
  <c r="I13" i="10"/>
  <c r="H4" i="10"/>
  <c r="J13" i="10"/>
  <c r="K5" i="10"/>
  <c r="G13" i="10"/>
  <c r="I4" i="10"/>
  <c r="G4" i="10"/>
  <c r="J5" i="10"/>
  <c r="H5" i="10"/>
  <c r="K4" i="10"/>
  <c r="L5" i="10"/>
  <c r="L4" i="10"/>
  <c r="L8" i="8"/>
  <c r="E2" i="8"/>
  <c r="C6" i="8"/>
  <c r="K8" i="8"/>
  <c r="L2" i="8"/>
  <c r="I2" i="8"/>
  <c r="F2" i="8"/>
  <c r="J6" i="8"/>
  <c r="J7" i="8"/>
  <c r="D6" i="8"/>
  <c r="G6" i="8"/>
  <c r="L7" i="8"/>
  <c r="H6" i="8"/>
  <c r="L6" i="8"/>
  <c r="J2" i="8"/>
  <c r="H8" i="8"/>
  <c r="K6" i="8"/>
  <c r="I7" i="8"/>
  <c r="I6" i="8"/>
  <c r="F6" i="8"/>
  <c r="I8" i="8"/>
  <c r="K2" i="8"/>
  <c r="F7" i="8"/>
  <c r="C7" i="8"/>
  <c r="F8" i="8"/>
  <c r="H7" i="8"/>
  <c r="H2" i="8"/>
  <c r="E6" i="8"/>
  <c r="G7" i="8"/>
  <c r="M8" i="8"/>
  <c r="E8" i="8"/>
  <c r="G2" i="8"/>
  <c r="D8" i="8"/>
  <c r="C8" i="8"/>
  <c r="E7" i="8"/>
  <c r="M2" i="8"/>
  <c r="M6" i="8"/>
  <c r="G8" i="8"/>
  <c r="M7" i="8"/>
  <c r="J8" i="8"/>
  <c r="K7" i="8"/>
  <c r="D2" i="8"/>
  <c r="D7" i="8"/>
  <c r="F14" i="3"/>
  <c r="Q5" i="9" l="1"/>
  <c r="D5" i="2" l="1"/>
  <c r="D22" i="2"/>
  <c r="D20" i="2"/>
  <c r="D25" i="2"/>
  <c r="D8" i="2"/>
  <c r="D13" i="2"/>
  <c r="D6" i="2"/>
  <c r="D12" i="2"/>
  <c r="D9" i="2"/>
  <c r="D24" i="2"/>
  <c r="D4" i="2"/>
  <c r="D11" i="2"/>
  <c r="D16" i="2"/>
  <c r="D19" i="2"/>
  <c r="D2" i="2"/>
  <c r="D27" i="2"/>
  <c r="D15" i="2"/>
  <c r="D3" i="2"/>
  <c r="D23" i="2"/>
  <c r="D17" i="2"/>
  <c r="D18" i="2"/>
  <c r="D7" i="2"/>
  <c r="D14" i="2"/>
  <c r="D21" i="2"/>
  <c r="D26" i="2"/>
  <c r="D10" i="2"/>
  <c r="D3" i="9" l="1"/>
  <c r="D4" i="9" s="1"/>
  <c r="E6" i="10"/>
  <c r="E7" i="10" s="1"/>
  <c r="D5" i="9"/>
  <c r="G3" i="10"/>
  <c r="E4" i="2"/>
  <c r="E11" i="2"/>
  <c r="E7" i="2"/>
  <c r="E9" i="2"/>
  <c r="E24" i="2"/>
  <c r="E8" i="2"/>
  <c r="E3" i="2"/>
  <c r="E12" i="2"/>
  <c r="E17" i="2"/>
  <c r="E14" i="2"/>
  <c r="E27" i="2"/>
  <c r="E25" i="2"/>
  <c r="E23" i="2"/>
  <c r="E20" i="2"/>
  <c r="E2" i="2"/>
  <c r="E16" i="2"/>
  <c r="E22" i="2"/>
  <c r="E6" i="2"/>
  <c r="E19" i="2"/>
  <c r="E5" i="2"/>
  <c r="E15" i="2"/>
  <c r="E26" i="2"/>
  <c r="E10" i="2"/>
  <c r="E18" i="2"/>
  <c r="E13" i="2"/>
  <c r="E21" i="2"/>
  <c r="F3" i="2"/>
  <c r="E3" i="9" l="1"/>
  <c r="E4" i="9" s="1"/>
  <c r="E9" i="10"/>
  <c r="E14" i="10" s="1"/>
  <c r="E15" i="10" s="1"/>
  <c r="E26" i="10"/>
  <c r="E18" i="10" s="1"/>
  <c r="E11" i="10"/>
  <c r="E16" i="10"/>
  <c r="E5" i="9"/>
  <c r="F6" i="10"/>
  <c r="F7" i="10" s="1"/>
  <c r="F9" i="10" s="1"/>
  <c r="F14" i="10" s="1"/>
  <c r="F15" i="10" s="1"/>
  <c r="D6" i="9"/>
  <c r="H3" i="10"/>
  <c r="F56" i="5"/>
  <c r="I3" i="10"/>
  <c r="F16" i="2"/>
  <c r="F21" i="2"/>
  <c r="F17" i="2"/>
  <c r="F6" i="2"/>
  <c r="F25" i="2"/>
  <c r="F10" i="2"/>
  <c r="F27" i="2"/>
  <c r="F8" i="2"/>
  <c r="F19" i="2"/>
  <c r="F26" i="2"/>
  <c r="F5" i="2"/>
  <c r="F22" i="2"/>
  <c r="F9" i="2"/>
  <c r="F18" i="2"/>
  <c r="F24" i="2"/>
  <c r="F23" i="2"/>
  <c r="F4" i="2"/>
  <c r="F13" i="2"/>
  <c r="F14" i="2"/>
  <c r="F7" i="2"/>
  <c r="F11" i="2"/>
  <c r="F20" i="2"/>
  <c r="F15" i="2"/>
  <c r="F12" i="2"/>
  <c r="F2" i="2"/>
  <c r="J56" i="5" l="1"/>
  <c r="E19" i="10"/>
  <c r="E20" i="10" s="1"/>
  <c r="E6" i="9"/>
  <c r="E7" i="9" s="1"/>
  <c r="R3" i="9" s="1"/>
  <c r="R9" i="9" s="1"/>
  <c r="F3" i="9"/>
  <c r="E17" i="10"/>
  <c r="Q4" i="10" s="1"/>
  <c r="E10" i="10"/>
  <c r="Q7" i="10" s="1"/>
  <c r="F5" i="9"/>
  <c r="F26" i="10"/>
  <c r="F18" i="10" s="1"/>
  <c r="F16" i="10"/>
  <c r="F17" i="10" s="1"/>
  <c r="R4" i="10" s="1"/>
  <c r="F10" i="10"/>
  <c r="R7" i="10" s="1"/>
  <c r="F11" i="10"/>
  <c r="D7" i="9"/>
  <c r="Q3" i="9" s="1"/>
  <c r="Q9" i="9" s="1"/>
  <c r="G6" i="10"/>
  <c r="G8" i="2"/>
  <c r="G11" i="2"/>
  <c r="G4" i="2"/>
  <c r="G7" i="2"/>
  <c r="G5" i="2"/>
  <c r="G2" i="2"/>
  <c r="G12" i="2"/>
  <c r="G20" i="2"/>
  <c r="G18" i="2"/>
  <c r="G27" i="2"/>
  <c r="G26" i="2"/>
  <c r="G3" i="2"/>
  <c r="G19" i="2"/>
  <c r="G6" i="2"/>
  <c r="G15" i="2"/>
  <c r="G22" i="2"/>
  <c r="G10" i="2"/>
  <c r="G24" i="2"/>
  <c r="G23" i="2"/>
  <c r="G17" i="2"/>
  <c r="G25" i="2"/>
  <c r="G13" i="2"/>
  <c r="G21" i="2"/>
  <c r="G14" i="2"/>
  <c r="G9" i="2"/>
  <c r="G16" i="2"/>
  <c r="Q10" i="9" l="1"/>
  <c r="Q4" i="12"/>
  <c r="R10" i="9"/>
  <c r="R4" i="12"/>
  <c r="F19" i="10"/>
  <c r="F20" i="10" s="1"/>
  <c r="R5" i="10" s="1"/>
  <c r="Q5" i="10"/>
  <c r="G3" i="9"/>
  <c r="G4" i="9" s="1"/>
  <c r="H3" i="9"/>
  <c r="H4" i="9" s="1"/>
  <c r="H8" i="9" s="1"/>
  <c r="F4" i="9"/>
  <c r="F8" i="9" s="1"/>
  <c r="F9" i="9" s="1"/>
  <c r="E8" i="9"/>
  <c r="E9" i="9" s="1"/>
  <c r="E15" i="9" s="1"/>
  <c r="D8" i="9"/>
  <c r="D9" i="9" s="1"/>
  <c r="E12" i="10"/>
  <c r="G5" i="9"/>
  <c r="F12" i="10"/>
  <c r="R3" i="10" s="1"/>
  <c r="G7" i="10"/>
  <c r="J3" i="10"/>
  <c r="I6" i="10"/>
  <c r="I7" i="10" s="1"/>
  <c r="I9" i="10" s="1"/>
  <c r="H6" i="10"/>
  <c r="H7" i="10" s="1"/>
  <c r="H9" i="10" s="1"/>
  <c r="H14" i="10" s="1"/>
  <c r="H15" i="10" s="1"/>
  <c r="H13" i="2"/>
  <c r="H10" i="2"/>
  <c r="H22" i="2"/>
  <c r="H3" i="2"/>
  <c r="H7" i="2"/>
  <c r="H2" i="2"/>
  <c r="H15" i="2"/>
  <c r="H23" i="2"/>
  <c r="H24" i="2"/>
  <c r="H25" i="2"/>
  <c r="H20" i="2"/>
  <c r="H5" i="2"/>
  <c r="H4" i="2"/>
  <c r="H17" i="2"/>
  <c r="H11" i="2"/>
  <c r="H16" i="2"/>
  <c r="H8" i="2"/>
  <c r="H26" i="2"/>
  <c r="H14" i="2"/>
  <c r="H6" i="2"/>
  <c r="H21" i="2"/>
  <c r="H27" i="2"/>
  <c r="H9" i="2"/>
  <c r="H19" i="2"/>
  <c r="H18" i="2"/>
  <c r="H12" i="2"/>
  <c r="K3" i="10"/>
  <c r="F6" i="9" l="1"/>
  <c r="F15" i="9" s="1"/>
  <c r="E14" i="9"/>
  <c r="D15" i="9"/>
  <c r="D14" i="9"/>
  <c r="Q3" i="10"/>
  <c r="Q9" i="10" s="1"/>
  <c r="E21" i="10"/>
  <c r="G26" i="10"/>
  <c r="G18" i="10" s="1"/>
  <c r="G9" i="10"/>
  <c r="G14" i="10" s="1"/>
  <c r="G15" i="10" s="1"/>
  <c r="H5" i="9"/>
  <c r="H9" i="9" s="1"/>
  <c r="U7" i="9" s="1"/>
  <c r="F21" i="10"/>
  <c r="R9" i="10"/>
  <c r="G11" i="10"/>
  <c r="G16" i="10"/>
  <c r="G8" i="9"/>
  <c r="G9" i="9" s="1"/>
  <c r="T7" i="9" s="1"/>
  <c r="G6" i="9"/>
  <c r="H26" i="10"/>
  <c r="H18" i="10" s="1"/>
  <c r="H16" i="10"/>
  <c r="H17" i="10" s="1"/>
  <c r="T4" i="10" s="1"/>
  <c r="H11" i="10"/>
  <c r="H10" i="10"/>
  <c r="T7" i="10" s="1"/>
  <c r="I26" i="10"/>
  <c r="I18" i="10" s="1"/>
  <c r="I11" i="10"/>
  <c r="I16" i="10"/>
  <c r="I9" i="2"/>
  <c r="I10" i="2"/>
  <c r="I23" i="2"/>
  <c r="I3" i="2"/>
  <c r="I14" i="2"/>
  <c r="I4" i="2"/>
  <c r="I7" i="2"/>
  <c r="I5" i="2"/>
  <c r="I13" i="2"/>
  <c r="I25" i="2"/>
  <c r="I18" i="2"/>
  <c r="I26" i="2"/>
  <c r="I20" i="2"/>
  <c r="I16" i="2"/>
  <c r="I17" i="2"/>
  <c r="I24" i="2"/>
  <c r="I22" i="2"/>
  <c r="I6" i="2"/>
  <c r="I12" i="2"/>
  <c r="I2" i="2"/>
  <c r="I11" i="2"/>
  <c r="I21" i="2"/>
  <c r="I19" i="2"/>
  <c r="I8" i="2"/>
  <c r="I27" i="2"/>
  <c r="I15" i="2"/>
  <c r="L3" i="10"/>
  <c r="Q10" i="10" l="1"/>
  <c r="Q3" i="12"/>
  <c r="Q8" i="12" s="1"/>
  <c r="Q9" i="12" s="1"/>
  <c r="R10" i="10"/>
  <c r="R3" i="12"/>
  <c r="R8" i="12" s="1"/>
  <c r="R9" i="12" s="1"/>
  <c r="I19" i="10"/>
  <c r="I20" i="10" s="1"/>
  <c r="H19" i="10"/>
  <c r="H20" i="10" s="1"/>
  <c r="G19" i="10"/>
  <c r="G20" i="10" s="1"/>
  <c r="S5" i="10" s="1"/>
  <c r="E33" i="10" s="1"/>
  <c r="I3" i="9"/>
  <c r="I4" i="9" s="1"/>
  <c r="I8" i="9" s="1"/>
  <c r="J3" i="9"/>
  <c r="J4" i="9" s="1"/>
  <c r="J8" i="9" s="1"/>
  <c r="F14" i="9"/>
  <c r="F7" i="9"/>
  <c r="S3" i="9" s="1"/>
  <c r="D20" i="9" s="1"/>
  <c r="G17" i="10"/>
  <c r="S4" i="10" s="1"/>
  <c r="E32" i="10" s="1"/>
  <c r="G32" i="10" s="1"/>
  <c r="H32" i="10" s="1"/>
  <c r="G10" i="10"/>
  <c r="S7" i="10" s="1"/>
  <c r="H6" i="9"/>
  <c r="H15" i="9" s="1"/>
  <c r="T6" i="12"/>
  <c r="G15" i="9"/>
  <c r="G14" i="9"/>
  <c r="G7" i="9"/>
  <c r="T3" i="9" s="1"/>
  <c r="T9" i="9" s="1"/>
  <c r="J6" i="10"/>
  <c r="J7" i="10" s="1"/>
  <c r="I5" i="9"/>
  <c r="H12" i="10"/>
  <c r="K6" i="10"/>
  <c r="K7" i="10" s="1"/>
  <c r="K9" i="10" s="1"/>
  <c r="K14" i="10" s="1"/>
  <c r="K15" i="10" s="1"/>
  <c r="J9" i="2"/>
  <c r="J5" i="2"/>
  <c r="J8" i="2"/>
  <c r="J24" i="2"/>
  <c r="J20" i="2"/>
  <c r="J26" i="2"/>
  <c r="J21" i="2"/>
  <c r="J2" i="2"/>
  <c r="J27" i="2"/>
  <c r="J15" i="2"/>
  <c r="J7" i="2"/>
  <c r="J4" i="2"/>
  <c r="J16" i="2"/>
  <c r="J25" i="2"/>
  <c r="J11" i="2"/>
  <c r="J17" i="2"/>
  <c r="J10" i="2"/>
  <c r="J6" i="2"/>
  <c r="J14" i="2"/>
  <c r="J3" i="2"/>
  <c r="J12" i="2"/>
  <c r="J13" i="2"/>
  <c r="J18" i="2"/>
  <c r="J23" i="2"/>
  <c r="J22" i="2"/>
  <c r="J19" i="2"/>
  <c r="T5" i="10" l="1"/>
  <c r="U5" i="10"/>
  <c r="K3" i="9"/>
  <c r="K4" i="9" s="1"/>
  <c r="K8" i="9" s="1"/>
  <c r="S9" i="9"/>
  <c r="S4" i="12" s="1"/>
  <c r="G12" i="10"/>
  <c r="S3" i="10" s="1"/>
  <c r="E31" i="10" s="1"/>
  <c r="F31" i="10" s="1"/>
  <c r="H14" i="9"/>
  <c r="H7" i="9"/>
  <c r="U3" i="9" s="1"/>
  <c r="U9" i="9" s="1"/>
  <c r="U4" i="12" s="1"/>
  <c r="J16" i="10"/>
  <c r="J9" i="10"/>
  <c r="J14" i="10" s="1"/>
  <c r="J15" i="10" s="1"/>
  <c r="G33" i="10"/>
  <c r="H33" i="10" s="1"/>
  <c r="F33" i="10"/>
  <c r="F32" i="10"/>
  <c r="T10" i="9"/>
  <c r="T4" i="12"/>
  <c r="D24" i="9"/>
  <c r="E20" i="9"/>
  <c r="E24" i="9" s="1"/>
  <c r="F20" i="9"/>
  <c r="J11" i="10"/>
  <c r="J26" i="10"/>
  <c r="J18" i="10" s="1"/>
  <c r="J5" i="9"/>
  <c r="I9" i="9"/>
  <c r="V7" i="9" s="1"/>
  <c r="I6" i="9"/>
  <c r="H21" i="10"/>
  <c r="T3" i="10"/>
  <c r="K26" i="10"/>
  <c r="K18" i="10" s="1"/>
  <c r="K11" i="10"/>
  <c r="K10" i="10"/>
  <c r="W7" i="10" s="1"/>
  <c r="K16" i="10"/>
  <c r="K17" i="10" s="1"/>
  <c r="W4" i="10" s="1"/>
  <c r="L6" i="10"/>
  <c r="L7" i="10" s="1"/>
  <c r="L9" i="10" s="1"/>
  <c r="L14" i="10" s="1"/>
  <c r="L15" i="10" s="1"/>
  <c r="AA61" i="5"/>
  <c r="AA63" i="5" s="1"/>
  <c r="Z63" i="5"/>
  <c r="K24" i="2"/>
  <c r="K12" i="2"/>
  <c r="K11" i="2"/>
  <c r="K10" i="2"/>
  <c r="K17" i="2"/>
  <c r="K18" i="2"/>
  <c r="K3" i="2"/>
  <c r="K4" i="2"/>
  <c r="K22" i="2"/>
  <c r="K25" i="2"/>
  <c r="K2" i="2"/>
  <c r="K23" i="2"/>
  <c r="K14" i="2"/>
  <c r="K19" i="2"/>
  <c r="K15" i="2"/>
  <c r="K7" i="2"/>
  <c r="K13" i="2"/>
  <c r="K26" i="2"/>
  <c r="K6" i="2"/>
  <c r="K8" i="2"/>
  <c r="K16" i="2"/>
  <c r="K20" i="2"/>
  <c r="K27" i="2"/>
  <c r="K21" i="2"/>
  <c r="K9" i="2"/>
  <c r="K5" i="2"/>
  <c r="T9" i="10" l="1"/>
  <c r="T10" i="10" s="1"/>
  <c r="J19" i="10"/>
  <c r="J20" i="10" s="1"/>
  <c r="K19" i="10"/>
  <c r="K20" i="10" s="1"/>
  <c r="S10" i="9"/>
  <c r="U10" i="9"/>
  <c r="J10" i="10"/>
  <c r="V7" i="10" s="1"/>
  <c r="V6" i="12" s="1"/>
  <c r="G21" i="10"/>
  <c r="E35" i="10"/>
  <c r="S9" i="10"/>
  <c r="H11" i="3" s="1"/>
  <c r="F13" i="3" s="1"/>
  <c r="G31" i="10"/>
  <c r="H31" i="10" s="1"/>
  <c r="H35" i="10" s="1"/>
  <c r="J17" i="10"/>
  <c r="V4" i="10" s="1"/>
  <c r="F35" i="10"/>
  <c r="G20" i="9"/>
  <c r="G24" i="9" s="1"/>
  <c r="F24" i="9"/>
  <c r="I15" i="9"/>
  <c r="I14" i="9"/>
  <c r="I7" i="9"/>
  <c r="V3" i="9" s="1"/>
  <c r="V9" i="9" s="1"/>
  <c r="K5" i="9"/>
  <c r="J9" i="9"/>
  <c r="W7" i="9" s="1"/>
  <c r="W6" i="12" s="1"/>
  <c r="J6" i="9"/>
  <c r="K12" i="10"/>
  <c r="L26" i="10"/>
  <c r="L18" i="10" s="1"/>
  <c r="L19" i="10" s="1"/>
  <c r="L20" i="10" s="1"/>
  <c r="X5" i="10" s="1"/>
  <c r="L16" i="10"/>
  <c r="L17" i="10" s="1"/>
  <c r="X4" i="10" s="1"/>
  <c r="L11" i="10"/>
  <c r="L10" i="10"/>
  <c r="X7" i="10" s="1"/>
  <c r="AC61" i="5"/>
  <c r="AC63" i="5" s="1"/>
  <c r="AB63" i="5"/>
  <c r="T3" i="12" l="1"/>
  <c r="T8" i="12" s="1"/>
  <c r="T9" i="12" s="1"/>
  <c r="W5" i="10"/>
  <c r="V5" i="10"/>
  <c r="J12" i="10"/>
  <c r="V3" i="10" s="1"/>
  <c r="S10" i="10"/>
  <c r="S3" i="12"/>
  <c r="S8" i="12" s="1"/>
  <c r="S9" i="12" s="1"/>
  <c r="G35" i="10"/>
  <c r="V10" i="9"/>
  <c r="V4" i="12"/>
  <c r="K9" i="9"/>
  <c r="X7" i="9" s="1"/>
  <c r="X6" i="12" s="1"/>
  <c r="K6" i="9"/>
  <c r="J15" i="9"/>
  <c r="J14" i="9"/>
  <c r="J7" i="9"/>
  <c r="W3" i="9" s="1"/>
  <c r="W9" i="9" s="1"/>
  <c r="K21" i="10"/>
  <c r="W3" i="10"/>
  <c r="L12" i="10"/>
  <c r="AB44" i="5"/>
  <c r="AB45" i="5" s="1"/>
  <c r="Z56" i="5"/>
  <c r="AC44" i="5"/>
  <c r="AC45" i="5" s="1"/>
  <c r="W9" i="10" l="1"/>
  <c r="W10" i="10" s="1"/>
  <c r="V9" i="10"/>
  <c r="V10" i="10" s="1"/>
  <c r="J21" i="10"/>
  <c r="W10" i="9"/>
  <c r="W4" i="12"/>
  <c r="K15" i="9"/>
  <c r="K14" i="9"/>
  <c r="K7" i="9"/>
  <c r="X3" i="9" s="1"/>
  <c r="X9" i="9" s="1"/>
  <c r="L21" i="10"/>
  <c r="X3" i="10"/>
  <c r="X9" i="10" s="1"/>
  <c r="F12" i="3"/>
  <c r="AA56" i="5"/>
  <c r="AE44" i="5"/>
  <c r="AE45" i="5" s="1"/>
  <c r="AF44" i="5"/>
  <c r="AF45" i="5" s="1"/>
  <c r="W3" i="12" l="1"/>
  <c r="W8" i="12" s="1"/>
  <c r="W9" i="12" s="1"/>
  <c r="V3" i="12"/>
  <c r="V8" i="12" s="1"/>
  <c r="V9" i="12" s="1"/>
  <c r="I14" i="10"/>
  <c r="I15" i="10" s="1"/>
  <c r="I10" i="10"/>
  <c r="X10" i="9"/>
  <c r="X4" i="12"/>
  <c r="X10" i="10"/>
  <c r="X3" i="12"/>
  <c r="AD44" i="5"/>
  <c r="AD45" i="5" s="1"/>
  <c r="AA52" i="5"/>
  <c r="Z52" i="5"/>
  <c r="AC56" i="5"/>
  <c r="AD55" i="5"/>
  <c r="AC52" i="5"/>
  <c r="AB52" i="5"/>
  <c r="I17" i="10" l="1"/>
  <c r="U4" i="10" s="1"/>
  <c r="U7" i="10"/>
  <c r="U6" i="12" s="1"/>
  <c r="I12" i="10"/>
  <c r="U3" i="10" s="1"/>
  <c r="X8" i="12"/>
  <c r="X9" i="12" s="1"/>
  <c r="AE55" i="5"/>
  <c r="U9" i="10" l="1"/>
  <c r="U3" i="12" s="1"/>
  <c r="U8" i="12" s="1"/>
  <c r="U9" i="12" s="1"/>
  <c r="I21" i="10"/>
  <c r="L56" i="5"/>
  <c r="K56" i="5"/>
  <c r="U10" i="10" l="1"/>
  <c r="AB56" i="5"/>
</calcChain>
</file>

<file path=xl/sharedStrings.xml><?xml version="1.0" encoding="utf-8"?>
<sst xmlns="http://schemas.openxmlformats.org/spreadsheetml/2006/main" count="241" uniqueCount="152">
  <si>
    <t>Nom</t>
  </si>
  <si>
    <t>Prénom</t>
  </si>
  <si>
    <t>Date de naissance</t>
  </si>
  <si>
    <t>Année</t>
  </si>
  <si>
    <t>Salaire</t>
  </si>
  <si>
    <t>Salaire revalorisé</t>
  </si>
  <si>
    <t>Salaire moyen</t>
  </si>
  <si>
    <t>Trimestres enfants</t>
  </si>
  <si>
    <t>Nombre d'enfant</t>
  </si>
  <si>
    <t>Service militaire</t>
  </si>
  <si>
    <t>Civilité</t>
  </si>
  <si>
    <t>Age</t>
  </si>
  <si>
    <t>Age de départ</t>
  </si>
  <si>
    <t>Nombre de trimestres</t>
  </si>
  <si>
    <t>Taux de liquidation</t>
  </si>
  <si>
    <t>Année de naissance</t>
  </si>
  <si>
    <t>Durée d'assurance</t>
  </si>
  <si>
    <t>Age taux plein automatique</t>
  </si>
  <si>
    <t>Nombre d'année à retenir SAM</t>
  </si>
  <si>
    <t>Coefficient de minoration</t>
  </si>
  <si>
    <t>Ouverture des droits de pension</t>
  </si>
  <si>
    <t>Revalorisation</t>
  </si>
  <si>
    <t>Surcote</t>
  </si>
  <si>
    <t>Pension de base</t>
  </si>
  <si>
    <t>Pension complémentaire</t>
  </si>
  <si>
    <t>Valeur point</t>
  </si>
  <si>
    <t>Pension globale brute</t>
  </si>
  <si>
    <t>Pension globale nette</t>
  </si>
  <si>
    <t>Total</t>
  </si>
  <si>
    <t>Brut mensuelle</t>
  </si>
  <si>
    <t>Trimestres agricole</t>
  </si>
  <si>
    <t>Trimestres réputés cotisés</t>
  </si>
  <si>
    <t>Points AVA</t>
  </si>
  <si>
    <t>Points RCO</t>
  </si>
  <si>
    <t>Age départ</t>
  </si>
  <si>
    <t>Trimestres salaire</t>
  </si>
  <si>
    <t>Trimestres agricoles</t>
  </si>
  <si>
    <t>Total trimestres</t>
  </si>
  <si>
    <t>Date de départ</t>
  </si>
  <si>
    <t>Retraite forfaitaire</t>
  </si>
  <si>
    <t>Pension forfaitaire intégrale</t>
  </si>
  <si>
    <t>trimestres surcote</t>
  </si>
  <si>
    <t>Pension annuelle brute</t>
  </si>
  <si>
    <t>Pension annuelle nette</t>
  </si>
  <si>
    <t>Retraite proportionnelle</t>
  </si>
  <si>
    <t>Points exploitant principal</t>
  </si>
  <si>
    <t>Retraite complémentaire</t>
  </si>
  <si>
    <t>Points retraite complémentaire</t>
  </si>
  <si>
    <t>Retraite complémentaire brute</t>
  </si>
  <si>
    <t>Retraite complémentaire nette</t>
  </si>
  <si>
    <t>Retraite agricole nette</t>
  </si>
  <si>
    <t>Trimestres total</t>
  </si>
  <si>
    <t>Pension de retraite de base</t>
  </si>
  <si>
    <t>Net annuelle</t>
  </si>
  <si>
    <t>Brut annuelle</t>
  </si>
  <si>
    <t>Net mensuelle</t>
  </si>
  <si>
    <t>Pension forfaitaire</t>
  </si>
  <si>
    <t>Pension proportionnelle</t>
  </si>
  <si>
    <t>Total des pensions de retraite de base</t>
  </si>
  <si>
    <t>Pension de retraite salarié non agricole</t>
  </si>
  <si>
    <t>Mensuelle</t>
  </si>
  <si>
    <t>Surcote nette</t>
  </si>
  <si>
    <t>Dont surcote</t>
  </si>
  <si>
    <t>Points Ircantec</t>
  </si>
  <si>
    <t>Trimestres surcote</t>
  </si>
  <si>
    <t>Points Agirc-Arrco</t>
  </si>
  <si>
    <t>Salaire de référence</t>
  </si>
  <si>
    <t>Pension de base nette</t>
  </si>
  <si>
    <t>Trimestres salariés et assimilés</t>
  </si>
  <si>
    <t>Pension des salariés et assimilés</t>
  </si>
  <si>
    <t>Pension des exploitants agricoles</t>
  </si>
  <si>
    <t>Mois départ :</t>
  </si>
  <si>
    <t xml:space="preserve">Pension de retraite salarié </t>
  </si>
  <si>
    <t>années rco avant 2003</t>
  </si>
  <si>
    <t>période cotisé au rco</t>
  </si>
  <si>
    <t>nombre de points gratuit max</t>
  </si>
  <si>
    <t>points gratuit</t>
  </si>
  <si>
    <t>Ircantec</t>
  </si>
  <si>
    <r>
      <t>3000 points et plus</t>
    </r>
    <r>
      <rPr>
        <sz val="11"/>
        <color rgb="FF000000"/>
        <rFont val="Arial"/>
        <family val="2"/>
      </rPr>
      <t> : Versement mensuel</t>
    </r>
  </si>
  <si>
    <r>
      <t>Entre 1000 et 2999 points</t>
    </r>
    <r>
      <rPr>
        <sz val="11"/>
        <color rgb="FF000000"/>
        <rFont val="Arial"/>
        <family val="2"/>
      </rPr>
      <t> : Versement trimestriel</t>
    </r>
  </si>
  <si>
    <r>
      <t>Entre 300 et 999 points</t>
    </r>
    <r>
      <rPr>
        <sz val="11"/>
        <color rgb="FF000000"/>
        <rFont val="Arial"/>
        <family val="2"/>
      </rPr>
      <t> : Versement annuel</t>
    </r>
  </si>
  <si>
    <t>10 % pour 3 enfants</t>
  </si>
  <si>
    <t>15 % pour 4 enfants</t>
  </si>
  <si>
    <t>20 % pour 5 enfants</t>
  </si>
  <si>
    <t>25 % pour 6 enfants</t>
  </si>
  <si>
    <t>30 % pour 7 enfants et plus</t>
  </si>
  <si>
    <t>Pension de retraite totale</t>
  </si>
  <si>
    <t>Pension de retraite exploitant agricole</t>
  </si>
  <si>
    <t>Pension de retraite salarié</t>
  </si>
  <si>
    <t>Pension</t>
  </si>
  <si>
    <t>Différence</t>
  </si>
  <si>
    <t>CARMF</t>
  </si>
  <si>
    <t>Régime de base</t>
  </si>
  <si>
    <t>Régime complémentaire</t>
  </si>
  <si>
    <t>Régime ASV</t>
  </si>
  <si>
    <t>Base</t>
  </si>
  <si>
    <t>Complémentaire</t>
  </si>
  <si>
    <t>ASV</t>
  </si>
  <si>
    <t>Trimestres CARMF</t>
  </si>
  <si>
    <t>Trimestres report</t>
  </si>
  <si>
    <t>Point RCI</t>
  </si>
  <si>
    <t>Pension complémentaire brut (RCI)</t>
  </si>
  <si>
    <t>Complémentaire nette (RCI)</t>
  </si>
  <si>
    <t>Pension complémentaire brut (Sal)</t>
  </si>
  <si>
    <t>Complémentaire nette (Sal)</t>
  </si>
  <si>
    <t>Pension complémentaire salarié</t>
  </si>
  <si>
    <t>Pension de retraite</t>
  </si>
  <si>
    <t>Pension complémentaire indépendant</t>
  </si>
  <si>
    <t>Date du jour</t>
  </si>
  <si>
    <t>Année naissance</t>
  </si>
  <si>
    <t>Caisse :</t>
  </si>
  <si>
    <t>Salarié</t>
  </si>
  <si>
    <t>Indépendant</t>
  </si>
  <si>
    <t>MSA</t>
  </si>
  <si>
    <t>Attention</t>
  </si>
  <si>
    <t>Bonus/Malus agirc date 2e tiret</t>
  </si>
  <si>
    <t>Cumul emploi retraite</t>
  </si>
  <si>
    <t>Plafonné salarié</t>
  </si>
  <si>
    <t>Intervenant :</t>
  </si>
  <si>
    <t>Prénom nom</t>
  </si>
  <si>
    <t>Lucas PONTY</t>
  </si>
  <si>
    <t>Mail</t>
  </si>
  <si>
    <t>lponty@sn.cerfrance.fr</t>
  </si>
  <si>
    <t>Téléphone</t>
  </si>
  <si>
    <t>06.34.69.66.88</t>
  </si>
  <si>
    <t>Montant à la date de départ</t>
  </si>
  <si>
    <t>/an</t>
  </si>
  <si>
    <t>/mois</t>
  </si>
  <si>
    <t>Malus agirc</t>
  </si>
  <si>
    <t>Date de départ +1</t>
  </si>
  <si>
    <t>INFO CLIENT</t>
  </si>
  <si>
    <t>INFO DEPART RETRAITE</t>
  </si>
  <si>
    <t>Nombre trimestres requis</t>
  </si>
  <si>
    <t>Mois départ</t>
  </si>
  <si>
    <t>INTERVENANT</t>
  </si>
  <si>
    <t>Oui</t>
  </si>
  <si>
    <t>Non</t>
  </si>
  <si>
    <t>Aout</t>
  </si>
  <si>
    <t>Fonction</t>
  </si>
  <si>
    <t>Conseiller en Gestion de Patrimoine</t>
  </si>
  <si>
    <t>Monsieur</t>
  </si>
  <si>
    <t>Martin</t>
  </si>
  <si>
    <t>Jean</t>
  </si>
  <si>
    <t>170</t>
  </si>
  <si>
    <t>Paramètres de l'hypothèse. Cette partie sera collée dans la trame avant le tableau.</t>
  </si>
  <si>
    <t>Explication de l'hypothèse. Cette partie sera collée dans la trame après le tableau</t>
  </si>
  <si>
    <t>Hypothèse numéro 2 : 2</t>
  </si>
  <si>
    <t>Hypothèse numéro 6 : 6</t>
  </si>
  <si>
    <t>etj</t>
  </si>
  <si>
    <t>uydn</t>
  </si>
  <si>
    <t>dfv</t>
  </si>
  <si>
    <t>vfvd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</si>
</sst>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\ [$€-40C]_-;\-* #,##0\ [$€-40C]_-;_-* &quot;-&quot;??\ [$€-40C]_-;_-@_-"/>
    <numFmt numFmtId="166" formatCode="#,##0\ &quot;€&quot;"/>
    <numFmt numFmtId="167" formatCode="[$-40C]d\ mmmm\ yyyy;@"/>
    <numFmt numFmtId="168" formatCode="0.0%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theme="4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261">
    <xf numFmtId="0" fontId="0" fillId="0" borderId="0" xfId="0"/>
    <xf numFmtId="0" fontId="0" fillId="0" borderId="0" xfId="0" applyNumberFormat="1"/>
    <xf numFmtId="0" fontId="3" fillId="0" borderId="0" xfId="0" applyFont="1"/>
    <xf numFmtId="2" fontId="0" fillId="0" borderId="0" xfId="0" applyNumberFormat="1"/>
    <xf numFmtId="10" fontId="0" fillId="0" borderId="0" xfId="0" applyNumberFormat="1"/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right"/>
    </xf>
    <xf numFmtId="2" fontId="0" fillId="0" borderId="0" xfId="1" applyNumberFormat="1" applyFon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0" xfId="0" applyFill="1"/>
    <xf numFmtId="0" fontId="0" fillId="5" borderId="0" xfId="0" applyFill="1" applyBorder="1" applyAlignment="1">
      <alignment horizontal="center"/>
    </xf>
    <xf numFmtId="0" fontId="7" fillId="3" borderId="0" xfId="0" applyFont="1" applyFill="1" applyAlignment="1">
      <alignment horizontal="left" indent="2"/>
    </xf>
    <xf numFmtId="0" fontId="8" fillId="5" borderId="0" xfId="0" applyFont="1" applyFill="1" applyAlignment="1">
      <alignment horizontal="left" indent="2"/>
    </xf>
    <xf numFmtId="0" fontId="7" fillId="4" borderId="0" xfId="0" applyFont="1" applyFill="1" applyAlignment="1">
      <alignment horizontal="left" indent="2"/>
    </xf>
    <xf numFmtId="0" fontId="7" fillId="2" borderId="0" xfId="0" applyFont="1" applyFill="1" applyBorder="1" applyAlignment="1">
      <alignment horizontal="center"/>
    </xf>
    <xf numFmtId="164" fontId="6" fillId="5" borderId="0" xfId="1" applyNumberFormat="1" applyFont="1" applyFill="1" applyBorder="1" applyAlignment="1">
      <alignment horizontal="center" vertical="center"/>
    </xf>
    <xf numFmtId="164" fontId="0" fillId="5" borderId="0" xfId="1" applyNumberFormat="1" applyFont="1" applyFill="1" applyBorder="1" applyAlignment="1">
      <alignment horizontal="center" vertical="center"/>
    </xf>
    <xf numFmtId="164" fontId="5" fillId="4" borderId="0" xfId="1" applyNumberFormat="1" applyFont="1" applyFill="1" applyBorder="1" applyAlignment="1">
      <alignment horizontal="center"/>
    </xf>
    <xf numFmtId="0" fontId="7" fillId="3" borderId="0" xfId="0" applyFont="1" applyFill="1" applyAlignment="1">
      <alignment horizontal="left" indent="1"/>
    </xf>
    <xf numFmtId="0" fontId="8" fillId="5" borderId="0" xfId="0" applyFont="1" applyFill="1" applyAlignment="1">
      <alignment horizontal="left" indent="1"/>
    </xf>
    <xf numFmtId="0" fontId="7" fillId="5" borderId="0" xfId="0" applyFont="1" applyFill="1" applyAlignment="1">
      <alignment horizontal="left" indent="1"/>
    </xf>
    <xf numFmtId="0" fontId="7" fillId="4" borderId="0" xfId="0" applyFont="1" applyFill="1" applyAlignment="1">
      <alignment horizontal="left" indent="1"/>
    </xf>
    <xf numFmtId="0" fontId="7" fillId="4" borderId="0" xfId="0" applyFont="1" applyFill="1" applyAlignment="1">
      <alignment horizontal="left" indent="18"/>
    </xf>
    <xf numFmtId="0" fontId="7" fillId="3" borderId="0" xfId="0" applyFont="1" applyFill="1" applyAlignment="1">
      <alignment horizontal="right" indent="1"/>
    </xf>
    <xf numFmtId="0" fontId="9" fillId="5" borderId="0" xfId="0" applyFont="1" applyFill="1" applyBorder="1" applyAlignment="1">
      <alignment horizontal="center"/>
    </xf>
    <xf numFmtId="0" fontId="0" fillId="0" borderId="1" xfId="0" applyBorder="1"/>
    <xf numFmtId="0" fontId="0" fillId="0" borderId="4" xfId="0" applyBorder="1"/>
    <xf numFmtId="1" fontId="0" fillId="0" borderId="0" xfId="0" applyNumberFormat="1" applyFill="1" applyBorder="1"/>
    <xf numFmtId="0" fontId="0" fillId="0" borderId="0" xfId="0" applyAlignment="1">
      <alignment vertical="top"/>
    </xf>
    <xf numFmtId="0" fontId="7" fillId="0" borderId="0" xfId="0" applyFont="1" applyFill="1" applyAlignment="1">
      <alignment horizontal="right" indent="3"/>
    </xf>
    <xf numFmtId="164" fontId="12" fillId="0" borderId="0" xfId="1" applyNumberFormat="1" applyFont="1" applyFill="1" applyBorder="1"/>
    <xf numFmtId="0" fontId="3" fillId="0" borderId="0" xfId="0" applyFont="1" applyAlignment="1"/>
    <xf numFmtId="0" fontId="15" fillId="0" borderId="0" xfId="4" applyFont="1"/>
    <xf numFmtId="0" fontId="3" fillId="0" borderId="0" xfId="0" applyFont="1" applyAlignment="1">
      <alignment horizontal="left" indent="14"/>
    </xf>
    <xf numFmtId="1" fontId="3" fillId="0" borderId="0" xfId="0" applyNumberFormat="1" applyFont="1"/>
    <xf numFmtId="4" fontId="3" fillId="0" borderId="0" xfId="0" applyNumberFormat="1" applyFont="1"/>
    <xf numFmtId="167" fontId="3" fillId="0" borderId="0" xfId="0" applyNumberFormat="1" applyFont="1"/>
    <xf numFmtId="0" fontId="0" fillId="0" borderId="0" xfId="0" applyProtection="1"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164" fontId="0" fillId="5" borderId="0" xfId="1" applyNumberFormat="1" applyFont="1" applyFill="1" applyBorder="1" applyAlignment="1" applyProtection="1">
      <alignment horizontal="center" vertical="center"/>
      <protection locked="0"/>
    </xf>
    <xf numFmtId="164" fontId="6" fillId="5" borderId="0" xfId="1" applyNumberFormat="1" applyFont="1" applyFill="1" applyBorder="1" applyAlignment="1" applyProtection="1">
      <alignment horizontal="center" vertical="center"/>
      <protection locked="0"/>
    </xf>
    <xf numFmtId="164" fontId="5" fillId="4" borderId="0" xfId="1" applyNumberFormat="1" applyFont="1" applyFill="1" applyBorder="1" applyAlignment="1" applyProtection="1">
      <alignment horizontal="center"/>
      <protection locked="0"/>
    </xf>
    <xf numFmtId="14" fontId="0" fillId="6" borderId="0" xfId="0" applyNumberFormat="1" applyFill="1" applyProtection="1">
      <protection locked="0"/>
    </xf>
    <xf numFmtId="0" fontId="6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6" fillId="0" borderId="0" xfId="0" applyFont="1" applyBorder="1" applyProtection="1">
      <protection locked="0"/>
    </xf>
    <xf numFmtId="1" fontId="0" fillId="0" borderId="0" xfId="2" applyNumberFormat="1" applyFont="1" applyBorder="1" applyProtection="1">
      <protection locked="0"/>
    </xf>
    <xf numFmtId="1" fontId="0" fillId="0" borderId="5" xfId="2" applyNumberFormat="1" applyFont="1" applyBorder="1" applyProtection="1">
      <protection locked="0"/>
    </xf>
    <xf numFmtId="1" fontId="6" fillId="0" borderId="0" xfId="0" applyNumberFormat="1" applyFont="1" applyBorder="1" applyProtection="1">
      <protection locked="0"/>
    </xf>
    <xf numFmtId="1" fontId="0" fillId="0" borderId="0" xfId="0" applyNumberFormat="1" applyBorder="1" applyProtection="1">
      <protection locked="0"/>
    </xf>
    <xf numFmtId="1" fontId="0" fillId="0" borderId="5" xfId="0" applyNumberFormat="1" applyBorder="1" applyProtection="1">
      <protection locked="0"/>
    </xf>
    <xf numFmtId="1" fontId="0" fillId="0" borderId="0" xfId="0" applyNumberFormat="1" applyProtection="1">
      <protection locked="0"/>
    </xf>
    <xf numFmtId="1" fontId="6" fillId="0" borderId="7" xfId="0" applyNumberFormat="1" applyFont="1" applyBorder="1" applyProtection="1">
      <protection locked="0"/>
    </xf>
    <xf numFmtId="1" fontId="0" fillId="0" borderId="7" xfId="0" applyNumberFormat="1" applyBorder="1" applyProtection="1">
      <protection locked="0"/>
    </xf>
    <xf numFmtId="1" fontId="0" fillId="0" borderId="8" xfId="0" applyNumberFormat="1" applyBorder="1" applyProtection="1">
      <protection locked="0"/>
    </xf>
    <xf numFmtId="0" fontId="0" fillId="0" borderId="0" xfId="0" applyFill="1" applyProtection="1">
      <protection locked="0"/>
    </xf>
    <xf numFmtId="0" fontId="13" fillId="4" borderId="0" xfId="0" applyFont="1" applyFill="1" applyAlignment="1" applyProtection="1">
      <alignment horizontal="right" indent="3"/>
      <protection locked="0"/>
    </xf>
    <xf numFmtId="0" fontId="0" fillId="4" borderId="0" xfId="0" applyFill="1" applyProtection="1">
      <protection locked="0"/>
    </xf>
    <xf numFmtId="164" fontId="12" fillId="4" borderId="0" xfId="1" applyNumberFormat="1" applyFont="1" applyFill="1" applyBorder="1" applyProtection="1">
      <protection locked="0"/>
    </xf>
    <xf numFmtId="1" fontId="0" fillId="4" borderId="0" xfId="0" applyNumberFormat="1" applyFill="1" applyProtection="1">
      <protection locked="0"/>
    </xf>
    <xf numFmtId="1" fontId="0" fillId="0" borderId="0" xfId="0" applyNumberFormat="1" applyFill="1" applyBorder="1" applyProtection="1">
      <protection locked="0"/>
    </xf>
    <xf numFmtId="0" fontId="7" fillId="3" borderId="0" xfId="0" applyFont="1" applyFill="1" applyAlignment="1" applyProtection="1">
      <alignment horizontal="left" indent="2"/>
      <protection locked="0"/>
    </xf>
    <xf numFmtId="0" fontId="8" fillId="5" borderId="0" xfId="0" applyFont="1" applyFill="1" applyAlignment="1" applyProtection="1">
      <alignment horizontal="left" indent="2"/>
      <protection locked="0"/>
    </xf>
    <xf numFmtId="0" fontId="7" fillId="4" borderId="0" xfId="0" applyFont="1" applyFill="1" applyAlignment="1" applyProtection="1">
      <alignment horizontal="left" indent="2"/>
      <protection locked="0"/>
    </xf>
    <xf numFmtId="164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11" fillId="0" borderId="0" xfId="0" applyFont="1" applyAlignment="1" applyProtection="1">
      <alignment horizontal="left" vertical="center" wrapText="1" indent="1"/>
      <protection locked="0"/>
    </xf>
    <xf numFmtId="0" fontId="10" fillId="0" borderId="0" xfId="0" applyFont="1" applyAlignment="1" applyProtection="1">
      <alignment horizontal="left" vertical="center" wrapText="1" indent="1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14" fontId="6" fillId="0" borderId="0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1" fontId="6" fillId="0" borderId="0" xfId="0" applyNumberFormat="1" applyFont="1" applyFill="1" applyBorder="1" applyAlignment="1" applyProtection="1">
      <alignment horizontal="center" vertical="center"/>
      <protection locked="0"/>
    </xf>
    <xf numFmtId="1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1" fontId="2" fillId="0" borderId="0" xfId="0" applyNumberFormat="1" applyFont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5" fillId="4" borderId="3" xfId="0" applyFont="1" applyFill="1" applyBorder="1" applyProtection="1">
      <protection locked="0"/>
    </xf>
    <xf numFmtId="1" fontId="6" fillId="3" borderId="15" xfId="0" applyNumberFormat="1" applyFont="1" applyFill="1" applyBorder="1" applyAlignment="1" applyProtection="1">
      <alignment horizontal="center" vertical="center"/>
      <protection locked="0"/>
    </xf>
    <xf numFmtId="1" fontId="6" fillId="3" borderId="1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" fontId="2" fillId="0" borderId="7" xfId="0" applyNumberFormat="1" applyFont="1" applyBorder="1" applyProtection="1">
      <protection locked="0"/>
    </xf>
    <xf numFmtId="1" fontId="2" fillId="0" borderId="8" xfId="0" applyNumberFormat="1" applyFont="1" applyBorder="1" applyProtection="1">
      <protection locked="0"/>
    </xf>
    <xf numFmtId="0" fontId="6" fillId="4" borderId="15" xfId="0" applyFont="1" applyFill="1" applyBorder="1" applyAlignment="1" applyProtection="1">
      <alignment horizontal="center" vertical="center"/>
      <protection locked="0"/>
    </xf>
    <xf numFmtId="1" fontId="6" fillId="4" borderId="15" xfId="0" applyNumberFormat="1" applyFont="1" applyFill="1" applyBorder="1" applyAlignment="1" applyProtection="1">
      <alignment horizontal="center" vertical="center"/>
      <protection locked="0"/>
    </xf>
    <xf numFmtId="1" fontId="6" fillId="7" borderId="15" xfId="0" applyNumberFormat="1" applyFont="1" applyFill="1" applyBorder="1" applyAlignment="1" applyProtection="1">
      <alignment horizontal="center"/>
      <protection locked="0"/>
    </xf>
    <xf numFmtId="14" fontId="6" fillId="0" borderId="15" xfId="0" applyNumberFormat="1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1" fontId="6" fillId="2" borderId="17" xfId="0" applyNumberFormat="1" applyFont="1" applyFill="1" applyBorder="1" applyAlignment="1" applyProtection="1">
      <alignment horizontal="center" vertical="center"/>
      <protection locked="0"/>
    </xf>
    <xf numFmtId="1" fontId="6" fillId="2" borderId="18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 applyProtection="1">
      <alignment horizontal="center"/>
      <protection locked="0"/>
    </xf>
    <xf numFmtId="1" fontId="6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3" borderId="20" xfId="0" applyNumberFormat="1" applyFont="1" applyFill="1" applyBorder="1" applyAlignment="1" applyProtection="1">
      <alignment horizontal="center" vertical="center"/>
      <protection locked="0"/>
    </xf>
    <xf numFmtId="1" fontId="6" fillId="3" borderId="20" xfId="0" applyNumberFormat="1" applyFont="1" applyFill="1" applyBorder="1" applyAlignment="1" applyProtection="1">
      <alignment horizontal="center"/>
      <protection locked="0"/>
    </xf>
    <xf numFmtId="0" fontId="6" fillId="4" borderId="20" xfId="0" applyFont="1" applyFill="1" applyBorder="1" applyAlignment="1" applyProtection="1">
      <alignment horizontal="center" vertical="center"/>
      <protection locked="0"/>
    </xf>
    <xf numFmtId="1" fontId="6" fillId="4" borderId="20" xfId="0" applyNumberFormat="1" applyFont="1" applyFill="1" applyBorder="1" applyAlignment="1" applyProtection="1">
      <alignment horizontal="center" vertical="center"/>
      <protection locked="0"/>
    </xf>
    <xf numFmtId="1" fontId="6" fillId="4" borderId="22" xfId="0" applyNumberFormat="1" applyFont="1" applyFill="1" applyBorder="1" applyAlignment="1" applyProtection="1">
      <alignment horizontal="center" vertical="center"/>
      <protection locked="0"/>
    </xf>
    <xf numFmtId="1" fontId="6" fillId="4" borderId="23" xfId="0" applyNumberFormat="1" applyFont="1" applyFill="1" applyBorder="1" applyAlignment="1" applyProtection="1">
      <alignment horizontal="center" vertical="center"/>
      <protection locked="0"/>
    </xf>
    <xf numFmtId="0" fontId="5" fillId="4" borderId="15" xfId="0" applyNumberFormat="1" applyFont="1" applyFill="1" applyBorder="1" applyProtection="1">
      <protection locked="0"/>
    </xf>
    <xf numFmtId="0" fontId="5" fillId="4" borderId="19" xfId="0" applyNumberFormat="1" applyFont="1" applyFill="1" applyBorder="1" applyProtection="1">
      <protection locked="0"/>
    </xf>
    <xf numFmtId="0" fontId="5" fillId="4" borderId="20" xfId="0" applyNumberFormat="1" applyFont="1" applyFill="1" applyBorder="1" applyProtection="1">
      <protection locked="0"/>
    </xf>
    <xf numFmtId="0" fontId="5" fillId="4" borderId="21" xfId="0" applyFont="1" applyFill="1" applyBorder="1" applyProtection="1">
      <protection locked="0"/>
    </xf>
    <xf numFmtId="0" fontId="5" fillId="4" borderId="22" xfId="0" applyFont="1" applyFill="1" applyBorder="1" applyProtection="1">
      <protection locked="0"/>
    </xf>
    <xf numFmtId="0" fontId="5" fillId="4" borderId="23" xfId="0" applyFont="1" applyFill="1" applyBorder="1" applyProtection="1">
      <protection locked="0"/>
    </xf>
    <xf numFmtId="0" fontId="0" fillId="0" borderId="15" xfId="0" applyFont="1" applyBorder="1" applyAlignment="1" applyProtection="1">
      <alignment horizontal="center"/>
      <protection locked="0"/>
    </xf>
    <xf numFmtId="0" fontId="0" fillId="0" borderId="17" xfId="0" applyNumberFormat="1" applyFont="1" applyBorder="1" applyAlignment="1" applyProtection="1">
      <alignment horizontal="center"/>
      <protection locked="0"/>
    </xf>
    <xf numFmtId="0" fontId="0" fillId="0" borderId="17" xfId="0" applyFont="1" applyBorder="1" applyAlignment="1" applyProtection="1">
      <alignment horizontal="center"/>
      <protection locked="0"/>
    </xf>
    <xf numFmtId="14" fontId="6" fillId="0" borderId="20" xfId="0" applyNumberFormat="1" applyFont="1" applyBorder="1" applyAlignment="1" applyProtection="1">
      <alignment horizontal="center"/>
      <protection locked="0"/>
    </xf>
    <xf numFmtId="0" fontId="0" fillId="0" borderId="20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10" fontId="6" fillId="0" borderId="22" xfId="0" applyNumberFormat="1" applyFont="1" applyFill="1" applyBorder="1" applyAlignment="1" applyProtection="1">
      <alignment horizontal="center" vertical="center"/>
      <protection locked="0"/>
    </xf>
    <xf numFmtId="10" fontId="6" fillId="0" borderId="23" xfId="0" applyNumberFormat="1" applyFont="1" applyFill="1" applyBorder="1" applyAlignment="1" applyProtection="1">
      <alignment horizontal="center" vertical="center"/>
      <protection locked="0"/>
    </xf>
    <xf numFmtId="1" fontId="6" fillId="0" borderId="5" xfId="0" applyNumberFormat="1" applyFont="1" applyBorder="1" applyProtection="1">
      <protection locked="0"/>
    </xf>
    <xf numFmtId="168" fontId="6" fillId="0" borderId="0" xfId="2" applyNumberFormat="1" applyFont="1" applyBorder="1" applyProtection="1">
      <protection locked="0"/>
    </xf>
    <xf numFmtId="168" fontId="0" fillId="0" borderId="0" xfId="2" applyNumberFormat="1" applyFont="1" applyBorder="1" applyProtection="1">
      <protection locked="0"/>
    </xf>
    <xf numFmtId="168" fontId="0" fillId="0" borderId="5" xfId="2" applyNumberFormat="1" applyFont="1" applyBorder="1" applyProtection="1">
      <protection locked="0"/>
    </xf>
    <xf numFmtId="0" fontId="3" fillId="8" borderId="0" xfId="0" applyFont="1" applyFill="1"/>
    <xf numFmtId="0" fontId="16" fillId="4" borderId="0" xfId="0" applyFont="1" applyFill="1" applyAlignment="1"/>
    <xf numFmtId="0" fontId="16" fillId="4" borderId="0" xfId="0" applyFont="1" applyFill="1"/>
    <xf numFmtId="14" fontId="16" fillId="4" borderId="0" xfId="0" applyNumberFormat="1" applyFont="1" applyFill="1"/>
    <xf numFmtId="0" fontId="17" fillId="0" borderId="0" xfId="0" applyFont="1"/>
    <xf numFmtId="167" fontId="17" fillId="0" borderId="0" xfId="0" applyNumberFormat="1" applyFont="1"/>
    <xf numFmtId="0" fontId="3" fillId="7" borderId="0" xfId="0" applyFont="1" applyFill="1"/>
    <xf numFmtId="0" fontId="3" fillId="7" borderId="0" xfId="0" applyNumberFormat="1" applyFont="1" applyFill="1"/>
    <xf numFmtId="14" fontId="3" fillId="7" borderId="0" xfId="0" applyNumberFormat="1" applyFont="1" applyFill="1"/>
    <xf numFmtId="0" fontId="4" fillId="0" borderId="0" xfId="0" applyFont="1" applyFill="1"/>
    <xf numFmtId="166" fontId="17" fillId="0" borderId="0" xfId="0" applyNumberFormat="1" applyFont="1"/>
    <xf numFmtId="0" fontId="18" fillId="5" borderId="9" xfId="0" applyFont="1" applyFill="1" applyBorder="1" applyAlignment="1" applyProtection="1">
      <alignment horizontal="center" vertical="center" wrapText="1"/>
      <protection locked="0"/>
    </xf>
    <xf numFmtId="0" fontId="18" fillId="5" borderId="12" xfId="0" applyFont="1" applyFill="1" applyBorder="1" applyAlignment="1" applyProtection="1">
      <alignment horizontal="center" vertical="center" wrapText="1"/>
      <protection locked="0"/>
    </xf>
    <xf numFmtId="0" fontId="18" fillId="5" borderId="10" xfId="0" applyFont="1" applyFill="1" applyBorder="1" applyAlignment="1" applyProtection="1">
      <alignment horizontal="center" vertical="center" wrapText="1"/>
      <protection locked="0"/>
    </xf>
    <xf numFmtId="0" fontId="19" fillId="0" borderId="12" xfId="0" applyFont="1" applyBorder="1" applyAlignment="1" applyProtection="1">
      <alignment horizontal="center"/>
      <protection locked="0"/>
    </xf>
    <xf numFmtId="0" fontId="20" fillId="5" borderId="13" xfId="0" applyNumberFormat="1" applyFont="1" applyFill="1" applyBorder="1" applyAlignment="1" applyProtection="1">
      <alignment horizontal="center"/>
      <protection locked="0"/>
    </xf>
    <xf numFmtId="0" fontId="20" fillId="5" borderId="0" xfId="0" applyFont="1" applyFill="1" applyAlignment="1" applyProtection="1">
      <alignment horizontal="center"/>
      <protection locked="0"/>
    </xf>
    <xf numFmtId="1" fontId="20" fillId="5" borderId="13" xfId="0" applyNumberFormat="1" applyFont="1" applyFill="1" applyBorder="1" applyAlignment="1" applyProtection="1">
      <alignment horizontal="center"/>
      <protection locked="0"/>
    </xf>
    <xf numFmtId="0" fontId="20" fillId="5" borderId="13" xfId="0" applyFont="1" applyFill="1" applyBorder="1" applyAlignment="1" applyProtection="1">
      <alignment horizontal="center"/>
      <protection locked="0"/>
    </xf>
    <xf numFmtId="0" fontId="20" fillId="5" borderId="0" xfId="0" applyFont="1" applyFill="1" applyBorder="1" applyAlignment="1" applyProtection="1">
      <alignment horizontal="center"/>
      <protection locked="0"/>
    </xf>
    <xf numFmtId="0" fontId="21" fillId="5" borderId="13" xfId="0" applyNumberFormat="1" applyFont="1" applyFill="1" applyBorder="1" applyAlignment="1" applyProtection="1">
      <alignment horizontal="center"/>
      <protection locked="0"/>
    </xf>
    <xf numFmtId="1" fontId="21" fillId="5" borderId="13" xfId="0" applyNumberFormat="1" applyFont="1" applyFill="1" applyBorder="1" applyAlignment="1" applyProtection="1">
      <alignment horizontal="center"/>
      <protection locked="0"/>
    </xf>
    <xf numFmtId="0" fontId="21" fillId="5" borderId="0" xfId="0" applyFont="1" applyFill="1" applyBorder="1" applyAlignment="1" applyProtection="1">
      <alignment horizontal="center"/>
      <protection locked="0"/>
    </xf>
    <xf numFmtId="0" fontId="20" fillId="5" borderId="4" xfId="0" applyFont="1" applyFill="1" applyBorder="1" applyAlignment="1" applyProtection="1">
      <alignment horizontal="center"/>
      <protection locked="0"/>
    </xf>
    <xf numFmtId="0" fontId="20" fillId="5" borderId="14" xfId="0" applyNumberFormat="1" applyFont="1" applyFill="1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0" fontId="18" fillId="5" borderId="11" xfId="0" applyFont="1" applyFill="1" applyBorder="1" applyAlignment="1" applyProtection="1">
      <alignment horizontal="center" vertical="center" wrapText="1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1" fontId="18" fillId="0" borderId="9" xfId="0" applyNumberFormat="1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2" fillId="7" borderId="16" xfId="0" applyFont="1" applyFill="1" applyBorder="1" applyProtection="1">
      <protection locked="0"/>
    </xf>
    <xf numFmtId="0" fontId="22" fillId="2" borderId="0" xfId="0" applyFont="1" applyFill="1" applyBorder="1" applyAlignment="1" applyProtection="1">
      <alignment horizontal="center"/>
      <protection locked="0"/>
    </xf>
    <xf numFmtId="0" fontId="24" fillId="5" borderId="0" xfId="0" applyFont="1" applyFill="1" applyBorder="1" applyAlignment="1" applyProtection="1">
      <alignment horizontal="center"/>
      <protection locked="0"/>
    </xf>
    <xf numFmtId="0" fontId="19" fillId="5" borderId="0" xfId="0" applyFont="1" applyFill="1" applyBorder="1" applyAlignment="1" applyProtection="1">
      <alignment horizontal="center"/>
      <protection locked="0"/>
    </xf>
    <xf numFmtId="164" fontId="25" fillId="5" borderId="0" xfId="1" applyNumberFormat="1" applyFont="1" applyFill="1" applyBorder="1" applyAlignment="1" applyProtection="1">
      <alignment horizontal="center" vertical="center"/>
      <protection locked="0"/>
    </xf>
    <xf numFmtId="164" fontId="19" fillId="5" borderId="0" xfId="1" applyNumberFormat="1" applyFont="1" applyFill="1" applyBorder="1" applyAlignment="1" applyProtection="1">
      <alignment horizontal="center" vertical="center"/>
      <protection locked="0"/>
    </xf>
    <xf numFmtId="165" fontId="25" fillId="5" borderId="0" xfId="0" applyNumberFormat="1" applyFont="1" applyFill="1" applyProtection="1">
      <protection locked="0"/>
    </xf>
    <xf numFmtId="165" fontId="19" fillId="5" borderId="0" xfId="0" applyNumberFormat="1" applyFont="1" applyFill="1" applyProtection="1">
      <protection locked="0"/>
    </xf>
    <xf numFmtId="164" fontId="26" fillId="4" borderId="0" xfId="1" applyNumberFormat="1" applyFont="1" applyFill="1" applyBorder="1" applyAlignment="1" applyProtection="1">
      <alignment horizontal="center"/>
      <protection locked="0"/>
    </xf>
    <xf numFmtId="0" fontId="19" fillId="5" borderId="0" xfId="0" applyFont="1" applyFill="1"/>
    <xf numFmtId="0" fontId="19" fillId="0" borderId="0" xfId="0" applyFont="1"/>
    <xf numFmtId="0" fontId="3" fillId="6" borderId="0" xfId="0" applyFont="1" applyFill="1"/>
    <xf numFmtId="1" fontId="19" fillId="5" borderId="13" xfId="0" applyNumberFormat="1" applyFont="1" applyFill="1" applyBorder="1" applyAlignment="1" applyProtection="1">
      <alignment horizontal="center"/>
      <protection locked="0"/>
    </xf>
    <xf numFmtId="0" fontId="19" fillId="5" borderId="13" xfId="0" applyFont="1" applyFill="1" applyBorder="1" applyAlignment="1" applyProtection="1">
      <alignment horizontal="center"/>
      <protection locked="0"/>
    </xf>
    <xf numFmtId="0" fontId="19" fillId="5" borderId="4" xfId="0" applyFont="1" applyFill="1" applyBorder="1" applyAlignment="1" applyProtection="1">
      <alignment horizontal="center"/>
      <protection locked="0"/>
    </xf>
    <xf numFmtId="0" fontId="19" fillId="0" borderId="0" xfId="0" applyFont="1" applyProtection="1">
      <protection locked="0"/>
    </xf>
    <xf numFmtId="0" fontId="19" fillId="5" borderId="13" xfId="0" applyFont="1" applyFill="1" applyBorder="1"/>
    <xf numFmtId="1" fontId="19" fillId="5" borderId="4" xfId="0" applyNumberFormat="1" applyFont="1" applyFill="1" applyBorder="1" applyAlignment="1" applyProtection="1">
      <alignment horizontal="center"/>
      <protection locked="0"/>
    </xf>
    <xf numFmtId="0" fontId="19" fillId="5" borderId="0" xfId="0" applyFont="1" applyFill="1" applyProtection="1"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6" fillId="0" borderId="5" xfId="0" applyFont="1" applyBorder="1" applyProtection="1">
      <protection locked="0"/>
    </xf>
    <xf numFmtId="0" fontId="22" fillId="3" borderId="0" xfId="0" applyFont="1" applyFill="1" applyAlignment="1" applyProtection="1">
      <protection locked="0"/>
    </xf>
    <xf numFmtId="0" fontId="23" fillId="5" borderId="0" xfId="0" applyFont="1" applyFill="1" applyAlignment="1" applyProtection="1">
      <protection locked="0"/>
    </xf>
    <xf numFmtId="0" fontId="22" fillId="5" borderId="0" xfId="0" applyFont="1" applyFill="1" applyAlignment="1" applyProtection="1">
      <protection locked="0"/>
    </xf>
    <xf numFmtId="0" fontId="22" fillId="4" borderId="0" xfId="0" applyFont="1" applyFill="1" applyAlignment="1" applyProtection="1">
      <protection locked="0"/>
    </xf>
    <xf numFmtId="0" fontId="3" fillId="9" borderId="0" xfId="0" applyFont="1" applyFill="1"/>
    <xf numFmtId="0" fontId="22" fillId="4" borderId="0" xfId="0" applyFont="1" applyFill="1" applyAlignment="1" applyProtection="1">
      <protection locked="0"/>
    </xf>
    <xf numFmtId="0" fontId="27" fillId="0" borderId="0" xfId="0" applyFont="1"/>
    <xf numFmtId="0" fontId="16" fillId="4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18" fillId="0" borderId="9" xfId="0" applyNumberFormat="1" applyFont="1" applyBorder="1" applyAlignment="1" applyProtection="1">
      <alignment horizontal="center"/>
      <protection locked="0"/>
    </xf>
    <xf numFmtId="0" fontId="18" fillId="0" borderId="11" xfId="0" applyNumberFormat="1" applyFont="1" applyBorder="1" applyAlignment="1" applyProtection="1">
      <alignment horizontal="center"/>
      <protection locked="0"/>
    </xf>
    <xf numFmtId="0" fontId="22" fillId="3" borderId="0" xfId="0" applyFont="1" applyFill="1" applyBorder="1" applyAlignment="1" applyProtection="1">
      <alignment horizontal="left" indent="1"/>
      <protection locked="0"/>
    </xf>
    <xf numFmtId="0" fontId="23" fillId="5" borderId="0" xfId="0" applyFont="1" applyFill="1" applyBorder="1" applyAlignment="1" applyProtection="1">
      <alignment horizontal="left" indent="1"/>
      <protection locked="0"/>
    </xf>
    <xf numFmtId="0" fontId="22" fillId="4" borderId="0" xfId="0" applyFont="1" applyFill="1" applyBorder="1" applyAlignment="1" applyProtection="1">
      <alignment horizontal="left" indent="1"/>
      <protection locked="0"/>
    </xf>
    <xf numFmtId="0" fontId="22" fillId="4" borderId="0" xfId="0" applyFont="1" applyFill="1" applyAlignment="1" applyProtection="1">
      <alignment horizontal="right" indent="1"/>
      <protection locked="0"/>
    </xf>
    <xf numFmtId="0" fontId="22" fillId="3" borderId="0" xfId="0" applyFont="1" applyFill="1" applyAlignment="1" applyProtection="1">
      <alignment horizontal="left" indent="1"/>
      <protection locked="0"/>
    </xf>
    <xf numFmtId="0" fontId="22" fillId="5" borderId="0" xfId="0" applyFont="1" applyFill="1" applyAlignment="1" applyProtection="1">
      <alignment horizontal="left" indent="1"/>
      <protection locked="0"/>
    </xf>
    <xf numFmtId="0" fontId="23" fillId="5" borderId="0" xfId="0" applyFont="1" applyFill="1" applyAlignment="1" applyProtection="1">
      <alignment horizontal="left" indent="1"/>
      <protection locked="0"/>
    </xf>
    <xf numFmtId="0" fontId="22" fillId="4" borderId="0" xfId="0" applyFont="1" applyFill="1" applyAlignment="1" applyProtection="1">
      <alignment horizontal="left" indent="1"/>
      <protection locked="0"/>
    </xf>
    <xf numFmtId="0" fontId="22" fillId="3" borderId="0" xfId="1" applyNumberFormat="1" applyFont="1" applyFill="1" applyBorder="1" applyAlignment="1" applyProtection="1">
      <alignment horizontal="left" indent="1"/>
      <protection locked="0"/>
    </xf>
    <xf numFmtId="0" fontId="5" fillId="4" borderId="6" xfId="0" applyFont="1" applyFill="1" applyBorder="1" applyAlignment="1" applyProtection="1">
      <alignment horizontal="left"/>
      <protection locked="0"/>
    </xf>
    <xf numFmtId="0" fontId="5" fillId="4" borderId="7" xfId="0" applyFont="1" applyFill="1" applyBorder="1" applyAlignment="1" applyProtection="1">
      <alignment horizontal="left"/>
      <protection locked="0"/>
    </xf>
    <xf numFmtId="0" fontId="2" fillId="0" borderId="9" xfId="0" applyFont="1" applyBorder="1" applyAlignment="1" applyProtection="1">
      <alignment horizontal="left"/>
      <protection locked="0"/>
    </xf>
    <xf numFmtId="0" fontId="2" fillId="0" borderId="10" xfId="0" applyFont="1" applyBorder="1" applyAlignment="1" applyProtection="1">
      <alignment horizontal="left"/>
      <protection locked="0"/>
    </xf>
    <xf numFmtId="0" fontId="2" fillId="0" borderId="11" xfId="0" applyFont="1" applyBorder="1" applyAlignment="1" applyProtection="1">
      <alignment horizontal="left"/>
      <protection locked="0"/>
    </xf>
    <xf numFmtId="1" fontId="6" fillId="4" borderId="4" xfId="0" applyNumberFormat="1" applyFont="1" applyFill="1" applyBorder="1" applyAlignment="1" applyProtection="1">
      <alignment horizontal="left" vertical="center" wrapText="1"/>
      <protection locked="0"/>
    </xf>
    <xf numFmtId="1" fontId="6" fillId="4" borderId="0" xfId="0" applyNumberFormat="1" applyFont="1" applyFill="1" applyBorder="1" applyAlignment="1" applyProtection="1">
      <alignment horizontal="left" vertical="center" wrapText="1"/>
      <protection locked="0"/>
    </xf>
    <xf numFmtId="1" fontId="6" fillId="4" borderId="24" xfId="0" applyNumberFormat="1" applyFont="1" applyFill="1" applyBorder="1" applyAlignment="1" applyProtection="1">
      <alignment horizontal="left" vertical="center" wrapText="1"/>
      <protection locked="0"/>
    </xf>
    <xf numFmtId="0" fontId="5" fillId="4" borderId="1" xfId="0" applyFont="1" applyFill="1" applyBorder="1" applyAlignment="1" applyProtection="1">
      <alignment horizontal="left"/>
      <protection locked="0"/>
    </xf>
    <xf numFmtId="0" fontId="5" fillId="4" borderId="2" xfId="0" applyFont="1" applyFill="1" applyBorder="1" applyAlignment="1" applyProtection="1">
      <alignment horizontal="left"/>
      <protection locked="0"/>
    </xf>
    <xf numFmtId="0" fontId="5" fillId="4" borderId="4" xfId="0" applyFont="1" applyFill="1" applyBorder="1" applyAlignment="1" applyProtection="1">
      <alignment horizontal="left"/>
      <protection locked="0"/>
    </xf>
    <xf numFmtId="0" fontId="5" fillId="4" borderId="0" xfId="0" applyFont="1" applyFill="1" applyBorder="1" applyAlignment="1" applyProtection="1">
      <alignment horizontal="left"/>
      <protection locked="0"/>
    </xf>
    <xf numFmtId="1" fontId="6" fillId="3" borderId="4" xfId="0" applyNumberFormat="1" applyFont="1" applyFill="1" applyBorder="1" applyAlignment="1" applyProtection="1">
      <alignment horizontal="left" vertical="center" wrapText="1"/>
      <protection locked="0"/>
    </xf>
    <xf numFmtId="1" fontId="6" fillId="3" borderId="0" xfId="0" applyNumberFormat="1" applyFont="1" applyFill="1" applyBorder="1" applyAlignment="1" applyProtection="1">
      <alignment horizontal="left" vertical="center" wrapText="1"/>
      <protection locked="0"/>
    </xf>
    <xf numFmtId="1" fontId="6" fillId="3" borderId="24" xfId="0" applyNumberFormat="1" applyFont="1" applyFill="1" applyBorder="1" applyAlignment="1" applyProtection="1">
      <alignment horizontal="left" vertical="center" wrapText="1"/>
      <protection locked="0"/>
    </xf>
    <xf numFmtId="0" fontId="4" fillId="3" borderId="4" xfId="0" applyFont="1" applyFill="1" applyBorder="1" applyAlignment="1" applyProtection="1">
      <alignment horizontal="left" wrapText="1"/>
      <protection locked="0"/>
    </xf>
    <xf numFmtId="0" fontId="4" fillId="3" borderId="0" xfId="0" applyFont="1" applyFill="1" applyBorder="1" applyAlignment="1" applyProtection="1">
      <alignment horizontal="left" wrapText="1"/>
      <protection locked="0"/>
    </xf>
    <xf numFmtId="0" fontId="4" fillId="3" borderId="24" xfId="0" applyFont="1" applyFill="1" applyBorder="1" applyAlignment="1" applyProtection="1">
      <alignment horizontal="left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4" xfId="0" applyFont="1" applyFill="1" applyBorder="1" applyAlignment="1" applyProtection="1">
      <alignment horizontal="center" vertical="center" wrapText="1"/>
      <protection locked="0"/>
    </xf>
    <xf numFmtId="0" fontId="6" fillId="3" borderId="6" xfId="0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 applyProtection="1">
      <alignment horizontal="center" vertical="center" wrapText="1"/>
      <protection locked="0"/>
    </xf>
    <xf numFmtId="0" fontId="6" fillId="4" borderId="4" xfId="0" applyFont="1" applyFill="1" applyBorder="1" applyAlignment="1" applyProtection="1">
      <alignment horizontal="center" vertical="center" wrapText="1"/>
      <protection locked="0"/>
    </xf>
    <xf numFmtId="0" fontId="0" fillId="0" borderId="4" xfId="0" applyFont="1" applyBorder="1" applyAlignment="1" applyProtection="1">
      <alignment horizontal="left" wrapText="1"/>
      <protection locked="0"/>
    </xf>
    <xf numFmtId="0" fontId="0" fillId="0" borderId="0" xfId="0" applyFont="1" applyBorder="1" applyAlignment="1" applyProtection="1">
      <alignment horizontal="left" wrapText="1"/>
      <protection locked="0"/>
    </xf>
    <xf numFmtId="0" fontId="0" fillId="0" borderId="24" xfId="0" applyFont="1" applyBorder="1" applyAlignment="1" applyProtection="1">
      <alignment horizontal="left" wrapText="1"/>
      <protection locked="0"/>
    </xf>
    <xf numFmtId="0" fontId="4" fillId="0" borderId="4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24" xfId="0" applyFont="1" applyBorder="1" applyAlignment="1" applyProtection="1">
      <alignment horizontal="left"/>
      <protection locked="0"/>
    </xf>
    <xf numFmtId="1" fontId="6" fillId="0" borderId="4" xfId="0" applyNumberFormat="1" applyFont="1" applyFill="1" applyBorder="1" applyAlignment="1" applyProtection="1">
      <alignment horizontal="left" vertical="center"/>
      <protection locked="0"/>
    </xf>
    <xf numFmtId="1" fontId="6" fillId="0" borderId="0" xfId="0" applyNumberFormat="1" applyFont="1" applyFill="1" applyBorder="1" applyAlignment="1" applyProtection="1">
      <alignment horizontal="left" vertical="center"/>
      <protection locked="0"/>
    </xf>
    <xf numFmtId="1" fontId="6" fillId="0" borderId="24" xfId="0" applyNumberFormat="1" applyFont="1" applyFill="1" applyBorder="1" applyAlignment="1" applyProtection="1">
      <alignment horizontal="left" vertical="center"/>
      <protection locked="0"/>
    </xf>
    <xf numFmtId="1" fontId="6" fillId="2" borderId="4" xfId="0" applyNumberFormat="1" applyFont="1" applyFill="1" applyBorder="1" applyAlignment="1" applyProtection="1">
      <alignment horizontal="left" vertical="center" wrapText="1"/>
      <protection locked="0"/>
    </xf>
    <xf numFmtId="1" fontId="6" fillId="2" borderId="0" xfId="0" applyNumberFormat="1" applyFont="1" applyFill="1" applyBorder="1" applyAlignment="1" applyProtection="1">
      <alignment horizontal="left" vertical="center" wrapText="1"/>
      <protection locked="0"/>
    </xf>
    <xf numFmtId="1" fontId="6" fillId="2" borderId="24" xfId="0" applyNumberFormat="1" applyFont="1" applyFill="1" applyBorder="1" applyAlignment="1" applyProtection="1">
      <alignment horizontal="left" vertical="center" wrapText="1"/>
      <protection locked="0"/>
    </xf>
    <xf numFmtId="0" fontId="4" fillId="7" borderId="4" xfId="0" applyFont="1" applyFill="1" applyBorder="1" applyAlignment="1" applyProtection="1">
      <alignment horizontal="left" wrapText="1"/>
      <protection locked="0"/>
    </xf>
    <xf numFmtId="0" fontId="4" fillId="7" borderId="0" xfId="0" applyFont="1" applyFill="1" applyBorder="1" applyAlignment="1" applyProtection="1">
      <alignment horizontal="left" wrapText="1"/>
      <protection locked="0"/>
    </xf>
    <xf numFmtId="0" fontId="4" fillId="7" borderId="24" xfId="0" applyFont="1" applyFill="1" applyBorder="1" applyAlignment="1" applyProtection="1">
      <alignment horizontal="left" wrapText="1"/>
      <protection locked="0"/>
    </xf>
    <xf numFmtId="0" fontId="4" fillId="2" borderId="4" xfId="0" applyFont="1" applyFill="1" applyBorder="1" applyAlignment="1" applyProtection="1">
      <alignment horizontal="left" wrapText="1"/>
      <protection locked="0"/>
    </xf>
    <xf numFmtId="0" fontId="4" fillId="2" borderId="0" xfId="0" applyFont="1" applyFill="1" applyBorder="1" applyAlignment="1" applyProtection="1">
      <alignment horizontal="left" wrapText="1"/>
      <protection locked="0"/>
    </xf>
    <xf numFmtId="0" fontId="4" fillId="2" borderId="24" xfId="0" applyFont="1" applyFill="1" applyBorder="1" applyAlignment="1" applyProtection="1">
      <alignment horizontal="left" wrapText="1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19" fillId="0" borderId="0" xfId="0" applyFont="1" applyAlignment="1">
      <alignment horizontal="center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6" xfId="0" applyFont="1" applyBorder="1" applyAlignment="1" applyProtection="1">
      <alignment horizontal="left"/>
      <protection locked="0"/>
    </xf>
    <xf numFmtId="0" fontId="3" fillId="0" borderId="7" xfId="0" applyFont="1" applyBorder="1" applyAlignment="1" applyProtection="1">
      <alignment horizontal="left"/>
      <protection locked="0"/>
    </xf>
    <xf numFmtId="0" fontId="22" fillId="4" borderId="0" xfId="0" applyFont="1" applyFill="1" applyAlignme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0" fillId="0" borderId="0" xfId="0"/>
  </cellXfs>
  <cellStyles count="5">
    <cellStyle name="Euro" xfId="3"/>
    <cellStyle name="Lien hypertexte" xfId="4" builtinId="8"/>
    <cellStyle name="Monétaire" xfId="1" builtinId="4"/>
    <cellStyle name="Normal" xfId="0" builtinId="0"/>
    <cellStyle name="Pourcentage" xfId="2" builtinId="5"/>
  </cellStyles>
  <dxfs count="3">
    <dxf>
      <font>
        <color theme="4"/>
      </font>
    </dxf>
    <dxf>
      <fill>
        <patternFill>
          <bgColor rgb="FFFFFF00"/>
        </patternFill>
      </fill>
    </dxf>
    <dxf>
      <font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2</xdr:row>
          <xdr:rowOff>28575</xdr:rowOff>
        </xdr:from>
        <xdr:to>
          <xdr:col>9</xdr:col>
          <xdr:colOff>371475</xdr:colOff>
          <xdr:row>6</xdr:row>
          <xdr:rowOff>9525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version word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485775</xdr:colOff>
          <xdr:row>10</xdr:row>
          <xdr:rowOff>171450</xdr:rowOff>
        </xdr:from>
        <xdr:to>
          <xdr:col>9</xdr:col>
          <xdr:colOff>371475</xdr:colOff>
          <xdr:row>14</xdr:row>
          <xdr:rowOff>161925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Réinitialisation de l'étude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14</xdr:row>
          <xdr:rowOff>38100</xdr:rowOff>
        </xdr:from>
        <xdr:to>
          <xdr:col>17</xdr:col>
          <xdr:colOff>400050</xdr:colOff>
          <xdr:row>17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l'hypothèse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19</xdr:row>
          <xdr:rowOff>66675</xdr:rowOff>
        </xdr:from>
        <xdr:to>
          <xdr:col>17</xdr:col>
          <xdr:colOff>400050</xdr:colOff>
          <xdr:row>22</xdr:row>
          <xdr:rowOff>152400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tant qu'hypothèse de base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17</xdr:row>
          <xdr:rowOff>152400</xdr:rowOff>
        </xdr:from>
        <xdr:to>
          <xdr:col>11</xdr:col>
          <xdr:colOff>504825</xdr:colOff>
          <xdr:row>21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l'hypothèse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23</xdr:row>
          <xdr:rowOff>28575</xdr:rowOff>
        </xdr:from>
        <xdr:to>
          <xdr:col>11</xdr:col>
          <xdr:colOff>504825</xdr:colOff>
          <xdr:row>26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tant qu'hypothèse de base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12</xdr:row>
          <xdr:rowOff>9525</xdr:rowOff>
        </xdr:from>
        <xdr:to>
          <xdr:col>15</xdr:col>
          <xdr:colOff>304800</xdr:colOff>
          <xdr:row>16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l'hypothèse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CERFRANCE">
      <a:dk1>
        <a:sysClr val="windowText" lastClr="000000"/>
      </a:dk1>
      <a:lt1>
        <a:sysClr val="window" lastClr="FFFFFF"/>
      </a:lt1>
      <a:dk2>
        <a:srgbClr val="F8B332"/>
      </a:dk2>
      <a:lt2>
        <a:srgbClr val="4B4B4D"/>
      </a:lt2>
      <a:accent1>
        <a:srgbClr val="E7511E"/>
      </a:accent1>
      <a:accent2>
        <a:srgbClr val="18A096"/>
      </a:accent2>
      <a:accent3>
        <a:srgbClr val="F8B332"/>
      </a:accent3>
      <a:accent4>
        <a:srgbClr val="4B4B4D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ponty@sn.cerfrance.fr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3"/>
  <sheetViews>
    <sheetView showGridLines="0" zoomScale="80" zoomScaleNormal="80" workbookViewId="0">
      <selection activeCell="B52" sqref="B52"/>
    </sheetView>
  </sheetViews>
  <sheetFormatPr baseColWidth="10" defaultRowHeight="14.25" x14ac:dyDescent="0.2"/>
  <cols>
    <col min="1" max="1" width="25.140625" style="2" bestFit="1" customWidth="1"/>
    <col min="2" max="2" width="22.42578125" style="2" bestFit="1" customWidth="1"/>
    <col min="3" max="4" width="11.42578125" style="2"/>
    <col min="5" max="5" width="12.42578125" style="2" bestFit="1" customWidth="1"/>
    <col min="6" max="7" width="11.42578125" style="2"/>
    <col min="8" max="8" width="26.42578125" style="2" bestFit="1" customWidth="1"/>
    <col min="9" max="9" width="14" style="2" customWidth="1"/>
    <col min="10" max="10" width="15.42578125" style="2" customWidth="1"/>
    <col min="11" max="11" width="14.5703125" style="2" customWidth="1"/>
    <col min="12" max="16384" width="11.42578125" style="2"/>
  </cols>
  <sheetData>
    <row r="1" spans="1:11" ht="15" x14ac:dyDescent="0.25">
      <c r="A1" s="127" t="s">
        <v>130</v>
      </c>
      <c r="B1" s="127"/>
      <c r="C1" s="127"/>
      <c r="D1" s="127"/>
      <c r="E1" s="127"/>
      <c r="F1" s="127"/>
      <c r="G1" s="127"/>
      <c r="H1" s="127"/>
      <c r="I1" s="127"/>
      <c r="J1" s="128" t="s">
        <v>108</v>
      </c>
      <c r="K1" s="129">
        <f ca="1">TODAY()</f>
        <v>44433</v>
      </c>
    </row>
    <row r="2" spans="1:11" x14ac:dyDescent="0.2">
      <c r="A2" s="2" t="s">
        <v>10</v>
      </c>
      <c r="B2" s="132" t="s">
        <v>140</v>
      </c>
      <c r="C2" s="130"/>
      <c r="E2" s="2" t="s">
        <v>110</v>
      </c>
    </row>
    <row r="3" spans="1:11" x14ac:dyDescent="0.2">
      <c r="A3" s="2" t="s">
        <v>0</v>
      </c>
      <c r="B3" s="132" t="s">
        <v>141</v>
      </c>
      <c r="E3" s="2" t="s">
        <v>111</v>
      </c>
      <c r="F3" s="132" t="s">
        <v>135</v>
      </c>
    </row>
    <row r="4" spans="1:11" x14ac:dyDescent="0.2">
      <c r="A4" s="2" t="s">
        <v>1</v>
      </c>
      <c r="B4" s="132" t="s">
        <v>142</v>
      </c>
      <c r="E4" s="184" t="s">
        <v>112</v>
      </c>
      <c r="F4" s="184" t="s">
        <v>136</v>
      </c>
    </row>
    <row r="5" spans="1:11" x14ac:dyDescent="0.2">
      <c r="A5" s="35" t="s">
        <v>2</v>
      </c>
      <c r="B5" s="134">
        <v>24333</v>
      </c>
      <c r="E5" s="2" t="s">
        <v>113</v>
      </c>
      <c r="F5" s="132" t="s">
        <v>136</v>
      </c>
    </row>
    <row r="6" spans="1:11" x14ac:dyDescent="0.2">
      <c r="A6" s="35" t="s">
        <v>8</v>
      </c>
      <c r="B6" s="132">
        <v>3</v>
      </c>
      <c r="E6" s="2" t="s">
        <v>77</v>
      </c>
      <c r="F6" s="132"/>
    </row>
    <row r="7" spans="1:11" x14ac:dyDescent="0.2">
      <c r="A7" s="35" t="s">
        <v>9</v>
      </c>
      <c r="B7" s="132" t="s">
        <v>136</v>
      </c>
    </row>
    <row r="8" spans="1:11" x14ac:dyDescent="0.2">
      <c r="F8" s="2" t="str">
        <f>IF(F3="Oui","Salarié","")&amp;IF(F5="Oui","MSA","")</f>
        <v>Salarié</v>
      </c>
    </row>
    <row r="10" spans="1:11" ht="15" x14ac:dyDescent="0.25">
      <c r="A10" s="187" t="s">
        <v>131</v>
      </c>
      <c r="B10" s="187"/>
      <c r="C10" s="187"/>
      <c r="D10" s="187"/>
      <c r="E10" s="187"/>
      <c r="F10" s="187"/>
      <c r="G10" s="187"/>
      <c r="H10" s="187"/>
      <c r="I10" s="187"/>
      <c r="J10" s="187"/>
      <c r="K10" s="187"/>
    </row>
    <row r="11" spans="1:11" x14ac:dyDescent="0.2">
      <c r="A11" s="2" t="s">
        <v>119</v>
      </c>
      <c r="B11" s="188" t="str">
        <f>B3&amp;" "&amp;B4</f>
        <v>Martin Jean</v>
      </c>
      <c r="C11" s="188"/>
      <c r="E11" s="188" t="s">
        <v>125</v>
      </c>
      <c r="F11" s="188"/>
      <c r="G11" s="188"/>
      <c r="H11" s="136">
        <f>ROUND(IFERROR(INDEX('Salarié et assimilés'!Q9:X9,1,MATCH(YEAR(Client!B14),'Salarié et assimilés'!Q1:X1,0)),0)+IFERROR(INDEX(MSA!S9:X9,1,MATCH(YEAR(Client!B14),MSA!S1:X1,0)),0),0)</f>
        <v>15962</v>
      </c>
    </row>
    <row r="12" spans="1:11" x14ac:dyDescent="0.2">
      <c r="A12" s="2" t="s">
        <v>109</v>
      </c>
      <c r="B12" s="2">
        <f>YEAR(B5)</f>
        <v>1966</v>
      </c>
      <c r="E12" s="37" t="s">
        <v>126</v>
      </c>
      <c r="F12" s="2" t="str">
        <f>LEFT(H11,2)&amp;" "&amp;RIGHT(H11,3)&amp;" €"</f>
        <v>15 962 €</v>
      </c>
      <c r="H12" s="130">
        <f>ROUND(INDEX('Salarié et assimilés'!Q4:X4,1,MATCH(YEAR(Client!B14),'Salarié et assimilés'!Q1:X1,0)),0)</f>
        <v>5931</v>
      </c>
    </row>
    <row r="13" spans="1:11" x14ac:dyDescent="0.2">
      <c r="A13" s="2" t="s">
        <v>132</v>
      </c>
      <c r="B13" s="2">
        <f>INDEX(Outils!M3:R72,MATCH(Client!B12,Outils!M3:M72,0),3)</f>
        <v>169</v>
      </c>
      <c r="E13" s="37" t="s">
        <v>127</v>
      </c>
      <c r="F13" s="38" t="str">
        <f>LEFT(ROUND(H11/12,0),1)&amp;" "&amp;RIGHT(ROUND(H11/12,0),3)&amp;" € / mois"</f>
        <v>1 330 € / mois</v>
      </c>
    </row>
    <row r="14" spans="1:11" x14ac:dyDescent="0.2">
      <c r="A14" s="2" t="s">
        <v>38</v>
      </c>
      <c r="B14" s="40">
        <f>DATE(YEAR(B5)+B15,B16,1)</f>
        <v>46997</v>
      </c>
      <c r="E14" s="2" t="s">
        <v>128</v>
      </c>
      <c r="F14" s="2">
        <f>IF(LEN(ROUND(H12*0.1,0))=4,LEFT(ROUND(H12*0.1,0),1)&amp;" "&amp;RIGHT(ROUND(H12*0.1,0),3),ROUND(H12*0.1,0))</f>
        <v>593</v>
      </c>
    </row>
    <row r="15" spans="1:11" x14ac:dyDescent="0.2">
      <c r="A15" s="2" t="s">
        <v>34</v>
      </c>
      <c r="B15" s="132">
        <v>62</v>
      </c>
      <c r="C15" s="135"/>
    </row>
    <row r="16" spans="1:11" x14ac:dyDescent="0.2">
      <c r="A16" s="2" t="s">
        <v>133</v>
      </c>
      <c r="B16" s="133">
        <f>MONTH(B5)+1</f>
        <v>9</v>
      </c>
      <c r="E16" s="130" t="s">
        <v>129</v>
      </c>
      <c r="F16" s="131">
        <f>DATE(YEAR(B14)+1,MONTH(B14),DAY(B14))</f>
        <v>47362</v>
      </c>
    </row>
    <row r="17" spans="1:11" x14ac:dyDescent="0.2">
      <c r="I17" s="39"/>
    </row>
    <row r="18" spans="1:11" x14ac:dyDescent="0.2">
      <c r="A18" s="2" t="s">
        <v>116</v>
      </c>
      <c r="B18" s="168" t="s">
        <v>117</v>
      </c>
    </row>
    <row r="20" spans="1:11" ht="15" x14ac:dyDescent="0.25">
      <c r="A20" s="187" t="s">
        <v>134</v>
      </c>
      <c r="B20" s="187"/>
      <c r="C20" s="187"/>
      <c r="D20" s="187"/>
      <c r="E20" s="187"/>
      <c r="F20" s="187"/>
      <c r="G20" s="187"/>
      <c r="H20" s="187"/>
      <c r="I20" s="187"/>
      <c r="J20" s="187"/>
      <c r="K20" s="187"/>
    </row>
    <row r="21" spans="1:11" x14ac:dyDescent="0.2">
      <c r="A21" s="2" t="s">
        <v>118</v>
      </c>
    </row>
    <row r="22" spans="1:11" x14ac:dyDescent="0.2">
      <c r="A22" s="2" t="s">
        <v>119</v>
      </c>
      <c r="B22" s="2" t="s">
        <v>120</v>
      </c>
    </row>
    <row r="23" spans="1:11" x14ac:dyDescent="0.2">
      <c r="A23" s="2" t="s">
        <v>121</v>
      </c>
      <c r="B23" s="36" t="s">
        <v>122</v>
      </c>
    </row>
    <row r="24" spans="1:11" x14ac:dyDescent="0.2">
      <c r="A24" s="2" t="s">
        <v>123</v>
      </c>
      <c r="B24" s="2" t="s">
        <v>124</v>
      </c>
    </row>
    <row r="25" spans="1:11" x14ac:dyDescent="0.2">
      <c r="A25" s="2" t="s">
        <v>138</v>
      </c>
      <c r="B25" s="2" t="s">
        <v>139</v>
      </c>
    </row>
    <row r="32" spans="1:11" x14ac:dyDescent="0.2">
      <c r="E32" s="126" t="s">
        <v>114</v>
      </c>
    </row>
    <row r="33" spans="5:5" x14ac:dyDescent="0.2">
      <c r="E33" s="126" t="s">
        <v>115</v>
      </c>
    </row>
  </sheetData>
  <mergeCells count="4">
    <mergeCell ref="A10:K10"/>
    <mergeCell ref="E11:G11"/>
    <mergeCell ref="B11:C11"/>
    <mergeCell ref="A20:K20"/>
  </mergeCells>
  <dataValidations count="4">
    <dataValidation type="list" allowBlank="1" showInputMessage="1" showErrorMessage="1" sqref="B2">
      <formula1>"Monsieur,Madame"</formula1>
    </dataValidation>
    <dataValidation type="list" allowBlank="1" showInputMessage="1" showErrorMessage="1" sqref="B7">
      <formula1>"Oui, Non"</formula1>
    </dataValidation>
    <dataValidation type="list" allowBlank="1" showInputMessage="1" showErrorMessage="1" sqref="F3:F6">
      <formula1>"Oui,Non"</formula1>
    </dataValidation>
    <dataValidation type="list" allowBlank="1" showInputMessage="1" showErrorMessage="1" sqref="B18">
      <formula1>"Libéralisé MSA,Plafonné salarié,Plafonné TNS"</formula1>
    </dataValidation>
  </dataValidations>
  <hyperlinks>
    <hyperlink ref="B23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Feuil5.Excel_vers_Word">
                <anchor moveWithCells="1" sizeWithCells="1">
                  <from>
                    <xdr:col>7</xdr:col>
                    <xdr:colOff>457200</xdr:colOff>
                    <xdr:row>2</xdr:row>
                    <xdr:rowOff>28575</xdr:rowOff>
                  </from>
                  <to>
                    <xdr:col>9</xdr:col>
                    <xdr:colOff>371475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ThisWorkbook.réinitialisation">
                <anchor moveWithCells="1" sizeWithCells="1">
                  <from>
                    <xdr:col>7</xdr:col>
                    <xdr:colOff>485775</xdr:colOff>
                    <xdr:row>10</xdr:row>
                    <xdr:rowOff>171450</xdr:rowOff>
                  </from>
                  <to>
                    <xdr:col>9</xdr:col>
                    <xdr:colOff>371475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91"/>
  <sheetViews>
    <sheetView showGridLines="0" topLeftCell="A14" zoomScaleNormal="100" workbookViewId="0">
      <selection activeCell="K50" sqref="K50"/>
    </sheetView>
  </sheetViews>
  <sheetFormatPr baseColWidth="10" defaultColWidth="15.7109375" defaultRowHeight="13.5" customHeight="1" x14ac:dyDescent="0.25"/>
  <cols>
    <col min="1" max="2" width="15.7109375" style="41"/>
    <col min="3" max="7" width="15.7109375" style="41" customWidth="1"/>
    <col min="8" max="8" width="15.7109375" style="41"/>
    <col min="9" max="9" width="15.7109375" style="41" customWidth="1"/>
    <col min="10" max="16384" width="15.7109375" style="41"/>
  </cols>
  <sheetData>
    <row r="1" spans="1:18" ht="13.5" customHeight="1" thickBot="1" x14ac:dyDescent="0.3"/>
    <row r="2" spans="1:18" ht="15" customHeight="1" thickBot="1" x14ac:dyDescent="0.3">
      <c r="N2" s="41">
        <f>IF(C2&lt;38340,C2*0.07,38340*0.07+(C2-38340)*0.08)/17.691</f>
        <v>0</v>
      </c>
      <c r="O2" s="41">
        <f>IF(C2&lt;41136,C2*0.062,41136*0.062+(C2-41136)*0.1663)/17.3982</f>
        <v>0</v>
      </c>
      <c r="P2" s="190" t="s">
        <v>91</v>
      </c>
      <c r="Q2" s="191"/>
      <c r="R2" s="192"/>
    </row>
    <row r="3" spans="1:18" s="79" customFormat="1" ht="23.25" customHeight="1" thickBot="1" x14ac:dyDescent="0.3">
      <c r="A3" s="137" t="s">
        <v>3</v>
      </c>
      <c r="B3" s="138" t="s">
        <v>11</v>
      </c>
      <c r="C3" s="139" t="s">
        <v>4</v>
      </c>
      <c r="D3" s="140"/>
      <c r="E3" s="139" t="s">
        <v>5</v>
      </c>
      <c r="F3" s="138" t="s">
        <v>68</v>
      </c>
      <c r="G3" s="139" t="s">
        <v>30</v>
      </c>
      <c r="H3" s="138" t="s">
        <v>31</v>
      </c>
      <c r="I3" s="139" t="s">
        <v>98</v>
      </c>
      <c r="J3" s="138" t="s">
        <v>28</v>
      </c>
      <c r="K3" s="139" t="s">
        <v>32</v>
      </c>
      <c r="L3" s="138" t="s">
        <v>33</v>
      </c>
      <c r="M3" s="151" t="s">
        <v>63</v>
      </c>
      <c r="N3" s="152" t="s">
        <v>100</v>
      </c>
      <c r="O3" s="153" t="s">
        <v>65</v>
      </c>
      <c r="P3" s="137" t="s">
        <v>92</v>
      </c>
      <c r="Q3" s="138" t="s">
        <v>93</v>
      </c>
      <c r="R3" s="138" t="s">
        <v>94</v>
      </c>
    </row>
    <row r="4" spans="1:18" ht="12.95" customHeight="1" x14ac:dyDescent="0.25">
      <c r="A4" s="141">
        <f>YEAR(Client!$B$5)+16</f>
        <v>1982</v>
      </c>
      <c r="B4" s="141">
        <f>A4-YEAR(Client!$B$5)</f>
        <v>16</v>
      </c>
      <c r="C4" s="142"/>
      <c r="D4" s="143">
        <f t="shared" ref="D4:D35" si="0">IF(A4&lt;2002,C4/6.55954,"")</f>
        <v>0</v>
      </c>
      <c r="E4" s="143">
        <f>IF(INDEX(Outils!$B$2:$B$251,MATCH(A4,Outils!$A$2:$A$251,0),1)&lt;&gt;"",IF(A4&lt;2002,D4,C4)*INDEX(Outils!$B$2:$B$251,MATCH(A4,Outils!$A$2:$A$251,0),1),IF(A4&lt;2002,D4,C4))</f>
        <v>0</v>
      </c>
      <c r="F4" s="144">
        <f>IFERROR(IF(IF(A4&lt;2002,D4,C4)&lt;INDEX(Outils!$T$2:$U$100,MATCH(A4,Outils!$T$2:$T$100,0),2),"",IF(IF(A4&lt;2002,D4,C4)&lt;(INDEX(Outils!$T$2:$U$100,MATCH(A4,Outils!$T$2:$T$100,0),2)*2),1,IF(IF(A4&lt;2002,D4,C4)&lt;(INDEX(Outils!$T$2:$U$100,MATCH(A4,Outils!$T$2:$T$100,0),2)*3),2,IF(IF(A4&lt;2002,D4,C4)&lt;(INDEX(Outils!$T$2:$U$100,MATCH(A4,Outils!$T$2:$T$100,0),2)*4),3,IF(IF(A4&lt;2002,D4,C4)&gt;(INDEX(Outils!$T$2:$U$100,MATCH(A4,Outils!$T$2:$T$100,0),2)*4),4,0)))))-IF(B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0</v>
      </c>
      <c r="G4" s="144"/>
      <c r="H4" s="145"/>
      <c r="I4" s="144"/>
      <c r="J4" s="144">
        <f>MIN(SUM(F4:H4),4)</f>
        <v>0</v>
      </c>
      <c r="K4" s="170"/>
      <c r="L4" s="170"/>
      <c r="M4" s="170"/>
      <c r="N4" s="171"/>
      <c r="O4" s="171"/>
      <c r="P4" s="170"/>
      <c r="Q4" s="170"/>
      <c r="R4" s="170"/>
    </row>
    <row r="5" spans="1:18" ht="12.95" customHeight="1" x14ac:dyDescent="0.25">
      <c r="A5" s="141">
        <f t="shared" ref="A5:A36" si="1">IF(A4&lt;$A$4+54,A4+1,"")</f>
        <v>1983</v>
      </c>
      <c r="B5" s="141">
        <f>A5-YEAR(Client!$B$5)</f>
        <v>17</v>
      </c>
      <c r="C5" s="142">
        <v>0</v>
      </c>
      <c r="D5" s="143">
        <f t="shared" si="0"/>
        <v>0</v>
      </c>
      <c r="E5" s="143">
        <f>IF(INDEX(Outils!$B$2:$B$251,MATCH(A5,Outils!$A$2:$A$251,0),1)&lt;&gt;"",IF(A5&lt;2002,D5,C5)*INDEX(Outils!$B$2:$B$251,MATCH(A5,Outils!$A$2:$A$251,0),1),IF(A5&lt;2002,D5,C5))</f>
        <v>0</v>
      </c>
      <c r="F5" s="144">
        <f>IFERROR(IF(IF(A5&lt;2002,D5,C5)&lt;INDEX(Outils!$T$2:$U$100,MATCH(A5,Outils!$T$2:$T$100,0),2),"",IF(IF(A5&lt;2002,D5,C5)&lt;(INDEX(Outils!$T$2:$U$100,MATCH(A5,Outils!$T$2:$T$100,0),2)*2),1,IF(IF(A5&lt;2002,D5,C5)&lt;(INDEX(Outils!$T$2:$U$100,MATCH(A5,Outils!$T$2:$T$100,0),2)*3),2,IF(IF(A5&lt;2002,D5,C5)&lt;(INDEX(Outils!$T$2:$U$100,MATCH(A5,Outils!$T$2:$T$100,0),2)*4),3,IF(IF(A5&lt;2002,D5,C5)&gt;(INDEX(Outils!$T$2:$U$100,MATCH(A5,Outils!$T$2:$T$100,0),2)*4),4,0)))))-IF(B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0</v>
      </c>
      <c r="G5" s="144"/>
      <c r="H5" s="145"/>
      <c r="I5" s="144"/>
      <c r="J5" s="144">
        <f t="shared" ref="J5:J55" si="2">MIN(SUM(F5:H5),4)</f>
        <v>0</v>
      </c>
      <c r="K5" s="170"/>
      <c r="L5" s="170"/>
      <c r="M5" s="170"/>
      <c r="N5" s="171"/>
      <c r="O5" s="171"/>
      <c r="P5" s="170"/>
      <c r="Q5" s="170"/>
      <c r="R5" s="170"/>
    </row>
    <row r="6" spans="1:18" ht="12.95" customHeight="1" x14ac:dyDescent="0.25">
      <c r="A6" s="141">
        <f t="shared" si="1"/>
        <v>1984</v>
      </c>
      <c r="B6" s="141">
        <f>A6-YEAR(Client!$B$5)</f>
        <v>18</v>
      </c>
      <c r="C6" s="142">
        <v>0</v>
      </c>
      <c r="D6" s="143">
        <f t="shared" si="0"/>
        <v>0</v>
      </c>
      <c r="E6" s="143">
        <f>IF(INDEX(Outils!$B$2:$B$251,MATCH(A6,Outils!$A$2:$A$251,0),1)&lt;&gt;"",IF(A6&lt;2002,D6,C6)*INDEX(Outils!$B$2:$B$251,MATCH(A6,Outils!$A$2:$A$251,0),1),IF(A6&lt;2002,D6,C6))</f>
        <v>0</v>
      </c>
      <c r="F6" s="144">
        <f>IFERROR(IF(IF(A6&lt;2002,D6,C6)&lt;INDEX(Outils!$T$2:$U$100,MATCH(A6,Outils!$T$2:$T$100,0),2),"",IF(IF(A6&lt;2002,D6,C6)&lt;(INDEX(Outils!$T$2:$U$100,MATCH(A6,Outils!$T$2:$T$100,0),2)*2),1,IF(IF(A6&lt;2002,D6,C6)&lt;(INDEX(Outils!$T$2:$U$100,MATCH(A6,Outils!$T$2:$T$100,0),2)*3),2,IF(IF(A6&lt;2002,D6,C6)&lt;(INDEX(Outils!$T$2:$U$100,MATCH(A6,Outils!$T$2:$T$100,0),2)*4),3,IF(IF(A6&lt;2002,D6,C6)&gt;(INDEX(Outils!$T$2:$U$100,MATCH(A6,Outils!$T$2:$T$100,0),2)*4),4,0)))))-IF(B6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0</v>
      </c>
      <c r="G6" s="144"/>
      <c r="H6" s="145"/>
      <c r="I6" s="144"/>
      <c r="J6" s="144">
        <f t="shared" si="2"/>
        <v>0</v>
      </c>
      <c r="K6" s="170"/>
      <c r="L6" s="170"/>
      <c r="M6" s="170"/>
      <c r="N6" s="171"/>
      <c r="O6" s="171"/>
      <c r="P6" s="170"/>
      <c r="Q6" s="170"/>
      <c r="R6" s="170"/>
    </row>
    <row r="7" spans="1:18" ht="12.95" customHeight="1" x14ac:dyDescent="0.25">
      <c r="A7" s="141">
        <f t="shared" si="1"/>
        <v>1985</v>
      </c>
      <c r="B7" s="141">
        <f>A7-YEAR(Client!$B$5)</f>
        <v>19</v>
      </c>
      <c r="C7" s="142">
        <v>0</v>
      </c>
      <c r="D7" s="143">
        <f t="shared" si="0"/>
        <v>0</v>
      </c>
      <c r="E7" s="143">
        <f>IF(INDEX(Outils!$B$2:$B$251,MATCH(A7,Outils!$A$2:$A$251,0),1)&lt;&gt;"",IF(A7&lt;2002,D7,C7)*INDEX(Outils!$B$2:$B$251,MATCH(A7,Outils!$A$2:$A$251,0),1),IF(A7&lt;2002,D7,C7))</f>
        <v>0</v>
      </c>
      <c r="F7" s="144">
        <f>IFERROR(IF(IF(A7&lt;2002,D7,C7)&lt;INDEX(Outils!$T$2:$U$100,MATCH(A7,Outils!$T$2:$T$100,0),2),"",IF(IF(A7&lt;2002,D7,C7)&lt;(INDEX(Outils!$T$2:$U$100,MATCH(A7,Outils!$T$2:$T$100,0),2)*2),1,IF(IF(A7&lt;2002,D7,C7)&lt;(INDEX(Outils!$T$2:$U$100,MATCH(A7,Outils!$T$2:$T$100,0),2)*3),2,IF(IF(A7&lt;2002,D7,C7)&lt;(INDEX(Outils!$T$2:$U$100,MATCH(A7,Outils!$T$2:$T$100,0),2)*4),3,IF(IF(A7&lt;2002,D7,C7)&gt;(INDEX(Outils!$T$2:$U$100,MATCH(A7,Outils!$T$2:$T$100,0),2)*4),4,0)))))-IF(B7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0</v>
      </c>
      <c r="G7" s="144"/>
      <c r="H7" s="145"/>
      <c r="I7" s="144"/>
      <c r="J7" s="144">
        <f t="shared" si="2"/>
        <v>0</v>
      </c>
      <c r="K7" s="170"/>
      <c r="L7" s="170"/>
      <c r="M7" s="170"/>
      <c r="N7" s="171"/>
      <c r="O7" s="171"/>
      <c r="P7" s="170"/>
      <c r="Q7" s="170"/>
      <c r="R7" s="170"/>
    </row>
    <row r="8" spans="1:18" ht="12.95" customHeight="1" x14ac:dyDescent="0.25">
      <c r="A8" s="141">
        <f t="shared" si="1"/>
        <v>1986</v>
      </c>
      <c r="B8" s="141">
        <f>A8-YEAR(Client!$B$5)</f>
        <v>20</v>
      </c>
      <c r="C8" s="142">
        <v>25000</v>
      </c>
      <c r="D8" s="143">
        <f t="shared" si="0"/>
        <v>3811.2428615421204</v>
      </c>
      <c r="E8" s="143">
        <f>IF(INDEX(Outils!$B$2:$B$251,MATCH(A8,Outils!$A$2:$A$251,0),1)&lt;&gt;"",IF(A8&lt;2002,D8,C8)*INDEX(Outils!$B$2:$B$251,MATCH(A8,Outils!$A$2:$A$251,0),1),IF(A8&lt;2002,D8,C8))</f>
        <v>6376.2093073599672</v>
      </c>
      <c r="F8" s="144">
        <f>IFERROR(IF(IF(A8&lt;2002,D8,C8)&lt;INDEX(Outils!$T$2:$U$100,MATCH(A8,Outils!$T$2:$T$100,0),2),"",IF(IF(A8&lt;2002,D8,C8)&lt;(INDEX(Outils!$T$2:$U$100,MATCH(A8,Outils!$T$2:$T$100,0),2)*2),1,IF(IF(A8&lt;2002,D8,C8)&lt;(INDEX(Outils!$T$2:$U$100,MATCH(A8,Outils!$T$2:$T$100,0),2)*3),2,IF(IF(A8&lt;2002,D8,C8)&lt;(INDEX(Outils!$T$2:$U$100,MATCH(A8,Outils!$T$2:$T$100,0),2)*4),3,IF(IF(A8&lt;2002,D8,C8)&gt;(INDEX(Outils!$T$2:$U$100,MATCH(A8,Outils!$T$2:$T$100,0),2)*4),4,0)))))-IF(B8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8" s="144"/>
      <c r="H8" s="145"/>
      <c r="I8" s="144"/>
      <c r="J8" s="144">
        <f t="shared" si="2"/>
        <v>4</v>
      </c>
      <c r="K8" s="170"/>
      <c r="L8" s="170"/>
      <c r="M8" s="170"/>
      <c r="N8" s="171"/>
      <c r="O8" s="171"/>
      <c r="P8" s="170"/>
      <c r="Q8" s="170"/>
      <c r="R8" s="170"/>
    </row>
    <row r="9" spans="1:18" ht="12.95" customHeight="1" x14ac:dyDescent="0.25">
      <c r="A9" s="146">
        <f t="shared" si="1"/>
        <v>1987</v>
      </c>
      <c r="B9" s="146">
        <f>A9-YEAR(Client!$B$5)</f>
        <v>21</v>
      </c>
      <c r="C9" s="142">
        <v>35000</v>
      </c>
      <c r="D9" s="147">
        <f t="shared" si="0"/>
        <v>5335.7400061589688</v>
      </c>
      <c r="E9" s="143">
        <f>IF(INDEX(Outils!$B$2:$B$251,MATCH(A9,Outils!$A$2:$A$251,0),1)&lt;&gt;"",IF(A9&lt;2002,D9,C9)*INDEX(Outils!$B$2:$B$251,MATCH(A9,Outils!$A$2:$A$251,0),1),IF(A9&lt;2002,D9,C9))</f>
        <v>8601.2128899282579</v>
      </c>
      <c r="F9" s="144">
        <f>IFERROR(IF(IF(A9&lt;2002,D9,C9)&lt;INDEX(Outils!$T$2:$U$100,MATCH(A9,Outils!$T$2:$T$100,0),2),"",IF(IF(A9&lt;2002,D9,C9)&lt;(INDEX(Outils!$T$2:$U$100,MATCH(A9,Outils!$T$2:$T$100,0),2)*2),1,IF(IF(A9&lt;2002,D9,C9)&lt;(INDEX(Outils!$T$2:$U$100,MATCH(A9,Outils!$T$2:$T$100,0),2)*3),2,IF(IF(A9&lt;2002,D9,C9)&lt;(INDEX(Outils!$T$2:$U$100,MATCH(A9,Outils!$T$2:$T$100,0),2)*4),3,IF(IF(A9&lt;2002,D9,C9)&gt;(INDEX(Outils!$T$2:$U$100,MATCH(A9,Outils!$T$2:$T$100,0),2)*4),4,0)))))-IF(B9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9" s="144"/>
      <c r="H9" s="148"/>
      <c r="I9" s="144"/>
      <c r="J9" s="144">
        <f t="shared" si="2"/>
        <v>4</v>
      </c>
      <c r="K9" s="170"/>
      <c r="L9" s="170"/>
      <c r="M9" s="170"/>
      <c r="N9" s="171"/>
      <c r="O9" s="171"/>
      <c r="P9" s="170"/>
      <c r="Q9" s="170"/>
      <c r="R9" s="170"/>
    </row>
    <row r="10" spans="1:18" ht="12.95" customHeight="1" x14ac:dyDescent="0.25">
      <c r="A10" s="146">
        <f t="shared" si="1"/>
        <v>1988</v>
      </c>
      <c r="B10" s="146">
        <f>A10-YEAR(Client!$B$5)</f>
        <v>22</v>
      </c>
      <c r="C10" s="142">
        <v>50000</v>
      </c>
      <c r="D10" s="147">
        <f t="shared" si="0"/>
        <v>7622.4857230842408</v>
      </c>
      <c r="E10" s="143">
        <f>IF(INDEX(Outils!$B$2:$B$251,MATCH(A10,Outils!$A$2:$A$251,0),1)&lt;&gt;"",IF(A10&lt;2002,D10,C10)*INDEX(Outils!$B$2:$B$251,MATCH(A10,Outils!$A$2:$A$251,0),1),IF(A10&lt;2002,D10,C10))</f>
        <v>12005.415013857679</v>
      </c>
      <c r="F10" s="144">
        <f>IFERROR(IF(IF(A10&lt;2002,D10,C10)&lt;INDEX(Outils!$T$2:$U$100,MATCH(A10,Outils!$T$2:$T$100,0),2),"",IF(IF(A10&lt;2002,D10,C10)&lt;(INDEX(Outils!$T$2:$U$100,MATCH(A10,Outils!$T$2:$T$100,0),2)*2),1,IF(IF(A10&lt;2002,D10,C10)&lt;(INDEX(Outils!$T$2:$U$100,MATCH(A10,Outils!$T$2:$T$100,0),2)*3),2,IF(IF(A10&lt;2002,D10,C10)&lt;(INDEX(Outils!$T$2:$U$100,MATCH(A10,Outils!$T$2:$T$100,0),2)*4),3,IF(IF(A10&lt;2002,D10,C10)&gt;(INDEX(Outils!$T$2:$U$100,MATCH(A10,Outils!$T$2:$T$100,0),2)*4),4,0)))))-IF(B10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0" s="144"/>
      <c r="H10" s="148"/>
      <c r="I10" s="144"/>
      <c r="J10" s="144">
        <f t="shared" si="2"/>
        <v>4</v>
      </c>
      <c r="K10" s="170"/>
      <c r="L10" s="170"/>
      <c r="M10" s="170"/>
      <c r="N10" s="171"/>
      <c r="O10" s="171"/>
      <c r="P10" s="170"/>
      <c r="Q10" s="170"/>
      <c r="R10" s="170"/>
    </row>
    <row r="11" spans="1:18" ht="12.95" customHeight="1" x14ac:dyDescent="0.25">
      <c r="A11" s="146">
        <f t="shared" si="1"/>
        <v>1989</v>
      </c>
      <c r="B11" s="146">
        <f>A11-YEAR(Client!$B$5)</f>
        <v>23</v>
      </c>
      <c r="C11" s="142">
        <v>50000</v>
      </c>
      <c r="D11" s="147">
        <f t="shared" si="0"/>
        <v>7622.4857230842408</v>
      </c>
      <c r="E11" s="143">
        <f>IF(INDEX(Outils!$B$2:$B$251,MATCH(A11,Outils!$A$2:$A$251,0),1)&lt;&gt;"",IF(A11&lt;2002,D11,C11)*INDEX(Outils!$B$2:$B$251,MATCH(A11,Outils!$A$2:$A$251,0),1),IF(A11&lt;2002,D11,C11))</f>
        <v>11578.555813364961</v>
      </c>
      <c r="F11" s="144">
        <f>IFERROR(IF(IF(A11&lt;2002,D11,C11)&lt;INDEX(Outils!$T$2:$U$100,MATCH(A11,Outils!$T$2:$T$100,0),2),"",IF(IF(A11&lt;2002,D11,C11)&lt;(INDEX(Outils!$T$2:$U$100,MATCH(A11,Outils!$T$2:$T$100,0),2)*2),1,IF(IF(A11&lt;2002,D11,C11)&lt;(INDEX(Outils!$T$2:$U$100,MATCH(A11,Outils!$T$2:$T$100,0),2)*3),2,IF(IF(A11&lt;2002,D11,C11)&lt;(INDEX(Outils!$T$2:$U$100,MATCH(A11,Outils!$T$2:$T$100,0),2)*4),3,IF(IF(A11&lt;2002,D11,C11)&gt;(INDEX(Outils!$T$2:$U$100,MATCH(A11,Outils!$T$2:$T$100,0),2)*4),4,0)))))-IF(B11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1" s="144"/>
      <c r="H11" s="148"/>
      <c r="I11" s="144"/>
      <c r="J11" s="144">
        <f t="shared" si="2"/>
        <v>4</v>
      </c>
      <c r="K11" s="170"/>
      <c r="L11" s="170"/>
      <c r="M11" s="170"/>
      <c r="N11" s="171"/>
      <c r="O11" s="171"/>
      <c r="P11" s="170"/>
      <c r="Q11" s="170"/>
      <c r="R11" s="170"/>
    </row>
    <row r="12" spans="1:18" ht="12.95" customHeight="1" x14ac:dyDescent="0.25">
      <c r="A12" s="146">
        <f t="shared" si="1"/>
        <v>1990</v>
      </c>
      <c r="B12" s="146">
        <f>A12-YEAR(Client!$B$5)</f>
        <v>24</v>
      </c>
      <c r="C12" s="142">
        <v>50000</v>
      </c>
      <c r="D12" s="147">
        <f t="shared" si="0"/>
        <v>7622.4857230842408</v>
      </c>
      <c r="E12" s="143">
        <f>IF(INDEX(Outils!$B$2:$B$251,MATCH(A12,Outils!$A$2:$A$251,0),1)&lt;&gt;"",IF(A12&lt;2002,D12,C12)*INDEX(Outils!$B$2:$B$251,MATCH(A12,Outils!$A$2:$A$251,0),1),IF(A12&lt;2002,D12,C12))</f>
        <v>11266.033898718508</v>
      </c>
      <c r="F12" s="144">
        <f>IFERROR(IF(IF(A12&lt;2002,D12,C12)&lt;INDEX(Outils!$T$2:$U$100,MATCH(A12,Outils!$T$2:$T$100,0),2),"",IF(IF(A12&lt;2002,D12,C12)&lt;(INDEX(Outils!$T$2:$U$100,MATCH(A12,Outils!$T$2:$T$100,0),2)*2),1,IF(IF(A12&lt;2002,D12,C12)&lt;(INDEX(Outils!$T$2:$U$100,MATCH(A12,Outils!$T$2:$T$100,0),2)*3),2,IF(IF(A12&lt;2002,D12,C12)&lt;(INDEX(Outils!$T$2:$U$100,MATCH(A12,Outils!$T$2:$T$100,0),2)*4),3,IF(IF(A12&lt;2002,D12,C12)&gt;(INDEX(Outils!$T$2:$U$100,MATCH(A12,Outils!$T$2:$T$100,0),2)*4),4,0)))))-IF(B12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2" s="144"/>
      <c r="H12" s="148"/>
      <c r="I12" s="144"/>
      <c r="J12" s="144">
        <f t="shared" si="2"/>
        <v>4</v>
      </c>
      <c r="K12" s="170"/>
      <c r="L12" s="170"/>
      <c r="M12" s="170"/>
      <c r="N12" s="171"/>
      <c r="O12" s="171"/>
      <c r="P12" s="170"/>
      <c r="Q12" s="170"/>
      <c r="R12" s="170"/>
    </row>
    <row r="13" spans="1:18" ht="12.95" customHeight="1" x14ac:dyDescent="0.25">
      <c r="A13" s="146">
        <f t="shared" si="1"/>
        <v>1991</v>
      </c>
      <c r="B13" s="146">
        <f>A13-YEAR(Client!$B$5)</f>
        <v>25</v>
      </c>
      <c r="C13" s="142">
        <v>50000</v>
      </c>
      <c r="D13" s="147">
        <f t="shared" si="0"/>
        <v>7622.4857230842408</v>
      </c>
      <c r="E13" s="143">
        <f>IF(INDEX(Outils!$B$2:$B$251,MATCH(A13,Outils!$A$2:$A$251,0),1)&lt;&gt;"",IF(A13&lt;2002,D13,C13)*INDEX(Outils!$B$2:$B$251,MATCH(A13,Outils!$A$2:$A$251,0),1),IF(A13&lt;2002,D13,C13))</f>
        <v>11090.716727087571</v>
      </c>
      <c r="F13" s="144">
        <f>IFERROR(IF(IF(A13&lt;2002,D13,C13)&lt;INDEX(Outils!$T$2:$U$100,MATCH(A13,Outils!$T$2:$T$100,0),2),"",IF(IF(A13&lt;2002,D13,C13)&lt;(INDEX(Outils!$T$2:$U$100,MATCH(A13,Outils!$T$2:$T$100,0),2)*2),1,IF(IF(A13&lt;2002,D13,C13)&lt;(INDEX(Outils!$T$2:$U$100,MATCH(A13,Outils!$T$2:$T$100,0),2)*3),2,IF(IF(A13&lt;2002,D13,C13)&lt;(INDEX(Outils!$T$2:$U$100,MATCH(A13,Outils!$T$2:$T$100,0),2)*4),3,IF(IF(A13&lt;2002,D13,C13)&gt;(INDEX(Outils!$T$2:$U$100,MATCH(A13,Outils!$T$2:$T$100,0),2)*4),4,0)))))-IF(B13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3" s="144"/>
      <c r="H13" s="149"/>
      <c r="I13" s="144"/>
      <c r="J13" s="144">
        <f t="shared" si="2"/>
        <v>4</v>
      </c>
      <c r="K13" s="170"/>
      <c r="L13" s="170"/>
      <c r="M13" s="170"/>
      <c r="N13" s="171"/>
      <c r="O13" s="171"/>
      <c r="P13" s="170"/>
      <c r="Q13" s="170"/>
      <c r="R13" s="170"/>
    </row>
    <row r="14" spans="1:18" ht="12.95" customHeight="1" x14ac:dyDescent="0.25">
      <c r="A14" s="146">
        <f t="shared" si="1"/>
        <v>1992</v>
      </c>
      <c r="B14" s="146">
        <f>A14-YEAR(Client!$B$5)</f>
        <v>26</v>
      </c>
      <c r="C14" s="142">
        <v>50000</v>
      </c>
      <c r="D14" s="147">
        <f t="shared" si="0"/>
        <v>7622.4857230842408</v>
      </c>
      <c r="E14" s="143">
        <f>IF(INDEX(Outils!$B$2:$B$251,MATCH(A14,Outils!$A$2:$A$251,0),1)&lt;&gt;"",IF(A14&lt;2002,D14,C14)*INDEX(Outils!$B$2:$B$251,MATCH(A14,Outils!$A$2:$A$251,0),1),IF(A14&lt;2002,D14,C14))</f>
        <v>10732.45989810261</v>
      </c>
      <c r="F14" s="144">
        <f>IFERROR(IF(IF(A14&lt;2002,D14,C14)&lt;INDEX(Outils!$T$2:$U$100,MATCH(A14,Outils!$T$2:$T$100,0),2),"",IF(IF(A14&lt;2002,D14,C14)&lt;(INDEX(Outils!$T$2:$U$100,MATCH(A14,Outils!$T$2:$T$100,0),2)*2),1,IF(IF(A14&lt;2002,D14,C14)&lt;(INDEX(Outils!$T$2:$U$100,MATCH(A14,Outils!$T$2:$T$100,0),2)*3),2,IF(IF(A14&lt;2002,D14,C14)&lt;(INDEX(Outils!$T$2:$U$100,MATCH(A14,Outils!$T$2:$T$100,0),2)*4),3,IF(IF(A14&lt;2002,D14,C14)&gt;(INDEX(Outils!$T$2:$U$100,MATCH(A14,Outils!$T$2:$T$100,0),2)*4),4,0)))))-IF(B14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4" s="144"/>
      <c r="H14" s="148"/>
      <c r="I14" s="144"/>
      <c r="J14" s="144">
        <f t="shared" si="2"/>
        <v>4</v>
      </c>
      <c r="K14" s="170"/>
      <c r="L14" s="170"/>
      <c r="M14" s="170"/>
      <c r="N14" s="171"/>
      <c r="O14" s="171"/>
      <c r="P14" s="170"/>
      <c r="Q14" s="170"/>
      <c r="R14" s="170"/>
    </row>
    <row r="15" spans="1:18" ht="12.95" customHeight="1" x14ac:dyDescent="0.25">
      <c r="A15" s="146">
        <f t="shared" si="1"/>
        <v>1993</v>
      </c>
      <c r="B15" s="146">
        <f>A15-YEAR(Client!$B$5)</f>
        <v>27</v>
      </c>
      <c r="C15" s="142">
        <v>50000</v>
      </c>
      <c r="D15" s="147">
        <f t="shared" si="0"/>
        <v>7622.4857230842408</v>
      </c>
      <c r="E15" s="143">
        <f>IF(INDEX(Outils!$B$2:$B$251,MATCH(A15,Outils!$A$2:$A$251,0),1)&lt;&gt;"",IF(A15&lt;2002,D15,C15)*INDEX(Outils!$B$2:$B$251,MATCH(A15,Outils!$A$2:$A$251,0),1),IF(A15&lt;2002,D15,C15))</f>
        <v>10732.45989810261</v>
      </c>
      <c r="F15" s="144">
        <f>IFERROR(IF(IF(A15&lt;2002,D15,C15)&lt;INDEX(Outils!$T$2:$U$100,MATCH(A15,Outils!$T$2:$T$100,0),2),"",IF(IF(A15&lt;2002,D15,C15)&lt;(INDEX(Outils!$T$2:$U$100,MATCH(A15,Outils!$T$2:$T$100,0),2)*2),1,IF(IF(A15&lt;2002,D15,C15)&lt;(INDEX(Outils!$T$2:$U$100,MATCH(A15,Outils!$T$2:$T$100,0),2)*3),2,IF(IF(A15&lt;2002,D15,C15)&lt;(INDEX(Outils!$T$2:$U$100,MATCH(A15,Outils!$T$2:$T$100,0),2)*4),3,IF(IF(A15&lt;2002,D15,C15)&gt;(INDEX(Outils!$T$2:$U$100,MATCH(A15,Outils!$T$2:$T$100,0),2)*4),4,0)))))-IF(B15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5" s="144"/>
      <c r="H15" s="148"/>
      <c r="I15" s="144"/>
      <c r="J15" s="144">
        <f t="shared" si="2"/>
        <v>4</v>
      </c>
      <c r="K15" s="170"/>
      <c r="L15" s="170"/>
      <c r="M15" s="170"/>
      <c r="N15" s="171"/>
      <c r="O15" s="171"/>
      <c r="P15" s="170"/>
      <c r="Q15" s="170"/>
      <c r="R15" s="170"/>
    </row>
    <row r="16" spans="1:18" ht="12.95" customHeight="1" x14ac:dyDescent="0.25">
      <c r="A16" s="146">
        <f t="shared" si="1"/>
        <v>1994</v>
      </c>
      <c r="B16" s="146">
        <f>A16-YEAR(Client!$B$5)</f>
        <v>28</v>
      </c>
      <c r="C16" s="142">
        <v>50000</v>
      </c>
      <c r="D16" s="147">
        <f t="shared" si="0"/>
        <v>7622.4857230842408</v>
      </c>
      <c r="E16" s="143">
        <f>IF(INDEX(Outils!$B$2:$B$251,MATCH(A16,Outils!$A$2:$A$251,0),1)&lt;&gt;"",IF(A16&lt;2002,D16,C16)*INDEX(Outils!$B$2:$B$251,MATCH(A16,Outils!$A$2:$A$251,0),1),IF(A16&lt;2002,D16,C16))</f>
        <v>10541.897755025506</v>
      </c>
      <c r="F16" s="144">
        <f>IFERROR(IF(IF(A16&lt;2002,D16,C16)&lt;INDEX(Outils!$T$2:$U$100,MATCH(A16,Outils!$T$2:$T$100,0),2),"",IF(IF(A16&lt;2002,D16,C16)&lt;(INDEX(Outils!$T$2:$U$100,MATCH(A16,Outils!$T$2:$T$100,0),2)*2),1,IF(IF(A16&lt;2002,D16,C16)&lt;(INDEX(Outils!$T$2:$U$100,MATCH(A16,Outils!$T$2:$T$100,0),2)*3),2,IF(IF(A16&lt;2002,D16,C16)&lt;(INDEX(Outils!$T$2:$U$100,MATCH(A16,Outils!$T$2:$T$100,0),2)*4),3,IF(IF(A16&lt;2002,D16,C16)&gt;(INDEX(Outils!$T$2:$U$100,MATCH(A16,Outils!$T$2:$T$100,0),2)*4),4,0)))))-IF(B16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6" s="144"/>
      <c r="H16" s="148"/>
      <c r="I16" s="144"/>
      <c r="J16" s="144">
        <f t="shared" si="2"/>
        <v>4</v>
      </c>
      <c r="K16" s="170"/>
      <c r="L16" s="170"/>
      <c r="M16" s="170"/>
      <c r="N16" s="171"/>
      <c r="O16" s="171"/>
      <c r="P16" s="170"/>
      <c r="Q16" s="170"/>
      <c r="R16" s="170"/>
    </row>
    <row r="17" spans="1:21" ht="12.95" customHeight="1" x14ac:dyDescent="0.25">
      <c r="A17" s="146">
        <f t="shared" si="1"/>
        <v>1995</v>
      </c>
      <c r="B17" s="146">
        <f>A17-YEAR(Client!$B$5)</f>
        <v>29</v>
      </c>
      <c r="C17" s="142">
        <v>50000</v>
      </c>
      <c r="D17" s="147">
        <f t="shared" si="0"/>
        <v>7622.4857230842408</v>
      </c>
      <c r="E17" s="143">
        <f>IF(INDEX(Outils!$B$2:$B$251,MATCH(A17,Outils!$A$2:$A$251,0),1)&lt;&gt;"",IF(A17&lt;2002,D17,C17)*INDEX(Outils!$B$2:$B$251,MATCH(A17,Outils!$A$2:$A$251,0),1),IF(A17&lt;2002,D17,C17))</f>
        <v>10419.937983456157</v>
      </c>
      <c r="F17" s="144">
        <f>IFERROR(IF(IF(A17&lt;2002,D17,C17)&lt;INDEX(Outils!$T$2:$U$100,MATCH(A17,Outils!$T$2:$T$100,0),2),"",IF(IF(A17&lt;2002,D17,C17)&lt;(INDEX(Outils!$T$2:$U$100,MATCH(A17,Outils!$T$2:$T$100,0),2)*2),1,IF(IF(A17&lt;2002,D17,C17)&lt;(INDEX(Outils!$T$2:$U$100,MATCH(A17,Outils!$T$2:$T$100,0),2)*3),2,IF(IF(A17&lt;2002,D17,C17)&lt;(INDEX(Outils!$T$2:$U$100,MATCH(A17,Outils!$T$2:$T$100,0),2)*4),3,IF(IF(A17&lt;2002,D17,C17)&gt;(INDEX(Outils!$T$2:$U$100,MATCH(A17,Outils!$T$2:$T$100,0),2)*4),4,0)))))-IF(B17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7" s="144"/>
      <c r="H17" s="148"/>
      <c r="I17" s="144"/>
      <c r="J17" s="144">
        <f t="shared" si="2"/>
        <v>4</v>
      </c>
      <c r="K17" s="170"/>
      <c r="L17" s="170"/>
      <c r="M17" s="170"/>
      <c r="N17" s="171"/>
      <c r="O17" s="171"/>
      <c r="P17" s="170"/>
      <c r="Q17" s="170"/>
      <c r="R17" s="170"/>
    </row>
    <row r="18" spans="1:21" ht="12.95" customHeight="1" x14ac:dyDescent="0.25">
      <c r="A18" s="146">
        <f t="shared" si="1"/>
        <v>1996</v>
      </c>
      <c r="B18" s="146">
        <f>A18-YEAR(Client!$B$5)</f>
        <v>30</v>
      </c>
      <c r="C18" s="142">
        <v>50000</v>
      </c>
      <c r="D18" s="147">
        <f t="shared" si="0"/>
        <v>7622.4857230842408</v>
      </c>
      <c r="E18" s="143">
        <f>IF(INDEX(Outils!$B$2:$B$251,MATCH(A18,Outils!$A$2:$A$251,0),1)&lt;&gt;"",IF(A18&lt;2002,D18,C18)*INDEX(Outils!$B$2:$B$251,MATCH(A18,Outils!$A$2:$A$251,0),1),IF(A18&lt;2002,D18,C18))</f>
        <v>10168.395954594378</v>
      </c>
      <c r="F18" s="144">
        <f>IFERROR(IF(IF(A18&lt;2002,D18,C18)&lt;INDEX(Outils!$T$2:$U$100,MATCH(A18,Outils!$T$2:$T$100,0),2),"",IF(IF(A18&lt;2002,D18,C18)&lt;(INDEX(Outils!$T$2:$U$100,MATCH(A18,Outils!$T$2:$T$100,0),2)*2),1,IF(IF(A18&lt;2002,D18,C18)&lt;(INDEX(Outils!$T$2:$U$100,MATCH(A18,Outils!$T$2:$T$100,0),2)*3),2,IF(IF(A18&lt;2002,D18,C18)&lt;(INDEX(Outils!$T$2:$U$100,MATCH(A18,Outils!$T$2:$T$100,0),2)*4),3,IF(IF(A18&lt;2002,D18,C18)&gt;(INDEX(Outils!$T$2:$U$100,MATCH(A18,Outils!$T$2:$T$100,0),2)*4),4,0)))))-IF(B18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8" s="144"/>
      <c r="H18" s="148"/>
      <c r="I18" s="144"/>
      <c r="J18" s="144">
        <f t="shared" si="2"/>
        <v>4</v>
      </c>
      <c r="K18" s="170"/>
      <c r="L18" s="170"/>
      <c r="M18" s="170"/>
      <c r="N18" s="171"/>
      <c r="O18" s="171"/>
      <c r="P18" s="170"/>
      <c r="Q18" s="170"/>
      <c r="R18" s="170"/>
    </row>
    <row r="19" spans="1:21" ht="12.95" customHeight="1" x14ac:dyDescent="0.25">
      <c r="A19" s="146">
        <f t="shared" si="1"/>
        <v>1997</v>
      </c>
      <c r="B19" s="146">
        <f>A19-YEAR(Client!$B$5)</f>
        <v>31</v>
      </c>
      <c r="C19" s="142">
        <v>50000</v>
      </c>
      <c r="D19" s="147">
        <f t="shared" si="0"/>
        <v>7622.4857230842408</v>
      </c>
      <c r="E19" s="143">
        <f>IF(INDEX(Outils!$B$2:$B$251,MATCH(A19,Outils!$A$2:$A$251,0),1)&lt;&gt;"",IF(A19&lt;2002,D19,C19)*INDEX(Outils!$B$2:$B$251,MATCH(A19,Outils!$A$2:$A$251,0),1),IF(A19&lt;2002,D19,C19))</f>
        <v>10061.681154471198</v>
      </c>
      <c r="F19" s="144">
        <f>IFERROR(IF(IF(A19&lt;2002,D19,C19)&lt;INDEX(Outils!$T$2:$U$100,MATCH(A19,Outils!$T$2:$T$100,0),2),"",IF(IF(A19&lt;2002,D19,C19)&lt;(INDEX(Outils!$T$2:$U$100,MATCH(A19,Outils!$T$2:$T$100,0),2)*2),1,IF(IF(A19&lt;2002,D19,C19)&lt;(INDEX(Outils!$T$2:$U$100,MATCH(A19,Outils!$T$2:$T$100,0),2)*3),2,IF(IF(A19&lt;2002,D19,C19)&lt;(INDEX(Outils!$T$2:$U$100,MATCH(A19,Outils!$T$2:$T$100,0),2)*4),3,IF(IF(A19&lt;2002,D19,C19)&gt;(INDEX(Outils!$T$2:$U$100,MATCH(A19,Outils!$T$2:$T$100,0),2)*4),4,0)))))-IF(B19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19" s="144"/>
      <c r="H19" s="148"/>
      <c r="I19" s="144"/>
      <c r="J19" s="144">
        <f t="shared" si="2"/>
        <v>4</v>
      </c>
      <c r="K19" s="170"/>
      <c r="L19" s="170"/>
      <c r="M19" s="170"/>
      <c r="N19" s="171"/>
      <c r="O19" s="171"/>
      <c r="P19" s="170"/>
      <c r="Q19" s="170"/>
      <c r="R19" s="170"/>
    </row>
    <row r="20" spans="1:21" ht="12.95" customHeight="1" x14ac:dyDescent="0.25">
      <c r="A20" s="146">
        <f t="shared" si="1"/>
        <v>1998</v>
      </c>
      <c r="B20" s="146">
        <f>A20-YEAR(Client!$B$5)</f>
        <v>32</v>
      </c>
      <c r="C20" s="142">
        <v>50000</v>
      </c>
      <c r="D20" s="147">
        <f t="shared" si="0"/>
        <v>7622.4857230842408</v>
      </c>
      <c r="E20" s="143">
        <f>IF(INDEX(Outils!$B$2:$B$251,MATCH(A20,Outils!$A$2:$A$251,0),1)&lt;&gt;"",IF(A20&lt;2002,D20,C20)*INDEX(Outils!$B$2:$B$251,MATCH(A20,Outils!$A$2:$A$251,0),1),IF(A20&lt;2002,D20,C20))</f>
        <v>9947.3438686249337</v>
      </c>
      <c r="F20" s="144">
        <f>IFERROR(IF(IF(A20&lt;2002,D20,C20)&lt;INDEX(Outils!$T$2:$U$100,MATCH(A20,Outils!$T$2:$T$100,0),2),"",IF(IF(A20&lt;2002,D20,C20)&lt;(INDEX(Outils!$T$2:$U$100,MATCH(A20,Outils!$T$2:$T$100,0),2)*2),1,IF(IF(A20&lt;2002,D20,C20)&lt;(INDEX(Outils!$T$2:$U$100,MATCH(A20,Outils!$T$2:$T$100,0),2)*3),2,IF(IF(A20&lt;2002,D20,C20)&lt;(INDEX(Outils!$T$2:$U$100,MATCH(A20,Outils!$T$2:$T$100,0),2)*4),3,IF(IF(A20&lt;2002,D20,C20)&gt;(INDEX(Outils!$T$2:$U$100,MATCH(A20,Outils!$T$2:$T$100,0),2)*4),4,0)))))-IF(B20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0" s="144"/>
      <c r="H20" s="148"/>
      <c r="I20" s="144"/>
      <c r="J20" s="144">
        <f t="shared" si="2"/>
        <v>4</v>
      </c>
      <c r="K20" s="170"/>
      <c r="L20" s="170"/>
      <c r="M20" s="170"/>
      <c r="N20" s="171"/>
      <c r="O20" s="171"/>
      <c r="P20" s="170"/>
      <c r="Q20" s="170"/>
      <c r="R20" s="170"/>
    </row>
    <row r="21" spans="1:21" ht="12.95" customHeight="1" x14ac:dyDescent="0.25">
      <c r="A21" s="146">
        <f t="shared" si="1"/>
        <v>1999</v>
      </c>
      <c r="B21" s="146">
        <f>A21-YEAR(Client!$B$5)</f>
        <v>33</v>
      </c>
      <c r="C21" s="142">
        <v>50000</v>
      </c>
      <c r="D21" s="147">
        <f t="shared" si="0"/>
        <v>7622.4857230842408</v>
      </c>
      <c r="E21" s="143">
        <f>IF(INDEX(Outils!$B$2:$B$251,MATCH(A21,Outils!$A$2:$A$251,0),1)&lt;&gt;"",IF(A21&lt;2002,D21,C21)*INDEX(Outils!$B$2:$B$251,MATCH(A21,Outils!$A$2:$A$251,0),1),IF(A21&lt;2002,D21,C21))</f>
        <v>9833.0065827786711</v>
      </c>
      <c r="F21" s="144">
        <f>IFERROR(IF(IF(A21&lt;2002,D21,C21)&lt;INDEX(Outils!$T$2:$U$100,MATCH(A21,Outils!$T$2:$T$100,0),2),"",IF(IF(A21&lt;2002,D21,C21)&lt;(INDEX(Outils!$T$2:$U$100,MATCH(A21,Outils!$T$2:$T$100,0),2)*2),1,IF(IF(A21&lt;2002,D21,C21)&lt;(INDEX(Outils!$T$2:$U$100,MATCH(A21,Outils!$T$2:$T$100,0),2)*3),2,IF(IF(A21&lt;2002,D21,C21)&lt;(INDEX(Outils!$T$2:$U$100,MATCH(A21,Outils!$T$2:$T$100,0),2)*4),3,IF(IF(A21&lt;2002,D21,C21)&gt;(INDEX(Outils!$T$2:$U$100,MATCH(A21,Outils!$T$2:$T$100,0),2)*4),4,0)))))-IF(B21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1" s="144"/>
      <c r="H21" s="148"/>
      <c r="I21" s="144"/>
      <c r="J21" s="144">
        <f t="shared" si="2"/>
        <v>4</v>
      </c>
      <c r="K21" s="170"/>
      <c r="L21" s="170"/>
      <c r="M21" s="170"/>
      <c r="N21" s="171"/>
      <c r="O21" s="171"/>
      <c r="P21" s="170"/>
      <c r="Q21" s="170"/>
      <c r="R21" s="170"/>
    </row>
    <row r="22" spans="1:21" ht="12.95" customHeight="1" x14ac:dyDescent="0.25">
      <c r="A22" s="146">
        <f t="shared" si="1"/>
        <v>2000</v>
      </c>
      <c r="B22" s="146">
        <f>A22-YEAR(Client!$B$5)</f>
        <v>34</v>
      </c>
      <c r="C22" s="142">
        <v>50000</v>
      </c>
      <c r="D22" s="147">
        <f t="shared" si="0"/>
        <v>7622.4857230842408</v>
      </c>
      <c r="E22" s="143">
        <f>IF(INDEX(Outils!$B$2:$B$251,MATCH(A22,Outils!$A$2:$A$251,0),1)&lt;&gt;"",IF(A22&lt;2002,D22,C22)*INDEX(Outils!$B$2:$B$251,MATCH(A22,Outils!$A$2:$A$251,0),1),IF(A22&lt;2002,D22,C22))</f>
        <v>9779.6491827170812</v>
      </c>
      <c r="F22" s="144">
        <f>IFERROR(IF(IF(A22&lt;2002,D22,C22)&lt;INDEX(Outils!$T$2:$U$100,MATCH(A22,Outils!$T$2:$T$100,0),2),"",IF(IF(A22&lt;2002,D22,C22)&lt;(INDEX(Outils!$T$2:$U$100,MATCH(A22,Outils!$T$2:$T$100,0),2)*2),1,IF(IF(A22&lt;2002,D22,C22)&lt;(INDEX(Outils!$T$2:$U$100,MATCH(A22,Outils!$T$2:$T$100,0),2)*3),2,IF(IF(A22&lt;2002,D22,C22)&lt;(INDEX(Outils!$T$2:$U$100,MATCH(A22,Outils!$T$2:$T$100,0),2)*4),3,IF(IF(A22&lt;2002,D22,C22)&gt;(INDEX(Outils!$T$2:$U$100,MATCH(A22,Outils!$T$2:$T$100,0),2)*4),4,0)))))-IF(B22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2" s="144"/>
      <c r="H22" s="148"/>
      <c r="I22" s="144"/>
      <c r="J22" s="144">
        <f t="shared" si="2"/>
        <v>4</v>
      </c>
      <c r="K22" s="170"/>
      <c r="L22" s="170"/>
      <c r="M22" s="170"/>
      <c r="N22" s="171"/>
      <c r="O22" s="171"/>
      <c r="P22" s="170"/>
      <c r="Q22" s="170"/>
      <c r="R22" s="170"/>
    </row>
    <row r="23" spans="1:21" ht="12.95" customHeight="1" x14ac:dyDescent="0.25">
      <c r="A23" s="146">
        <f t="shared" si="1"/>
        <v>2001</v>
      </c>
      <c r="B23" s="146">
        <f>A23-YEAR(Client!$B$5)</f>
        <v>35</v>
      </c>
      <c r="C23" s="142">
        <v>50000</v>
      </c>
      <c r="D23" s="147">
        <f t="shared" si="0"/>
        <v>7622.4857230842408</v>
      </c>
      <c r="E23" s="143">
        <f>IF(INDEX(Outils!$B$2:$B$251,MATCH(A23,Outils!$A$2:$A$251,0),1)&lt;&gt;"",IF(A23&lt;2002,D23,C23)*INDEX(Outils!$B$2:$B$251,MATCH(A23,Outils!$A$2:$A$251,0),1),IF(A23&lt;2002,D23,C23))</f>
        <v>9589.087039639975</v>
      </c>
      <c r="F23" s="144">
        <f>IFERROR(IF(IF(A23&lt;2002,D23,C23)&lt;INDEX(Outils!$T$2:$U$100,MATCH(A23,Outils!$T$2:$T$100,0),2),"",IF(IF(A23&lt;2002,D23,C23)&lt;(INDEX(Outils!$T$2:$U$100,MATCH(A23,Outils!$T$2:$T$100,0),2)*2),1,IF(IF(A23&lt;2002,D23,C23)&lt;(INDEX(Outils!$T$2:$U$100,MATCH(A23,Outils!$T$2:$T$100,0),2)*3),2,IF(IF(A23&lt;2002,D23,C23)&lt;(INDEX(Outils!$T$2:$U$100,MATCH(A23,Outils!$T$2:$T$100,0),2)*4),3,IF(IF(A23&lt;2002,D23,C23)&gt;(INDEX(Outils!$T$2:$U$100,MATCH(A23,Outils!$T$2:$T$100,0),2)*4),4,0)))))-IF(B23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3" s="144"/>
      <c r="H23" s="148"/>
      <c r="I23" s="144"/>
      <c r="J23" s="144">
        <f t="shared" si="2"/>
        <v>4</v>
      </c>
      <c r="K23" s="170"/>
      <c r="L23" s="173"/>
      <c r="M23" s="170"/>
      <c r="N23" s="171"/>
      <c r="O23" s="171"/>
      <c r="P23" s="170"/>
      <c r="Q23" s="170"/>
      <c r="R23" s="170"/>
    </row>
    <row r="24" spans="1:21" ht="12.95" customHeight="1" x14ac:dyDescent="0.25">
      <c r="A24" s="146">
        <f t="shared" si="1"/>
        <v>2002</v>
      </c>
      <c r="B24" s="146">
        <f>A24-YEAR(Client!$B$5)</f>
        <v>36</v>
      </c>
      <c r="C24" s="142">
        <v>18000</v>
      </c>
      <c r="D24" s="147" t="str">
        <f t="shared" si="0"/>
        <v/>
      </c>
      <c r="E24" s="143">
        <f>IF(INDEX(Outils!$B$2:$B$251,MATCH(A24,Outils!$A$2:$A$251,0),1)&lt;&gt;"",IF(A24&lt;2002,D24,C24)*INDEX(Outils!$B$2:$B$251,MATCH(A24,Outils!$A$2:$A$251,0),1),IF(A24&lt;2002,D24,C24))</f>
        <v>22158</v>
      </c>
      <c r="F24" s="144">
        <f>IFERROR(IF(IF(A24&lt;2002,D24,C24)&lt;INDEX(Outils!$T$2:$U$100,MATCH(A24,Outils!$T$2:$T$100,0),2),"",IF(IF(A24&lt;2002,D24,C24)&lt;(INDEX(Outils!$T$2:$U$100,MATCH(A24,Outils!$T$2:$T$100,0),2)*2),1,IF(IF(A24&lt;2002,D24,C24)&lt;(INDEX(Outils!$T$2:$U$100,MATCH(A24,Outils!$T$2:$T$100,0),2)*3),2,IF(IF(A24&lt;2002,D24,C24)&lt;(INDEX(Outils!$T$2:$U$100,MATCH(A24,Outils!$T$2:$T$100,0),2)*4),3,IF(IF(A24&lt;2002,D24,C24)&gt;(INDEX(Outils!$T$2:$U$100,MATCH(A24,Outils!$T$2:$T$100,0),2)*4),4,0)))))-IF(B24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4" s="144"/>
      <c r="H24" s="148"/>
      <c r="I24" s="144"/>
      <c r="J24" s="144">
        <f t="shared" si="2"/>
        <v>4</v>
      </c>
      <c r="K24" s="170"/>
      <c r="L24" s="173"/>
      <c r="M24" s="170"/>
      <c r="N24" s="171"/>
      <c r="O24" s="171"/>
      <c r="P24" s="170"/>
      <c r="Q24" s="170"/>
      <c r="R24" s="170"/>
    </row>
    <row r="25" spans="1:21" ht="12.95" customHeight="1" x14ac:dyDescent="0.25">
      <c r="A25" s="146">
        <f t="shared" si="1"/>
        <v>2003</v>
      </c>
      <c r="B25" s="146">
        <f>A25-YEAR(Client!$B$5)</f>
        <v>37</v>
      </c>
      <c r="C25" s="142">
        <v>18000</v>
      </c>
      <c r="D25" s="147" t="str">
        <f t="shared" si="0"/>
        <v/>
      </c>
      <c r="E25" s="143">
        <f>IF(INDEX(Outils!$B$2:$B$251,MATCH(A25,Outils!$A$2:$A$251,0),1)&lt;&gt;"",IF(A25&lt;2002,D25,C25)*INDEX(Outils!$B$2:$B$251,MATCH(A25,Outils!$A$2:$A$251,0),1),IF(A25&lt;2002,D25,C25))</f>
        <v>21780</v>
      </c>
      <c r="F25" s="144">
        <f>IFERROR(IF(IF(A25&lt;2002,D25,C25)&lt;INDEX(Outils!$T$2:$U$100,MATCH(A25,Outils!$T$2:$T$100,0),2),"",IF(IF(A25&lt;2002,D25,C25)&lt;(INDEX(Outils!$T$2:$U$100,MATCH(A25,Outils!$T$2:$T$100,0),2)*2),1,IF(IF(A25&lt;2002,D25,C25)&lt;(INDEX(Outils!$T$2:$U$100,MATCH(A25,Outils!$T$2:$T$100,0),2)*3),2,IF(IF(A25&lt;2002,D25,C25)&lt;(INDEX(Outils!$T$2:$U$100,MATCH(A25,Outils!$T$2:$T$100,0),2)*4),3,IF(IF(A25&lt;2002,D25,C25)&gt;(INDEX(Outils!$T$2:$U$100,MATCH(A25,Outils!$T$2:$T$100,0),2)*4),4,0)))))-IF(B25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5" s="144"/>
      <c r="H25" s="148"/>
      <c r="I25" s="144"/>
      <c r="J25" s="144">
        <f t="shared" si="2"/>
        <v>4</v>
      </c>
      <c r="K25" s="170"/>
      <c r="L25" s="173"/>
      <c r="M25" s="170"/>
      <c r="N25" s="171"/>
      <c r="O25" s="171"/>
      <c r="P25" s="170"/>
      <c r="Q25" s="170"/>
      <c r="R25" s="170"/>
    </row>
    <row r="26" spans="1:21" ht="12.95" customHeight="1" x14ac:dyDescent="0.25">
      <c r="A26" s="146">
        <f t="shared" si="1"/>
        <v>2004</v>
      </c>
      <c r="B26" s="146">
        <f>A26-YEAR(Client!$B$5)</f>
        <v>38</v>
      </c>
      <c r="C26" s="142">
        <v>18000</v>
      </c>
      <c r="D26" s="147" t="str">
        <f t="shared" si="0"/>
        <v/>
      </c>
      <c r="E26" s="143">
        <f>IF(INDEX(Outils!$B$2:$B$251,MATCH(A26,Outils!$A$2:$A$251,0),1)&lt;&gt;"",IF(A26&lt;2002,D26,C26)*INDEX(Outils!$B$2:$B$251,MATCH(A26,Outils!$A$2:$A$251,0),1),IF(A26&lt;2002,D26,C26))</f>
        <v>21438</v>
      </c>
      <c r="F26" s="144">
        <f>IFERROR(IF(IF(A26&lt;2002,D26,C26)&lt;INDEX(Outils!$T$2:$U$100,MATCH(A26,Outils!$T$2:$T$100,0),2),"",IF(IF(A26&lt;2002,D26,C26)&lt;(INDEX(Outils!$T$2:$U$100,MATCH(A26,Outils!$T$2:$T$100,0),2)*2),1,IF(IF(A26&lt;2002,D26,C26)&lt;(INDEX(Outils!$T$2:$U$100,MATCH(A26,Outils!$T$2:$T$100,0),2)*3),2,IF(IF(A26&lt;2002,D26,C26)&lt;(INDEX(Outils!$T$2:$U$100,MATCH(A26,Outils!$T$2:$T$100,0),2)*4),3,IF(IF(A26&lt;2002,D26,C26)&gt;(INDEX(Outils!$T$2:$U$100,MATCH(A26,Outils!$T$2:$T$100,0),2)*4),4,0)))))-IF(B26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6" s="144"/>
      <c r="H26" s="148"/>
      <c r="I26" s="144"/>
      <c r="J26" s="144">
        <f t="shared" si="2"/>
        <v>4</v>
      </c>
      <c r="K26" s="170"/>
      <c r="L26" s="173"/>
      <c r="M26" s="170"/>
      <c r="N26" s="171"/>
      <c r="O26" s="171"/>
      <c r="P26" s="170"/>
      <c r="Q26" s="170"/>
      <c r="R26" s="170"/>
    </row>
    <row r="27" spans="1:21" ht="12.95" customHeight="1" x14ac:dyDescent="0.25">
      <c r="A27" s="146">
        <f t="shared" si="1"/>
        <v>2005</v>
      </c>
      <c r="B27" s="146">
        <f>A27-YEAR(Client!$B$5)</f>
        <v>39</v>
      </c>
      <c r="C27" s="142">
        <v>18000</v>
      </c>
      <c r="D27" s="147" t="str">
        <f t="shared" si="0"/>
        <v/>
      </c>
      <c r="E27" s="143">
        <f>IF(INDEX(Outils!$B$2:$B$251,MATCH(A27,Outils!$A$2:$A$251,0),1)&lt;&gt;"",IF(A27&lt;2002,D27,C27)*INDEX(Outils!$B$2:$B$251,MATCH(A27,Outils!$A$2:$A$251,0),1),IF(A27&lt;2002,D27,C27))</f>
        <v>21078</v>
      </c>
      <c r="F27" s="144">
        <f>IFERROR(IF(IF(A27&lt;2002,D27,C27)&lt;INDEX(Outils!$T$2:$U$100,MATCH(A27,Outils!$T$2:$T$100,0),2),"",IF(IF(A27&lt;2002,D27,C27)&lt;(INDEX(Outils!$T$2:$U$100,MATCH(A27,Outils!$T$2:$T$100,0),2)*2),1,IF(IF(A27&lt;2002,D27,C27)&lt;(INDEX(Outils!$T$2:$U$100,MATCH(A27,Outils!$T$2:$T$100,0),2)*3),2,IF(IF(A27&lt;2002,D27,C27)&lt;(INDEX(Outils!$T$2:$U$100,MATCH(A27,Outils!$T$2:$T$100,0),2)*4),3,IF(IF(A27&lt;2002,D27,C27)&gt;(INDEX(Outils!$T$2:$U$100,MATCH(A27,Outils!$T$2:$T$100,0),2)*4),4,0)))))-IF(B27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7" s="144"/>
      <c r="H27" s="148"/>
      <c r="I27" s="144"/>
      <c r="J27" s="144">
        <f t="shared" si="2"/>
        <v>4</v>
      </c>
      <c r="K27" s="170"/>
      <c r="L27" s="173"/>
      <c r="M27" s="170"/>
      <c r="N27" s="171"/>
      <c r="O27" s="171"/>
      <c r="P27" s="170"/>
      <c r="Q27" s="170"/>
      <c r="R27" s="170"/>
    </row>
    <row r="28" spans="1:21" ht="12.95" customHeight="1" x14ac:dyDescent="0.25">
      <c r="A28" s="146">
        <f t="shared" si="1"/>
        <v>2006</v>
      </c>
      <c r="B28" s="146">
        <f>A28-YEAR(Client!$B$5)</f>
        <v>40</v>
      </c>
      <c r="C28" s="142">
        <v>18000</v>
      </c>
      <c r="D28" s="147" t="str">
        <f t="shared" si="0"/>
        <v/>
      </c>
      <c r="E28" s="143">
        <f>IF(INDEX(Outils!$B$2:$B$251,MATCH(A28,Outils!$A$2:$A$251,0),1)&lt;&gt;"",IF(A28&lt;2002,D28,C28)*INDEX(Outils!$B$2:$B$251,MATCH(A28,Outils!$A$2:$A$251,0),1),IF(A28&lt;2002,D28,C28))</f>
        <v>20700</v>
      </c>
      <c r="F28" s="144">
        <f>IFERROR(IF(IF(A28&lt;2002,D28,C28)&lt;INDEX(Outils!$T$2:$U$100,MATCH(A28,Outils!$T$2:$T$100,0),2),"",IF(IF(A28&lt;2002,D28,C28)&lt;(INDEX(Outils!$T$2:$U$100,MATCH(A28,Outils!$T$2:$T$100,0),2)*2),1,IF(IF(A28&lt;2002,D28,C28)&lt;(INDEX(Outils!$T$2:$U$100,MATCH(A28,Outils!$T$2:$T$100,0),2)*3),2,IF(IF(A28&lt;2002,D28,C28)&lt;(INDEX(Outils!$T$2:$U$100,MATCH(A28,Outils!$T$2:$T$100,0),2)*4),3,IF(IF(A28&lt;2002,D28,C28)&gt;(INDEX(Outils!$T$2:$U$100,MATCH(A28,Outils!$T$2:$T$100,0),2)*4),4,0)))))-IF(B28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8" s="144"/>
      <c r="H28" s="148"/>
      <c r="I28" s="144"/>
      <c r="J28" s="144">
        <f t="shared" si="2"/>
        <v>4</v>
      </c>
      <c r="K28" s="170"/>
      <c r="L28" s="173"/>
      <c r="M28" s="170"/>
      <c r="N28" s="171"/>
      <c r="O28" s="171"/>
      <c r="P28" s="170"/>
      <c r="Q28" s="170"/>
      <c r="R28" s="170"/>
    </row>
    <row r="29" spans="1:21" ht="12.95" customHeight="1" x14ac:dyDescent="0.25">
      <c r="A29" s="141">
        <f t="shared" si="1"/>
        <v>2007</v>
      </c>
      <c r="B29" s="141">
        <f>A29-YEAR(Client!$B$5)</f>
        <v>41</v>
      </c>
      <c r="C29" s="142">
        <v>18000</v>
      </c>
      <c r="D29" s="143" t="str">
        <f t="shared" si="0"/>
        <v/>
      </c>
      <c r="E29" s="143">
        <f>IF(INDEX(Outils!$B$2:$B$251,MATCH(A29,Outils!$A$2:$A$251,0),1)&lt;&gt;"",IF(A29&lt;2002,D29,C29)*INDEX(Outils!$B$2:$B$251,MATCH(A29,Outils!$A$2:$A$251,0),1),IF(A29&lt;2002,D29,C29))</f>
        <v>20358</v>
      </c>
      <c r="F29" s="144">
        <f>IFERROR(IF(IF(A29&lt;2002,D29,C29)&lt;INDEX(Outils!$T$2:$U$100,MATCH(A29,Outils!$T$2:$T$100,0),2),"",IF(IF(A29&lt;2002,D29,C29)&lt;(INDEX(Outils!$T$2:$U$100,MATCH(A29,Outils!$T$2:$T$100,0),2)*2),1,IF(IF(A29&lt;2002,D29,C29)&lt;(INDEX(Outils!$T$2:$U$100,MATCH(A29,Outils!$T$2:$T$100,0),2)*3),2,IF(IF(A29&lt;2002,D29,C29)&lt;(INDEX(Outils!$T$2:$U$100,MATCH(A29,Outils!$T$2:$T$100,0),2)*4),3,IF(IF(A29&lt;2002,D29,C29)&gt;(INDEX(Outils!$T$2:$U$100,MATCH(A29,Outils!$T$2:$T$100,0),2)*4),4,0)))))-IF(B29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29" s="144"/>
      <c r="H29" s="145"/>
      <c r="I29" s="144"/>
      <c r="J29" s="144">
        <f t="shared" si="2"/>
        <v>4</v>
      </c>
      <c r="K29" s="170"/>
      <c r="L29" s="173"/>
      <c r="M29" s="170"/>
      <c r="N29" s="171"/>
      <c r="O29" s="171"/>
      <c r="P29" s="170"/>
      <c r="Q29" s="170"/>
      <c r="R29" s="170"/>
    </row>
    <row r="30" spans="1:21" ht="12.95" customHeight="1" x14ac:dyDescent="0.25">
      <c r="A30" s="141">
        <f t="shared" si="1"/>
        <v>2008</v>
      </c>
      <c r="B30" s="141">
        <f>A30-YEAR(Client!$B$5)</f>
        <v>42</v>
      </c>
      <c r="C30" s="142">
        <v>18000</v>
      </c>
      <c r="D30" s="143" t="str">
        <f t="shared" si="0"/>
        <v/>
      </c>
      <c r="E30" s="143">
        <f>IF(INDEX(Outils!$B$2:$B$251,MATCH(A30,Outils!$A$2:$A$251,0),1)&lt;&gt;"",IF(A30&lt;2002,D30,C30)*INDEX(Outils!$B$2:$B$251,MATCH(A30,Outils!$A$2:$A$251,0),1),IF(A30&lt;2002,D30,C30))</f>
        <v>20142</v>
      </c>
      <c r="F30" s="144">
        <f>IFERROR(IF(IF(A30&lt;2002,D30,C30)&lt;INDEX(Outils!$T$2:$U$100,MATCH(A30,Outils!$T$2:$T$100,0),2),"",IF(IF(A30&lt;2002,D30,C30)&lt;(INDEX(Outils!$T$2:$U$100,MATCH(A30,Outils!$T$2:$T$100,0),2)*2),1,IF(IF(A30&lt;2002,D30,C30)&lt;(INDEX(Outils!$T$2:$U$100,MATCH(A30,Outils!$T$2:$T$100,0),2)*3),2,IF(IF(A30&lt;2002,D30,C30)&lt;(INDEX(Outils!$T$2:$U$100,MATCH(A30,Outils!$T$2:$T$100,0),2)*4),3,IF(IF(A30&lt;2002,D30,C30)&gt;(INDEX(Outils!$T$2:$U$100,MATCH(A30,Outils!$T$2:$T$100,0),2)*4),4,0)))))-IF(B30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0" s="144"/>
      <c r="H30" s="145"/>
      <c r="I30" s="144"/>
      <c r="J30" s="144">
        <f t="shared" si="2"/>
        <v>4</v>
      </c>
      <c r="K30" s="170"/>
      <c r="L30" s="173"/>
      <c r="M30" s="170"/>
      <c r="N30" s="171"/>
      <c r="O30" s="171"/>
      <c r="P30" s="170"/>
      <c r="Q30" s="170"/>
      <c r="R30" s="170"/>
      <c r="U30" s="57"/>
    </row>
    <row r="31" spans="1:21" ht="12.95" customHeight="1" x14ac:dyDescent="0.25">
      <c r="A31" s="141">
        <f t="shared" si="1"/>
        <v>2009</v>
      </c>
      <c r="B31" s="141">
        <f>A31-YEAR(Client!$B$5)</f>
        <v>43</v>
      </c>
      <c r="C31" s="142">
        <v>18000</v>
      </c>
      <c r="D31" s="143" t="str">
        <f t="shared" si="0"/>
        <v/>
      </c>
      <c r="E31" s="143">
        <f>IF(INDEX(Outils!$B$2:$B$251,MATCH(A31,Outils!$A$2:$A$251,0),1)&lt;&gt;"",IF(A31&lt;2002,D31,C31)*INDEX(Outils!$B$2:$B$251,MATCH(A31,Outils!$A$2:$A$251,0),1),IF(A31&lt;2002,D31,C31))</f>
        <v>19962</v>
      </c>
      <c r="F31" s="144">
        <f>IFERROR(IF(IF(A31&lt;2002,D31,C31)&lt;INDEX(Outils!$T$2:$U$100,MATCH(A31,Outils!$T$2:$T$100,0),2),"",IF(IF(A31&lt;2002,D31,C31)&lt;(INDEX(Outils!$T$2:$U$100,MATCH(A31,Outils!$T$2:$T$100,0),2)*2),1,IF(IF(A31&lt;2002,D31,C31)&lt;(INDEX(Outils!$T$2:$U$100,MATCH(A31,Outils!$T$2:$T$100,0),2)*3),2,IF(IF(A31&lt;2002,D31,C31)&lt;(INDEX(Outils!$T$2:$U$100,MATCH(A31,Outils!$T$2:$T$100,0),2)*4),3,IF(IF(A31&lt;2002,D31,C31)&gt;(INDEX(Outils!$T$2:$U$100,MATCH(A31,Outils!$T$2:$T$100,0),2)*4),4,0)))))-IF(B31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1" s="144"/>
      <c r="H31" s="145"/>
      <c r="I31" s="144"/>
      <c r="J31" s="144">
        <f t="shared" si="2"/>
        <v>4</v>
      </c>
      <c r="K31" s="170"/>
      <c r="L31" s="173"/>
      <c r="M31" s="170"/>
      <c r="N31" s="171"/>
      <c r="O31" s="171"/>
      <c r="P31" s="170"/>
      <c r="Q31" s="170"/>
      <c r="R31" s="170"/>
    </row>
    <row r="32" spans="1:21" ht="12.95" customHeight="1" x14ac:dyDescent="0.25">
      <c r="A32" s="141">
        <f t="shared" si="1"/>
        <v>2010</v>
      </c>
      <c r="B32" s="141">
        <f>A32-YEAR(Client!$B$5)</f>
        <v>44</v>
      </c>
      <c r="C32" s="142">
        <v>18000</v>
      </c>
      <c r="D32" s="143" t="str">
        <f t="shared" si="0"/>
        <v/>
      </c>
      <c r="E32" s="143">
        <f>IF(INDEX(Outils!$B$2:$B$251,MATCH(A32,Outils!$A$2:$A$251,0),1)&lt;&gt;"",IF(A32&lt;2002,D32,C32)*INDEX(Outils!$B$2:$B$251,MATCH(A32,Outils!$A$2:$A$251,0),1),IF(A32&lt;2002,D32,C32))</f>
        <v>19782</v>
      </c>
      <c r="F32" s="144">
        <f>IFERROR(IF(IF(A32&lt;2002,D32,C32)&lt;INDEX(Outils!$T$2:$U$100,MATCH(A32,Outils!$T$2:$T$100,0),2),"",IF(IF(A32&lt;2002,D32,C32)&lt;(INDEX(Outils!$T$2:$U$100,MATCH(A32,Outils!$T$2:$T$100,0),2)*2),1,IF(IF(A32&lt;2002,D32,C32)&lt;(INDEX(Outils!$T$2:$U$100,MATCH(A32,Outils!$T$2:$T$100,0),2)*3),2,IF(IF(A32&lt;2002,D32,C32)&lt;(INDEX(Outils!$T$2:$U$100,MATCH(A32,Outils!$T$2:$T$100,0),2)*4),3,IF(IF(A32&lt;2002,D32,C32)&gt;(INDEX(Outils!$T$2:$U$100,MATCH(A32,Outils!$T$2:$T$100,0),2)*4),4,0)))))-IF(B32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2" s="144"/>
      <c r="H32" s="145"/>
      <c r="I32" s="144"/>
      <c r="J32" s="144">
        <f t="shared" si="2"/>
        <v>4</v>
      </c>
      <c r="K32" s="170"/>
      <c r="L32" s="173"/>
      <c r="M32" s="170"/>
      <c r="N32" s="171"/>
      <c r="O32" s="171"/>
      <c r="P32" s="170"/>
      <c r="Q32" s="170"/>
      <c r="R32" s="170"/>
    </row>
    <row r="33" spans="1:40" ht="12.95" customHeight="1" x14ac:dyDescent="0.25">
      <c r="A33" s="141">
        <f t="shared" si="1"/>
        <v>2011</v>
      </c>
      <c r="B33" s="141">
        <f>A33-YEAR(Client!$B$5)</f>
        <v>45</v>
      </c>
      <c r="C33" s="142">
        <v>18000</v>
      </c>
      <c r="D33" s="143" t="str">
        <f t="shared" si="0"/>
        <v/>
      </c>
      <c r="E33" s="143">
        <f>IF(INDEX(Outils!$B$2:$B$251,MATCH(A33,Outils!$A$2:$A$251,0),1)&lt;&gt;"",IF(A33&lt;2002,D33,C33)*INDEX(Outils!$B$2:$B$251,MATCH(A33,Outils!$A$2:$A$251,0),1),IF(A33&lt;2002,D33,C33))</f>
        <v>19602</v>
      </c>
      <c r="F33" s="144">
        <f>IFERROR(IF(IF(A33&lt;2002,D33,C33)&lt;INDEX(Outils!$T$2:$U$100,MATCH(A33,Outils!$T$2:$T$100,0),2),"",IF(IF(A33&lt;2002,D33,C33)&lt;(INDEX(Outils!$T$2:$U$100,MATCH(A33,Outils!$T$2:$T$100,0),2)*2),1,IF(IF(A33&lt;2002,D33,C33)&lt;(INDEX(Outils!$T$2:$U$100,MATCH(A33,Outils!$T$2:$T$100,0),2)*3),2,IF(IF(A33&lt;2002,D33,C33)&lt;(INDEX(Outils!$T$2:$U$100,MATCH(A33,Outils!$T$2:$T$100,0),2)*4),3,IF(IF(A33&lt;2002,D33,C33)&gt;(INDEX(Outils!$T$2:$U$100,MATCH(A33,Outils!$T$2:$T$100,0),2)*4),4,0)))))-IF(B33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3" s="144"/>
      <c r="H33" s="145"/>
      <c r="I33" s="144"/>
      <c r="J33" s="144">
        <f t="shared" si="2"/>
        <v>4</v>
      </c>
      <c r="K33" s="170"/>
      <c r="L33" s="173"/>
      <c r="M33" s="170"/>
      <c r="N33" s="171"/>
      <c r="O33" s="171"/>
      <c r="P33" s="170"/>
      <c r="Q33" s="170"/>
      <c r="R33" s="170"/>
    </row>
    <row r="34" spans="1:40" ht="12.95" customHeight="1" x14ac:dyDescent="0.25">
      <c r="A34" s="141">
        <f t="shared" si="1"/>
        <v>2012</v>
      </c>
      <c r="B34" s="141">
        <f>A34-YEAR(Client!$B$5)</f>
        <v>46</v>
      </c>
      <c r="C34" s="142">
        <v>18000</v>
      </c>
      <c r="D34" s="143" t="str">
        <f t="shared" si="0"/>
        <v/>
      </c>
      <c r="E34" s="143">
        <f>IF(INDEX(Outils!$B$2:$B$251,MATCH(A34,Outils!$A$2:$A$251,0),1)&lt;&gt;"",IF(A34&lt;2002,D34,C34)*INDEX(Outils!$B$2:$B$251,MATCH(A34,Outils!$A$2:$A$251,0),1),IF(A34&lt;2002,D34,C34))</f>
        <v>19224</v>
      </c>
      <c r="F34" s="144">
        <f>IFERROR(IF(IF(A34&lt;2002,D34,C34)&lt;INDEX(Outils!$T$2:$U$100,MATCH(A34,Outils!$T$2:$T$100,0),2),"",IF(IF(A34&lt;2002,D34,C34)&lt;(INDEX(Outils!$T$2:$U$100,MATCH(A34,Outils!$T$2:$T$100,0),2)*2),1,IF(IF(A34&lt;2002,D34,C34)&lt;(INDEX(Outils!$T$2:$U$100,MATCH(A34,Outils!$T$2:$T$100,0),2)*3),2,IF(IF(A34&lt;2002,D34,C34)&lt;(INDEX(Outils!$T$2:$U$100,MATCH(A34,Outils!$T$2:$T$100,0),2)*4),3,IF(IF(A34&lt;2002,D34,C34)&gt;(INDEX(Outils!$T$2:$U$100,MATCH(A34,Outils!$T$2:$T$100,0),2)*4),4,0)))))-IF(B34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4" s="144"/>
      <c r="H34" s="145"/>
      <c r="I34" s="144"/>
      <c r="J34" s="144">
        <f t="shared" si="2"/>
        <v>4</v>
      </c>
      <c r="K34" s="170"/>
      <c r="L34" s="173"/>
      <c r="M34" s="170"/>
      <c r="N34" s="171"/>
      <c r="O34" s="171"/>
      <c r="P34" s="170"/>
      <c r="Q34" s="170"/>
      <c r="R34" s="170"/>
    </row>
    <row r="35" spans="1:40" ht="12.95" customHeight="1" x14ac:dyDescent="0.25">
      <c r="A35" s="141">
        <f t="shared" si="1"/>
        <v>2013</v>
      </c>
      <c r="B35" s="141">
        <f>A35-YEAR(Client!$B$5)</f>
        <v>47</v>
      </c>
      <c r="C35" s="142">
        <v>18000</v>
      </c>
      <c r="D35" s="143" t="str">
        <f t="shared" si="0"/>
        <v/>
      </c>
      <c r="E35" s="143">
        <f>IF(INDEX(Outils!$B$2:$B$251,MATCH(A35,Outils!$A$2:$A$251,0),1)&lt;&gt;"",IF(A35&lt;2002,D35,C35)*INDEX(Outils!$B$2:$B$251,MATCH(A35,Outils!$A$2:$A$251,0),1),IF(A35&lt;2002,D35,C35))</f>
        <v>18846</v>
      </c>
      <c r="F35" s="144">
        <f>IFERROR(IF(IF(A35&lt;2002,D35,C35)&lt;INDEX(Outils!$T$2:$U$100,MATCH(A35,Outils!$T$2:$T$100,0),2),"",IF(IF(A35&lt;2002,D35,C35)&lt;(INDEX(Outils!$T$2:$U$100,MATCH(A35,Outils!$T$2:$T$100,0),2)*2),1,IF(IF(A35&lt;2002,D35,C35)&lt;(INDEX(Outils!$T$2:$U$100,MATCH(A35,Outils!$T$2:$T$100,0),2)*3),2,IF(IF(A35&lt;2002,D35,C35)&lt;(INDEX(Outils!$T$2:$U$100,MATCH(A35,Outils!$T$2:$T$100,0),2)*4),3,IF(IF(A35&lt;2002,D35,C35)&gt;(INDEX(Outils!$T$2:$U$100,MATCH(A35,Outils!$T$2:$T$100,0),2)*4),4,0)))))-IF(B35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5" s="144"/>
      <c r="H35" s="145"/>
      <c r="I35" s="144"/>
      <c r="J35" s="144">
        <f t="shared" si="2"/>
        <v>4</v>
      </c>
      <c r="K35" s="170"/>
      <c r="L35" s="173"/>
      <c r="M35" s="170"/>
      <c r="N35" s="171"/>
      <c r="O35" s="171"/>
      <c r="P35" s="170"/>
      <c r="Q35" s="170"/>
      <c r="R35" s="170"/>
    </row>
    <row r="36" spans="1:40" ht="12.95" customHeight="1" x14ac:dyDescent="0.25">
      <c r="A36" s="141">
        <f t="shared" si="1"/>
        <v>2014</v>
      </c>
      <c r="B36" s="141">
        <f>A36-YEAR(Client!$B$5)</f>
        <v>48</v>
      </c>
      <c r="C36" s="142">
        <v>18000</v>
      </c>
      <c r="D36" s="143" t="str">
        <f t="shared" ref="D36:D55" si="3">IF(A36&lt;2002,C36/6.55954,"")</f>
        <v/>
      </c>
      <c r="E36" s="143">
        <f>IF(INDEX(Outils!$B$2:$B$251,MATCH(A36,Outils!$A$2:$A$251,0),1)&lt;&gt;"",IF(A36&lt;2002,D36,C36)*INDEX(Outils!$B$2:$B$251,MATCH(A36,Outils!$A$2:$A$251,0),1),IF(A36&lt;2002,D36,C36))</f>
        <v>18612</v>
      </c>
      <c r="F36" s="144">
        <f>IFERROR(IF(IF(A36&lt;2002,D36,C36)&lt;INDEX(Outils!$T$2:$U$100,MATCH(A36,Outils!$T$2:$T$100,0),2),"",IF(IF(A36&lt;2002,D36,C36)&lt;(INDEX(Outils!$T$2:$U$100,MATCH(A36,Outils!$T$2:$T$100,0),2)*2),1,IF(IF(A36&lt;2002,D36,C36)&lt;(INDEX(Outils!$T$2:$U$100,MATCH(A36,Outils!$T$2:$T$100,0),2)*3),2,IF(IF(A36&lt;2002,D36,C36)&lt;(INDEX(Outils!$T$2:$U$100,MATCH(A36,Outils!$T$2:$T$100,0),2)*4),3,IF(IF(A36&lt;2002,D36,C36)&gt;(INDEX(Outils!$T$2:$U$100,MATCH(A36,Outils!$T$2:$T$100,0),2)*4),4,0)))))-IF(B36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6" s="144"/>
      <c r="H36" s="145"/>
      <c r="I36" s="144"/>
      <c r="J36" s="144">
        <f t="shared" si="2"/>
        <v>4</v>
      </c>
      <c r="K36" s="170"/>
      <c r="L36" s="173"/>
      <c r="M36" s="170"/>
      <c r="N36" s="171"/>
      <c r="O36" s="171"/>
      <c r="P36" s="170"/>
      <c r="Q36" s="170"/>
      <c r="R36" s="170"/>
    </row>
    <row r="37" spans="1:40" ht="12.95" customHeight="1" x14ac:dyDescent="0.25">
      <c r="A37" s="141">
        <f t="shared" ref="A37:A55" si="4">IF(A36&lt;$A$4+54,A36+1,"")</f>
        <v>2015</v>
      </c>
      <c r="B37" s="141">
        <f>A37-YEAR(Client!$B$5)</f>
        <v>49</v>
      </c>
      <c r="C37" s="142">
        <v>18000</v>
      </c>
      <c r="D37" s="143" t="str">
        <f t="shared" si="3"/>
        <v/>
      </c>
      <c r="E37" s="143">
        <f>IF(INDEX(Outils!$B$2:$B$251,MATCH(A37,Outils!$A$2:$A$251,0),1)&lt;&gt;"",IF(A37&lt;2002,D37,C37)*INDEX(Outils!$B$2:$B$251,MATCH(A37,Outils!$A$2:$A$251,0),1),IF(A37&lt;2002,D37,C37))</f>
        <v>18612</v>
      </c>
      <c r="F37" s="144">
        <f>IFERROR(IF(IF(A37&lt;2002,D37,C37)&lt;INDEX(Outils!$T$2:$U$100,MATCH(A37,Outils!$T$2:$T$100,0),2),"",IF(IF(A37&lt;2002,D37,C37)&lt;(INDEX(Outils!$T$2:$U$100,MATCH(A37,Outils!$T$2:$T$100,0),2)*2),1,IF(IF(A37&lt;2002,D37,C37)&lt;(INDEX(Outils!$T$2:$U$100,MATCH(A37,Outils!$T$2:$T$100,0),2)*3),2,IF(IF(A37&lt;2002,D37,C37)&lt;(INDEX(Outils!$T$2:$U$100,MATCH(A37,Outils!$T$2:$T$100,0),2)*4),3,IF(IF(A37&lt;2002,D37,C37)&gt;(INDEX(Outils!$T$2:$U$100,MATCH(A37,Outils!$T$2:$T$100,0),2)*4),4,0)))))-IF(B37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7" s="144"/>
      <c r="H37" s="142"/>
      <c r="I37" s="144"/>
      <c r="J37" s="144">
        <f t="shared" si="2"/>
        <v>4</v>
      </c>
      <c r="K37" s="170"/>
      <c r="L37" s="173"/>
      <c r="M37" s="170"/>
      <c r="N37" s="171"/>
      <c r="O37" s="172"/>
      <c r="P37" s="170"/>
      <c r="Q37" s="170"/>
      <c r="R37" s="170"/>
    </row>
    <row r="38" spans="1:40" ht="12.95" customHeight="1" x14ac:dyDescent="0.25">
      <c r="A38" s="141">
        <f t="shared" si="4"/>
        <v>2016</v>
      </c>
      <c r="B38" s="141">
        <f>A38-YEAR(Client!$B$5)</f>
        <v>50</v>
      </c>
      <c r="C38" s="142">
        <v>18000</v>
      </c>
      <c r="D38" s="143" t="str">
        <f t="shared" si="3"/>
        <v/>
      </c>
      <c r="E38" s="143">
        <f>IF(INDEX(Outils!$B$2:$B$251,MATCH(A38,Outils!$A$2:$A$251,0),1)&lt;&gt;"",IF(A38&lt;2002,D38,C38)*INDEX(Outils!$B$2:$B$251,MATCH(A38,Outils!$A$2:$A$251,0),1),IF(A38&lt;2002,D38,C38))</f>
        <v>18594</v>
      </c>
      <c r="F38" s="144">
        <f>IFERROR(IF(IF(A38&lt;2002,D38,C38)&lt;INDEX(Outils!$T$2:$U$100,MATCH(A38,Outils!$T$2:$T$100,0),2),"",IF(IF(A38&lt;2002,D38,C38)&lt;(INDEX(Outils!$T$2:$U$100,MATCH(A38,Outils!$T$2:$T$100,0),2)*2),1,IF(IF(A38&lt;2002,D38,C38)&lt;(INDEX(Outils!$T$2:$U$100,MATCH(A38,Outils!$T$2:$T$100,0),2)*3),2,IF(IF(A38&lt;2002,D38,C38)&lt;(INDEX(Outils!$T$2:$U$100,MATCH(A38,Outils!$T$2:$T$100,0),2)*4),3,IF(IF(A38&lt;2002,D38,C38)&gt;(INDEX(Outils!$T$2:$U$100,MATCH(A38,Outils!$T$2:$T$100,0),2)*4),4,0)))))-IF(B38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8" s="144"/>
      <c r="H38" s="142"/>
      <c r="I38" s="144"/>
      <c r="J38" s="144">
        <f t="shared" si="2"/>
        <v>4</v>
      </c>
      <c r="K38" s="170"/>
      <c r="L38" s="173"/>
      <c r="M38" s="170"/>
      <c r="N38" s="171"/>
      <c r="O38" s="174"/>
      <c r="P38" s="170"/>
      <c r="Q38" s="170"/>
      <c r="R38" s="170"/>
    </row>
    <row r="39" spans="1:40" ht="12.95" customHeight="1" x14ac:dyDescent="0.25">
      <c r="A39" s="141">
        <f t="shared" si="4"/>
        <v>2017</v>
      </c>
      <c r="B39" s="141">
        <f>A39-YEAR(Client!$B$5)</f>
        <v>51</v>
      </c>
      <c r="C39" s="142">
        <v>18000</v>
      </c>
      <c r="D39" s="143" t="str">
        <f t="shared" si="3"/>
        <v/>
      </c>
      <c r="E39" s="143">
        <f>IF(INDEX(Outils!$B$2:$B$251,MATCH(A39,Outils!$A$2:$A$251,0),1)&lt;&gt;"",IF(A39&lt;2002,D39,C39)*INDEX(Outils!$B$2:$B$251,MATCH(A39,Outils!$A$2:$A$251,0),1),IF(A39&lt;2002,D39,C39))</f>
        <v>18594</v>
      </c>
      <c r="F39" s="144">
        <f>IFERROR(IF(IF(A39&lt;2002,D39,C39)&lt;INDEX(Outils!$T$2:$U$100,MATCH(A39,Outils!$T$2:$T$100,0),2),"",IF(IF(A39&lt;2002,D39,C39)&lt;(INDEX(Outils!$T$2:$U$100,MATCH(A39,Outils!$T$2:$T$100,0),2)*2),1,IF(IF(A39&lt;2002,D39,C39)&lt;(INDEX(Outils!$T$2:$U$100,MATCH(A39,Outils!$T$2:$T$100,0),2)*3),2,IF(IF(A39&lt;2002,D39,C39)&lt;(INDEX(Outils!$T$2:$U$100,MATCH(A39,Outils!$T$2:$T$100,0),2)*4),3,IF(IF(A39&lt;2002,D39,C39)&gt;(INDEX(Outils!$T$2:$U$100,MATCH(A39,Outils!$T$2:$T$100,0),2)*4),4,0)))))-IF(B39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39" s="144"/>
      <c r="H39" s="142"/>
      <c r="I39" s="144"/>
      <c r="J39" s="144">
        <f t="shared" si="2"/>
        <v>4</v>
      </c>
      <c r="K39" s="170"/>
      <c r="L39" s="173"/>
      <c r="M39" s="170"/>
      <c r="N39" s="170"/>
      <c r="O39" s="174"/>
      <c r="P39" s="170"/>
      <c r="Q39" s="170"/>
      <c r="R39" s="170"/>
      <c r="AK39" s="61"/>
      <c r="AL39" s="61"/>
      <c r="AM39" s="61"/>
      <c r="AN39" s="61"/>
    </row>
    <row r="40" spans="1:40" ht="12.95" customHeight="1" x14ac:dyDescent="0.25">
      <c r="A40" s="141">
        <f t="shared" si="4"/>
        <v>2018</v>
      </c>
      <c r="B40" s="141">
        <f>A40-YEAR(Client!$B$5)</f>
        <v>52</v>
      </c>
      <c r="C40" s="142">
        <v>18000</v>
      </c>
      <c r="D40" s="143" t="str">
        <f t="shared" si="3"/>
        <v/>
      </c>
      <c r="E40" s="143">
        <f>IF(INDEX(Outils!$B$2:$B$251,MATCH(A40,Outils!$A$2:$A$251,0),1)&lt;&gt;"",IF(A40&lt;2002,D40,C40)*INDEX(Outils!$B$2:$B$251,MATCH(A40,Outils!$A$2:$A$251,0),1),IF(A40&lt;2002,D40,C40))</f>
        <v>18450</v>
      </c>
      <c r="F40" s="144">
        <f>IFERROR(IF(IF(A40&lt;2002,D40,C40)&lt;INDEX(Outils!$T$2:$U$100,MATCH(A40,Outils!$T$2:$T$100,0),2),"",IF(IF(A40&lt;2002,D40,C40)&lt;(INDEX(Outils!$T$2:$U$100,MATCH(A40,Outils!$T$2:$T$100,0),2)*2),1,IF(IF(A40&lt;2002,D40,C40)&lt;(INDEX(Outils!$T$2:$U$100,MATCH(A40,Outils!$T$2:$T$100,0),2)*3),2,IF(IF(A40&lt;2002,D40,C40)&lt;(INDEX(Outils!$T$2:$U$100,MATCH(A40,Outils!$T$2:$T$100,0),2)*4),3,IF(IF(A40&lt;2002,D40,C40)&gt;(INDEX(Outils!$T$2:$U$100,MATCH(A40,Outils!$T$2:$T$100,0),2)*4),4,0)))))-IF(B40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0" s="144"/>
      <c r="H40" s="142"/>
      <c r="I40" s="144"/>
      <c r="J40" s="144">
        <f t="shared" si="2"/>
        <v>4</v>
      </c>
      <c r="K40" s="170"/>
      <c r="L40" s="173"/>
      <c r="M40" s="170"/>
      <c r="N40" s="169"/>
      <c r="O40" s="174"/>
      <c r="P40" s="170"/>
      <c r="Q40" s="170"/>
      <c r="R40" s="170"/>
      <c r="AK40" s="61"/>
      <c r="AL40" s="61"/>
      <c r="AM40" s="61"/>
      <c r="AN40" s="61"/>
    </row>
    <row r="41" spans="1:40" ht="12.95" customHeight="1" x14ac:dyDescent="0.25">
      <c r="A41" s="141">
        <f t="shared" si="4"/>
        <v>2019</v>
      </c>
      <c r="B41" s="141">
        <f>A41-YEAR(Client!$B$5)</f>
        <v>53</v>
      </c>
      <c r="C41" s="142">
        <v>18000</v>
      </c>
      <c r="D41" s="143" t="str">
        <f t="shared" si="3"/>
        <v/>
      </c>
      <c r="E41" s="143">
        <f>IF(INDEX(Outils!$B$2:$B$251,MATCH(A41,Outils!$A$2:$A$251,0),1)&lt;&gt;"",IF(A41&lt;2002,D41,C41)*INDEX(Outils!$B$2:$B$251,MATCH(A41,Outils!$A$2:$A$251,0),1),IF(A41&lt;2002,D41,C41))</f>
        <v>18180</v>
      </c>
      <c r="F41" s="144">
        <f>IFERROR(IF(IF(A41&lt;2002,D41,C41)&lt;INDEX(Outils!$T$2:$U$100,MATCH(A41,Outils!$T$2:$T$100,0),2),"",IF(IF(A41&lt;2002,D41,C41)&lt;(INDEX(Outils!$T$2:$U$100,MATCH(A41,Outils!$T$2:$T$100,0),2)*2),1,IF(IF(A41&lt;2002,D41,C41)&lt;(INDEX(Outils!$T$2:$U$100,MATCH(A41,Outils!$T$2:$T$100,0),2)*3),2,IF(IF(A41&lt;2002,D41,C41)&lt;(INDEX(Outils!$T$2:$U$100,MATCH(A41,Outils!$T$2:$T$100,0),2)*4),3,IF(IF(A41&lt;2002,D41,C41)&gt;(INDEX(Outils!$T$2:$U$100,MATCH(A41,Outils!$T$2:$T$100,0),2)*4),4,0)))))-IF(B41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1" s="144"/>
      <c r="H41" s="142"/>
      <c r="I41" s="144"/>
      <c r="J41" s="144">
        <f t="shared" si="2"/>
        <v>4</v>
      </c>
      <c r="K41" s="170"/>
      <c r="L41" s="173"/>
      <c r="M41" s="170"/>
      <c r="N41" s="169"/>
      <c r="O41" s="174"/>
      <c r="P41" s="170"/>
      <c r="Q41" s="170"/>
      <c r="R41" s="170"/>
      <c r="AK41" s="61"/>
      <c r="AL41" s="61"/>
      <c r="AM41" s="61"/>
      <c r="AN41" s="61"/>
    </row>
    <row r="42" spans="1:40" ht="12.95" customHeight="1" x14ac:dyDescent="0.25">
      <c r="A42" s="141">
        <f t="shared" si="4"/>
        <v>2020</v>
      </c>
      <c r="B42" s="141">
        <f>A42-YEAR(Client!$B$5)</f>
        <v>54</v>
      </c>
      <c r="C42" s="142">
        <v>18000</v>
      </c>
      <c r="D42" s="143" t="str">
        <f t="shared" si="3"/>
        <v/>
      </c>
      <c r="E42" s="143">
        <f>IF(INDEX(Outils!$B$2:$B$251,MATCH(A42,Outils!$A$2:$A$251,0),1)&lt;&gt;"",IF(A42&lt;2002,D42,C42)*INDEX(Outils!$B$2:$B$251,MATCH(A42,Outils!$A$2:$A$251,0),1),IF(A42&lt;2002,D42,C42))</f>
        <v>18000</v>
      </c>
      <c r="F42" s="144">
        <f>IFERROR(IF(IF(A42&lt;2002,D42,C42)&lt;INDEX(Outils!$T$2:$U$100,MATCH(A42,Outils!$T$2:$T$100,0),2),"",IF(IF(A42&lt;2002,D42,C42)&lt;(INDEX(Outils!$T$2:$U$100,MATCH(A42,Outils!$T$2:$T$100,0),2)*2),1,IF(IF(A42&lt;2002,D42,C42)&lt;(INDEX(Outils!$T$2:$U$100,MATCH(A42,Outils!$T$2:$T$100,0),2)*3),2,IF(IF(A42&lt;2002,D42,C42)&lt;(INDEX(Outils!$T$2:$U$100,MATCH(A42,Outils!$T$2:$T$100,0),2)*4),3,IF(IF(A42&lt;2002,D42,C42)&gt;(INDEX(Outils!$T$2:$U$100,MATCH(A42,Outils!$T$2:$T$100,0),2)*4),4,0)))))-IF(B42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2" s="144"/>
      <c r="H42" s="142"/>
      <c r="I42" s="144"/>
      <c r="J42" s="144">
        <f t="shared" si="2"/>
        <v>4</v>
      </c>
      <c r="K42" s="170"/>
      <c r="L42" s="173"/>
      <c r="M42" s="170"/>
      <c r="N42" s="169"/>
      <c r="O42" s="174"/>
      <c r="P42" s="170"/>
      <c r="Q42" s="170"/>
      <c r="R42" s="170"/>
      <c r="AK42" s="61"/>
      <c r="AL42" s="61"/>
      <c r="AM42" s="61"/>
      <c r="AN42" s="61"/>
    </row>
    <row r="43" spans="1:40" ht="12.95" customHeight="1" x14ac:dyDescent="0.25">
      <c r="A43" s="141">
        <f t="shared" si="4"/>
        <v>2021</v>
      </c>
      <c r="B43" s="141">
        <f>A43-YEAR(Client!$B$5)</f>
        <v>55</v>
      </c>
      <c r="C43" s="142">
        <v>18000</v>
      </c>
      <c r="D43" s="143" t="str">
        <f t="shared" si="3"/>
        <v/>
      </c>
      <c r="E43" s="143">
        <f>IF(INDEX(Outils!$B$2:$B$251,MATCH(A43,Outils!$A$2:$A$251,0),1)&lt;&gt;"",IF(A43&lt;2002,D43,C43)*INDEX(Outils!$B$2:$B$251,MATCH(A43,Outils!$A$2:$A$251,0),1),IF(A43&lt;2002,D43,C43))</f>
        <v>18000</v>
      </c>
      <c r="F43" s="144">
        <f>IFERROR(IF(IF(A43&lt;2002,D43,C43)&lt;INDEX(Outils!$T$2:$U$100,MATCH(A43,Outils!$T$2:$T$100,0),2),"",IF(IF(A43&lt;2002,D43,C43)&lt;(INDEX(Outils!$T$2:$U$100,MATCH(A43,Outils!$T$2:$T$100,0),2)*2),1,IF(IF(A43&lt;2002,D43,C43)&lt;(INDEX(Outils!$T$2:$U$100,MATCH(A43,Outils!$T$2:$T$100,0),2)*3),2,IF(IF(A43&lt;2002,D43,C43)&lt;(INDEX(Outils!$T$2:$U$100,MATCH(A43,Outils!$T$2:$T$100,0),2)*4),3,IF(IF(A43&lt;2002,D43,C43)&gt;(INDEX(Outils!$T$2:$U$100,MATCH(A43,Outils!$T$2:$T$100,0),2)*4),4,0)))))-IF(B43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3" s="144"/>
      <c r="H43" s="142"/>
      <c r="I43" s="144"/>
      <c r="J43" s="144">
        <f t="shared" si="2"/>
        <v>4</v>
      </c>
      <c r="K43" s="170"/>
      <c r="L43" s="173"/>
      <c r="M43" s="170"/>
      <c r="N43" s="169"/>
      <c r="O43" s="171">
        <v>4300</v>
      </c>
      <c r="P43" s="170"/>
      <c r="Q43" s="170"/>
      <c r="R43" s="170"/>
      <c r="AK43" s="61"/>
      <c r="AL43" s="61"/>
      <c r="AM43" s="61"/>
      <c r="AN43" s="61"/>
    </row>
    <row r="44" spans="1:40" ht="12.95" customHeight="1" x14ac:dyDescent="0.25">
      <c r="A44" s="141">
        <f t="shared" si="4"/>
        <v>2022</v>
      </c>
      <c r="B44" s="141">
        <f>A44-YEAR(Client!$B$5)</f>
        <v>56</v>
      </c>
      <c r="C44" s="142">
        <v>18000</v>
      </c>
      <c r="D44" s="143" t="str">
        <f t="shared" si="3"/>
        <v/>
      </c>
      <c r="E44" s="143">
        <f>IF(INDEX(Outils!$B$2:$B$251,MATCH(A44,Outils!$A$2:$A$251,0),1)&lt;&gt;"",IF(A44&lt;2002,D44,C44)*INDEX(Outils!$B$2:$B$251,MATCH(A44,Outils!$A$2:$A$251,0),1),IF(A44&lt;2002,D44,C44))</f>
        <v>18000</v>
      </c>
      <c r="F44" s="144">
        <f>IFERROR(IF(IF(A44&lt;2002,D44,C44)&lt;INDEX(Outils!$T$2:$U$100,MATCH(A44,Outils!$T$2:$T$100,0),2),"",IF(IF(A44&lt;2002,D44,C44)&lt;(INDEX(Outils!$T$2:$U$100,MATCH(A44,Outils!$T$2:$T$100,0),2)*2),1,IF(IF(A44&lt;2002,D44,C44)&lt;(INDEX(Outils!$T$2:$U$100,MATCH(A44,Outils!$T$2:$T$100,0),2)*3),2,IF(IF(A44&lt;2002,D44,C44)&lt;(INDEX(Outils!$T$2:$U$100,MATCH(A44,Outils!$T$2:$T$100,0),2)*4),3,IF(IF(A44&lt;2002,D44,C44)&gt;(INDEX(Outils!$T$2:$U$100,MATCH(A44,Outils!$T$2:$T$100,0),2)*4),4,0)))))-IF(B44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4" s="144"/>
      <c r="H44" s="142"/>
      <c r="I44" s="144"/>
      <c r="J44" s="144">
        <f t="shared" si="2"/>
        <v>4</v>
      </c>
      <c r="K44" s="170"/>
      <c r="L44" s="173"/>
      <c r="M44" s="170"/>
      <c r="N44" s="169"/>
      <c r="O44" s="41">
        <f t="shared" ref="O44:O54" si="5">IF(C44&lt;41136,C44*0.062,41136*0.062+(C44-41136)*0.1663)/17.3982</f>
        <v>64.144566679311652</v>
      </c>
      <c r="P44" s="170"/>
      <c r="Q44" s="170"/>
      <c r="R44" s="170"/>
      <c r="Y44" s="62" t="s">
        <v>90</v>
      </c>
      <c r="Z44" s="63"/>
      <c r="AA44" s="63"/>
      <c r="AB44" s="64" t="e">
        <f>'Salarié et assimilés'!S9-#REF!</f>
        <v>#REF!</v>
      </c>
      <c r="AC44" s="64" t="e">
        <f>'Salarié et assimilés'!T9-#REF!</f>
        <v>#REF!</v>
      </c>
      <c r="AD44" s="64" t="e">
        <f>'Salarié et assimilés'!U9-#REF!</f>
        <v>#REF!</v>
      </c>
      <c r="AE44" s="64" t="e">
        <f>'Salarié et assimilés'!V9-#REF!</f>
        <v>#REF!</v>
      </c>
      <c r="AF44" s="64" t="e">
        <f>'Salarié et assimilés'!W9-#REF!</f>
        <v>#REF!</v>
      </c>
      <c r="AG44" s="65"/>
      <c r="AK44" s="61"/>
      <c r="AL44" s="61"/>
      <c r="AM44" s="61"/>
      <c r="AN44" s="61"/>
    </row>
    <row r="45" spans="1:40" ht="12.95" customHeight="1" x14ac:dyDescent="0.25">
      <c r="A45" s="141">
        <f t="shared" si="4"/>
        <v>2023</v>
      </c>
      <c r="B45" s="141">
        <f>A45-YEAR(Client!$B$5)</f>
        <v>57</v>
      </c>
      <c r="C45" s="142">
        <v>18000</v>
      </c>
      <c r="D45" s="143" t="str">
        <f t="shared" si="3"/>
        <v/>
      </c>
      <c r="E45" s="143">
        <f>IF(INDEX(Outils!$B$2:$B$251,MATCH(A45,Outils!$A$2:$A$251,0),1)&lt;&gt;"",IF(A45&lt;2002,D45,C45)*INDEX(Outils!$B$2:$B$251,MATCH(A45,Outils!$A$2:$A$251,0),1),IF(A45&lt;2002,D45,C45))</f>
        <v>18000</v>
      </c>
      <c r="F45" s="144">
        <f>IFERROR(IF(IF(A45&lt;2002,D45,C45)&lt;INDEX(Outils!$T$2:$U$100,MATCH(A45,Outils!$T$2:$T$100,0),2),"",IF(IF(A45&lt;2002,D45,C45)&lt;(INDEX(Outils!$T$2:$U$100,MATCH(A45,Outils!$T$2:$T$100,0),2)*2),1,IF(IF(A45&lt;2002,D45,C45)&lt;(INDEX(Outils!$T$2:$U$100,MATCH(A45,Outils!$T$2:$T$100,0),2)*3),2,IF(IF(A45&lt;2002,D45,C45)&lt;(INDEX(Outils!$T$2:$U$100,MATCH(A45,Outils!$T$2:$T$100,0),2)*4),3,IF(IF(A45&lt;2002,D45,C45)&gt;(INDEX(Outils!$T$2:$U$100,MATCH(A45,Outils!$T$2:$T$100,0),2)*4),4,0)))))-IF(B45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5" s="144"/>
      <c r="H45" s="142"/>
      <c r="I45" s="144"/>
      <c r="J45" s="144">
        <f t="shared" si="2"/>
        <v>4</v>
      </c>
      <c r="K45" s="170"/>
      <c r="L45" s="173"/>
      <c r="M45" s="170"/>
      <c r="N45" s="169"/>
      <c r="O45" s="41">
        <f t="shared" si="5"/>
        <v>64.144566679311652</v>
      </c>
      <c r="P45" s="170"/>
      <c r="Q45" s="170"/>
      <c r="R45" s="170"/>
      <c r="Y45" s="61">
        <v>2022</v>
      </c>
      <c r="AB45" s="66" t="e">
        <f>AB44/12</f>
        <v>#REF!</v>
      </c>
      <c r="AC45" s="66" t="e">
        <f>AC44/12</f>
        <v>#REF!</v>
      </c>
      <c r="AD45" s="66" t="e">
        <f>AD44/12</f>
        <v>#REF!</v>
      </c>
      <c r="AE45" s="66" t="e">
        <f>AE44/12</f>
        <v>#REF!</v>
      </c>
      <c r="AF45" s="66" t="e">
        <f>AF44/12</f>
        <v>#REF!</v>
      </c>
      <c r="AK45" s="61"/>
      <c r="AL45" s="61"/>
      <c r="AM45" s="61"/>
      <c r="AN45" s="61"/>
    </row>
    <row r="46" spans="1:40" ht="12.95" customHeight="1" x14ac:dyDescent="0.25">
      <c r="A46" s="141">
        <f t="shared" si="4"/>
        <v>2024</v>
      </c>
      <c r="B46" s="141">
        <f>A46-YEAR(Client!$B$5)</f>
        <v>58</v>
      </c>
      <c r="C46" s="142">
        <v>18000</v>
      </c>
      <c r="D46" s="143" t="str">
        <f t="shared" si="3"/>
        <v/>
      </c>
      <c r="E46" s="143">
        <f>IF(INDEX(Outils!$B$2:$B$251,MATCH(A46,Outils!$A$2:$A$251,0),1)&lt;&gt;"",IF(A46&lt;2002,D46,C46)*INDEX(Outils!$B$2:$B$251,MATCH(A46,Outils!$A$2:$A$251,0),1),IF(A46&lt;2002,D46,C46))</f>
        <v>18000</v>
      </c>
      <c r="F46" s="144">
        <f>IFERROR(IF(IF(A46&lt;2002,D46,C46)&lt;INDEX(Outils!$T$2:$U$100,MATCH(A46,Outils!$T$2:$T$100,0),2),"",IF(IF(A46&lt;2002,D46,C46)&lt;(INDEX(Outils!$T$2:$U$100,MATCH(A46,Outils!$T$2:$T$100,0),2)*2),1,IF(IF(A46&lt;2002,D46,C46)&lt;(INDEX(Outils!$T$2:$U$100,MATCH(A46,Outils!$T$2:$T$100,0),2)*3),2,IF(IF(A46&lt;2002,D46,C46)&lt;(INDEX(Outils!$T$2:$U$100,MATCH(A46,Outils!$T$2:$T$100,0),2)*4),3,IF(IF(A46&lt;2002,D46,C46)&gt;(INDEX(Outils!$T$2:$U$100,MATCH(A46,Outils!$T$2:$T$100,0),2)*4),4,0)))))-IF(B46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6" s="144"/>
      <c r="H46" s="142"/>
      <c r="I46" s="144"/>
      <c r="J46" s="144">
        <f t="shared" si="2"/>
        <v>4</v>
      </c>
      <c r="K46" s="170"/>
      <c r="L46" s="173"/>
      <c r="M46" s="170"/>
      <c r="N46" s="169"/>
      <c r="O46" s="41">
        <f t="shared" si="5"/>
        <v>64.144566679311652</v>
      </c>
      <c r="P46" s="170"/>
      <c r="Q46" s="170"/>
      <c r="R46" s="170"/>
      <c r="AK46" s="61"/>
      <c r="AL46" s="61"/>
      <c r="AM46" s="61"/>
      <c r="AN46" s="61"/>
    </row>
    <row r="47" spans="1:40" ht="12.95" customHeight="1" x14ac:dyDescent="0.25">
      <c r="A47" s="141">
        <f t="shared" si="4"/>
        <v>2025</v>
      </c>
      <c r="B47" s="141">
        <f>A47-YEAR(Client!$B$5)</f>
        <v>59</v>
      </c>
      <c r="C47" s="142">
        <v>18000</v>
      </c>
      <c r="D47" s="143" t="str">
        <f t="shared" si="3"/>
        <v/>
      </c>
      <c r="E47" s="143">
        <f>IF(INDEX(Outils!$B$2:$B$251,MATCH(A47,Outils!$A$2:$A$251,0),1)&lt;&gt;"",IF(A47&lt;2002,D47,C47)*INDEX(Outils!$B$2:$B$251,MATCH(A47,Outils!$A$2:$A$251,0),1),IF(A47&lt;2002,D47,C47))</f>
        <v>18000</v>
      </c>
      <c r="F47" s="144">
        <f>IFERROR(IF(IF(A47&lt;2002,D47,C47)&lt;INDEX(Outils!$T$2:$U$100,MATCH(A47,Outils!$T$2:$T$100,0),2),"",IF(IF(A47&lt;2002,D47,C47)&lt;(INDEX(Outils!$T$2:$U$100,MATCH(A47,Outils!$T$2:$T$100,0),2)*2),1,IF(IF(A47&lt;2002,D47,C47)&lt;(INDEX(Outils!$T$2:$U$100,MATCH(A47,Outils!$T$2:$T$100,0),2)*3),2,IF(IF(A47&lt;2002,D47,C47)&lt;(INDEX(Outils!$T$2:$U$100,MATCH(A47,Outils!$T$2:$T$100,0),2)*4),3,IF(IF(A47&lt;2002,D47,C47)&gt;(INDEX(Outils!$T$2:$U$100,MATCH(A47,Outils!$T$2:$T$100,0),2)*4),4,0)))))-IF(B47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7" s="144"/>
      <c r="H47" s="142"/>
      <c r="I47" s="144"/>
      <c r="J47" s="144">
        <f t="shared" si="2"/>
        <v>4</v>
      </c>
      <c r="K47" s="170"/>
      <c r="L47" s="173"/>
      <c r="M47" s="170"/>
      <c r="N47" s="169"/>
      <c r="O47" s="41">
        <f t="shared" si="5"/>
        <v>64.144566679311652</v>
      </c>
      <c r="P47" s="170"/>
      <c r="Q47" s="170"/>
      <c r="R47" s="170"/>
      <c r="AK47" s="61"/>
      <c r="AL47" s="61"/>
      <c r="AM47" s="61"/>
      <c r="AN47" s="61"/>
    </row>
    <row r="48" spans="1:40" ht="12.95" customHeight="1" x14ac:dyDescent="0.25">
      <c r="A48" s="141">
        <f t="shared" si="4"/>
        <v>2026</v>
      </c>
      <c r="B48" s="141">
        <f>A48-YEAR(Client!$B$5)</f>
        <v>60</v>
      </c>
      <c r="C48" s="142">
        <v>18000</v>
      </c>
      <c r="D48" s="143" t="str">
        <f t="shared" si="3"/>
        <v/>
      </c>
      <c r="E48" s="143">
        <f>IF(INDEX(Outils!$B$2:$B$251,MATCH(A48,Outils!$A$2:$A$251,0),1)&lt;&gt;"",IF(A48&lt;2002,D48,C48)*INDEX(Outils!$B$2:$B$251,MATCH(A48,Outils!$A$2:$A$251,0),1),IF(A48&lt;2002,D48,C48))</f>
        <v>18000</v>
      </c>
      <c r="F48" s="144">
        <f>IFERROR(IF(IF(A48&lt;2002,D48,C48)&lt;INDEX(Outils!$T$2:$U$100,MATCH(A48,Outils!$T$2:$T$100,0),2),"",IF(IF(A48&lt;2002,D48,C48)&lt;(INDEX(Outils!$T$2:$U$100,MATCH(A48,Outils!$T$2:$T$100,0),2)*2),1,IF(IF(A48&lt;2002,D48,C48)&lt;(INDEX(Outils!$T$2:$U$100,MATCH(A48,Outils!$T$2:$T$100,0),2)*3),2,IF(IF(A48&lt;2002,D48,C48)&lt;(INDEX(Outils!$T$2:$U$100,MATCH(A48,Outils!$T$2:$T$100,0),2)*4),3,IF(IF(A48&lt;2002,D48,C48)&gt;(INDEX(Outils!$T$2:$U$100,MATCH(A48,Outils!$T$2:$T$100,0),2)*4),4,0)))))-IF(B48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8" s="144"/>
      <c r="H48" s="142"/>
      <c r="I48" s="144"/>
      <c r="J48" s="144">
        <f t="shared" si="2"/>
        <v>4</v>
      </c>
      <c r="K48" s="170"/>
      <c r="L48" s="173"/>
      <c r="M48" s="170"/>
      <c r="N48" s="169"/>
      <c r="O48" s="41">
        <f t="shared" si="5"/>
        <v>64.144566679311652</v>
      </c>
      <c r="P48" s="170"/>
      <c r="Q48" s="170"/>
      <c r="R48" s="170"/>
    </row>
    <row r="49" spans="1:31" ht="12.95" customHeight="1" x14ac:dyDescent="0.25">
      <c r="A49" s="141">
        <f t="shared" si="4"/>
        <v>2027</v>
      </c>
      <c r="B49" s="141">
        <f>A49-YEAR(Client!$B$5)</f>
        <v>61</v>
      </c>
      <c r="C49" s="142">
        <v>18000</v>
      </c>
      <c r="D49" s="143" t="str">
        <f t="shared" si="3"/>
        <v/>
      </c>
      <c r="E49" s="143">
        <f>IF(INDEX(Outils!$B$2:$B$251,MATCH(A49,Outils!$A$2:$A$251,0),1)&lt;&gt;"",IF(A49&lt;2002,D49,C49)*INDEX(Outils!$B$2:$B$251,MATCH(A49,Outils!$A$2:$A$251,0),1),IF(A49&lt;2002,D49,C49))</f>
        <v>18000</v>
      </c>
      <c r="F49" s="144">
        <f>IFERROR(IF(IF(A49&lt;2002,D49,C49)&lt;INDEX(Outils!$T$2:$U$100,MATCH(A49,Outils!$T$2:$T$100,0),2),"",IF(IF(A49&lt;2002,D49,C49)&lt;(INDEX(Outils!$T$2:$U$100,MATCH(A49,Outils!$T$2:$T$100,0),2)*2),1,IF(IF(A49&lt;2002,D49,C49)&lt;(INDEX(Outils!$T$2:$U$100,MATCH(A49,Outils!$T$2:$T$100,0),2)*3),2,IF(IF(A49&lt;2002,D49,C49)&lt;(INDEX(Outils!$T$2:$U$100,MATCH(A49,Outils!$T$2:$T$100,0),2)*4),3,IF(IF(A49&lt;2002,D49,C49)&gt;(INDEX(Outils!$T$2:$U$100,MATCH(A49,Outils!$T$2:$T$100,0),2)*4),4,0)))))-IF(B49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49" s="144"/>
      <c r="H49" s="142"/>
      <c r="I49" s="144"/>
      <c r="J49" s="144">
        <f t="shared" si="2"/>
        <v>4</v>
      </c>
      <c r="K49" s="170"/>
      <c r="L49" s="173"/>
      <c r="M49" s="170"/>
      <c r="N49" s="169"/>
      <c r="O49" s="41">
        <f t="shared" si="5"/>
        <v>64.144566679311652</v>
      </c>
      <c r="P49" s="169"/>
      <c r="Q49" s="170"/>
      <c r="R49" s="170"/>
    </row>
    <row r="50" spans="1:31" ht="12.95" customHeight="1" x14ac:dyDescent="0.25">
      <c r="A50" s="141">
        <f t="shared" si="4"/>
        <v>2028</v>
      </c>
      <c r="B50" s="141">
        <f>A50-YEAR(Client!$B$5)</f>
        <v>62</v>
      </c>
      <c r="C50" s="142">
        <v>18000</v>
      </c>
      <c r="D50" s="143" t="str">
        <f t="shared" si="3"/>
        <v/>
      </c>
      <c r="E50" s="143">
        <f>IF(INDEX(Outils!$B$2:$B$251,MATCH(A50,Outils!$A$2:$A$251,0),1)&lt;&gt;"",IF(A50&lt;2002,D50,C50)*INDEX(Outils!$B$2:$B$251,MATCH(A50,Outils!$A$2:$A$251,0),1),IF(A50&lt;2002,D50,C50))</f>
        <v>18000</v>
      </c>
      <c r="F50" s="144">
        <f>IFERROR(IF(IF(A50&lt;2002,D50,C50)&lt;INDEX(Outils!$T$2:$U$100,MATCH(A50,Outils!$T$2:$T$100,0),2),"",IF(IF(A50&lt;2002,D50,C50)&lt;(INDEX(Outils!$T$2:$U$100,MATCH(A50,Outils!$T$2:$T$100,0),2)*2),1,IF(IF(A50&lt;2002,D50,C50)&lt;(INDEX(Outils!$T$2:$U$100,MATCH(A50,Outils!$T$2:$T$100,0),2)*3),2,IF(IF(A50&lt;2002,D50,C50)&lt;(INDEX(Outils!$T$2:$U$100,MATCH(A50,Outils!$T$2:$T$100,0),2)*4),3,IF(IF(A50&lt;2002,D50,C50)&gt;(INDEX(Outils!$T$2:$U$100,MATCH(A50,Outils!$T$2:$T$100,0),2)*4),4,0)))))-IF(B50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2</v>
      </c>
      <c r="G50" s="144"/>
      <c r="H50" s="142"/>
      <c r="I50" s="144"/>
      <c r="J50" s="144">
        <f t="shared" si="2"/>
        <v>2</v>
      </c>
      <c r="K50" s="170"/>
      <c r="L50" s="173"/>
      <c r="M50" s="170"/>
      <c r="N50" s="169"/>
      <c r="O50" s="41">
        <f t="shared" si="5"/>
        <v>64.144566679311652</v>
      </c>
      <c r="P50" s="169"/>
      <c r="Q50" s="170"/>
      <c r="R50" s="170"/>
    </row>
    <row r="51" spans="1:31" ht="12.95" customHeight="1" x14ac:dyDescent="0.25">
      <c r="A51" s="141">
        <f t="shared" si="4"/>
        <v>2029</v>
      </c>
      <c r="B51" s="141">
        <f>A51-YEAR(Client!$B$5)</f>
        <v>63</v>
      </c>
      <c r="C51" s="142">
        <v>18000</v>
      </c>
      <c r="D51" s="143" t="str">
        <f t="shared" si="3"/>
        <v/>
      </c>
      <c r="E51" s="143">
        <f>IF(INDEX(Outils!$B$2:$B$251,MATCH(A51,Outils!$A$2:$A$251,0),1)&lt;&gt;"",IF(A51&lt;2002,D51,C51)*INDEX(Outils!$B$2:$B$251,MATCH(A51,Outils!$A$2:$A$251,0),1),IF(A51&lt;2002,D51,C51))</f>
        <v>18000</v>
      </c>
      <c r="F51" s="144">
        <f>IFERROR(IF(IF(A51&lt;2002,D51,C51)&lt;INDEX(Outils!$T$2:$U$100,MATCH(A51,Outils!$T$2:$T$100,0),2),"",IF(IF(A51&lt;2002,D51,C51)&lt;(INDEX(Outils!$T$2:$U$100,MATCH(A51,Outils!$T$2:$T$100,0),2)*2),1,IF(IF(A51&lt;2002,D51,C51)&lt;(INDEX(Outils!$T$2:$U$100,MATCH(A51,Outils!$T$2:$T$100,0),2)*3),2,IF(IF(A51&lt;2002,D51,C51)&lt;(INDEX(Outils!$T$2:$U$100,MATCH(A51,Outils!$T$2:$T$100,0),2)*4),3,IF(IF(A51&lt;2002,D51,C51)&gt;(INDEX(Outils!$T$2:$U$100,MATCH(A51,Outils!$T$2:$T$100,0),2)*4),4,0)))))-IF(B51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51" s="144"/>
      <c r="H51" s="142"/>
      <c r="I51" s="144"/>
      <c r="J51" s="144">
        <f t="shared" si="2"/>
        <v>4</v>
      </c>
      <c r="K51" s="170"/>
      <c r="L51" s="173"/>
      <c r="M51" s="170"/>
      <c r="N51" s="169"/>
      <c r="O51" s="41">
        <f t="shared" si="5"/>
        <v>64.144566679311652</v>
      </c>
      <c r="P51" s="169"/>
      <c r="Q51" s="170"/>
      <c r="R51" s="170"/>
      <c r="Y51" s="68"/>
      <c r="Z51" s="43"/>
      <c r="AA51" s="43"/>
      <c r="AB51" s="43"/>
      <c r="AC51" s="43"/>
    </row>
    <row r="52" spans="1:31" ht="12.95" customHeight="1" x14ac:dyDescent="0.25">
      <c r="A52" s="141">
        <f t="shared" si="4"/>
        <v>2030</v>
      </c>
      <c r="B52" s="141">
        <f>A52-YEAR(Client!$B$5)</f>
        <v>64</v>
      </c>
      <c r="C52" s="142">
        <v>18000</v>
      </c>
      <c r="D52" s="143" t="str">
        <f t="shared" si="3"/>
        <v/>
      </c>
      <c r="E52" s="143">
        <f>IF(INDEX(Outils!$B$2:$B$251,MATCH(A52,Outils!$A$2:$A$251,0),1)&lt;&gt;"",IF(A52&lt;2002,D52,C52)*INDEX(Outils!$B$2:$B$251,MATCH(A52,Outils!$A$2:$A$251,0),1),IF(A52&lt;2002,D52,C52))</f>
        <v>18000</v>
      </c>
      <c r="F52" s="144">
        <f>IFERROR(IF(IF(A52&lt;2002,D52,C52)&lt;INDEX(Outils!$T$2:$U$100,MATCH(A52,Outils!$T$2:$T$100,0),2),"",IF(IF(A52&lt;2002,D52,C52)&lt;(INDEX(Outils!$T$2:$U$100,MATCH(A52,Outils!$T$2:$T$100,0),2)*2),1,IF(IF(A52&lt;2002,D52,C52)&lt;(INDEX(Outils!$T$2:$U$100,MATCH(A52,Outils!$T$2:$T$100,0),2)*3),2,IF(IF(A52&lt;2002,D52,C52)&lt;(INDEX(Outils!$T$2:$U$100,MATCH(A52,Outils!$T$2:$T$100,0),2)*4),3,IF(IF(A52&lt;2002,D52,C52)&gt;(INDEX(Outils!$T$2:$U$100,MATCH(A52,Outils!$T$2:$T$100,0),2)*4),4,0)))))-IF(B52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52" s="144"/>
      <c r="H52" s="142"/>
      <c r="I52" s="144"/>
      <c r="J52" s="144">
        <f t="shared" si="2"/>
        <v>4</v>
      </c>
      <c r="K52" s="170"/>
      <c r="L52" s="173"/>
      <c r="M52" s="170"/>
      <c r="N52" s="169"/>
      <c r="O52" s="41">
        <f t="shared" si="5"/>
        <v>64.144566679311652</v>
      </c>
      <c r="P52" s="175"/>
      <c r="Q52" s="170"/>
      <c r="R52" s="170"/>
      <c r="Y52" s="69" t="s">
        <v>58</v>
      </c>
      <c r="Z52" s="46">
        <f>SUM('Salarié et assimilés'!D20:D21)</f>
        <v>17203.292824843949</v>
      </c>
      <c r="AA52" s="46">
        <f>SUM('Salarié et assimilés'!E20:E21)</f>
        <v>1433.6077354036624</v>
      </c>
      <c r="AB52" s="46">
        <f>SUM('Salarié et assimilés'!F20:F21)</f>
        <v>15571.824889534711</v>
      </c>
      <c r="AC52" s="46">
        <f>SUM('Salarié et assimilés'!G20:G21)</f>
        <v>1297.6520741278925</v>
      </c>
    </row>
    <row r="53" spans="1:31" ht="12.95" customHeight="1" x14ac:dyDescent="0.25">
      <c r="A53" s="141">
        <f t="shared" si="4"/>
        <v>2031</v>
      </c>
      <c r="B53" s="141">
        <f>A53-YEAR(Client!$B$5)</f>
        <v>65</v>
      </c>
      <c r="C53" s="142">
        <v>18000</v>
      </c>
      <c r="D53" s="143" t="str">
        <f t="shared" si="3"/>
        <v/>
      </c>
      <c r="E53" s="143">
        <f>IF(INDEX(Outils!$B$2:$B$251,MATCH(A53,Outils!$A$2:$A$251,0),1)&lt;&gt;"",IF(A53&lt;2002,D53,C53)*INDEX(Outils!$B$2:$B$251,MATCH(A53,Outils!$A$2:$A$251,0),1),IF(A53&lt;2002,D53,C53))</f>
        <v>18000</v>
      </c>
      <c r="F53" s="144">
        <f>IFERROR(IF(IF(A53&lt;2002,D53,C53)&lt;INDEX(Outils!$T$2:$U$100,MATCH(A53,Outils!$T$2:$T$100,0),2),"",IF(IF(A53&lt;2002,D53,C53)&lt;(INDEX(Outils!$T$2:$U$100,MATCH(A53,Outils!$T$2:$T$100,0),2)*2),1,IF(IF(A53&lt;2002,D53,C53)&lt;(INDEX(Outils!$T$2:$U$100,MATCH(A53,Outils!$T$2:$T$100,0),2)*3),2,IF(IF(A53&lt;2002,D53,C53)&lt;(INDEX(Outils!$T$2:$U$100,MATCH(A53,Outils!$T$2:$T$100,0),2)*4),3,IF(IF(A53&lt;2002,D53,C53)&gt;(INDEX(Outils!$T$2:$U$100,MATCH(A53,Outils!$T$2:$T$100,0),2)*4),4,0)))))-IF(B53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53" s="144"/>
      <c r="H53" s="142"/>
      <c r="I53" s="144"/>
      <c r="J53" s="144">
        <f t="shared" si="2"/>
        <v>4</v>
      </c>
      <c r="K53" s="170"/>
      <c r="L53" s="173"/>
      <c r="M53" s="170"/>
      <c r="N53" s="169"/>
      <c r="O53" s="41">
        <f t="shared" si="5"/>
        <v>64.144566679311652</v>
      </c>
      <c r="P53" s="175"/>
      <c r="Q53" s="170"/>
      <c r="R53" s="170"/>
    </row>
    <row r="54" spans="1:31" ht="12.95" customHeight="1" x14ac:dyDescent="0.25">
      <c r="A54" s="141">
        <f t="shared" si="4"/>
        <v>2032</v>
      </c>
      <c r="B54" s="141">
        <f>A54-YEAR(Client!$B$5)</f>
        <v>66</v>
      </c>
      <c r="C54" s="142">
        <v>18000</v>
      </c>
      <c r="D54" s="143" t="str">
        <f t="shared" si="3"/>
        <v/>
      </c>
      <c r="E54" s="143">
        <f>IF(INDEX(Outils!$B$2:$B$251,MATCH(A54,Outils!$A$2:$A$251,0),1)&lt;&gt;"",IF(A54&lt;2002,D54,C54)*INDEX(Outils!$B$2:$B$251,MATCH(A54,Outils!$A$2:$A$251,0),1),IF(A54&lt;2002,D54,C54))</f>
        <v>18000</v>
      </c>
      <c r="F54" s="144">
        <f>IFERROR(IF(IF(A54&lt;2002,D54,C54)&lt;INDEX(Outils!$T$2:$U$100,MATCH(A54,Outils!$T$2:$T$100,0),2),"",IF(IF(A54&lt;2002,D54,C54)&lt;(INDEX(Outils!$T$2:$U$100,MATCH(A54,Outils!$T$2:$T$100,0),2)*2),1,IF(IF(A54&lt;2002,D54,C54)&lt;(INDEX(Outils!$T$2:$U$100,MATCH(A54,Outils!$T$2:$T$100,0),2)*3),2,IF(IF(A54&lt;2002,D54,C54)&lt;(INDEX(Outils!$T$2:$U$100,MATCH(A54,Outils!$T$2:$T$100,0),2)*4),3,IF(IF(A54&lt;2002,D54,C54)&gt;(INDEX(Outils!$T$2:$U$100,MATCH(A54,Outils!$T$2:$T$100,0),2)*4),4,0)))))-IF(B54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54" s="144"/>
      <c r="H54" s="142"/>
      <c r="I54" s="144"/>
      <c r="J54" s="144">
        <f t="shared" si="2"/>
        <v>4</v>
      </c>
      <c r="K54" s="170"/>
      <c r="L54" s="173"/>
      <c r="M54" s="170"/>
      <c r="N54" s="169"/>
      <c r="O54" s="41">
        <f t="shared" si="5"/>
        <v>64.144566679311652</v>
      </c>
      <c r="P54" s="175"/>
      <c r="Q54" s="170"/>
      <c r="R54" s="170"/>
    </row>
    <row r="55" spans="1:31" ht="12.95" customHeight="1" thickBot="1" x14ac:dyDescent="0.3">
      <c r="A55" s="150">
        <f t="shared" si="4"/>
        <v>2033</v>
      </c>
      <c r="B55" s="150">
        <f>A55-YEAR(Client!$B$5)</f>
        <v>67</v>
      </c>
      <c r="C55" s="142">
        <v>18000</v>
      </c>
      <c r="D55" s="143" t="str">
        <f t="shared" si="3"/>
        <v/>
      </c>
      <c r="E55" s="143">
        <f>IF(INDEX(Outils!$B$2:$B$251,MATCH(A55,Outils!$A$2:$A$251,0),1)&lt;&gt;"",IF(A55&lt;2002,D55,C55)*INDEX(Outils!$B$2:$B$251,MATCH(A55,Outils!$A$2:$A$251,0),1),IF(A55&lt;2002,D55,C55))</f>
        <v>18000</v>
      </c>
      <c r="F55" s="144">
        <f>IFERROR(IF(IF(A55&lt;2002,D55,C55)&lt;INDEX(Outils!$T$2:$U$100,MATCH(A55,Outils!$T$2:$T$100,0),2),"",IF(IF(A55&lt;2002,D55,C55)&lt;(INDEX(Outils!$T$2:$U$100,MATCH(A55,Outils!$T$2:$T$100,0),2)*2),1,IF(IF(A55&lt;2002,D55,C55)&lt;(INDEX(Outils!$T$2:$U$100,MATCH(A55,Outils!$T$2:$T$100,0),2)*3),2,IF(IF(A55&lt;2002,D55,C55)&lt;(INDEX(Outils!$T$2:$U$100,MATCH(A55,Outils!$T$2:$T$100,0),2)*4),3,IF(IF(A55&lt;2002,D55,C55)&gt;(INDEX(Outils!$T$2:$U$100,MATCH(A55,Outils!$T$2:$T$100,0),2)*4),4,0)))))-IF(B55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assimilés'!$C$1="Exploitant",0,0))))),0),0)</f>
        <v>4</v>
      </c>
      <c r="G55" s="144"/>
      <c r="H55" s="142"/>
      <c r="I55" s="144"/>
      <c r="J55" s="144">
        <f t="shared" si="2"/>
        <v>4</v>
      </c>
      <c r="K55" s="170"/>
      <c r="L55" s="173"/>
      <c r="M55" s="170"/>
      <c r="N55" s="169"/>
      <c r="O55" s="41">
        <f>IF(C55&lt;41136,C55*0.062,41136*0.062+(C55-41136)*0.1663)/17.3982</f>
        <v>64.144566679311652</v>
      </c>
      <c r="P55" s="175"/>
      <c r="Q55" s="170"/>
      <c r="R55" s="170"/>
      <c r="AD55" s="70">
        <f>'Salarié et assimilés'!W9+MSA!W9</f>
        <v>18396.352315358272</v>
      </c>
      <c r="AE55" s="70">
        <f>'Salarié et assimilés'!X9+MSA!X9</f>
        <v>19004.973923814159</v>
      </c>
    </row>
    <row r="56" spans="1:31" ht="13.5" customHeight="1" thickBot="1" x14ac:dyDescent="0.3">
      <c r="A56" s="193" t="s">
        <v>37</v>
      </c>
      <c r="B56" s="194"/>
      <c r="C56" s="156"/>
      <c r="D56" s="176"/>
      <c r="E56" s="177"/>
      <c r="F56" s="154">
        <f>SUM(F4:F52)</f>
        <v>178</v>
      </c>
      <c r="G56" s="154">
        <f>SUM(G4:G50)</f>
        <v>0</v>
      </c>
      <c r="H56" s="154">
        <f>SUM(H4:H50)</f>
        <v>0</v>
      </c>
      <c r="I56" s="154">
        <f>SUM(I4:I50)</f>
        <v>0</v>
      </c>
      <c r="J56" s="154" t="str">
        <f>SUM(Trimestres!$J$4:INDEX(Trimestres!$J$4:$J$55,MATCH(Client!B15,Trimestres!$B4:$B55,0)))&amp;IF(Client!B2="Madame"," + "&amp;Client!B6*8,"")</f>
        <v>170</v>
      </c>
      <c r="K56" s="154">
        <f t="shared" ref="K56:R56" si="6">SUM(K4:K55)</f>
        <v>0</v>
      </c>
      <c r="L56" s="154">
        <f t="shared" si="6"/>
        <v>0</v>
      </c>
      <c r="M56" s="154">
        <f t="shared" si="6"/>
        <v>0</v>
      </c>
      <c r="N56" s="155">
        <f>SUM(N4:N55)</f>
        <v>0</v>
      </c>
      <c r="O56" s="156">
        <f>SUM(O4:O55)</f>
        <v>5069.7348001517385</v>
      </c>
      <c r="P56" s="156">
        <f>SUM(P4:P55)</f>
        <v>0</v>
      </c>
      <c r="Q56" s="156">
        <f>SUM(Q4:Q55)</f>
        <v>0</v>
      </c>
      <c r="R56" s="154">
        <f t="shared" si="6"/>
        <v>0</v>
      </c>
      <c r="Z56" s="70">
        <f>'Salarié et assimilés'!S9+MSA!S9</f>
        <v>15961.865881534712</v>
      </c>
      <c r="AA56" s="70">
        <f>'Salarié et assimilés'!T9+MSA!T9</f>
        <v>16570.487489990599</v>
      </c>
      <c r="AB56" s="70">
        <f>'Salarié et assimilés'!U9+MSA!U9</f>
        <v>17179.109098446486</v>
      </c>
      <c r="AC56" s="70">
        <f>'Salarié et assimilés'!V9+MSA!V9</f>
        <v>17787.730706902377</v>
      </c>
    </row>
    <row r="57" spans="1:31" ht="13.5" customHeight="1" x14ac:dyDescent="0.25">
      <c r="A57" s="71"/>
      <c r="B57" s="71"/>
      <c r="P57" s="72">
        <f>IF(C57&gt;41135,525,525*C57/41136)+MIN((C57/8227.2),25)</f>
        <v>0</v>
      </c>
      <c r="Q57" s="72">
        <f>MIN((C57/14398),10)</f>
        <v>0</v>
      </c>
      <c r="R57" s="72">
        <f>27+MIN((C57/7785.09),9)</f>
        <v>27</v>
      </c>
    </row>
    <row r="58" spans="1:31" ht="13.5" customHeight="1" x14ac:dyDescent="0.25">
      <c r="A58" s="71"/>
      <c r="B58" s="71"/>
    </row>
    <row r="59" spans="1:31" ht="13.5" customHeight="1" x14ac:dyDescent="0.25">
      <c r="B59" s="71"/>
      <c r="Y59" s="67" t="s">
        <v>77</v>
      </c>
      <c r="Z59" s="42" t="s">
        <v>54</v>
      </c>
      <c r="AA59" s="42" t="s">
        <v>29</v>
      </c>
      <c r="AB59" s="42" t="s">
        <v>53</v>
      </c>
      <c r="AC59" s="42" t="s">
        <v>55</v>
      </c>
    </row>
    <row r="60" spans="1:31" ht="13.5" customHeight="1" x14ac:dyDescent="0.25">
      <c r="B60" s="71"/>
      <c r="Y60" s="68"/>
      <c r="Z60" s="43"/>
      <c r="AA60" s="43"/>
      <c r="AB60" s="43"/>
      <c r="AC60" s="43"/>
    </row>
    <row r="61" spans="1:31" ht="13.5" customHeight="1" x14ac:dyDescent="0.25">
      <c r="C61" s="57"/>
      <c r="D61" s="178"/>
      <c r="P61" s="73"/>
      <c r="Q61" s="73"/>
      <c r="R61" s="73"/>
      <c r="Y61" s="67" t="s">
        <v>89</v>
      </c>
      <c r="Z61" s="44">
        <f>M56*0.48705*1.15</f>
        <v>0</v>
      </c>
      <c r="AA61" s="44">
        <f>Z61/12</f>
        <v>0</v>
      </c>
      <c r="AB61" s="45">
        <f>Z61*0.899</f>
        <v>0</v>
      </c>
      <c r="AC61" s="44">
        <f>AB61/12</f>
        <v>0</v>
      </c>
    </row>
    <row r="62" spans="1:31" ht="13.5" customHeight="1" x14ac:dyDescent="0.25">
      <c r="Y62" s="68"/>
      <c r="Z62" s="43"/>
      <c r="AA62" s="43"/>
      <c r="AB62" s="43"/>
      <c r="AC62" s="43"/>
    </row>
    <row r="63" spans="1:31" ht="13.5" customHeight="1" x14ac:dyDescent="0.25">
      <c r="Y63" s="69" t="s">
        <v>58</v>
      </c>
      <c r="Z63" s="46">
        <f>SUM(Z61:Z61)</f>
        <v>0</v>
      </c>
      <c r="AA63" s="46">
        <f>SUM(AA61:AA61)</f>
        <v>0</v>
      </c>
      <c r="AB63" s="46">
        <f>SUM(AB61:AB61)</f>
        <v>0</v>
      </c>
      <c r="AC63" s="46">
        <f>SUM(AC61:AC61)</f>
        <v>0</v>
      </c>
    </row>
    <row r="65" spans="2:26" ht="13.5" customHeight="1" x14ac:dyDescent="0.25">
      <c r="Y65" s="74" t="s">
        <v>78</v>
      </c>
      <c r="Z65" s="75" t="s">
        <v>81</v>
      </c>
    </row>
    <row r="66" spans="2:26" ht="13.5" customHeight="1" x14ac:dyDescent="0.25">
      <c r="Y66" s="74" t="s">
        <v>79</v>
      </c>
      <c r="Z66" s="75" t="s">
        <v>82</v>
      </c>
    </row>
    <row r="67" spans="2:26" ht="13.5" customHeight="1" x14ac:dyDescent="0.25">
      <c r="Y67" s="74" t="s">
        <v>80</v>
      </c>
      <c r="Z67" s="75" t="s">
        <v>83</v>
      </c>
    </row>
    <row r="68" spans="2:26" ht="13.5" customHeight="1" x14ac:dyDescent="0.25">
      <c r="B68" s="71"/>
      <c r="Z68" s="75" t="s">
        <v>84</v>
      </c>
    </row>
    <row r="69" spans="2:26" ht="13.5" customHeight="1" x14ac:dyDescent="0.25">
      <c r="B69" s="71"/>
      <c r="P69" s="77"/>
      <c r="Q69" s="77"/>
      <c r="R69" s="77"/>
      <c r="Z69" s="75" t="s">
        <v>85</v>
      </c>
    </row>
    <row r="70" spans="2:26" ht="13.5" customHeight="1" x14ac:dyDescent="0.25">
      <c r="B70" s="71"/>
      <c r="P70" s="78"/>
      <c r="Q70" s="78"/>
      <c r="R70" s="78"/>
    </row>
    <row r="71" spans="2:26" ht="13.5" customHeight="1" x14ac:dyDescent="0.25">
      <c r="B71" s="71"/>
      <c r="D71" s="189"/>
      <c r="E71" s="189"/>
      <c r="P71" s="77"/>
      <c r="Q71" s="77"/>
      <c r="R71" s="77"/>
    </row>
    <row r="72" spans="2:26" ht="13.5" customHeight="1" x14ac:dyDescent="0.25">
      <c r="B72" s="71"/>
      <c r="P72" s="77"/>
      <c r="Q72" s="77"/>
      <c r="R72" s="77"/>
    </row>
    <row r="73" spans="2:26" ht="13.5" customHeight="1" x14ac:dyDescent="0.25">
      <c r="B73" s="71"/>
      <c r="P73" s="80"/>
      <c r="Q73" s="80"/>
      <c r="R73" s="80"/>
    </row>
    <row r="74" spans="2:26" ht="13.5" customHeight="1" x14ac:dyDescent="0.25">
      <c r="B74" s="71"/>
      <c r="C74" s="61"/>
      <c r="P74" s="81"/>
      <c r="Q74" s="81"/>
      <c r="R74" s="81"/>
    </row>
    <row r="75" spans="2:26" ht="13.5" customHeight="1" x14ac:dyDescent="0.25">
      <c r="B75" s="71"/>
      <c r="P75" s="82"/>
      <c r="Q75" s="82"/>
      <c r="R75" s="82"/>
    </row>
    <row r="76" spans="2:26" ht="13.5" customHeight="1" x14ac:dyDescent="0.25">
      <c r="B76" s="71"/>
      <c r="P76" s="82"/>
      <c r="Q76" s="82"/>
      <c r="R76" s="82"/>
    </row>
    <row r="77" spans="2:26" ht="13.5" customHeight="1" x14ac:dyDescent="0.25">
      <c r="B77" s="71"/>
      <c r="P77" s="81"/>
      <c r="Q77" s="81"/>
      <c r="R77" s="81"/>
    </row>
    <row r="78" spans="2:26" ht="13.5" customHeight="1" x14ac:dyDescent="0.25">
      <c r="B78" s="71"/>
      <c r="P78" s="81"/>
      <c r="Q78" s="81"/>
      <c r="R78" s="81"/>
    </row>
    <row r="79" spans="2:26" ht="13.5" customHeight="1" x14ac:dyDescent="0.25">
      <c r="B79" s="71"/>
      <c r="P79" s="81"/>
      <c r="Q79" s="81"/>
      <c r="R79" s="81"/>
    </row>
    <row r="80" spans="2:26" ht="13.5" customHeight="1" x14ac:dyDescent="0.25">
      <c r="B80" s="71"/>
      <c r="P80" s="82"/>
      <c r="Q80" s="82"/>
      <c r="R80" s="82"/>
    </row>
    <row r="81" spans="2:18" ht="13.5" customHeight="1" x14ac:dyDescent="0.25">
      <c r="B81" s="71"/>
      <c r="P81" s="82"/>
      <c r="Q81" s="82"/>
      <c r="R81" s="82"/>
    </row>
    <row r="82" spans="2:18" ht="13.5" customHeight="1" x14ac:dyDescent="0.25">
      <c r="B82" s="71"/>
      <c r="P82" s="82"/>
      <c r="Q82" s="82"/>
      <c r="R82" s="82"/>
    </row>
    <row r="83" spans="2:18" ht="13.5" customHeight="1" x14ac:dyDescent="0.25">
      <c r="B83" s="71"/>
      <c r="P83" s="82"/>
      <c r="Q83" s="82"/>
      <c r="R83" s="82"/>
    </row>
    <row r="84" spans="2:18" ht="13.5" customHeight="1" x14ac:dyDescent="0.25">
      <c r="B84" s="71"/>
      <c r="P84" s="83"/>
      <c r="Q84" s="83"/>
      <c r="R84" s="83"/>
    </row>
    <row r="85" spans="2:18" ht="13.5" customHeight="1" x14ac:dyDescent="0.25">
      <c r="B85" s="71"/>
      <c r="P85" s="81"/>
      <c r="Q85" s="81"/>
      <c r="R85" s="81"/>
    </row>
    <row r="86" spans="2:18" ht="13.5" customHeight="1" x14ac:dyDescent="0.25">
      <c r="B86" s="71"/>
      <c r="P86" s="81"/>
      <c r="Q86" s="81"/>
      <c r="R86" s="81"/>
    </row>
    <row r="87" spans="2:18" ht="13.5" customHeight="1" x14ac:dyDescent="0.25">
      <c r="P87" s="84"/>
      <c r="Q87" s="84"/>
      <c r="R87" s="84"/>
    </row>
    <row r="90" spans="2:18" ht="13.5" customHeight="1" x14ac:dyDescent="0.25">
      <c r="P90" s="71"/>
      <c r="Q90" s="71"/>
      <c r="R90" s="71"/>
    </row>
    <row r="91" spans="2:18" ht="13.5" customHeight="1" x14ac:dyDescent="0.25">
      <c r="P91" s="71"/>
      <c r="Q91" s="71"/>
      <c r="R91" s="71"/>
    </row>
  </sheetData>
  <mergeCells count="3">
    <mergeCell ref="D71:E71"/>
    <mergeCell ref="P2:R2"/>
    <mergeCell ref="A56:B56"/>
  </mergeCells>
  <conditionalFormatting sqref="J4:J55">
    <cfRule type="cellIs" dxfId="2" priority="1" operator="lessThan">
      <formula>4</formula>
    </cfRule>
  </conditionalFormatting>
  <pageMargins left="0.7" right="0.7" top="0.75" bottom="0.75" header="0.3" footer="0.3"/>
  <pageSetup paperSize="9" orientation="portrait" r:id="rId1"/>
  <ignoredErrors>
    <ignoredError sqref="AB44:AF44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35"/>
  <sheetViews>
    <sheetView showGridLines="0" tabSelected="1" topLeftCell="B1" zoomScaleNormal="100" workbookViewId="0">
      <selection activeCell="U13" sqref="U13"/>
    </sheetView>
  </sheetViews>
  <sheetFormatPr baseColWidth="10" defaultColWidth="13.28515625" defaultRowHeight="15" x14ac:dyDescent="0.25"/>
  <cols>
    <col min="4" max="4" width="8.28515625" customWidth="1"/>
    <col min="5" max="6" width="13.28515625" customWidth="1"/>
    <col min="14" max="24" width="10" customWidth="1"/>
  </cols>
  <sheetData>
    <row r="1" spans="1:24" x14ac:dyDescent="0.25">
      <c r="A1" s="76"/>
      <c r="B1" s="230" t="s">
        <v>34</v>
      </c>
      <c r="C1" s="231"/>
      <c r="D1" s="232"/>
      <c r="E1" s="115">
        <f>G1-2</f>
        <v>60</v>
      </c>
      <c r="F1" s="115">
        <f>G1-1</f>
        <v>61</v>
      </c>
      <c r="G1" s="115">
        <f>Client!B15</f>
        <v>62</v>
      </c>
      <c r="H1" s="116">
        <f>G1+1</f>
        <v>63</v>
      </c>
      <c r="I1" s="116">
        <f>H1+1</f>
        <v>64</v>
      </c>
      <c r="J1" s="116">
        <f>I1+1</f>
        <v>65</v>
      </c>
      <c r="K1" s="116">
        <f>J1+1</f>
        <v>66</v>
      </c>
      <c r="L1" s="116">
        <f>K1+1</f>
        <v>67</v>
      </c>
      <c r="N1" s="199" t="s">
        <v>52</v>
      </c>
      <c r="O1" s="199"/>
      <c r="P1" s="199"/>
      <c r="Q1" s="158">
        <f>YEAR(MSA!E2)</f>
        <v>2026</v>
      </c>
      <c r="R1" s="158">
        <f>YEAR(MSA!F2)</f>
        <v>2027</v>
      </c>
      <c r="S1" s="158">
        <f>YEAR(MSA!G2)</f>
        <v>2028</v>
      </c>
      <c r="T1" s="158">
        <f>YEAR(MSA!H2)</f>
        <v>2029</v>
      </c>
      <c r="U1" s="158">
        <f>YEAR(MSA!I2)</f>
        <v>2030</v>
      </c>
      <c r="V1" s="158">
        <f>YEAR(MSA!J2)</f>
        <v>2031</v>
      </c>
      <c r="W1" s="158">
        <f>YEAR(MSA!K2)</f>
        <v>2032</v>
      </c>
      <c r="X1" s="158">
        <f>YEAR(MSA!L2)</f>
        <v>2033</v>
      </c>
    </row>
    <row r="2" spans="1:24" x14ac:dyDescent="0.25">
      <c r="A2" s="76"/>
      <c r="B2" s="233" t="s">
        <v>38</v>
      </c>
      <c r="C2" s="234"/>
      <c r="D2" s="235"/>
      <c r="E2" s="96">
        <f>DATE(YEAR(F2)-1,MONTH(F2),DAY(F2))</f>
        <v>46266</v>
      </c>
      <c r="F2" s="96">
        <f>DATE(YEAR(G2)-1,MONTH(G2),DAY(G2))</f>
        <v>46631</v>
      </c>
      <c r="G2" s="96">
        <f>Client!B14</f>
        <v>46997</v>
      </c>
      <c r="H2" s="96">
        <f>DATE(YEAR(G2)+1,MONTH(G2),DAY(G2))</f>
        <v>47362</v>
      </c>
      <c r="I2" s="96">
        <f>DATE(YEAR(H2)+1,MONTH(H2),DAY(H2))</f>
        <v>47727</v>
      </c>
      <c r="J2" s="96">
        <f>DATE(YEAR(I2)+1,MONTH(I2),DAY(I2))</f>
        <v>48092</v>
      </c>
      <c r="K2" s="96">
        <f>DATE(YEAR(J2)+1,MONTH(J2),DAY(J2))</f>
        <v>48458</v>
      </c>
      <c r="L2" s="117">
        <f>DATE(YEAR(K2)+1,MONTH(K2),DAY(K2))</f>
        <v>48823</v>
      </c>
      <c r="N2" s="201"/>
      <c r="O2" s="201"/>
      <c r="P2" s="201"/>
      <c r="Q2" s="160"/>
      <c r="R2" s="160"/>
      <c r="S2" s="160"/>
      <c r="T2" s="160"/>
      <c r="U2" s="160"/>
      <c r="V2" s="160"/>
      <c r="W2" s="160"/>
      <c r="X2" s="160"/>
    </row>
    <row r="3" spans="1:24" x14ac:dyDescent="0.25">
      <c r="A3" s="76"/>
      <c r="B3" s="230" t="s">
        <v>35</v>
      </c>
      <c r="C3" s="231"/>
      <c r="D3" s="232"/>
      <c r="E3" s="114">
        <f>SUM(Trimestres!$F$4:INDEX(Trimestres!$F$4:$F$58,MATCH(E1,Trimestres!$B4:$B58,0)))</f>
        <v>164</v>
      </c>
      <c r="F3" s="114">
        <f>SUM(Trimestres!$F$4:INDEX(Trimestres!$F$4:$F$58,MATCH(F1,Trimestres!$B4:$B58,0)))</f>
        <v>168</v>
      </c>
      <c r="G3" s="114">
        <f>SUM(Trimestres!$F$4:INDEX(Trimestres!$F$4:$F$58,MATCH(G1,Trimestres!$B4:$B58,0)))</f>
        <v>170</v>
      </c>
      <c r="H3" s="114">
        <f>SUM(Trimestres!$F$4:INDEX(Trimestres!$F$4:$F$58,MATCH(H1,Trimestres!$B4:$B58,0)))</f>
        <v>174</v>
      </c>
      <c r="I3" s="114">
        <f>SUM(Trimestres!$F$4:INDEX(Trimestres!$F$4:$F$58,MATCH(I1,Trimestres!$B4:$B58,0)))</f>
        <v>178</v>
      </c>
      <c r="J3" s="114">
        <f>SUM(Trimestres!$F$4:INDEX(Trimestres!$F$4:$F$58,MATCH(J1,Trimestres!$B4:$B58,0)))</f>
        <v>182</v>
      </c>
      <c r="K3" s="114">
        <f>SUM(Trimestres!$F$4:INDEX(Trimestres!$F$4:$F$58,MATCH(K1,Trimestres!$B4:$B58,0)))</f>
        <v>186</v>
      </c>
      <c r="L3" s="118">
        <f>SUM(Trimestres!$F$4:INDEX(Trimestres!$F$4:$F$58,MATCH(L1,Trimestres!$B4:$B58,0)))</f>
        <v>190</v>
      </c>
      <c r="N3" s="199" t="s">
        <v>56</v>
      </c>
      <c r="O3" s="199"/>
      <c r="P3" s="199"/>
      <c r="Q3" s="162">
        <f>MSA!E12</f>
        <v>0</v>
      </c>
      <c r="R3" s="162">
        <f>MSA!F12</f>
        <v>0</v>
      </c>
      <c r="S3" s="162">
        <f>MSA!G12</f>
        <v>0</v>
      </c>
      <c r="T3" s="162">
        <f>MSA!H12</f>
        <v>0</v>
      </c>
      <c r="U3" s="162">
        <f>MSA!I12</f>
        <v>0</v>
      </c>
      <c r="V3" s="162">
        <f>MSA!J12</f>
        <v>0</v>
      </c>
      <c r="W3" s="162">
        <f>MSA!K12</f>
        <v>0</v>
      </c>
      <c r="X3" s="162">
        <f>MSA!L12</f>
        <v>0</v>
      </c>
    </row>
    <row r="4" spans="1:24" x14ac:dyDescent="0.25">
      <c r="A4" s="76"/>
      <c r="B4" s="233" t="s">
        <v>36</v>
      </c>
      <c r="C4" s="234"/>
      <c r="D4" s="235"/>
      <c r="E4" s="97">
        <f>SUM(Trimestres!$G$4:INDEX(Trimestres!$G$4:$G$58,MATCH(E1,Trimestres!$B4:$B58,0)))</f>
        <v>0</v>
      </c>
      <c r="F4" s="97">
        <f>SUM(Trimestres!$G$4:INDEX(Trimestres!$G$4:$G$58,MATCH(F1,Trimestres!$B4:$B58,0)))</f>
        <v>0</v>
      </c>
      <c r="G4" s="97">
        <f>SUM(Trimestres!$G$4:INDEX(Trimestres!$G$4:$G$58,MATCH(G1,Trimestres!$B4:$B58,0)))</f>
        <v>0</v>
      </c>
      <c r="H4" s="97">
        <f>SUM(Trimestres!$G$4:INDEX(Trimestres!$G$4:$G$58,MATCH(H1,Trimestres!$B4:$B58,0)))</f>
        <v>0</v>
      </c>
      <c r="I4" s="97">
        <f>SUM(Trimestres!$G$4:INDEX(Trimestres!$G$4:$G$58,MATCH(I1,Trimestres!$B4:$B58,0)))</f>
        <v>0</v>
      </c>
      <c r="J4" s="97">
        <f>SUM(Trimestres!$G$4:INDEX(Trimestres!$G$4:$G$58,MATCH(J1,Trimestres!$B4:$B58,0)))</f>
        <v>0</v>
      </c>
      <c r="K4" s="97">
        <f>SUM(Trimestres!$G$4:INDEX(Trimestres!$G$4:$G$58,MATCH(K1,Trimestres!$B4:$B58,0)))</f>
        <v>0</v>
      </c>
      <c r="L4" s="119">
        <f>SUM(Trimestres!$G$4:INDEX(Trimestres!$G$4:$G$58,MATCH(L1,Trimestres!$B4:$B58,0)))</f>
        <v>0</v>
      </c>
      <c r="N4" s="199" t="s">
        <v>57</v>
      </c>
      <c r="O4" s="199"/>
      <c r="P4" s="199"/>
      <c r="Q4" s="162">
        <f>MSA!E17</f>
        <v>0</v>
      </c>
      <c r="R4" s="162">
        <f>MSA!F17</f>
        <v>0</v>
      </c>
      <c r="S4" s="162">
        <f>MSA!G17</f>
        <v>0</v>
      </c>
      <c r="T4" s="162">
        <f>MSA!H17</f>
        <v>0</v>
      </c>
      <c r="U4" s="162">
        <f>MSA!I17</f>
        <v>0</v>
      </c>
      <c r="V4" s="162">
        <f>MSA!J17</f>
        <v>0</v>
      </c>
      <c r="W4" s="162">
        <f>MSA!K17</f>
        <v>0</v>
      </c>
      <c r="X4" s="162">
        <f>MSA!L17</f>
        <v>0</v>
      </c>
    </row>
    <row r="5" spans="1:24" x14ac:dyDescent="0.25">
      <c r="A5" s="76"/>
      <c r="B5" s="230" t="s">
        <v>31</v>
      </c>
      <c r="C5" s="231"/>
      <c r="D5" s="232"/>
      <c r="E5" s="114">
        <f>SUM(Trimestres!$H$4:INDEX(Trimestres!$H$4:$H$58,MATCH(E1,Trimestres!$B4:$B58,0)))</f>
        <v>0</v>
      </c>
      <c r="F5" s="114">
        <f>SUM(Trimestres!$H$4:INDEX(Trimestres!$H$4:$H$58,MATCH(F1,Trimestres!$B4:$B58,0)))</f>
        <v>0</v>
      </c>
      <c r="G5" s="114">
        <f>SUM(Trimestres!$H$4:INDEX(Trimestres!$H$4:$H$58,MATCH(G1,Trimestres!$B4:$B58,0)))</f>
        <v>0</v>
      </c>
      <c r="H5" s="114">
        <f>SUM(Trimestres!$H$4:INDEX(Trimestres!$H$4:$H$58,MATCH(H1,Trimestres!$B4:$B58,0)))</f>
        <v>0</v>
      </c>
      <c r="I5" s="114">
        <f>SUM(Trimestres!$H$4:INDEX(Trimestres!$H$4:$H$58,MATCH(I1,Trimestres!$B4:$B58,0)))</f>
        <v>0</v>
      </c>
      <c r="J5" s="114">
        <f>SUM(Trimestres!$H$4:INDEX(Trimestres!$H$4:$H$58,MATCH(J1,Trimestres!$B4:$B58,0)))</f>
        <v>0</v>
      </c>
      <c r="K5" s="114">
        <f>SUM(Trimestres!$H$4:INDEX(Trimestres!$H$4:$H$58,MATCH(K1,Trimestres!$B4:$B58,0)))</f>
        <v>0</v>
      </c>
      <c r="L5" s="118">
        <f>SUM(Trimestres!$H$4:INDEX(Trimestres!$H$4:$H$58,MATCH(L1,Trimestres!$B4:$B58,0)))</f>
        <v>0</v>
      </c>
      <c r="N5" s="199" t="s">
        <v>24</v>
      </c>
      <c r="O5" s="199"/>
      <c r="P5" s="199"/>
      <c r="Q5" s="161">
        <f>MSA!E20</f>
        <v>0</v>
      </c>
      <c r="R5" s="161">
        <f>MSA!F20</f>
        <v>0</v>
      </c>
      <c r="S5" s="161">
        <f>MSA!G20</f>
        <v>390.04099200000002</v>
      </c>
      <c r="T5" s="161">
        <f>MSA!H20</f>
        <v>356.12438400000008</v>
      </c>
      <c r="U5" s="161">
        <f>MSA!I20</f>
        <v>322.20777600000008</v>
      </c>
      <c r="V5" s="161">
        <f>MSA!J20</f>
        <v>288.29116800000003</v>
      </c>
      <c r="W5" s="161">
        <f>MSA!K20</f>
        <v>254.37456000000003</v>
      </c>
      <c r="X5" s="161">
        <f>MSA!L20</f>
        <v>220.45795200000003</v>
      </c>
    </row>
    <row r="6" spans="1:24" x14ac:dyDescent="0.25">
      <c r="A6" s="76"/>
      <c r="B6" s="233" t="s">
        <v>51</v>
      </c>
      <c r="C6" s="234"/>
      <c r="D6" s="235"/>
      <c r="E6" s="97">
        <f>SUM(Trimestres!$J$4:INDEX(Trimestres!$J$4:$J$55,MATCH(E1,Trimestres!$B4:$B55,0)))+IF(Client!$B$2="Mme",Client!$B$6*8,0)</f>
        <v>164</v>
      </c>
      <c r="F6" s="97">
        <f>SUM(Trimestres!$J$4:INDEX(Trimestres!$J$4:$J$55,MATCH(F1,Trimestres!$B4:$B55,0)))+IF(Client!$B$2="Mme",Client!$B$6*8,0)</f>
        <v>168</v>
      </c>
      <c r="G6" s="97">
        <f>SUM(Trimestres!$J$4:INDEX(Trimestres!$J$4:$J$55,MATCH(G1,Trimestres!$B4:$B55,0)))+IF(Client!$B$2="Mme",Client!$B$6*8,0)</f>
        <v>170</v>
      </c>
      <c r="H6" s="97">
        <f>SUM(Trimestres!$J$4:INDEX(Trimestres!$J$4:$J$55,MATCH(H1,Trimestres!$B4:$B55,0)))+IF(Client!$B$2="Mme",Client!$B$6*8,0)</f>
        <v>174</v>
      </c>
      <c r="I6" s="97">
        <f>SUM(Trimestres!$J$4:INDEX(Trimestres!$J$4:$J$55,MATCH(I1,Trimestres!$B4:$B55,0)))+IF(Client!$B$2="Mme",Client!$B$6*8,0)</f>
        <v>178</v>
      </c>
      <c r="J6" s="97">
        <f>SUM(Trimestres!$J$4:INDEX(Trimestres!$J$4:$J$55,MATCH(J1,Trimestres!$B4:$B55,0)))+IF(Client!$B$2="Mme",Client!$B$6*8,0)</f>
        <v>182</v>
      </c>
      <c r="K6" s="97">
        <f>SUM(Trimestres!$J$4:INDEX(Trimestres!$J$4:$J$55,MATCH(K1,Trimestres!$B4:$B55,0)))+IF(Client!$B$2="Mme",Client!$B$6*8,0)</f>
        <v>186</v>
      </c>
      <c r="L6" s="119">
        <f>SUM(Trimestres!$J$4:INDEX(Trimestres!$J$4:$J$55,MATCH(L1,Trimestres!$B4:$B55,0)))+IF(Client!$B$2="Mme",Client!$B$6*8,0)</f>
        <v>190</v>
      </c>
      <c r="N6" s="200"/>
      <c r="O6" s="200"/>
      <c r="P6" s="200"/>
      <c r="Q6" s="162"/>
      <c r="R6" s="162"/>
      <c r="S6" s="162"/>
      <c r="T6" s="162"/>
      <c r="U6" s="162"/>
      <c r="V6" s="162"/>
      <c r="W6" s="162"/>
      <c r="X6" s="162"/>
    </row>
    <row r="7" spans="1:24" ht="15.75" thickBot="1" x14ac:dyDescent="0.3">
      <c r="A7" s="76"/>
      <c r="B7" s="236" t="s">
        <v>14</v>
      </c>
      <c r="C7" s="237"/>
      <c r="D7" s="238"/>
      <c r="E7" s="120">
        <f>MIN(1-0.0125*(INDEX(Outils!$M$3:$R$72,MATCH(YEAR(Client!$B$5),Outils!$M$3:$M$72,0),3)-E6),1)</f>
        <v>0.9375</v>
      </c>
      <c r="F7" s="120">
        <f>MIN(1-0.0125*(INDEX(Outils!$M$3:$R$72,MATCH(YEAR(Client!$B$5),Outils!$M$3:$M$72,0),3)-F6),1)</f>
        <v>0.98750000000000004</v>
      </c>
      <c r="G7" s="120">
        <f>MIN(1-0.0125*(INDEX(Outils!$M$3:$R$72,MATCH(YEAR(Client!$B$5),Outils!$M$3:$M$72,0),3)-G6),1)</f>
        <v>1</v>
      </c>
      <c r="H7" s="120">
        <f>MIN(1-0.0125*(INDEX(Outils!$M$3:$R$72,MATCH(YEAR(Client!$B$5),Outils!$M$3:$M$72,0),3)-H6),1)</f>
        <v>1</v>
      </c>
      <c r="I7" s="120">
        <f>MIN(1-0.0125*(INDEX(Outils!$M$3:$R$72,MATCH(YEAR(Client!$B$5),Outils!$M$3:$M$72,0),3)-I6),1)</f>
        <v>1</v>
      </c>
      <c r="J7" s="120">
        <f>MIN(1-0.0125*(INDEX(Outils!$M$3:$R$72,MATCH(YEAR(Client!$B$5),Outils!$M$3:$M$72,0),3)-J6),1)</f>
        <v>1</v>
      </c>
      <c r="K7" s="120">
        <f>MIN(1-0.0125*(INDEX(Outils!$M$3:$R$72,MATCH(YEAR(Client!$B$5),Outils!$M$3:$M$72,0),3)-K6),1)</f>
        <v>1</v>
      </c>
      <c r="L7" s="121">
        <f>MIN(1-0.0125*(INDEX(Outils!$M$3:$R$72,MATCH(YEAR(Client!$B$5),Outils!$M$3:$M$72,0),3)-L6),1)</f>
        <v>1</v>
      </c>
      <c r="N7" s="199" t="s">
        <v>62</v>
      </c>
      <c r="O7" s="199"/>
      <c r="P7" s="199"/>
      <c r="Q7" s="162">
        <f>MSA!E10+MSA!E15</f>
        <v>0</v>
      </c>
      <c r="R7" s="162">
        <f>MSA!F10+MSA!F15</f>
        <v>0</v>
      </c>
      <c r="S7" s="162">
        <f>MSA!G10+MSA!G15</f>
        <v>0</v>
      </c>
      <c r="T7" s="162">
        <f>MSA!H10+MSA!H15</f>
        <v>0</v>
      </c>
      <c r="U7" s="162">
        <f>MSA!I10+MSA!I15</f>
        <v>0</v>
      </c>
      <c r="V7" s="162">
        <f>MSA!J10+MSA!J15</f>
        <v>0</v>
      </c>
      <c r="W7" s="162">
        <f>MSA!K10+MSA!K15</f>
        <v>0</v>
      </c>
      <c r="X7" s="162">
        <f>MSA!L10+MSA!L15</f>
        <v>0</v>
      </c>
    </row>
    <row r="8" spans="1:24" x14ac:dyDescent="0.25">
      <c r="A8" s="222" t="s">
        <v>39</v>
      </c>
      <c r="B8" s="239" t="s">
        <v>40</v>
      </c>
      <c r="C8" s="240"/>
      <c r="D8" s="241"/>
      <c r="E8" s="98">
        <v>3410</v>
      </c>
      <c r="F8" s="98">
        <v>3410</v>
      </c>
      <c r="G8" s="98">
        <v>3410</v>
      </c>
      <c r="H8" s="98">
        <v>3410</v>
      </c>
      <c r="I8" s="98">
        <v>3410</v>
      </c>
      <c r="J8" s="98">
        <v>3410</v>
      </c>
      <c r="K8" s="98">
        <v>3410</v>
      </c>
      <c r="L8" s="99">
        <v>3410</v>
      </c>
      <c r="N8" s="201"/>
      <c r="O8" s="201"/>
      <c r="P8" s="201"/>
      <c r="Q8" s="160"/>
      <c r="R8" s="160"/>
      <c r="S8" s="160"/>
      <c r="T8" s="160"/>
      <c r="U8" s="160"/>
      <c r="V8" s="160"/>
      <c r="W8" s="160"/>
      <c r="X8" s="160"/>
    </row>
    <row r="9" spans="1:24" x14ac:dyDescent="0.25">
      <c r="A9" s="223"/>
      <c r="B9" s="242" t="s">
        <v>41</v>
      </c>
      <c r="C9" s="243"/>
      <c r="D9" s="244"/>
      <c r="E9" s="95">
        <f>IF(E7=1,E6-INDEX(Outils!$M$3:$R$72,MATCH(Client!$B$12,Outils!$M$3:$M$72,0),3),0)</f>
        <v>0</v>
      </c>
      <c r="F9" s="95">
        <f>IF(F7=1,F6-INDEX(Outils!$M$3:$R$72,MATCH(Client!$B$12,Outils!$M$3:$M$72,0),3),0)</f>
        <v>0</v>
      </c>
      <c r="G9" s="95">
        <f>IF(G7=1,G6-INDEX(Outils!$M$3:$R$72,MATCH(Client!$B$12,Outils!$M$3:$M$72,0),3),0)</f>
        <v>1</v>
      </c>
      <c r="H9" s="95">
        <f>IF(H7=1,H6-INDEX(Outils!$M$3:$R$72,MATCH(Client!$B$12,Outils!$M$3:$M$72,0),3),0)</f>
        <v>5</v>
      </c>
      <c r="I9" s="95">
        <f>IF(I7=1,I6-INDEX(Outils!$M$3:$R$72,MATCH(Client!$B$12,Outils!$M$3:$M$72,0),3),0)</f>
        <v>9</v>
      </c>
      <c r="J9" s="95">
        <f>IF(J7=1,J6-INDEX(Outils!$M$3:$R$72,MATCH(Client!$B$12,Outils!$M$3:$M$72,0),3),0)</f>
        <v>13</v>
      </c>
      <c r="K9" s="95">
        <f>IF(K7=1,K6-INDEX(Outils!$M$3:$R$72,MATCH(Client!$B$12,Outils!$M$3:$M$72,0),3),0)</f>
        <v>17</v>
      </c>
      <c r="L9" s="95">
        <f>IF(L7=1,L6-INDEX(Outils!$M$3:$R$72,MATCH(Client!$B$12,Outils!$M$3:$M$72,0),3),0)</f>
        <v>21</v>
      </c>
      <c r="N9" s="202" t="s">
        <v>59</v>
      </c>
      <c r="O9" s="202"/>
      <c r="P9" s="202"/>
      <c r="Q9" s="165">
        <f>SUM(Q3:Q5)</f>
        <v>0</v>
      </c>
      <c r="R9" s="165">
        <f>SUM(R3:R5)</f>
        <v>0</v>
      </c>
      <c r="S9" s="165">
        <f t="shared" ref="S9:X9" si="0">SUM(S3:S5)</f>
        <v>390.04099200000002</v>
      </c>
      <c r="T9" s="165">
        <f t="shared" si="0"/>
        <v>356.12438400000008</v>
      </c>
      <c r="U9" s="165">
        <f t="shared" si="0"/>
        <v>322.20777600000008</v>
      </c>
      <c r="V9" s="165">
        <f t="shared" si="0"/>
        <v>288.29116800000003</v>
      </c>
      <c r="W9" s="165">
        <f t="shared" si="0"/>
        <v>254.37456000000003</v>
      </c>
      <c r="X9" s="165">
        <f t="shared" si="0"/>
        <v>220.45795200000003</v>
      </c>
    </row>
    <row r="10" spans="1:24" x14ac:dyDescent="0.25">
      <c r="A10" s="223"/>
      <c r="B10" s="245" t="s">
        <v>61</v>
      </c>
      <c r="C10" s="246"/>
      <c r="D10" s="247"/>
      <c r="E10" s="90">
        <f>E4/168*E8*E7*E9*0.0125*IF(Client!$B$6&gt;=3,1.1,1)*0.909</f>
        <v>0</v>
      </c>
      <c r="F10" s="90">
        <f>F4/168*F8*F7*F9*0.0125*IF(Client!$B$6&gt;=3,1.1,1)*0.909</f>
        <v>0</v>
      </c>
      <c r="G10" s="90">
        <f>G4/168*G8*G7*G9*0.0125*IF(Client!$B$6&gt;=3,1.1,1)*0.909</f>
        <v>0</v>
      </c>
      <c r="H10" s="90">
        <f>H4/168*H8*H7*H9*0.0125*IF(Client!$B$6&gt;=3,1.1,1)*0.909</f>
        <v>0</v>
      </c>
      <c r="I10" s="90">
        <f>I4/168*I8*I7*I9*0.0125*IF(Client!$B$6&gt;=3,1.1,1)*0.909</f>
        <v>0</v>
      </c>
      <c r="J10" s="90">
        <f>J4/168*J8*J7*J9*0.0125*IF(Client!$B$6&gt;=3,1.1,1)*0.909</f>
        <v>0</v>
      </c>
      <c r="K10" s="90">
        <f>K4/168*K8*K7*K9*0.0125*IF(Client!$B$6&gt;=3,1.1,1)*0.909</f>
        <v>0</v>
      </c>
      <c r="L10" s="100">
        <f>L4/168*L8*L7*L9*0.0125*IF(Client!$B$6&gt;=3,1.1,1)*0.909</f>
        <v>0</v>
      </c>
      <c r="N10" s="198" t="s">
        <v>60</v>
      </c>
      <c r="O10" s="198"/>
      <c r="P10" s="198"/>
      <c r="Q10" s="165">
        <f>Q9/12</f>
        <v>0</v>
      </c>
      <c r="R10" s="165">
        <f>R9/12</f>
        <v>0</v>
      </c>
      <c r="S10" s="165">
        <f t="shared" ref="S10:X10" si="1">S9/12</f>
        <v>32.503416000000001</v>
      </c>
      <c r="T10" s="165">
        <f t="shared" si="1"/>
        <v>29.677032000000008</v>
      </c>
      <c r="U10" s="165">
        <f t="shared" si="1"/>
        <v>26.850648000000007</v>
      </c>
      <c r="V10" s="165">
        <f t="shared" si="1"/>
        <v>24.024264000000002</v>
      </c>
      <c r="W10" s="165">
        <f t="shared" si="1"/>
        <v>21.197880000000001</v>
      </c>
      <c r="X10" s="165">
        <f t="shared" si="1"/>
        <v>18.371496000000004</v>
      </c>
    </row>
    <row r="11" spans="1:24" x14ac:dyDescent="0.25">
      <c r="A11" s="223"/>
      <c r="B11" s="239" t="s">
        <v>42</v>
      </c>
      <c r="C11" s="240"/>
      <c r="D11" s="241"/>
      <c r="E11" s="89">
        <f>MIN(E4/INDEX(Outils!$M$3:$R$72,MATCH(YEAR(Client!$B$5),Outils!$M$3:$M$72,0),3)*E8,3410)*E7*IF(Client!$B$6&gt;=3,1.1,1)</f>
        <v>0</v>
      </c>
      <c r="F11" s="89">
        <f>MIN(F4/INDEX(Outils!$M$3:$R$72,MATCH(YEAR(Client!$B$5),Outils!$M$3:$M$72,0),3)*F8,3410)*F7*IF(Client!$B$6&gt;=3,1.1,1)</f>
        <v>0</v>
      </c>
      <c r="G11" s="89">
        <f>MIN(G4/INDEX(Outils!$M$3:$R$72,MATCH(YEAR(Client!$B$5),Outils!$M$3:$M$72,0),3)*G8,3410)*G7*IF(Client!$B$6&gt;=3,1.1,1)</f>
        <v>0</v>
      </c>
      <c r="H11" s="89">
        <f>MIN(H4/INDEX(Outils!$M$3:$R$72,MATCH(YEAR(Client!$B$5),Outils!$M$3:$M$72,0),3)*H8,3410)*H7*IF(Client!$B$6&gt;=3,1.1,1)</f>
        <v>0</v>
      </c>
      <c r="I11" s="89">
        <f>MIN(I4/INDEX(Outils!$M$3:$R$72,MATCH(YEAR(Client!$B$5),Outils!$M$3:$M$72,0),3)*I8,3410)*I7*IF(Client!$B$6&gt;=3,1.1,1)</f>
        <v>0</v>
      </c>
      <c r="J11" s="89">
        <f>MIN(J4/INDEX(Outils!$M$3:$R$72,MATCH(YEAR(Client!$B$5),Outils!$M$3:$M$72,0),3)*J8,3410)*J7*IF(Client!$B$6&gt;=3,1.1,1)</f>
        <v>0</v>
      </c>
      <c r="K11" s="89">
        <f>MIN(K4/INDEX(Outils!$M$3:$R$72,MATCH(YEAR(Client!$B$5),Outils!$M$3:$M$72,0),3)*K8,3410)*K7*IF(Client!$B$6&gt;=3,1.1,1)</f>
        <v>0</v>
      </c>
      <c r="L11" s="101">
        <f>MIN(L4/INDEX(Outils!$M$3:$R$72,MATCH(YEAR(Client!$B$5),Outils!$M$3:$M$72,0),3)*L8,3410)*L7*IF(Client!$B$6&gt;=3,1.1,1)</f>
        <v>0</v>
      </c>
    </row>
    <row r="12" spans="1:24" ht="15.75" thickBot="1" x14ac:dyDescent="0.3">
      <c r="A12" s="224"/>
      <c r="B12" s="239" t="s">
        <v>43</v>
      </c>
      <c r="C12" s="240"/>
      <c r="D12" s="241"/>
      <c r="E12" s="89">
        <f>E11*0.909+E10</f>
        <v>0</v>
      </c>
      <c r="F12" s="89">
        <f>F11*0.909+F10</f>
        <v>0</v>
      </c>
      <c r="G12" s="89">
        <f t="shared" ref="G12:L12" si="2">G11*0.909+G10</f>
        <v>0</v>
      </c>
      <c r="H12" s="89">
        <f t="shared" si="2"/>
        <v>0</v>
      </c>
      <c r="I12" s="89">
        <f t="shared" si="2"/>
        <v>0</v>
      </c>
      <c r="J12" s="89">
        <f t="shared" si="2"/>
        <v>0</v>
      </c>
      <c r="K12" s="89">
        <f t="shared" si="2"/>
        <v>0</v>
      </c>
      <c r="L12" s="101">
        <f t="shared" si="2"/>
        <v>0</v>
      </c>
    </row>
    <row r="13" spans="1:24" x14ac:dyDescent="0.25">
      <c r="A13" s="225" t="s">
        <v>44</v>
      </c>
      <c r="B13" s="216" t="s">
        <v>45</v>
      </c>
      <c r="C13" s="217"/>
      <c r="D13" s="218"/>
      <c r="E13" s="87">
        <f>SUM(Trimestres!$K$4:INDEX(Trimestres!$K$4:$K$58,MATCH(E1,Trimestres!$B4:$B58,0)))</f>
        <v>0</v>
      </c>
      <c r="F13" s="87">
        <f>SUM(Trimestres!$K$4:INDEX(Trimestres!$K$4:$K$58,MATCH(F1,Trimestres!$B4:$B58,0)))</f>
        <v>0</v>
      </c>
      <c r="G13" s="87">
        <f>SUM(Trimestres!$K$4:INDEX(Trimestres!$K$4:$K$58,MATCH(G1,Trimestres!$B4:$B58,0)))</f>
        <v>0</v>
      </c>
      <c r="H13" s="87">
        <f>SUM(Trimestres!$K$4:INDEX(Trimestres!$K$4:$K$58,MATCH(H1,Trimestres!$B4:$B58,0)))</f>
        <v>0</v>
      </c>
      <c r="I13" s="87">
        <f>SUM(Trimestres!$K$4:INDEX(Trimestres!$K$4:$K$58,MATCH(I1,Trimestres!$B4:$B58,0)))</f>
        <v>0</v>
      </c>
      <c r="J13" s="87">
        <f>SUM(Trimestres!$K$4:INDEX(Trimestres!$K$4:$K$58,MATCH(J1,Trimestres!$B4:$B58,0)))</f>
        <v>0</v>
      </c>
      <c r="K13" s="87">
        <f>SUM(Trimestres!$K$4:INDEX(Trimestres!$K$4:$K$58,MATCH(K1,Trimestres!$B4:$B58,0)))</f>
        <v>0</v>
      </c>
      <c r="L13" s="102">
        <f>SUM(Trimestres!$K$4:INDEX(Trimestres!$K$4:$K$58,MATCH(L1,Trimestres!$B4:$B58,0)))</f>
        <v>0</v>
      </c>
    </row>
    <row r="14" spans="1:24" x14ac:dyDescent="0.25">
      <c r="A14" s="226"/>
      <c r="B14" s="219" t="s">
        <v>41</v>
      </c>
      <c r="C14" s="220"/>
      <c r="D14" s="221"/>
      <c r="E14" s="88">
        <f>E9</f>
        <v>0</v>
      </c>
      <c r="F14" s="88">
        <f>F9</f>
        <v>0</v>
      </c>
      <c r="G14" s="88">
        <f t="shared" ref="G14:L14" si="3">G9</f>
        <v>1</v>
      </c>
      <c r="H14" s="88">
        <f t="shared" si="3"/>
        <v>5</v>
      </c>
      <c r="I14" s="88">
        <f t="shared" si="3"/>
        <v>9</v>
      </c>
      <c r="J14" s="88">
        <f t="shared" si="3"/>
        <v>13</v>
      </c>
      <c r="K14" s="88">
        <f t="shared" si="3"/>
        <v>17</v>
      </c>
      <c r="L14" s="103">
        <f t="shared" si="3"/>
        <v>21</v>
      </c>
    </row>
    <row r="15" spans="1:24" x14ac:dyDescent="0.25">
      <c r="A15" s="226"/>
      <c r="B15" s="219" t="s">
        <v>22</v>
      </c>
      <c r="C15" s="220"/>
      <c r="D15" s="221"/>
      <c r="E15" s="88">
        <f>E13*4.008*150/168*IF(Client!$B$6&gt;=3,1.1,1)*E14*0.0125*(1-9.1%)</f>
        <v>0</v>
      </c>
      <c r="F15" s="88">
        <f>F13*4.008*150/168*IF(Client!$B$6&gt;=3,1.1,1)*F14*0.0125*(1-9.1%)</f>
        <v>0</v>
      </c>
      <c r="G15" s="88">
        <f>G13*4.008*150/168*IF(Client!$B$6&gt;=3,1.1,1)*G14*0.0125*(1-9.1%)</f>
        <v>0</v>
      </c>
      <c r="H15" s="88">
        <f>H13*4.008*150/168*IF(Client!$B$6&gt;=3,1.1,1)*H14*0.0125*(1-9.1%)</f>
        <v>0</v>
      </c>
      <c r="I15" s="88">
        <f>I13*4.008*150/168*IF(Client!$B$6&gt;=3,1.1,1)*I14*0.0125*(1-9.1%)</f>
        <v>0</v>
      </c>
      <c r="J15" s="88">
        <f>J13*4.008*150/168*IF(Client!$B$6&gt;=3,1.1,1)*J14*0.0125*(1-9.1%)</f>
        <v>0</v>
      </c>
      <c r="K15" s="88">
        <f>K13*4.008*150/168*IF(Client!$B$6&gt;=3,1.1,1)*K14*0.0125*(1-9.1%)</f>
        <v>0</v>
      </c>
      <c r="L15" s="103">
        <f>L13*4.008*150/168*IF(Client!$B$6&gt;=3,1.1,1)*L14*0.0125*(1-9.1%)</f>
        <v>0</v>
      </c>
    </row>
    <row r="16" spans="1:24" x14ac:dyDescent="0.25">
      <c r="A16" s="226"/>
      <c r="B16" s="216" t="s">
        <v>42</v>
      </c>
      <c r="C16" s="217"/>
      <c r="D16" s="218"/>
      <c r="E16" s="88">
        <f>4.008*E13*150/INDEX(Outils!$M$3:$R$72,MATCH(YEAR(Client!$B$5),Outils!$M$3:$M$72,0),3)*E7*IF(Client!$B$6&gt;=3,1.1,1)</f>
        <v>0</v>
      </c>
      <c r="F16" s="88">
        <f>4.008*F13*150/INDEX(Outils!$M$3:$R$72,MATCH(YEAR(Client!$B$5),Outils!$M$3:$M$72,0),3)*F7*IF(Client!$B$6&gt;=3,1.1,1)</f>
        <v>0</v>
      </c>
      <c r="G16" s="88">
        <f>4.008*G13*150/INDEX(Outils!$M$3:$R$72,MATCH(YEAR(Client!$B$5),Outils!$M$3:$M$72,0),3)*G7*IF(Client!$B$6&gt;=3,1.1,1)</f>
        <v>0</v>
      </c>
      <c r="H16" s="88">
        <f>4.008*H13*150/INDEX(Outils!$M$3:$R$72,MATCH(YEAR(Client!$B$5),Outils!$M$3:$M$72,0),3)*H7*IF(Client!$B$6&gt;=3,1.1,1)</f>
        <v>0</v>
      </c>
      <c r="I16" s="88">
        <f>4.008*I13*150/INDEX(Outils!$M$3:$R$72,MATCH(YEAR(Client!$B$5),Outils!$M$3:$M$72,0),3)*I7*IF(Client!$B$6&gt;=3,1.1,1)</f>
        <v>0</v>
      </c>
      <c r="J16" s="88">
        <f>4.008*J13*150/INDEX(Outils!$M$3:$R$72,MATCH(YEAR(Client!$B$5),Outils!$M$3:$M$72,0),3)*J7*IF(Client!$B$6&gt;=3,1.1,1)</f>
        <v>0</v>
      </c>
      <c r="K16" s="88">
        <f>4.008*K13*150/INDEX(Outils!$M$3:$R$72,MATCH(YEAR(Client!$B$5),Outils!$M$3:$M$72,0),3)*K7*IF(Client!$B$6&gt;=3,1.1,1)</f>
        <v>0</v>
      </c>
      <c r="L16" s="103">
        <f>4.008*L13*150/INDEX(Outils!$M$3:$R$72,MATCH(YEAR(Client!$B$5),Outils!$M$3:$M$72,0),3)*L7*IF(Client!$B$6&gt;=3,1.1,1)</f>
        <v>0</v>
      </c>
    </row>
    <row r="17" spans="1:12" ht="15.75" thickBot="1" x14ac:dyDescent="0.3">
      <c r="A17" s="227"/>
      <c r="B17" s="216" t="s">
        <v>43</v>
      </c>
      <c r="C17" s="217"/>
      <c r="D17" s="218"/>
      <c r="E17" s="88">
        <f>E16*(1-9.1%)+E15</f>
        <v>0</v>
      </c>
      <c r="F17" s="88">
        <f>F16*(1-9.1%)+F15</f>
        <v>0</v>
      </c>
      <c r="G17" s="88">
        <f t="shared" ref="G17:L17" si="4">G16*(1-9.1%)+G15</f>
        <v>0</v>
      </c>
      <c r="H17" s="88">
        <f t="shared" si="4"/>
        <v>0</v>
      </c>
      <c r="I17" s="88">
        <f t="shared" si="4"/>
        <v>0</v>
      </c>
      <c r="J17" s="88">
        <f t="shared" si="4"/>
        <v>0</v>
      </c>
      <c r="K17" s="88">
        <f t="shared" si="4"/>
        <v>0</v>
      </c>
      <c r="L17" s="103">
        <f t="shared" si="4"/>
        <v>0</v>
      </c>
    </row>
    <row r="18" spans="1:12" x14ac:dyDescent="0.25">
      <c r="A18" s="228" t="s">
        <v>46</v>
      </c>
      <c r="B18" s="209" t="s">
        <v>47</v>
      </c>
      <c r="C18" s="210"/>
      <c r="D18" s="211"/>
      <c r="E18" s="93">
        <f>SUM(Trimestres!$L$4:INDEX(Trimestres!$L$4:$L$58,MATCH(E1,Trimestres!$B4:$B58,0)))+E26</f>
        <v>0</v>
      </c>
      <c r="F18" s="93">
        <f>SUM(Trimestres!$L$4:INDEX(Trimestres!$L$4:$L$58,MATCH(F1,Trimestres!$B4:$B58,0)))+F26</f>
        <v>0</v>
      </c>
      <c r="G18" s="93">
        <f>SUM(Trimestres!$L$4:INDEX(Trimestres!$L$4:$L$58,MATCH(G1,Trimestres!$B4:$B58,0)))+G26</f>
        <v>1150</v>
      </c>
      <c r="H18" s="93">
        <f>SUM(Trimestres!$L$4:INDEX(Trimestres!$L$4:$L$58,MATCH(H1,Trimestres!$B4:$B58,0)))+H26</f>
        <v>1050</v>
      </c>
      <c r="I18" s="93">
        <f>SUM(Trimestres!$L$4:INDEX(Trimestres!$L$4:$L$58,MATCH(I1,Trimestres!$B4:$B58,0)))+I26</f>
        <v>950</v>
      </c>
      <c r="J18" s="93">
        <f>SUM(Trimestres!$L$4:INDEX(Trimestres!$L$4:$L$58,MATCH(J1,Trimestres!$B4:$B58,0)))+J26</f>
        <v>850</v>
      </c>
      <c r="K18" s="93">
        <f>SUM(Trimestres!$L$4:INDEX(Trimestres!$L$4:$L$58,MATCH(K1,Trimestres!$B4:$B58,0)))+K26</f>
        <v>750</v>
      </c>
      <c r="L18" s="104">
        <f>SUM(Trimestres!$L$4:INDEX(Trimestres!$L$4:$L$58,MATCH(L1,Trimestres!$B4:$B58,0)))+L26</f>
        <v>650</v>
      </c>
    </row>
    <row r="19" spans="1:12" x14ac:dyDescent="0.25">
      <c r="A19" s="229"/>
      <c r="B19" s="209" t="s">
        <v>48</v>
      </c>
      <c r="C19" s="210"/>
      <c r="D19" s="211"/>
      <c r="E19" s="94">
        <f>E18*0.3392*IF(Client!$B$6&gt;=3,1.1,1)</f>
        <v>0</v>
      </c>
      <c r="F19" s="94">
        <f>F18*0.3392*IF(Client!$B$6&gt;=3,1.1,1)</f>
        <v>0</v>
      </c>
      <c r="G19" s="94">
        <f>G18*0.3392*IF(Client!$B$6&gt;=3,1.1,1)</f>
        <v>429.08800000000002</v>
      </c>
      <c r="H19" s="94">
        <f>H18*0.3392*IF(Client!$B$6&gt;=3,1.1,1)</f>
        <v>391.77600000000007</v>
      </c>
      <c r="I19" s="94">
        <f>I18*0.3392*IF(Client!$B$6&gt;=3,1.1,1)</f>
        <v>354.46400000000006</v>
      </c>
      <c r="J19" s="94">
        <f>J18*0.3392*IF(Client!$B$6&gt;=3,1.1,1)</f>
        <v>317.15200000000004</v>
      </c>
      <c r="K19" s="94">
        <f>K18*0.3392*IF(Client!$B$6&gt;=3,1.1,1)</f>
        <v>279.84000000000003</v>
      </c>
      <c r="L19" s="105">
        <f>L18*0.3392*IF(Client!$B$6&gt;=3,1.1,1)</f>
        <v>242.52800000000002</v>
      </c>
    </row>
    <row r="20" spans="1:12" ht="15.75" thickBot="1" x14ac:dyDescent="0.3">
      <c r="A20" s="229"/>
      <c r="B20" s="209" t="s">
        <v>49</v>
      </c>
      <c r="C20" s="210"/>
      <c r="D20" s="211"/>
      <c r="E20" s="106">
        <f>E19*0.909</f>
        <v>0</v>
      </c>
      <c r="F20" s="106">
        <f>F19*0.909</f>
        <v>0</v>
      </c>
      <c r="G20" s="106">
        <f t="shared" ref="G20:L20" si="5">G19*0.909</f>
        <v>390.04099200000002</v>
      </c>
      <c r="H20" s="106">
        <f t="shared" si="5"/>
        <v>356.12438400000008</v>
      </c>
      <c r="I20" s="106">
        <f t="shared" si="5"/>
        <v>322.20777600000008</v>
      </c>
      <c r="J20" s="106">
        <f t="shared" si="5"/>
        <v>288.29116800000003</v>
      </c>
      <c r="K20" s="106">
        <f t="shared" si="5"/>
        <v>254.37456000000003</v>
      </c>
      <c r="L20" s="107">
        <f t="shared" si="5"/>
        <v>220.45795200000003</v>
      </c>
    </row>
    <row r="21" spans="1:12" ht="15.75" thickBot="1" x14ac:dyDescent="0.3">
      <c r="A21" s="206" t="s">
        <v>50</v>
      </c>
      <c r="B21" s="207"/>
      <c r="C21" s="207"/>
      <c r="D21" s="208"/>
      <c r="E21" s="91">
        <f>E20+E17+E12</f>
        <v>0</v>
      </c>
      <c r="F21" s="91">
        <f>F20+F17+F12</f>
        <v>0</v>
      </c>
      <c r="G21" s="91">
        <f t="shared" ref="G21:L21" si="6">G20+G17+G12</f>
        <v>390.04099200000002</v>
      </c>
      <c r="H21" s="91">
        <f t="shared" si="6"/>
        <v>356.12438400000008</v>
      </c>
      <c r="I21" s="91">
        <f t="shared" si="6"/>
        <v>322.20777600000008</v>
      </c>
      <c r="J21" s="91">
        <f t="shared" si="6"/>
        <v>288.29116800000003</v>
      </c>
      <c r="K21" s="91">
        <f t="shared" si="6"/>
        <v>254.37456000000003</v>
      </c>
      <c r="L21" s="92">
        <f t="shared" si="6"/>
        <v>220.45795200000003</v>
      </c>
    </row>
    <row r="22" spans="1:12" ht="15.75" thickBot="1" x14ac:dyDescent="0.3">
      <c r="A22" s="41"/>
      <c r="B22" s="41"/>
      <c r="G22" s="41"/>
      <c r="H22" s="41"/>
      <c r="I22" s="41"/>
      <c r="J22" s="41"/>
      <c r="K22" s="41"/>
      <c r="L22" s="41"/>
    </row>
    <row r="23" spans="1:12" x14ac:dyDescent="0.25">
      <c r="A23" s="212" t="s">
        <v>73</v>
      </c>
      <c r="B23" s="213"/>
      <c r="C23" s="213"/>
      <c r="D23" s="213"/>
      <c r="E23" s="157">
        <v>21</v>
      </c>
      <c r="F23" s="85"/>
      <c r="G23" s="85"/>
      <c r="H23" s="85"/>
      <c r="I23" s="85"/>
      <c r="J23" s="85"/>
      <c r="K23" s="85"/>
      <c r="L23" s="86"/>
    </row>
    <row r="24" spans="1:12" x14ac:dyDescent="0.25">
      <c r="A24" s="214" t="s">
        <v>74</v>
      </c>
      <c r="B24" s="215"/>
      <c r="C24" s="215"/>
      <c r="D24" s="215"/>
      <c r="E24" s="109">
        <f>YEAR(E2)-2002</f>
        <v>24</v>
      </c>
      <c r="F24" s="108">
        <f>YEAR(F2)-2002</f>
        <v>25</v>
      </c>
      <c r="G24" s="108">
        <f t="shared" ref="G24:L24" si="7">YEAR(G2)-2002</f>
        <v>26</v>
      </c>
      <c r="H24" s="108">
        <f t="shared" si="7"/>
        <v>27</v>
      </c>
      <c r="I24" s="108">
        <f t="shared" si="7"/>
        <v>28</v>
      </c>
      <c r="J24" s="108">
        <f t="shared" si="7"/>
        <v>29</v>
      </c>
      <c r="K24" s="108">
        <f t="shared" si="7"/>
        <v>30</v>
      </c>
      <c r="L24" s="110">
        <f t="shared" si="7"/>
        <v>31</v>
      </c>
    </row>
    <row r="25" spans="1:12" x14ac:dyDescent="0.25">
      <c r="A25" s="214" t="s">
        <v>75</v>
      </c>
      <c r="B25" s="215"/>
      <c r="C25" s="215"/>
      <c r="D25" s="215"/>
      <c r="E25" s="109">
        <f>($E$23)*100</f>
        <v>2100</v>
      </c>
      <c r="F25" s="108">
        <f>($E$23)*100</f>
        <v>2100</v>
      </c>
      <c r="G25" s="108">
        <f t="shared" ref="G25:L25" si="8">($E$23)*100</f>
        <v>2100</v>
      </c>
      <c r="H25" s="108">
        <f t="shared" si="8"/>
        <v>2100</v>
      </c>
      <c r="I25" s="108">
        <f t="shared" si="8"/>
        <v>2100</v>
      </c>
      <c r="J25" s="108">
        <f t="shared" si="8"/>
        <v>2100</v>
      </c>
      <c r="K25" s="108">
        <f t="shared" si="8"/>
        <v>2100</v>
      </c>
      <c r="L25" s="110">
        <f t="shared" si="8"/>
        <v>2100</v>
      </c>
    </row>
    <row r="26" spans="1:12" ht="15.75" thickBot="1" x14ac:dyDescent="0.3">
      <c r="A26" s="204" t="s">
        <v>76</v>
      </c>
      <c r="B26" s="205"/>
      <c r="C26" s="205"/>
      <c r="D26" s="205"/>
      <c r="E26" s="111">
        <f>IF(E7=1,MIN((37.5-E24)*100,E25),0)</f>
        <v>0</v>
      </c>
      <c r="F26" s="112">
        <f>IF(F7=1,MIN((37.5-F24)*100,F25),0)</f>
        <v>0</v>
      </c>
      <c r="G26" s="112">
        <f t="shared" ref="G26:L26" si="9">IF(G7=1,MIN((37.5-G24)*100,G25),0)</f>
        <v>1150</v>
      </c>
      <c r="H26" s="112">
        <f t="shared" si="9"/>
        <v>1050</v>
      </c>
      <c r="I26" s="112">
        <f t="shared" si="9"/>
        <v>950</v>
      </c>
      <c r="J26" s="112">
        <f t="shared" si="9"/>
        <v>850</v>
      </c>
      <c r="K26" s="112">
        <f t="shared" si="9"/>
        <v>750</v>
      </c>
      <c r="L26" s="113">
        <f t="shared" si="9"/>
        <v>650</v>
      </c>
    </row>
    <row r="27" spans="1:12" x14ac:dyDescent="0.25">
      <c r="A27" s="41"/>
      <c r="B27" s="41"/>
      <c r="E27" s="41"/>
      <c r="F27" s="41"/>
      <c r="G27" s="41"/>
      <c r="H27" s="41"/>
      <c r="I27" s="41"/>
      <c r="J27" s="41"/>
    </row>
    <row r="29" spans="1:12" x14ac:dyDescent="0.25">
      <c r="B29" s="195" t="s">
        <v>70</v>
      </c>
      <c r="C29" s="195"/>
      <c r="D29" s="195"/>
      <c r="E29" s="158" t="s">
        <v>54</v>
      </c>
      <c r="F29" s="158" t="s">
        <v>29</v>
      </c>
      <c r="G29" s="158" t="s">
        <v>53</v>
      </c>
      <c r="H29" s="158" t="s">
        <v>55</v>
      </c>
      <c r="I29" s="41"/>
    </row>
    <row r="30" spans="1:12" x14ac:dyDescent="0.25">
      <c r="B30" s="196"/>
      <c r="C30" s="196"/>
      <c r="D30" s="196"/>
      <c r="E30" s="160"/>
      <c r="F30" s="160"/>
      <c r="G30" s="160"/>
      <c r="H30" s="160"/>
    </row>
    <row r="31" spans="1:12" x14ac:dyDescent="0.25">
      <c r="B31" s="195" t="s">
        <v>56</v>
      </c>
      <c r="C31" s="195"/>
      <c r="D31" s="195"/>
      <c r="E31" s="162">
        <f>INDEX(Q3:X3,1,MATCH(YEAR(Client!$B$14),MSA!$Q$1:$X$1,0))/0.909</f>
        <v>0</v>
      </c>
      <c r="F31" s="162">
        <f>E31/12</f>
        <v>0</v>
      </c>
      <c r="G31" s="161">
        <f>E31*0.909</f>
        <v>0</v>
      </c>
      <c r="H31" s="162">
        <f>G31/12</f>
        <v>0</v>
      </c>
    </row>
    <row r="32" spans="1:12" x14ac:dyDescent="0.25">
      <c r="B32" s="203" t="s">
        <v>57</v>
      </c>
      <c r="C32" s="203"/>
      <c r="D32" s="203"/>
      <c r="E32" s="162">
        <f>INDEX(Q4:X4,1,MATCH(YEAR(Client!$B$14),MSA!$Q$1:$X$1,0))/0.899</f>
        <v>0</v>
      </c>
      <c r="F32" s="162">
        <f>E32/12</f>
        <v>0</v>
      </c>
      <c r="G32" s="161">
        <f>E32*0.899</f>
        <v>0</v>
      </c>
      <c r="H32" s="162">
        <f>G32/12</f>
        <v>0</v>
      </c>
    </row>
    <row r="33" spans="2:8" x14ac:dyDescent="0.25">
      <c r="B33" s="195" t="s">
        <v>24</v>
      </c>
      <c r="C33" s="195"/>
      <c r="D33" s="195"/>
      <c r="E33" s="162">
        <f>INDEX(Q5:X5,1,MATCH(YEAR(Client!$B$14),MSA!$Q$1:$X$1,0))/0.899</f>
        <v>433.86094771968857</v>
      </c>
      <c r="F33" s="162">
        <f>E33/12</f>
        <v>36.155078976640716</v>
      </c>
      <c r="G33" s="161">
        <f>E33*0.899</f>
        <v>390.04099200000002</v>
      </c>
      <c r="H33" s="162">
        <f>G33/12</f>
        <v>32.503416000000001</v>
      </c>
    </row>
    <row r="34" spans="2:8" x14ac:dyDescent="0.25">
      <c r="B34" s="196"/>
      <c r="C34" s="196"/>
      <c r="D34" s="196"/>
      <c r="E34" s="160"/>
      <c r="F34" s="160"/>
      <c r="G34" s="160"/>
      <c r="H34" s="160"/>
    </row>
    <row r="35" spans="2:8" x14ac:dyDescent="0.25">
      <c r="B35" s="197" t="s">
        <v>58</v>
      </c>
      <c r="C35" s="197"/>
      <c r="D35" s="197"/>
      <c r="E35" s="165">
        <f>SUM(E31:E33)</f>
        <v>433.86094771968857</v>
      </c>
      <c r="F35" s="165">
        <f>SUM(F31:F33)</f>
        <v>36.155078976640716</v>
      </c>
      <c r="G35" s="165">
        <f>SUM(G31:G33)</f>
        <v>390.04099200000002</v>
      </c>
      <c r="H35" s="165">
        <f>SUM(H31:H33)</f>
        <v>32.503416000000001</v>
      </c>
    </row>
  </sheetData>
  <mergeCells count="45">
    <mergeCell ref="A13:A17"/>
    <mergeCell ref="A18:A20"/>
    <mergeCell ref="B1:D1"/>
    <mergeCell ref="B2:D2"/>
    <mergeCell ref="B3:D3"/>
    <mergeCell ref="B4:D4"/>
    <mergeCell ref="B5:D5"/>
    <mergeCell ref="B18:D18"/>
    <mergeCell ref="B6:D6"/>
    <mergeCell ref="B7:D7"/>
    <mergeCell ref="B8:D8"/>
    <mergeCell ref="B9:D9"/>
    <mergeCell ref="B10:D10"/>
    <mergeCell ref="B11:D11"/>
    <mergeCell ref="B12:D12"/>
    <mergeCell ref="N3:P3"/>
    <mergeCell ref="A26:D26"/>
    <mergeCell ref="A21:D21"/>
    <mergeCell ref="N1:P1"/>
    <mergeCell ref="N2:P2"/>
    <mergeCell ref="B19:D19"/>
    <mergeCell ref="B20:D20"/>
    <mergeCell ref="A23:D23"/>
    <mergeCell ref="A24:D24"/>
    <mergeCell ref="A25:D25"/>
    <mergeCell ref="B13:D13"/>
    <mergeCell ref="B14:D14"/>
    <mergeCell ref="B16:D16"/>
    <mergeCell ref="B15:D15"/>
    <mergeCell ref="B17:D17"/>
    <mergeCell ref="A8:A12"/>
    <mergeCell ref="B33:D33"/>
    <mergeCell ref="B34:D34"/>
    <mergeCell ref="B35:D35"/>
    <mergeCell ref="N10:P10"/>
    <mergeCell ref="N4:P4"/>
    <mergeCell ref="N5:P5"/>
    <mergeCell ref="N6:P6"/>
    <mergeCell ref="N7:P7"/>
    <mergeCell ref="N8:P8"/>
    <mergeCell ref="N9:P9"/>
    <mergeCell ref="B29:D29"/>
    <mergeCell ref="B30:D30"/>
    <mergeCell ref="B31:D31"/>
    <mergeCell ref="B32:D32"/>
  </mergeCells>
  <pageMargins left="0.7" right="0.7" top="0.75" bottom="0.75" header="0.3" footer="0.3"/>
  <pageSetup paperSize="9" scale="61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hisWorkbook.enregistrer_hypothèse">
                <anchor moveWithCells="1" sizeWithCells="1">
                  <from>
                    <xdr:col>14</xdr:col>
                    <xdr:colOff>9525</xdr:colOff>
                    <xdr:row>14</xdr:row>
                    <xdr:rowOff>38100</xdr:rowOff>
                  </from>
                  <to>
                    <xdr:col>17</xdr:col>
                    <xdr:colOff>400050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hisWorkbook.hypothèse_base">
                <anchor moveWithCells="1" sizeWithCells="1">
                  <from>
                    <xdr:col>14</xdr:col>
                    <xdr:colOff>9525</xdr:colOff>
                    <xdr:row>19</xdr:row>
                    <xdr:rowOff>66675</xdr:rowOff>
                  </from>
                  <to>
                    <xdr:col>17</xdr:col>
                    <xdr:colOff>400050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X24"/>
  <sheetViews>
    <sheetView zoomScaleNormal="100" workbookViewId="0">
      <selection activeCell="P20" sqref="P20"/>
    </sheetView>
  </sheetViews>
  <sheetFormatPr baseColWidth="10" defaultColWidth="12.7109375" defaultRowHeight="15" x14ac:dyDescent="0.25"/>
  <cols>
    <col min="3" max="3" width="8.28515625" customWidth="1"/>
    <col min="13" max="13" width="12.7109375" customWidth="1"/>
    <col min="15" max="15" width="5.140625" customWidth="1"/>
    <col min="16" max="23" width="9.7109375" customWidth="1"/>
  </cols>
  <sheetData>
    <row r="1" spans="1:24" ht="15.75" thickBot="1" x14ac:dyDescent="0.3">
      <c r="A1" s="256" t="s">
        <v>71</v>
      </c>
      <c r="B1" s="256"/>
      <c r="C1" s="47" t="s">
        <v>137</v>
      </c>
      <c r="E1" s="41"/>
      <c r="F1" s="41"/>
      <c r="G1" s="41"/>
      <c r="H1" s="41"/>
      <c r="I1" s="41"/>
      <c r="J1" s="41"/>
      <c r="K1" s="41"/>
      <c r="N1" s="180" t="s">
        <v>106</v>
      </c>
      <c r="O1" s="180"/>
      <c r="P1" s="180"/>
      <c r="Q1" s="158">
        <f>INDEX(Trimestres!$A$4:$B$50,MATCH('Salarié et assimilés'!D2,Trimestres!$B$4:$B$50,0),1)</f>
        <v>2026</v>
      </c>
      <c r="R1" s="158">
        <f t="shared" ref="R1:X1" si="0">Q1+1</f>
        <v>2027</v>
      </c>
      <c r="S1" s="158">
        <f t="shared" si="0"/>
        <v>2028</v>
      </c>
      <c r="T1" s="158">
        <f t="shared" si="0"/>
        <v>2029</v>
      </c>
      <c r="U1" s="158">
        <f t="shared" si="0"/>
        <v>2030</v>
      </c>
      <c r="V1" s="158">
        <f t="shared" si="0"/>
        <v>2031</v>
      </c>
      <c r="W1" s="158">
        <f t="shared" si="0"/>
        <v>2032</v>
      </c>
      <c r="X1" s="158">
        <f t="shared" si="0"/>
        <v>2033</v>
      </c>
    </row>
    <row r="2" spans="1:24" x14ac:dyDescent="0.25">
      <c r="A2" s="257" t="s">
        <v>12</v>
      </c>
      <c r="B2" s="258"/>
      <c r="C2" s="258"/>
      <c r="D2" s="48">
        <f>INDEX(Outils!M2:R72,MATCH(YEAR(Client!B5),Outils!M3:M72,0),2)-2</f>
        <v>60</v>
      </c>
      <c r="E2" s="48">
        <f t="shared" ref="E2:K2" si="1">D2+1</f>
        <v>61</v>
      </c>
      <c r="F2" s="49">
        <f t="shared" si="1"/>
        <v>62</v>
      </c>
      <c r="G2" s="49">
        <f t="shared" si="1"/>
        <v>63</v>
      </c>
      <c r="H2" s="49">
        <f t="shared" si="1"/>
        <v>64</v>
      </c>
      <c r="I2" s="49">
        <f t="shared" si="1"/>
        <v>65</v>
      </c>
      <c r="J2" s="49">
        <f t="shared" si="1"/>
        <v>66</v>
      </c>
      <c r="K2" s="50">
        <f t="shared" si="1"/>
        <v>67</v>
      </c>
      <c r="N2" s="181"/>
      <c r="O2" s="181"/>
      <c r="P2" s="181"/>
      <c r="Q2" s="159"/>
      <c r="R2" s="159"/>
      <c r="S2" s="160"/>
      <c r="T2" s="160"/>
      <c r="U2" s="160"/>
      <c r="V2" s="160"/>
      <c r="W2" s="160"/>
      <c r="X2" s="160"/>
    </row>
    <row r="3" spans="1:24" x14ac:dyDescent="0.25">
      <c r="A3" s="233" t="s">
        <v>13</v>
      </c>
      <c r="B3" s="234"/>
      <c r="C3" s="234"/>
      <c r="D3" s="51">
        <f>SUM(Trimestres!$J$4:INDEX(Trimestres!$J$4:$J$55,MATCH(D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D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162</v>
      </c>
      <c r="E3" s="51">
        <f>SUM(Trimestres!$J$4:INDEX(Trimestres!$J$4:$J$55,MATCH(E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E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166</v>
      </c>
      <c r="F3" s="51">
        <f>SUM(Trimestres!$J$4:INDEX(Trimestres!$J$4:$J$55,MATCH(F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F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170</v>
      </c>
      <c r="G3" s="51">
        <f>SUM(Trimestres!$J$4:INDEX(Trimestres!$J$4:$J$55,MATCH(G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G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174</v>
      </c>
      <c r="H3" s="51">
        <f>SUM(Trimestres!$J$4:INDEX(Trimestres!$J$4:$J$55,MATCH(H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H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178</v>
      </c>
      <c r="I3" s="51">
        <f>SUM(Trimestres!$J$4:INDEX(Trimestres!$J$4:$J$55,MATCH(I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I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182</v>
      </c>
      <c r="J3" s="51">
        <f>SUM(Trimestres!$J$4:INDEX(Trimestres!$J$4:$J$55,MATCH(J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J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186</v>
      </c>
      <c r="K3" s="179">
        <f>SUM(Trimestres!$J$4:INDEX(Trimestres!$J$4:$J$55,MATCH(K2,Trimestres!$B4:$B55,0)))+IF(Client!$B$2="Mme",Client!$B$6*8,0)-IF(OR($C$1="Janvier",$C$1="Février",$C$1="Mars"),4,IF(OR($C$1="Avril",$C$1="Mai",$C$1="Juin"),3,IF(OR($C$1="Juillet",$C$1="Aout",$C$1="Septembre"),2,IF(OR($C$1="Octobre",$C$1="Novembre",$C$1="Décembre"),1,IF($C$1="Exploitant",0,0)))))+IF(K2&gt;=Client!$B$15,IF(OR('Salarié et assimilés'!$C$1="Janvier",'Salarié et assimilés'!$C$1="Février",'Salarié et assimilés'!$C$1="Mars"),4,IF(OR('Salarié et assimilés'!$C$1="Avril",'Salarié et assimilés'!$C$1="Mai",'Salarié et assimilés'!$C$1="Juin"),3,IF(OR('Salarié et assimilés'!$C$1="Juillet",'Salarié et assimilés'!$C$1="Aout",'Salarié et assimilés'!$C$1="Septembre"),2,IF(OR('Salarié et assimilés'!$C$1="Octobre",'Salarié et assimilés'!$C$1="Novembre",'Salarié et assimilés'!$C$1="Décembre"),1,IF('Salarié et assimilés'!$C$1="Exploitant",0,0))))),0)</f>
        <v>190</v>
      </c>
      <c r="N3" s="180" t="s">
        <v>23</v>
      </c>
      <c r="O3" s="180"/>
      <c r="P3" s="180"/>
      <c r="Q3" s="161">
        <f>'Salarié et assimilés'!D7</f>
        <v>8433.2638555455633</v>
      </c>
      <c r="R3" s="161">
        <f>'Salarié et assimilés'!E7</f>
        <v>9114.9990361562159</v>
      </c>
      <c r="S3" s="161">
        <f>'Salarié et assimilés'!F7</f>
        <v>9641.2757760000004</v>
      </c>
      <c r="T3" s="162">
        <f>'Salarié et assimilés'!G7</f>
        <v>9641.2757760000004</v>
      </c>
      <c r="U3" s="162">
        <f>'Salarié et assimilés'!H7</f>
        <v>9641.2757760000004</v>
      </c>
      <c r="V3" s="162">
        <f>'Salarié et assimilés'!I7</f>
        <v>9641.2757760000004</v>
      </c>
      <c r="W3" s="162">
        <f>'Salarié et assimilés'!J7</f>
        <v>9641.2757760000004</v>
      </c>
      <c r="X3" s="162">
        <f>'Salarié et assimilés'!K7</f>
        <v>9641.2757760000004</v>
      </c>
    </row>
    <row r="4" spans="1:24" x14ac:dyDescent="0.25">
      <c r="A4" s="251" t="s">
        <v>14</v>
      </c>
      <c r="B4" s="252"/>
      <c r="C4" s="252"/>
      <c r="D4" s="123">
        <f>MIN(MAX(0.5-(INDEX(Outils!$M$3:$R$72,MATCH(YEAR(Client!$B$5),Outils!$M$3:$M$72,0),6))/2*(INDEX(Outils!$M$3:$R$72,MATCH(YEAR(Client!$B$5),Outils!$M$3:$M$72,0),3)-D3),0.5-(($K$2-D2)*4*INDEX(Outils!$M$3:$R$72,MATCH(YEAR(Client!$B$5),Outils!$M$3:$M$72,0),6)/2)),0.5)</f>
        <v>0.45624999999999999</v>
      </c>
      <c r="E4" s="123">
        <f>MIN(MAX(0.5-(INDEX(Outils!$M$3:$R$72,MATCH(YEAR(Client!$B$5),Outils!$M$3:$M$72,0),6))/2*(INDEX(Outils!$M$3:$R$72,MATCH(YEAR(Client!$B$5),Outils!$M$3:$M$72,0),3)-E3),0.5-(($K$2-E2)*4*INDEX(Outils!$M$3:$R$72,MATCH(YEAR(Client!$B$5),Outils!$M$3:$M$72,0),6)/2)),0.5)</f>
        <v>0.48125000000000001</v>
      </c>
      <c r="F4" s="124">
        <f>MIN(MAX(0.5-(INDEX(Outils!$M$3:$R$72,MATCH(YEAR(Client!$B$5),Outils!$M$3:$M$72,0),6))/2*(INDEX(Outils!$M$3:$R$72,MATCH(YEAR(Client!$B$5),Outils!$M$3:$M$72,0),3)-F3),0.5-(($K$2-F2)*4*INDEX(Outils!$M$3:$R$72,MATCH(YEAR(Client!$B$5),Outils!$M$3:$M$72,0),6)/2)),0.5)</f>
        <v>0.5</v>
      </c>
      <c r="G4" s="124">
        <f>MIN(MAX(0.5-(INDEX(Outils!$M$3:$R$72,MATCH(YEAR(Client!$B$5),Outils!$M$3:$M$72,0),6))/2*(INDEX(Outils!$M$3:$R$72,MATCH(YEAR(Client!$B$5),Outils!$M$3:$M$72,0),3)-G3),0.5-(($K$2-G2)*4*INDEX(Outils!$M$3:$R$72,MATCH(YEAR(Client!$B$5),Outils!$M$3:$M$72,0),6)/2)),0.5)</f>
        <v>0.5</v>
      </c>
      <c r="H4" s="124">
        <f>MIN(MAX(0.5-(INDEX(Outils!$M$3:$R$72,MATCH(YEAR(Client!$B$5),Outils!$M$3:$M$72,0),6))/2*(INDEX(Outils!$M$3:$R$72,MATCH(YEAR(Client!$B$5),Outils!$M$3:$M$72,0),3)-H3),0.5-(($K$2-H2)*4*INDEX(Outils!$M$3:$R$72,MATCH(YEAR(Client!$B$5),Outils!$M$3:$M$72,0),6)/2)),0.5)</f>
        <v>0.5</v>
      </c>
      <c r="I4" s="124">
        <f>MIN(MAX(0.5-(INDEX(Outils!$M$3:$R$72,MATCH(YEAR(Client!$B$5),Outils!$M$3:$M$72,0),6))/2*(INDEX(Outils!$M$3:$R$72,MATCH(YEAR(Client!$B$5),Outils!$M$3:$M$72,0),3)-I3),0.5-(($K$2-I2)*4*INDEX(Outils!$M$3:$R$72,MATCH(YEAR(Client!$B$5),Outils!$M$3:$M$72,0),6)/2)),0.5)</f>
        <v>0.5</v>
      </c>
      <c r="J4" s="124">
        <f>MIN(MAX(0.5-(INDEX(Outils!$M$3:$R$72,MATCH(YEAR(Client!$B$5),Outils!$M$3:$M$72,0),6))/2*(INDEX(Outils!$M$3:$R$72,MATCH(YEAR(Client!$B$5),Outils!$M$3:$M$72,0),3)-J3),0.5-(($K$2-J2)*4*INDEX(Outils!$M$3:$R$72,MATCH(YEAR(Client!$B$5),Outils!$M$3:$M$72,0),6)/2)),0.5)</f>
        <v>0.5</v>
      </c>
      <c r="K4" s="125">
        <f>MIN(MAX(0.5-(INDEX(Outils!$M$3:$R$72,MATCH(YEAR(Client!$B$5),Outils!$M$3:$M$72,0),6))/2*(INDEX(Outils!$M$3:$R$72,MATCH(YEAR(Client!$B$5),Outils!$M$3:$M$72,0),3)-K3),0.5-(($K$2-K2)*4*INDEX(Outils!$M$3:$R$72,MATCH(YEAR(Client!$B$5),Outils!$M$3:$M$72,0),6)/2)),0.5)</f>
        <v>0.5</v>
      </c>
      <c r="N4" s="180" t="s">
        <v>105</v>
      </c>
      <c r="O4" s="180"/>
      <c r="P4" s="180"/>
      <c r="Q4" s="161">
        <f>'Salarié et assimilés'!D13</f>
        <v>5769.2527949086461</v>
      </c>
      <c r="R4" s="161">
        <f>'Salarié et assimilés'!E13</f>
        <v>5849.9009542216781</v>
      </c>
      <c r="S4" s="161">
        <f>'Salarié et assimilés'!F13</f>
        <v>5930.5491135347111</v>
      </c>
      <c r="T4" s="162">
        <f>'Salarié et assimilés'!G13</f>
        <v>6011.1972728477431</v>
      </c>
      <c r="U4" s="162">
        <f>'Salarié et assimilés'!H13</f>
        <v>6091.8454321607742</v>
      </c>
      <c r="V4" s="162">
        <f>'Salarié et assimilés'!I13</f>
        <v>6172.4935914738071</v>
      </c>
      <c r="W4" s="162">
        <f>'Salarié et assimilés'!J13</f>
        <v>6253.14175078684</v>
      </c>
      <c r="X4" s="162">
        <f>'Salarié et assimilés'!K13</f>
        <v>6333.789910099872</v>
      </c>
    </row>
    <row r="5" spans="1:24" x14ac:dyDescent="0.25">
      <c r="A5" s="251" t="s">
        <v>6</v>
      </c>
      <c r="B5" s="252"/>
      <c r="C5" s="252"/>
      <c r="D5" s="52">
        <f>AVERAGE(Outils!D2:D26)</f>
        <v>19284.48</v>
      </c>
      <c r="E5" s="52">
        <f>AVERAGE(Outils!E2:E26)</f>
        <v>19284.48</v>
      </c>
      <c r="F5" s="52">
        <f>AVERAGE(Outils!F2:F26)</f>
        <v>19284.48</v>
      </c>
      <c r="G5" s="52">
        <f>AVERAGE(Outils!G2:G26)</f>
        <v>19284.48</v>
      </c>
      <c r="H5" s="52">
        <f>AVERAGE(Outils!H2:H26)</f>
        <v>19284.48</v>
      </c>
      <c r="I5" s="52">
        <f>AVERAGE(Outils!I2:I26)</f>
        <v>19284.48</v>
      </c>
      <c r="J5" s="52">
        <f>AVERAGE(Outils!J2:J26)</f>
        <v>19284.48</v>
      </c>
      <c r="K5" s="53">
        <f>AVERAGE(Outils!K2:K26)</f>
        <v>19284.48</v>
      </c>
      <c r="N5" s="180" t="s">
        <v>107</v>
      </c>
      <c r="O5" s="180"/>
      <c r="P5" s="180"/>
      <c r="Q5" s="163">
        <f>'Salarié et assimilés'!D11</f>
        <v>0</v>
      </c>
      <c r="R5" s="163">
        <f>'Salarié et assimilés'!E11</f>
        <v>0</v>
      </c>
      <c r="S5" s="163">
        <f>'Salarié et assimilés'!F11</f>
        <v>0</v>
      </c>
      <c r="T5" s="164">
        <f>'Salarié et assimilés'!G11</f>
        <v>0</v>
      </c>
      <c r="U5" s="164">
        <f>'Salarié et assimilés'!H11</f>
        <v>0</v>
      </c>
      <c r="V5" s="164">
        <f>'Salarié et assimilés'!I11</f>
        <v>0</v>
      </c>
      <c r="W5" s="164">
        <f>'Salarié et assimilés'!J11</f>
        <v>0</v>
      </c>
      <c r="X5" s="164">
        <f>'Salarié et assimilés'!K11</f>
        <v>0</v>
      </c>
    </row>
    <row r="6" spans="1:24" x14ac:dyDescent="0.25">
      <c r="A6" s="251" t="s">
        <v>23</v>
      </c>
      <c r="B6" s="252"/>
      <c r="C6" s="252"/>
      <c r="D6" s="54">
        <f>D5*D4*MIN(D3/INDEX(Outils!$M$3:$R$72,MATCH(YEAR(Client!$B$5),Outils!$M$3:$M$72,0),3),1)*IF(Client!$B$6&gt;=3,1.1,1)</f>
        <v>9277.5179928994094</v>
      </c>
      <c r="E6" s="54">
        <f>E5*E4*MIN(E3/INDEX(Outils!$M$3:$R$72,MATCH(YEAR(Client!$B$5),Outils!$M$3:$M$72,0),3),1)*IF(Client!$B$6&gt;=3,1.1,1)</f>
        <v>10027.501689940831</v>
      </c>
      <c r="F6" s="55">
        <f>F5*F4*MIN(F3/INDEX(Outils!$M$3:$R$72,MATCH(YEAR(Client!$B$5),Outils!$M$3:$M$72,0),3),1)*IF(Client!$B$6&gt;=3,1.1,1)</f>
        <v>10606.464</v>
      </c>
      <c r="G6" s="55">
        <f>G5*G4*MIN(G3/INDEX(Outils!$M$3:$R$72,MATCH(YEAR(Client!$B$5),Outils!$M$3:$M$72,0),3),1)*IF(Client!$B$6&gt;=3,1.1,1)</f>
        <v>10606.464</v>
      </c>
      <c r="H6" s="55">
        <f>H5*H4*MIN(H3/INDEX(Outils!$M$3:$R$72,MATCH(YEAR(Client!$B$5),Outils!$M$3:$M$72,0),3),1)*IF(Client!$B$6&gt;=3,1.1,1)</f>
        <v>10606.464</v>
      </c>
      <c r="I6" s="55">
        <f>I5*I4*MIN(I3/INDEX(Outils!$M$3:$R$72,MATCH(YEAR(Client!$B$5),Outils!$M$3:$M$72,0),3),1)*IF(Client!$B$6&gt;=3,1.1,1)</f>
        <v>10606.464</v>
      </c>
      <c r="J6" s="55">
        <f>J5*J4*MIN(J3/INDEX(Outils!$M$3:$R$72,MATCH(YEAR(Client!$B$5),Outils!$M$3:$M$72,0),3),1)*IF(Client!$B$6&gt;=3,1.1,1)</f>
        <v>10606.464</v>
      </c>
      <c r="K6" s="56">
        <f>K5*K4*MIN(K3/INDEX(Outils!$M$3:$R$72,MATCH(YEAR(Client!$B$5),Outils!$M$3:$M$72,0),3),1)*IF(Client!$B$6&gt;=3,1.1,1)</f>
        <v>10606.464</v>
      </c>
      <c r="N6" s="182"/>
      <c r="O6" s="182"/>
      <c r="P6" s="182"/>
      <c r="Q6" s="161"/>
      <c r="R6" s="161"/>
      <c r="S6" s="161"/>
      <c r="T6" s="162"/>
      <c r="U6" s="162"/>
      <c r="V6" s="162"/>
      <c r="W6" s="162"/>
      <c r="X6" s="162"/>
    </row>
    <row r="7" spans="1:24" x14ac:dyDescent="0.25">
      <c r="A7" s="248" t="s">
        <v>67</v>
      </c>
      <c r="B7" s="249"/>
      <c r="C7" s="249"/>
      <c r="D7" s="54">
        <f t="shared" ref="D7:K7" si="2">D6*0.909</f>
        <v>8433.2638555455633</v>
      </c>
      <c r="E7" s="54">
        <f t="shared" si="2"/>
        <v>9114.9990361562159</v>
      </c>
      <c r="F7" s="55">
        <f t="shared" si="2"/>
        <v>9641.2757760000004</v>
      </c>
      <c r="G7" s="55">
        <f t="shared" si="2"/>
        <v>9641.2757760000004</v>
      </c>
      <c r="H7" s="55">
        <f t="shared" si="2"/>
        <v>9641.2757760000004</v>
      </c>
      <c r="I7" s="55">
        <f t="shared" si="2"/>
        <v>9641.2757760000004</v>
      </c>
      <c r="J7" s="55">
        <f t="shared" si="2"/>
        <v>9641.2757760000004</v>
      </c>
      <c r="K7" s="56">
        <f t="shared" si="2"/>
        <v>9641.2757760000004</v>
      </c>
      <c r="N7" s="180" t="s">
        <v>62</v>
      </c>
      <c r="O7" s="180"/>
      <c r="P7" s="180"/>
      <c r="Q7" s="161">
        <f>Trimestres!H101+Trimestres!H106</f>
        <v>0</v>
      </c>
      <c r="R7" s="161">
        <f>Trimestres!J101+Trimestres!J106</f>
        <v>0</v>
      </c>
      <c r="S7" s="161">
        <f>Trimestres!K101+Trimestres!K106</f>
        <v>0</v>
      </c>
      <c r="T7" s="162">
        <f>'Salarié et assimilés'!G9*Trimestres!$F$56/168</f>
        <v>561.89005714285724</v>
      </c>
      <c r="U7" s="162">
        <f>'Salarié et assimilés'!H9*Trimestres!$F$56/168</f>
        <v>1123.7801142857145</v>
      </c>
      <c r="V7" s="162">
        <f>'Salarié et assimilés'!I9*Trimestres!$F$56/168</f>
        <v>1685.6701714285716</v>
      </c>
      <c r="W7" s="162">
        <f>'Salarié et assimilés'!J9*Trimestres!$F$56/168</f>
        <v>2247.560228571429</v>
      </c>
      <c r="X7" s="162">
        <f>'Salarié et assimilés'!K9*Trimestres!$F$56/168</f>
        <v>2809.4502857142857</v>
      </c>
    </row>
    <row r="8" spans="1:24" x14ac:dyDescent="0.25">
      <c r="A8" s="251" t="s">
        <v>64</v>
      </c>
      <c r="B8" s="252"/>
      <c r="C8" s="252"/>
      <c r="D8" s="54">
        <f t="shared" ref="D8:K8" si="3">MAX(IF(D4=0.5,D3-$F$3,0),0)</f>
        <v>0</v>
      </c>
      <c r="E8" s="54">
        <f t="shared" si="3"/>
        <v>0</v>
      </c>
      <c r="F8" s="55">
        <f t="shared" si="3"/>
        <v>0</v>
      </c>
      <c r="G8" s="55">
        <f t="shared" si="3"/>
        <v>4</v>
      </c>
      <c r="H8" s="55">
        <f t="shared" si="3"/>
        <v>8</v>
      </c>
      <c r="I8" s="55">
        <f t="shared" si="3"/>
        <v>12</v>
      </c>
      <c r="J8" s="55">
        <f t="shared" si="3"/>
        <v>16</v>
      </c>
      <c r="K8" s="56">
        <f t="shared" si="3"/>
        <v>20</v>
      </c>
      <c r="N8" s="181"/>
      <c r="O8" s="181"/>
      <c r="P8" s="181"/>
      <c r="Q8" s="159"/>
      <c r="R8" s="159"/>
      <c r="S8" s="160"/>
      <c r="T8" s="160"/>
      <c r="U8" s="160"/>
      <c r="V8" s="160"/>
      <c r="W8" s="160"/>
      <c r="X8" s="160"/>
    </row>
    <row r="9" spans="1:24" x14ac:dyDescent="0.25">
      <c r="A9" s="251" t="s">
        <v>22</v>
      </c>
      <c r="B9" s="252"/>
      <c r="C9" s="252"/>
      <c r="D9" s="54">
        <f>D5*D4*MIN(D3/INDEX(Outils!$M$3:$R$72,MATCH(YEAR(Client!$B$5),Outils!$M$3:$M$72,0),3),1)*IF(Client!$B$6&gt;=3,1.1,1)*D8*0.0125</f>
        <v>0</v>
      </c>
      <c r="E9" s="54">
        <f>E5*E4*MIN(E3/INDEX(Outils!$M$3:$R$72,MATCH(YEAR(Client!$B$5),Outils!$M$3:$M$72,0),3),1)*IF(Client!$B$6&gt;=3,1.1,1)*E8*0.0125</f>
        <v>0</v>
      </c>
      <c r="F9" s="55">
        <f>F5*F4*MIN(F3/INDEX(Outils!$M$3:$R$72,MATCH(YEAR(Client!$B$5),Outils!$M$3:$M$72,0),3),1)*IF(Client!$B$6&gt;=3,1.1,1)*F8*0.0125</f>
        <v>0</v>
      </c>
      <c r="G9" s="55">
        <f>G5*G4*MIN(G3/INDEX(Outils!$M$3:$R$72,MATCH(YEAR(Client!$B$5),Outils!$M$3:$M$72,0),3),1)*IF(Client!$B$6&gt;=3,1.1,1)*G8*0.0125</f>
        <v>530.32320000000004</v>
      </c>
      <c r="H9" s="55">
        <f>H5*H4*MIN(H3/INDEX(Outils!$M$3:$R$72,MATCH(YEAR(Client!$B$5),Outils!$M$3:$M$72,0),3),1)*IF(Client!$B$6&gt;=3,1.1,1)*H8*0.0125</f>
        <v>1060.6464000000001</v>
      </c>
      <c r="I9" s="55">
        <f>I5*I4*MIN(I3/INDEX(Outils!$M$3:$R$72,MATCH(YEAR(Client!$B$5),Outils!$M$3:$M$72,0),3),1)*IF(Client!$B$6&gt;=3,1.1,1)*I8*0.0125</f>
        <v>1590.9696000000001</v>
      </c>
      <c r="J9" s="55">
        <f>J5*J4*MIN(J3/INDEX(Outils!$M$3:$R$72,MATCH(YEAR(Client!$B$5),Outils!$M$3:$M$72,0),3),1)*IF(Client!$B$6&gt;=3,1.1,1)*J8*0.0125</f>
        <v>2121.2928000000002</v>
      </c>
      <c r="K9" s="56">
        <f>K5*K4*MIN(K3/INDEX(Outils!$M$3:$R$72,MATCH(YEAR(Client!$B$5),Outils!$M$3:$M$72,0),3),1)*IF(Client!$B$6&gt;=3,1.1,1)*K8*0.0125</f>
        <v>2651.616</v>
      </c>
      <c r="N9" s="183" t="s">
        <v>72</v>
      </c>
      <c r="O9" s="183"/>
      <c r="P9" s="183"/>
      <c r="Q9" s="165">
        <f t="shared" ref="Q9:X9" si="4">SUM(Q3:Q7)</f>
        <v>14202.51665045421</v>
      </c>
      <c r="R9" s="165">
        <f t="shared" si="4"/>
        <v>14964.899990377893</v>
      </c>
      <c r="S9" s="165">
        <f t="shared" si="4"/>
        <v>15571.824889534711</v>
      </c>
      <c r="T9" s="165">
        <f t="shared" si="4"/>
        <v>16214.3631059906</v>
      </c>
      <c r="U9" s="165">
        <f t="shared" si="4"/>
        <v>16856.901322446487</v>
      </c>
      <c r="V9" s="165">
        <f t="shared" si="4"/>
        <v>17499.439538902378</v>
      </c>
      <c r="W9" s="165">
        <f t="shared" si="4"/>
        <v>18141.977755358272</v>
      </c>
      <c r="X9" s="165">
        <f t="shared" si="4"/>
        <v>18784.515971814159</v>
      </c>
    </row>
    <row r="10" spans="1:24" x14ac:dyDescent="0.25">
      <c r="A10" s="251" t="s">
        <v>101</v>
      </c>
      <c r="B10" s="252"/>
      <c r="C10" s="252"/>
      <c r="D10" s="54">
        <f>(SUM(Trimestres!$N$4:INDEX(Trimestres!$N$4:$N$55,MATCH(D2-1,Trimestres!$B4:$B55,0)))+INDEX(Trimestres!$N$4:$N$55,MATCH(D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E10" s="54">
        <f>(SUM(Trimestres!$N$4:INDEX(Trimestres!$N$4:$N$55,MATCH(E2-1,Trimestres!$B4:$B55,0)))+INDEX(Trimestres!$N$4:$N$55,MATCH(E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F10" s="54">
        <f>(SUM(Trimestres!$N$4:INDEX(Trimestres!$N$4:$N$55,MATCH(F2-1,Trimestres!$B4:$B55,0)))+INDEX(Trimestres!$N$4:$N$55,MATCH(F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G10" s="54">
        <f>(SUM(Trimestres!$N$4:INDEX(Trimestres!$N$4:$N$55,MATCH(G2-1,Trimestres!$B4:$B55,0)))+INDEX(Trimestres!$N$4:$N$55,MATCH(G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H10" s="54">
        <f>(SUM(Trimestres!$N$4:INDEX(Trimestres!$N$4:$N$55,MATCH(H2-1,Trimestres!$B4:$B55,0)))+INDEX(Trimestres!$N$4:$N$55,MATCH(H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I10" s="54">
        <f>(SUM(Trimestres!$N$4:INDEX(Trimestres!$N$4:$N$55,MATCH(I2-1,Trimestres!$B4:$B55,0)))+INDEX(Trimestres!$N$4:$N$55,MATCH(I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J10" s="54">
        <f>(SUM(Trimestres!$N$4:INDEX(Trimestres!$N$4:$N$55,MATCH(J2-1,Trimestres!$B4:$B55,0)))+INDEX(Trimestres!$N$4:$N$55,MATCH(J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K10" s="122">
        <f>(SUM(Trimestres!$N$4:INDEX(Trimestres!$N$4:$N$55,MATCH(K2-1,Trimestres!$B4:$B55,0)))+INDEX(Trimestres!$N$4:$N$55,MATCH(K2,Trimestres!$B4:$B55,0))*IF(OR($C$1="Janvier",$C$1="Février",$C$1="Mars"),0,IF(OR($C$1="Avril",$C$1="Mai",$C$1="Juin"),3,IF(OR($C$1="Juillet",$C$1="Aout",$C$1="Septembre"),6,IF(OR($C$1="Octobre",$C$1="Novembre",$C$1="Décembre"),9,0))))/12)*1.208*IF(Client!$B$6&gt;=3,1.1,1)</f>
        <v>0</v>
      </c>
      <c r="N10" s="255" t="s">
        <v>60</v>
      </c>
      <c r="O10" s="255"/>
      <c r="P10" s="255"/>
      <c r="Q10" s="165">
        <f t="shared" ref="Q10:X10" si="5">Q9/12</f>
        <v>1183.5430542045176</v>
      </c>
      <c r="R10" s="165">
        <f t="shared" si="5"/>
        <v>1247.0749991981577</v>
      </c>
      <c r="S10" s="165">
        <f t="shared" si="5"/>
        <v>1297.6520741278925</v>
      </c>
      <c r="T10" s="165">
        <f t="shared" si="5"/>
        <v>1351.1969254992166</v>
      </c>
      <c r="U10" s="165">
        <f t="shared" si="5"/>
        <v>1404.7417768705407</v>
      </c>
      <c r="V10" s="165">
        <f t="shared" si="5"/>
        <v>1458.2866282418647</v>
      </c>
      <c r="W10" s="165">
        <f t="shared" si="5"/>
        <v>1511.8314796131892</v>
      </c>
      <c r="X10" s="165">
        <f t="shared" si="5"/>
        <v>1565.3763309845133</v>
      </c>
    </row>
    <row r="11" spans="1:24" x14ac:dyDescent="0.25">
      <c r="A11" s="248" t="s">
        <v>102</v>
      </c>
      <c r="B11" s="249"/>
      <c r="C11" s="249"/>
      <c r="D11" s="54">
        <f t="shared" ref="D11:K11" si="6">D10*0.909</f>
        <v>0</v>
      </c>
      <c r="E11" s="54">
        <f t="shared" si="6"/>
        <v>0</v>
      </c>
      <c r="F11" s="54">
        <f t="shared" si="6"/>
        <v>0</v>
      </c>
      <c r="G11" s="54">
        <f t="shared" si="6"/>
        <v>0</v>
      </c>
      <c r="H11" s="54">
        <f t="shared" si="6"/>
        <v>0</v>
      </c>
      <c r="I11" s="54">
        <f t="shared" si="6"/>
        <v>0</v>
      </c>
      <c r="J11" s="54">
        <f t="shared" si="6"/>
        <v>0</v>
      </c>
      <c r="K11" s="122">
        <f t="shared" si="6"/>
        <v>0</v>
      </c>
    </row>
    <row r="12" spans="1:24" x14ac:dyDescent="0.25">
      <c r="A12" s="251" t="s">
        <v>103</v>
      </c>
      <c r="B12" s="252"/>
      <c r="C12" s="252"/>
      <c r="D12" s="54">
        <f>(SUM(Trimestres!$O$4:INDEX(Trimestres!$O$4:$O$55,MATCH(D2-1,Trimestres!$B4:$B55,0)))+INDEX(Trimestres!$O$4:$O$55,MATCH(D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6417.4113402765806</v>
      </c>
      <c r="E12" s="54">
        <f>(SUM(Trimestres!$O$4:INDEX(Trimestres!$O$4:$O$55,MATCH(E2-1,Trimestres!$B4:$B55,0)))+INDEX(Trimestres!$O$4:$O$55,MATCH(E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6507.1200825602646</v>
      </c>
      <c r="F12" s="54">
        <f>(SUM(Trimestres!$O$4:INDEX(Trimestres!$O$4:$O$55,MATCH(F2-1,Trimestres!$B4:$B55,0)))+INDEX(Trimestres!$O$4:$O$55,MATCH(F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6596.8288248439494</v>
      </c>
      <c r="G12" s="54">
        <f>(SUM(Trimestres!$O$4:INDEX(Trimestres!$O$4:$O$55,MATCH(G2-1,Trimestres!$B4:$B55,0)))+INDEX(Trimestres!$O$4:$O$55,MATCH(G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6686.5375671276342</v>
      </c>
      <c r="H12" s="54">
        <f>(SUM(Trimestres!$O$4:INDEX(Trimestres!$O$4:$O$55,MATCH(H2-1,Trimestres!$B4:$B55,0)))+INDEX(Trimestres!$O$4:$O$55,MATCH(H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6776.2463094113173</v>
      </c>
      <c r="I12" s="54">
        <f>(SUM(Trimestres!$O$4:INDEX(Trimestres!$O$4:$O$55,MATCH(I2-1,Trimestres!$B4:$B55,0)))+INDEX(Trimestres!$O$4:$O$55,MATCH(I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6865.9550516950021</v>
      </c>
      <c r="J12" s="54">
        <f>(SUM(Trimestres!$O$4:INDEX(Trimestres!$O$4:$O$55,MATCH(J2-1,Trimestres!$B4:$B55,0)))+INDEX(Trimestres!$O$4:$O$55,MATCH(J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6955.663793978687</v>
      </c>
      <c r="K12" s="122">
        <f>(SUM(Trimestres!$O$4:INDEX(Trimestres!$O$4:$O$55,MATCH(K2-1,Trimestres!$B4:$B55,0)))+INDEX(Trimestres!$O$4:$O$55,MATCH(K2,Trimestres!$B4:$B55,0))*IF(OR($C$1="Janvier",$C$1="Février",$C$1="Mars"),0,IF(OR($C$1="Avril",$C$1="Mai",$C$1="Juin"),3,IF(OR($C$1="Juillet",$C$1="Aout",$C$1="Septembre"),6,IF(OR($C$1="Octobre",$C$1="Novembre",$C$1="Décembre"),9,0))))/12)*1.2714*IF(Client!$B$6&gt;=3,1.1,1)</f>
        <v>7045.3725362623718</v>
      </c>
    </row>
    <row r="13" spans="1:24" x14ac:dyDescent="0.25">
      <c r="A13" s="248" t="s">
        <v>104</v>
      </c>
      <c r="B13" s="249"/>
      <c r="C13" s="249"/>
      <c r="D13" s="54">
        <f t="shared" ref="D13:K13" si="7">D12*0.899</f>
        <v>5769.2527949086461</v>
      </c>
      <c r="E13" s="54">
        <f t="shared" si="7"/>
        <v>5849.9009542216781</v>
      </c>
      <c r="F13" s="55">
        <f t="shared" si="7"/>
        <v>5930.5491135347111</v>
      </c>
      <c r="G13" s="55">
        <f t="shared" si="7"/>
        <v>6011.1972728477431</v>
      </c>
      <c r="H13" s="55">
        <f t="shared" si="7"/>
        <v>6091.8454321607742</v>
      </c>
      <c r="I13" s="55">
        <f t="shared" si="7"/>
        <v>6172.4935914738071</v>
      </c>
      <c r="J13" s="55">
        <f t="shared" si="7"/>
        <v>6253.14175078684</v>
      </c>
      <c r="K13" s="56">
        <f t="shared" si="7"/>
        <v>6333.789910099872</v>
      </c>
    </row>
    <row r="14" spans="1:24" x14ac:dyDescent="0.25">
      <c r="A14" s="251" t="s">
        <v>26</v>
      </c>
      <c r="B14" s="252"/>
      <c r="C14" s="252"/>
      <c r="D14" s="54">
        <f t="shared" ref="D14:K14" si="8">SUM(D6+D9+D12)</f>
        <v>15694.929333175991</v>
      </c>
      <c r="E14" s="54">
        <f t="shared" si="8"/>
        <v>16534.621772501094</v>
      </c>
      <c r="F14" s="55">
        <f t="shared" si="8"/>
        <v>17203.292824843949</v>
      </c>
      <c r="G14" s="55">
        <f t="shared" si="8"/>
        <v>17823.324767127633</v>
      </c>
      <c r="H14" s="55">
        <f t="shared" si="8"/>
        <v>18443.356709411317</v>
      </c>
      <c r="I14" s="55">
        <f t="shared" si="8"/>
        <v>19063.388651695001</v>
      </c>
      <c r="J14" s="55">
        <f t="shared" si="8"/>
        <v>19683.420593978684</v>
      </c>
      <c r="K14" s="56">
        <f t="shared" si="8"/>
        <v>20303.452536262372</v>
      </c>
    </row>
    <row r="15" spans="1:24" ht="15.75" thickBot="1" x14ac:dyDescent="0.3">
      <c r="A15" s="253" t="s">
        <v>27</v>
      </c>
      <c r="B15" s="254"/>
      <c r="C15" s="254"/>
      <c r="D15" s="58">
        <f t="shared" ref="D15:K15" si="9">SUM((D6+D9)*0.909+D12*0.899)</f>
        <v>14202.51665045421</v>
      </c>
      <c r="E15" s="58">
        <f t="shared" si="9"/>
        <v>14964.899990377893</v>
      </c>
      <c r="F15" s="59">
        <f t="shared" si="9"/>
        <v>15571.824889534711</v>
      </c>
      <c r="G15" s="59">
        <f t="shared" si="9"/>
        <v>16134.536837647744</v>
      </c>
      <c r="H15" s="59">
        <f t="shared" si="9"/>
        <v>16697.248785760774</v>
      </c>
      <c r="I15" s="59">
        <f t="shared" si="9"/>
        <v>17259.960733873806</v>
      </c>
      <c r="J15" s="59">
        <f t="shared" si="9"/>
        <v>17822.672681986838</v>
      </c>
      <c r="K15" s="60">
        <f t="shared" si="9"/>
        <v>18385.384630099874</v>
      </c>
    </row>
    <row r="18" spans="1:7" x14ac:dyDescent="0.25">
      <c r="A18" s="199" t="s">
        <v>69</v>
      </c>
      <c r="B18" s="199"/>
      <c r="C18" s="199"/>
      <c r="D18" s="158" t="s">
        <v>54</v>
      </c>
      <c r="E18" s="158" t="s">
        <v>29</v>
      </c>
      <c r="F18" s="158" t="s">
        <v>53</v>
      </c>
      <c r="G18" s="158" t="s">
        <v>55</v>
      </c>
    </row>
    <row r="19" spans="1:7" x14ac:dyDescent="0.25">
      <c r="A19" s="201"/>
      <c r="B19" s="201"/>
      <c r="C19" s="201"/>
      <c r="D19" s="160"/>
      <c r="E19" s="160"/>
      <c r="F19" s="160"/>
      <c r="G19" s="160"/>
    </row>
    <row r="20" spans="1:7" x14ac:dyDescent="0.25">
      <c r="A20" s="199" t="s">
        <v>23</v>
      </c>
      <c r="B20" s="199"/>
      <c r="C20" s="199"/>
      <c r="D20" s="162">
        <f>INDEX('Salarié et assimilés'!$Q$3:$X$5,1,MATCH(Client!B15,'Salarié et assimilés'!$D$2:$K$2,0))/0.909</f>
        <v>10606.464</v>
      </c>
      <c r="E20" s="162">
        <f>D20/12</f>
        <v>883.87199999999996</v>
      </c>
      <c r="F20" s="161">
        <f>D20*0.909</f>
        <v>9641.2757760000004</v>
      </c>
      <c r="G20" s="162">
        <f>F20/12</f>
        <v>803.43964800000003</v>
      </c>
    </row>
    <row r="21" spans="1:7" x14ac:dyDescent="0.25">
      <c r="A21" s="199" t="s">
        <v>105</v>
      </c>
      <c r="B21" s="199"/>
      <c r="C21" s="199"/>
      <c r="D21" s="162">
        <f>INDEX('Salarié et assimilés'!$Q$3:$X$5,2,MATCH(Client!$B$15,'Salarié et assimilés'!$D$2:$K$2,0))/0.899</f>
        <v>6596.8288248439503</v>
      </c>
      <c r="E21" s="162">
        <f>D21/12</f>
        <v>549.73573540366249</v>
      </c>
      <c r="F21" s="162">
        <f>D21*0.899</f>
        <v>5930.5491135347111</v>
      </c>
      <c r="G21" s="162">
        <f>F21/12</f>
        <v>494.21242612789257</v>
      </c>
    </row>
    <row r="22" spans="1:7" x14ac:dyDescent="0.25">
      <c r="A22" s="199" t="s">
        <v>107</v>
      </c>
      <c r="B22" s="199"/>
      <c r="C22" s="199"/>
      <c r="D22" s="162">
        <f>INDEX('Salarié et assimilés'!$Q$3:$X$5,3,MATCH(Client!$B$15,'Salarié et assimilés'!$D$2:$K$2,0))/0.909</f>
        <v>0</v>
      </c>
      <c r="E22" s="162">
        <f>D22/12</f>
        <v>0</v>
      </c>
      <c r="F22" s="162">
        <f>D22*0.899</f>
        <v>0</v>
      </c>
      <c r="G22" s="162">
        <f>F22/12</f>
        <v>0</v>
      </c>
    </row>
    <row r="23" spans="1:7" x14ac:dyDescent="0.25">
      <c r="A23" s="250"/>
      <c r="B23" s="250"/>
      <c r="C23" s="250"/>
      <c r="D23" s="166"/>
      <c r="E23" s="166"/>
      <c r="F23" s="166"/>
      <c r="G23" s="166"/>
    </row>
    <row r="24" spans="1:7" x14ac:dyDescent="0.25">
      <c r="A24" s="202" t="s">
        <v>58</v>
      </c>
      <c r="B24" s="202"/>
      <c r="C24" s="202"/>
      <c r="D24" s="165">
        <f>SUM(D20:D22)</f>
        <v>17203.292824843949</v>
      </c>
      <c r="E24" s="165">
        <f>SUM(E20:E22)</f>
        <v>1433.6077354036624</v>
      </c>
      <c r="F24" s="165">
        <f>SUM(F20:F22)</f>
        <v>15571.824889534711</v>
      </c>
      <c r="G24" s="165">
        <f>SUM(G20:G22)</f>
        <v>1297.6520741278925</v>
      </c>
    </row>
  </sheetData>
  <mergeCells count="23">
    <mergeCell ref="N10:P10"/>
    <mergeCell ref="A1:B1"/>
    <mergeCell ref="A2:C2"/>
    <mergeCell ref="A3:C3"/>
    <mergeCell ref="A4:C4"/>
    <mergeCell ref="A5:C5"/>
    <mergeCell ref="A7:C7"/>
    <mergeCell ref="A8:C8"/>
    <mergeCell ref="A9:C9"/>
    <mergeCell ref="A10:C10"/>
    <mergeCell ref="A6:C6"/>
    <mergeCell ref="A11:C11"/>
    <mergeCell ref="A22:C22"/>
    <mergeCell ref="A24:C24"/>
    <mergeCell ref="A23:C23"/>
    <mergeCell ref="A12:C12"/>
    <mergeCell ref="A13:C13"/>
    <mergeCell ref="A14:C14"/>
    <mergeCell ref="A15:C15"/>
    <mergeCell ref="A18:C18"/>
    <mergeCell ref="A19:C19"/>
    <mergeCell ref="A20:C20"/>
    <mergeCell ref="A21:C21"/>
  </mergeCells>
  <dataValidations count="1">
    <dataValidation type="list" allowBlank="1" showInputMessage="1" showErrorMessage="1" sqref="C1">
      <formula1>"Janvier,Février,Mars,Avril,Mai,Juin,Juillet,Aout,Septembre,Octobre,Novembre,Décembre,Exploitant"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ThisWorkbook.enregistrer_hypothèse">
                <anchor moveWithCells="1" sizeWithCells="1">
                  <from>
                    <xdr:col>8</xdr:col>
                    <xdr:colOff>657225</xdr:colOff>
                    <xdr:row>17</xdr:row>
                    <xdr:rowOff>152400</xdr:rowOff>
                  </from>
                  <to>
                    <xdr:col>11</xdr:col>
                    <xdr:colOff>504825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ThisWorkbook.hypothèse_base">
                <anchor moveWithCells="1" sizeWithCells="1">
                  <from>
                    <xdr:col>8</xdr:col>
                    <xdr:colOff>657225</xdr:colOff>
                    <xdr:row>23</xdr:row>
                    <xdr:rowOff>28575</xdr:rowOff>
                  </from>
                  <to>
                    <xdr:col>11</xdr:col>
                    <xdr:colOff>504825</xdr:colOff>
                    <xdr:row>26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9"/>
  <sheetViews>
    <sheetView topLeftCell="M1" zoomScale="110" zoomScaleNormal="110" workbookViewId="0">
      <selection activeCell="R31" sqref="R31"/>
    </sheetView>
  </sheetViews>
  <sheetFormatPr baseColWidth="10" defaultColWidth="13.7109375" defaultRowHeight="12" x14ac:dyDescent="0.2"/>
  <cols>
    <col min="1" max="2" width="8.7109375" style="167" hidden="1" customWidth="1"/>
    <col min="3" max="3" width="12.85546875" style="167" hidden="1" customWidth="1"/>
    <col min="4" max="9" width="8.7109375" style="167" hidden="1" customWidth="1"/>
    <col min="10" max="12" width="0" style="167" hidden="1" customWidth="1"/>
    <col min="13" max="16384" width="13.7109375" style="167"/>
  </cols>
  <sheetData>
    <row r="1" spans="14:24" x14ac:dyDescent="0.2">
      <c r="N1" s="199" t="s">
        <v>86</v>
      </c>
      <c r="O1" s="199"/>
      <c r="P1" s="199"/>
      <c r="Q1" s="158">
        <f>MSA!Q1</f>
        <v>2026</v>
      </c>
      <c r="R1" s="158">
        <f>MSA!R1</f>
        <v>2027</v>
      </c>
      <c r="S1" s="158">
        <f>MSA!S1</f>
        <v>2028</v>
      </c>
      <c r="T1" s="158">
        <f>MSA!T1</f>
        <v>2029</v>
      </c>
      <c r="U1" s="158">
        <f>MSA!U1</f>
        <v>2030</v>
      </c>
      <c r="V1" s="158">
        <f>MSA!V1</f>
        <v>2031</v>
      </c>
      <c r="W1" s="158">
        <f>MSA!W1</f>
        <v>2032</v>
      </c>
      <c r="X1" s="158">
        <f>MSA!X1</f>
        <v>2033</v>
      </c>
    </row>
    <row r="2" spans="14:24" x14ac:dyDescent="0.2">
      <c r="N2" s="201"/>
      <c r="O2" s="201"/>
      <c r="P2" s="201"/>
      <c r="Q2" s="160"/>
      <c r="R2" s="160"/>
      <c r="S2" s="160"/>
      <c r="T2" s="160"/>
      <c r="U2" s="160"/>
      <c r="V2" s="160"/>
      <c r="W2" s="160"/>
      <c r="X2" s="160"/>
    </row>
    <row r="3" spans="14:24" x14ac:dyDescent="0.2">
      <c r="N3" s="199" t="s">
        <v>87</v>
      </c>
      <c r="O3" s="199"/>
      <c r="P3" s="199"/>
      <c r="Q3" s="162">
        <f>MSA!Q9</f>
        <v>0</v>
      </c>
      <c r="R3" s="162">
        <f>MSA!R9</f>
        <v>0</v>
      </c>
      <c r="S3" s="162">
        <f>MSA!S9</f>
        <v>390.04099200000002</v>
      </c>
      <c r="T3" s="162">
        <f>MSA!T9</f>
        <v>356.12438400000008</v>
      </c>
      <c r="U3" s="162">
        <f>MSA!U9</f>
        <v>322.20777600000008</v>
      </c>
      <c r="V3" s="162">
        <f>MSA!V9</f>
        <v>288.29116800000003</v>
      </c>
      <c r="W3" s="162">
        <f>MSA!W9</f>
        <v>254.37456000000003</v>
      </c>
      <c r="X3" s="162">
        <f>MSA!X9</f>
        <v>220.45795200000003</v>
      </c>
    </row>
    <row r="4" spans="14:24" x14ac:dyDescent="0.2">
      <c r="N4" s="199" t="s">
        <v>88</v>
      </c>
      <c r="O4" s="199"/>
      <c r="P4" s="199"/>
      <c r="Q4" s="162">
        <f>'Salarié et assimilés'!Q9</f>
        <v>14202.51665045421</v>
      </c>
      <c r="R4" s="162">
        <f>'Salarié et assimilés'!R9</f>
        <v>14964.899990377893</v>
      </c>
      <c r="S4" s="162">
        <f>'Salarié et assimilés'!S9</f>
        <v>15571.824889534711</v>
      </c>
      <c r="T4" s="162">
        <f>'Salarié et assimilés'!T9</f>
        <v>16214.3631059906</v>
      </c>
      <c r="U4" s="162">
        <f>'Salarié et assimilés'!U9</f>
        <v>16856.901322446487</v>
      </c>
      <c r="V4" s="162">
        <f>'Salarié et assimilés'!V9</f>
        <v>17499.439538902378</v>
      </c>
      <c r="W4" s="162">
        <f>'Salarié et assimilés'!W9</f>
        <v>18141.977755358272</v>
      </c>
      <c r="X4" s="162">
        <f>'Salarié et assimilés'!X9</f>
        <v>18784.515971814159</v>
      </c>
    </row>
    <row r="5" spans="14:24" x14ac:dyDescent="0.2">
      <c r="N5" s="200"/>
      <c r="O5" s="200"/>
      <c r="P5" s="200"/>
      <c r="Q5" s="162"/>
      <c r="R5" s="162"/>
      <c r="S5" s="162"/>
      <c r="T5" s="162"/>
      <c r="U5" s="162"/>
      <c r="V5" s="162"/>
      <c r="W5" s="162"/>
      <c r="X5" s="162"/>
    </row>
    <row r="6" spans="14:24" x14ac:dyDescent="0.2">
      <c r="N6" s="199" t="s">
        <v>62</v>
      </c>
      <c r="O6" s="199"/>
      <c r="P6" s="199"/>
      <c r="Q6" s="162">
        <f>Trimestres!F138+Trimestres!F143</f>
        <v>0</v>
      </c>
      <c r="R6" s="162">
        <f>Trimestres!G138+Trimestres!G143</f>
        <v>0</v>
      </c>
      <c r="S6" s="162">
        <f>Trimestres!H138+Trimestres!H143</f>
        <v>0</v>
      </c>
      <c r="T6" s="162">
        <f>MSA!T7+'Salarié et assimilés'!T7</f>
        <v>561.89005714285724</v>
      </c>
      <c r="U6" s="162">
        <f>MSA!U7+'Salarié et assimilés'!U7</f>
        <v>1123.7801142857145</v>
      </c>
      <c r="V6" s="162">
        <f>MSA!V7+'Salarié et assimilés'!V7</f>
        <v>1685.6701714285716</v>
      </c>
      <c r="W6" s="162">
        <f>MSA!W7+'Salarié et assimilés'!W7</f>
        <v>2247.560228571429</v>
      </c>
      <c r="X6" s="162">
        <f>MSA!X7+'Salarié et assimilés'!X7</f>
        <v>2809.4502857142857</v>
      </c>
    </row>
    <row r="7" spans="14:24" x14ac:dyDescent="0.2">
      <c r="N7" s="201"/>
      <c r="O7" s="201"/>
      <c r="P7" s="201"/>
      <c r="Q7" s="160"/>
      <c r="R7" s="160"/>
      <c r="S7" s="160"/>
      <c r="T7" s="160"/>
      <c r="U7" s="160"/>
      <c r="V7" s="160"/>
      <c r="W7" s="160"/>
      <c r="X7" s="160"/>
    </row>
    <row r="8" spans="14:24" x14ac:dyDescent="0.2">
      <c r="N8" s="202" t="s">
        <v>86</v>
      </c>
      <c r="O8" s="202"/>
      <c r="P8" s="202"/>
      <c r="Q8" s="165">
        <f>SUM(Q3:Q4)</f>
        <v>14202.51665045421</v>
      </c>
      <c r="R8" s="165">
        <f>SUM(R3:R4)</f>
        <v>14964.899990377893</v>
      </c>
      <c r="S8" s="165">
        <f t="shared" ref="S8:X8" si="0">SUM(S3:S4)</f>
        <v>15961.865881534712</v>
      </c>
      <c r="T8" s="165">
        <f t="shared" si="0"/>
        <v>16570.487489990599</v>
      </c>
      <c r="U8" s="165">
        <f t="shared" si="0"/>
        <v>17179.109098446486</v>
      </c>
      <c r="V8" s="165">
        <f t="shared" si="0"/>
        <v>17787.730706902377</v>
      </c>
      <c r="W8" s="165">
        <f t="shared" si="0"/>
        <v>18396.352315358272</v>
      </c>
      <c r="X8" s="165">
        <f t="shared" si="0"/>
        <v>19004.973923814159</v>
      </c>
    </row>
    <row r="9" spans="14:24" x14ac:dyDescent="0.2">
      <c r="N9" s="198" t="s">
        <v>60</v>
      </c>
      <c r="O9" s="198"/>
      <c r="P9" s="198"/>
      <c r="Q9" s="165">
        <f>Q8/12</f>
        <v>1183.5430542045176</v>
      </c>
      <c r="R9" s="165">
        <f>R8/12</f>
        <v>1247.0749991981577</v>
      </c>
      <c r="S9" s="165">
        <f t="shared" ref="S9:X9" si="1">S8/12</f>
        <v>1330.1554901278926</v>
      </c>
      <c r="T9" s="165">
        <f t="shared" si="1"/>
        <v>1380.8739574992167</v>
      </c>
      <c r="U9" s="165">
        <f t="shared" si="1"/>
        <v>1431.5924248705405</v>
      </c>
      <c r="V9" s="165">
        <f t="shared" si="1"/>
        <v>1482.3108922418648</v>
      </c>
      <c r="W9" s="165">
        <f t="shared" si="1"/>
        <v>1533.0293596131894</v>
      </c>
      <c r="X9" s="165">
        <f t="shared" si="1"/>
        <v>1583.7478269845133</v>
      </c>
    </row>
  </sheetData>
  <mergeCells count="9">
    <mergeCell ref="N7:P7"/>
    <mergeCell ref="N8:P8"/>
    <mergeCell ref="N9:P9"/>
    <mergeCell ref="N1:P1"/>
    <mergeCell ref="N2:P2"/>
    <mergeCell ref="N3:P3"/>
    <mergeCell ref="N4:P4"/>
    <mergeCell ref="N5:P5"/>
    <mergeCell ref="N6:P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hisWorkbook.enregistrer_hypothèse_MSA">
                <anchor moveWithCells="1" sizeWithCells="1">
                  <from>
                    <xdr:col>13</xdr:col>
                    <xdr:colOff>285750</xdr:colOff>
                    <xdr:row>12</xdr:row>
                    <xdr:rowOff>9525</xdr:rowOff>
                  </from>
                  <to>
                    <xdr:col>15</xdr:col>
                    <xdr:colOff>304800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M21"/>
  <sheetViews>
    <sheetView zoomScale="90" zoomScaleNormal="90" workbookViewId="0">
      <selection activeCell="D30" sqref="D30"/>
    </sheetView>
  </sheetViews>
  <sheetFormatPr baseColWidth="10" defaultRowHeight="15" x14ac:dyDescent="0.25"/>
  <cols>
    <col min="2" max="2" width="37.85546875" bestFit="1" customWidth="1"/>
    <col min="12" max="12" width="11.42578125" customWidth="1"/>
  </cols>
  <sheetData>
    <row r="2" spans="2:13" x14ac:dyDescent="0.25">
      <c r="B2" t="s">
        <v>99</v>
      </c>
      <c r="C2">
        <f>SUM(Trimestres!$I$4:INDEX(Trimestres!$I$4:$I$58,MATCH(C3,Trimestres!$B4:$B58,0)))</f>
        <v>0</v>
      </c>
      <c r="D2">
        <f>SUM(Trimestres!$I$4:INDEX(Trimestres!$I$4:$I$58,MATCH(D3,Trimestres!$B4:$B58,0)))</f>
        <v>0</v>
      </c>
      <c r="E2">
        <f>SUM(Trimestres!$I$4:INDEX(Trimestres!$I$4:$I$58,MATCH(E3,Trimestres!$B4:$B58,0)))</f>
        <v>0</v>
      </c>
      <c r="F2">
        <f>SUM(Trimestres!$I$4:INDEX(Trimestres!$I$4:$I$58,MATCH(F3,Trimestres!$B4:$B58,0)))</f>
        <v>0</v>
      </c>
      <c r="G2">
        <f>SUM(Trimestres!$I$4:INDEX(Trimestres!$I$4:$I$58,MATCH(G3,Trimestres!$B4:$B58,0)))</f>
        <v>0</v>
      </c>
      <c r="H2">
        <f>SUM(Trimestres!$I$4:INDEX(Trimestres!$I$4:$I$58,MATCH(H3,Trimestres!$B4:$B58,0)))</f>
        <v>0</v>
      </c>
      <c r="I2">
        <f>SUM(Trimestres!$I$4:INDEX(Trimestres!$I$4:$I$58,MATCH(I3,Trimestres!$B4:$B58,0)))</f>
        <v>0</v>
      </c>
      <c r="J2">
        <f>SUM(Trimestres!$I$4:INDEX(Trimestres!$I$4:$I$58,MATCH(J3,Trimestres!$B4:$B58,0)))</f>
        <v>0</v>
      </c>
      <c r="K2" t="e">
        <f>SUM(Trimestres!$I$4:INDEX(Trimestres!$I$4:$I$58,MATCH(K3,Trimestres!$B4:$B58,0)))</f>
        <v>#N/A</v>
      </c>
      <c r="L2" t="e">
        <f>SUM(Trimestres!$I$4:INDEX(Trimestres!$I$4:$I$58,MATCH(L3,Trimestres!$B4:$B58,0)))</f>
        <v>#N/A</v>
      </c>
      <c r="M2" t="e">
        <f>SUM(Trimestres!$I$4:INDEX(Trimestres!$I$4:$I$58,MATCH(M3,Trimestres!$B4:$B58,0)))</f>
        <v>#N/A</v>
      </c>
    </row>
    <row r="3" spans="2:13" x14ac:dyDescent="0.25">
      <c r="C3" s="32">
        <f>INDEX(Outils!M2:R72,MATCH(YEAR(Client!B5),Outils!M3:M72,0),2)-2</f>
        <v>60</v>
      </c>
      <c r="D3" s="32">
        <f>C3+1</f>
        <v>61</v>
      </c>
      <c r="E3" s="32">
        <f t="shared" ref="E3:J3" si="0">D3+1</f>
        <v>62</v>
      </c>
      <c r="F3" s="32">
        <f t="shared" si="0"/>
        <v>63</v>
      </c>
      <c r="G3" s="32">
        <f t="shared" si="0"/>
        <v>64</v>
      </c>
      <c r="H3" s="32">
        <f t="shared" si="0"/>
        <v>65</v>
      </c>
      <c r="I3" s="32">
        <f t="shared" si="0"/>
        <v>66</v>
      </c>
      <c r="J3" s="32">
        <f t="shared" si="0"/>
        <v>67</v>
      </c>
      <c r="K3" s="32">
        <f t="shared" ref="K3:M4" si="1">J3+1</f>
        <v>68</v>
      </c>
      <c r="L3" s="32">
        <f t="shared" si="1"/>
        <v>69</v>
      </c>
      <c r="M3" s="32">
        <f t="shared" si="1"/>
        <v>70</v>
      </c>
    </row>
    <row r="4" spans="2:13" x14ac:dyDescent="0.25">
      <c r="B4" s="22" t="s">
        <v>91</v>
      </c>
      <c r="C4" s="18">
        <f>INDEX(Trimestres!$A$4:$B$50,MATCH('Salarié et assimilés'!D2,Trimestres!$B$4:$B$50,0),1)</f>
        <v>2026</v>
      </c>
      <c r="D4" s="18">
        <f>C4+1</f>
        <v>2027</v>
      </c>
      <c r="E4" s="18">
        <f t="shared" ref="E4:J4" si="2">D4+1</f>
        <v>2028</v>
      </c>
      <c r="F4" s="18">
        <f t="shared" si="2"/>
        <v>2029</v>
      </c>
      <c r="G4" s="18">
        <f t="shared" si="2"/>
        <v>2030</v>
      </c>
      <c r="H4" s="18">
        <f t="shared" si="2"/>
        <v>2031</v>
      </c>
      <c r="I4" s="18">
        <f t="shared" si="2"/>
        <v>2032</v>
      </c>
      <c r="J4" s="18">
        <f t="shared" si="2"/>
        <v>2033</v>
      </c>
      <c r="K4" s="18">
        <f t="shared" si="1"/>
        <v>2034</v>
      </c>
      <c r="L4" s="18">
        <f t="shared" si="1"/>
        <v>2035</v>
      </c>
      <c r="M4" s="18">
        <f t="shared" si="1"/>
        <v>2036</v>
      </c>
    </row>
    <row r="5" spans="2:13" x14ac:dyDescent="0.25">
      <c r="B5" s="23"/>
      <c r="C5" s="28"/>
      <c r="D5" s="28"/>
      <c r="E5" s="14"/>
      <c r="F5" s="14"/>
      <c r="G5" s="14"/>
      <c r="H5" s="14"/>
      <c r="I5" s="14"/>
      <c r="J5" s="14"/>
      <c r="K5" s="14"/>
      <c r="L5" s="14"/>
      <c r="M5" s="14"/>
    </row>
    <row r="6" spans="2:13" x14ac:dyDescent="0.25">
      <c r="B6" s="22" t="s">
        <v>92</v>
      </c>
      <c r="C6" s="19">
        <f>SUM(Trimestres!$K$4:INDEX(Trimestres!$P$4:$P$58,MATCH(C3,Trimestres!$B4:$B58,0)))*$I$17</f>
        <v>2637.5085933027549</v>
      </c>
      <c r="D6" s="19">
        <f>SUM(Trimestres!$K$4:INDEX(Trimestres!$P$4:$P$58,MATCH(D3,Trimestres!$B4:$B58,0)))*$I$17</f>
        <v>2674.1223119633059</v>
      </c>
      <c r="E6" s="19">
        <f>SUM(Trimestres!$K$4:INDEX(Trimestres!$P$4:$P$58,MATCH(E3,Trimestres!$B4:$B58,0)))*$I$17</f>
        <v>2710.736030623857</v>
      </c>
      <c r="F6" s="19">
        <f>SUM(Trimestres!$K$4:INDEX(Trimestres!$P$4:$P$58,MATCH(F3,Trimestres!$B4:$B58,0)))*$I$17</f>
        <v>2747.3497492844081</v>
      </c>
      <c r="G6" s="19">
        <f>SUM(Trimestres!$K$4:INDEX(Trimestres!$P$4:$P$58,MATCH(G3,Trimestres!$B4:$B58,0)))*$I$17</f>
        <v>2783.9634679449591</v>
      </c>
      <c r="H6" s="19">
        <f>SUM(Trimestres!$K$4:INDEX(Trimestres!$P$4:$P$58,MATCH(H3,Trimestres!$B4:$B58,0)))*$I$17</f>
        <v>2820.5771866055102</v>
      </c>
      <c r="I6" s="19">
        <f>SUM(Trimestres!$K$4:INDEX(Trimestres!$P$4:$P$58,MATCH(I3,Trimestres!$B4:$B58,0)))*$I$17</f>
        <v>2857.1909052660612</v>
      </c>
      <c r="J6" s="19">
        <f>SUM(Trimestres!$K$4:INDEX(Trimestres!$P$4:$P$58,MATCH(J3,Trimestres!$B4:$B58,0)))*$I$17</f>
        <v>2893.8046239266123</v>
      </c>
      <c r="K6" s="19" t="e">
        <f>SUM(Trimestres!$K$4:INDEX(Trimestres!$P$4:$P$58,MATCH(K3,Trimestres!$B4:$B58,0)))*$I$17</f>
        <v>#N/A</v>
      </c>
      <c r="L6" s="19" t="e">
        <f>SUM(Trimestres!$K$4:INDEX(Trimestres!$P$4:$P$58,MATCH(L3,Trimestres!$B4:$B58,0)))*$I$17</f>
        <v>#N/A</v>
      </c>
      <c r="M6" s="19" t="e">
        <f>SUM(Trimestres!$K$4:INDEX(Trimestres!$P$4:$P$58,MATCH(M3,Trimestres!$B4:$B58,0)))*$I$17</f>
        <v>#N/A</v>
      </c>
    </row>
    <row r="7" spans="2:13" x14ac:dyDescent="0.25">
      <c r="B7" s="22" t="s">
        <v>93</v>
      </c>
      <c r="C7" s="19">
        <f>SUM(Trimestres!$Q$4:INDEX(Trimestres!$Q$4:$Q$58,MATCH(C3,Trimestres!$B4:$B58,0)))*$I$18</f>
        <v>0</v>
      </c>
      <c r="D7" s="19">
        <f>SUM(Trimestres!$Q$4:INDEX(Trimestres!$Q$4:$Q$58,MATCH(D3,Trimestres!$B4:$B58,0)))*$I$18</f>
        <v>0</v>
      </c>
      <c r="E7" s="19">
        <f>SUM(Trimestres!$Q$4:INDEX(Trimestres!$Q$4:$Q$58,MATCH(E3,Trimestres!$B4:$B58,0)))*$I$18</f>
        <v>0</v>
      </c>
      <c r="F7" s="19">
        <f>SUM(Trimestres!$Q$4:INDEX(Trimestres!$Q$4:$Q$58,MATCH(F3,Trimestres!$B4:$B58,0)))*$I$18</f>
        <v>0</v>
      </c>
      <c r="G7" s="19">
        <f>SUM(Trimestres!$Q$4:INDEX(Trimestres!$Q$4:$Q$58,MATCH(G3,Trimestres!$B4:$B58,0)))*$I$18</f>
        <v>0</v>
      </c>
      <c r="H7" s="19">
        <f>SUM(Trimestres!$Q$4:INDEX(Trimestres!$Q$4:$Q$58,MATCH(H3,Trimestres!$B4:$B58,0)))*$I$18</f>
        <v>0</v>
      </c>
      <c r="I7" s="19">
        <f>SUM(Trimestres!$Q$4:INDEX(Trimestres!$Q$4:$Q$58,MATCH(I3,Trimestres!$B4:$B58,0)))*$I$18</f>
        <v>0</v>
      </c>
      <c r="J7" s="19">
        <f>SUM(Trimestres!$Q$4:INDEX(Trimestres!$Q$4:$Q$58,MATCH(J3,Trimestres!$B4:$B58,0)))*$I$18</f>
        <v>0</v>
      </c>
      <c r="K7" s="19" t="e">
        <f>SUM(Trimestres!$Q$4:INDEX(Trimestres!$Q$4:$Q$58,MATCH(K3,Trimestres!$B4:$B58,0)))*$I$18</f>
        <v>#N/A</v>
      </c>
      <c r="L7" s="19" t="e">
        <f>SUM(Trimestres!$Q$4:INDEX(Trimestres!$Q$4:$Q$58,MATCH(L3,Trimestres!$B4:$B58,0)))*$I$18</f>
        <v>#N/A</v>
      </c>
      <c r="M7" s="19" t="e">
        <f>SUM(Trimestres!$Q$4:INDEX(Trimestres!$Q$4:$Q$58,MATCH(M3,Trimestres!$B4:$B58,0)))*$I$18</f>
        <v>#N/A</v>
      </c>
    </row>
    <row r="8" spans="2:13" x14ac:dyDescent="0.25">
      <c r="B8" s="22" t="s">
        <v>94</v>
      </c>
      <c r="C8" s="19">
        <f>SUM(Trimestres!$R$4:INDEX(Trimestres!$R$4:$R$58,MATCH(C3,Trimestres!$B4:$B58,0)))*$I$19</f>
        <v>0</v>
      </c>
      <c r="D8" s="19">
        <f>SUM(Trimestres!$R$4:INDEX(Trimestres!$R$4:$R$58,MATCH(D3,Trimestres!$B4:$B58,0)))*$I$19</f>
        <v>0</v>
      </c>
      <c r="E8" s="19">
        <f>SUM(Trimestres!$R$4:INDEX(Trimestres!$R$4:$R$58,MATCH(E3,Trimestres!$B4:$B58,0)))*$I$19</f>
        <v>0</v>
      </c>
      <c r="F8" s="19">
        <f>SUM(Trimestres!$R$4:INDEX(Trimestres!$R$4:$R$58,MATCH(F3,Trimestres!$B4:$B58,0)))*$I$19</f>
        <v>0</v>
      </c>
      <c r="G8" s="19">
        <f>SUM(Trimestres!$R$4:INDEX(Trimestres!$R$4:$R$58,MATCH(G3,Trimestres!$B4:$B58,0)))*$I$19</f>
        <v>0</v>
      </c>
      <c r="H8" s="19">
        <f>SUM(Trimestres!$R$4:INDEX(Trimestres!$R$4:$R$58,MATCH(H3,Trimestres!$B4:$B58,0)))*$I$19</f>
        <v>0</v>
      </c>
      <c r="I8" s="19">
        <f>SUM(Trimestres!$R$4:INDEX(Trimestres!$R$4:$R$58,MATCH(I3,Trimestres!$B4:$B58,0)))*$I$19</f>
        <v>0</v>
      </c>
      <c r="J8" s="19">
        <f>SUM(Trimestres!$R$4:INDEX(Trimestres!$R$4:$R$58,MATCH(J3,Trimestres!$B4:$B58,0)))*$I$19</f>
        <v>0</v>
      </c>
      <c r="K8" s="19" t="e">
        <f>SUM(Trimestres!$R$4:INDEX(Trimestres!$R$4:$R$58,MATCH(K3,Trimestres!$B4:$B58,0)))*$I$19</f>
        <v>#N/A</v>
      </c>
      <c r="L8" s="19" t="e">
        <f>SUM(Trimestres!$R$4:INDEX(Trimestres!$R$4:$R$58,MATCH(L3,Trimestres!$B4:$B58,0)))*$I$19</f>
        <v>#N/A</v>
      </c>
      <c r="M8" s="19" t="e">
        <f>SUM(Trimestres!$R$4:INDEX(Trimestres!$R$4:$R$58,MATCH(M3,Trimestres!$B4:$B58,0)))*$I$19</f>
        <v>#N/A</v>
      </c>
    </row>
    <row r="9" spans="2:13" x14ac:dyDescent="0.25">
      <c r="B9" s="24"/>
      <c r="C9" s="19"/>
      <c r="D9" s="19"/>
      <c r="E9" s="20"/>
      <c r="F9" s="20"/>
      <c r="G9" s="20"/>
      <c r="H9" s="20"/>
      <c r="I9" s="20"/>
      <c r="J9" s="20"/>
      <c r="K9" s="20"/>
      <c r="L9" s="20"/>
      <c r="M9" s="20"/>
    </row>
    <row r="10" spans="2:13" x14ac:dyDescent="0.25">
      <c r="B10" s="27" t="s">
        <v>62</v>
      </c>
      <c r="C10" s="19">
        <v>0</v>
      </c>
      <c r="D10" s="19">
        <v>0</v>
      </c>
      <c r="E10" s="20">
        <v>0</v>
      </c>
      <c r="F10" s="20" t="e">
        <v>#DIV/0!</v>
      </c>
      <c r="G10" s="20" t="e">
        <v>#DIV/0!</v>
      </c>
      <c r="H10" s="20" t="e">
        <v>#DIV/0!</v>
      </c>
      <c r="I10" s="20" t="e">
        <v>#DIV/0!</v>
      </c>
      <c r="J10" s="20" t="e">
        <v>#DIV/0!</v>
      </c>
      <c r="K10" s="20" t="e">
        <v>#DIV/0!</v>
      </c>
      <c r="L10" s="20" t="e">
        <v>#DIV/0!</v>
      </c>
      <c r="M10" s="20" t="e">
        <v>#DIV/0!</v>
      </c>
    </row>
    <row r="11" spans="2:13" x14ac:dyDescent="0.25">
      <c r="B11" s="23"/>
      <c r="C11" s="28"/>
      <c r="D11" s="28"/>
      <c r="E11" s="14"/>
      <c r="F11" s="14"/>
      <c r="G11" s="14"/>
      <c r="H11" s="14"/>
      <c r="I11" s="14"/>
      <c r="J11" s="14"/>
      <c r="K11" s="14"/>
      <c r="L11" s="14"/>
      <c r="M11" s="14"/>
    </row>
    <row r="12" spans="2:13" x14ac:dyDescent="0.25">
      <c r="B12" s="25" t="s">
        <v>72</v>
      </c>
      <c r="C12" s="21" t="e">
        <v>#DIV/0!</v>
      </c>
      <c r="D12" s="21" t="e">
        <v>#DIV/0!</v>
      </c>
      <c r="E12" s="21" t="e">
        <v>#DIV/0!</v>
      </c>
      <c r="F12" s="21" t="e">
        <v>#DIV/0!</v>
      </c>
      <c r="G12" s="21" t="e">
        <v>#DIV/0!</v>
      </c>
      <c r="H12" s="21" t="e">
        <v>#DIV/0!</v>
      </c>
      <c r="I12" s="21" t="e">
        <v>#DIV/0!</v>
      </c>
      <c r="J12" s="21" t="e">
        <v>#DIV/0!</v>
      </c>
      <c r="K12" s="21" t="e">
        <v>#DIV/0!</v>
      </c>
      <c r="L12" s="21" t="e">
        <v>#DIV/0!</v>
      </c>
      <c r="M12" s="21" t="e">
        <v>#DIV/0!</v>
      </c>
    </row>
    <row r="13" spans="2:13" x14ac:dyDescent="0.25">
      <c r="B13" s="26" t="s">
        <v>60</v>
      </c>
      <c r="C13" s="21" t="e">
        <v>#DIV/0!</v>
      </c>
      <c r="D13" s="21" t="e">
        <v>#DIV/0!</v>
      </c>
      <c r="E13" s="21" t="e">
        <v>#DIV/0!</v>
      </c>
      <c r="F13" s="21" t="e">
        <v>#DIV/0!</v>
      </c>
      <c r="G13" s="21" t="e">
        <v>#DIV/0!</v>
      </c>
      <c r="H13" s="21" t="e">
        <v>#DIV/0!</v>
      </c>
      <c r="I13" s="21" t="e">
        <v>#DIV/0!</v>
      </c>
      <c r="J13" s="21" t="e">
        <v>#DIV/0!</v>
      </c>
      <c r="K13" s="21" t="e">
        <v>#DIV/0!</v>
      </c>
      <c r="L13" s="21" t="e">
        <v>#DIV/0!</v>
      </c>
      <c r="M13" s="21" t="e">
        <v>#DIV/0!</v>
      </c>
    </row>
    <row r="14" spans="2:13" x14ac:dyDescent="0.25">
      <c r="B14" s="33"/>
      <c r="C14" s="13"/>
      <c r="D14" s="13"/>
      <c r="E14" s="34"/>
      <c r="F14" s="34"/>
      <c r="G14" s="34"/>
      <c r="H14" s="34"/>
      <c r="I14" s="34"/>
      <c r="J14" s="5"/>
    </row>
    <row r="15" spans="2:13" x14ac:dyDescent="0.25">
      <c r="B15" s="13">
        <v>2026</v>
      </c>
      <c r="E15" s="31"/>
      <c r="F15" s="31"/>
      <c r="G15" s="31"/>
      <c r="H15" s="31"/>
      <c r="I15" s="31"/>
    </row>
    <row r="16" spans="2:13" x14ac:dyDescent="0.25">
      <c r="B16" s="15" t="s">
        <v>69</v>
      </c>
      <c r="C16" s="18" t="s">
        <v>54</v>
      </c>
      <c r="D16" s="18" t="s">
        <v>29</v>
      </c>
      <c r="E16" s="18" t="s">
        <v>53</v>
      </c>
      <c r="F16" s="18" t="s">
        <v>55</v>
      </c>
      <c r="H16" t="s">
        <v>25</v>
      </c>
    </row>
    <row r="17" spans="2:9" x14ac:dyDescent="0.25">
      <c r="B17" s="16"/>
      <c r="C17" s="14"/>
      <c r="D17" s="14"/>
      <c r="E17" s="14"/>
      <c r="F17" s="14"/>
      <c r="H17" t="s">
        <v>95</v>
      </c>
      <c r="I17">
        <v>0.57079999999999997</v>
      </c>
    </row>
    <row r="18" spans="2:9" x14ac:dyDescent="0.25">
      <c r="B18" s="15" t="s">
        <v>23</v>
      </c>
      <c r="C18" s="20" t="e">
        <v>#DIV/0!</v>
      </c>
      <c r="D18" s="20" t="e">
        <v>#DIV/0!</v>
      </c>
      <c r="E18" s="19" t="e">
        <v>#DIV/0!</v>
      </c>
      <c r="F18" s="20" t="e">
        <v>#DIV/0!</v>
      </c>
      <c r="H18" t="s">
        <v>96</v>
      </c>
      <c r="I18">
        <v>69.7</v>
      </c>
    </row>
    <row r="19" spans="2:9" x14ac:dyDescent="0.25">
      <c r="B19" s="15" t="s">
        <v>24</v>
      </c>
      <c r="C19" s="20">
        <v>0</v>
      </c>
      <c r="D19" s="20">
        <v>0</v>
      </c>
      <c r="E19" s="20">
        <v>0</v>
      </c>
      <c r="F19" s="20">
        <v>0</v>
      </c>
      <c r="H19" t="s">
        <v>97</v>
      </c>
      <c r="I19">
        <v>11.31</v>
      </c>
    </row>
    <row r="20" spans="2:9" x14ac:dyDescent="0.25">
      <c r="B20" s="16"/>
      <c r="C20" s="14"/>
      <c r="D20" s="14"/>
      <c r="E20" s="14"/>
      <c r="F20" s="14"/>
    </row>
    <row r="21" spans="2:9" x14ac:dyDescent="0.25">
      <c r="B21" s="17" t="s">
        <v>58</v>
      </c>
      <c r="C21" s="21" t="e">
        <v>#DIV/0!</v>
      </c>
      <c r="D21" s="21" t="e">
        <v>#DIV/0!</v>
      </c>
      <c r="E21" s="21" t="e">
        <v>#DIV/0!</v>
      </c>
      <c r="F21" s="21" t="e">
        <v>#DIV/0!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59"/>
  <sheetViews>
    <sheetView zoomScale="80" zoomScaleNormal="80" workbookViewId="0">
      <selection activeCell="P18" sqref="P18"/>
    </sheetView>
  </sheetViews>
  <sheetFormatPr baseColWidth="10" defaultRowHeight="15" x14ac:dyDescent="0.25"/>
  <cols>
    <col min="6" max="6" width="17.7109375" bestFit="1" customWidth="1"/>
    <col min="13" max="13" width="18.7109375" bestFit="1" customWidth="1"/>
    <col min="14" max="14" width="29.7109375" bestFit="1" customWidth="1"/>
    <col min="15" max="15" width="17.28515625" bestFit="1" customWidth="1"/>
    <col min="16" max="16" width="25.85546875" bestFit="1" customWidth="1"/>
    <col min="17" max="17" width="28.7109375" bestFit="1" customWidth="1"/>
    <col min="18" max="18" width="24.140625" style="4" bestFit="1" customWidth="1"/>
  </cols>
  <sheetData>
    <row r="1" spans="1:24" ht="15.75" thickBot="1" x14ac:dyDescent="0.3">
      <c r="A1" s="6" t="s">
        <v>21</v>
      </c>
      <c r="T1" s="259" t="s">
        <v>66</v>
      </c>
      <c r="U1" s="259"/>
    </row>
    <row r="2" spans="1:24" x14ac:dyDescent="0.25">
      <c r="A2" s="1">
        <v>1936</v>
      </c>
      <c r="B2">
        <v>2016.2850000000001</v>
      </c>
      <c r="D2" s="29">
        <f>IF(MIN(LARGE(Trimestres!$E$4:$E$48,ROW()-1),41136)=0,"",MIN(LARGE(Trimestres!$E$4:$E$48,ROW()-1),41136))</f>
        <v>22158</v>
      </c>
      <c r="E2" s="9">
        <f>IF(MIN(LARGE(Trimestres!$E$4:$E$49,ROW()-1),41136)=0,"",MIN(LARGE(Trimestres!$E$4:$E$49,ROW()-1),41136))</f>
        <v>22158</v>
      </c>
      <c r="F2" s="9">
        <f>IF(MIN(LARGE(Trimestres!$E$4:$E$50,ROW()-1),41136)=0,"",MIN(LARGE(Trimestres!$E$4:$E$50,ROW()-1),41136))</f>
        <v>22158</v>
      </c>
      <c r="G2" s="9">
        <f>IF(MIN(LARGE(Trimestres!$E$4:$E$51,ROW()-1),41136)=0,"",MIN(LARGE(Trimestres!$E$4:$E$51,ROW()-1),41136))</f>
        <v>22158</v>
      </c>
      <c r="H2" s="9">
        <f>IF(MIN(LARGE(Trimestres!$E$4:$E$52,ROW()-1),41136)=0,"",MIN(LARGE(Trimestres!$E$4:$E$52,ROW()-1),41136))</f>
        <v>22158</v>
      </c>
      <c r="I2" s="9">
        <f>IF(MIN(LARGE(Trimestres!$E$4:$E$53,ROW()-1),41136)=0,"",MIN(LARGE(Trimestres!$E$4:$E$53,ROW()-1),41136))</f>
        <v>22158</v>
      </c>
      <c r="J2" s="9">
        <f>IF(MIN(LARGE(Trimestres!$E$4:$E$54,ROW()-1),41136)=0,"",MIN(LARGE(Trimestres!$E$4:$E$54,ROW()-1),41136))</f>
        <v>22158</v>
      </c>
      <c r="K2" s="10">
        <f>IF(MIN(LARGE(Trimestres!$E$4:$E$55,ROW()-1),41136)=0,"",MIN(LARGE(Trimestres!$E$4:$E$55,ROW()-1),41136))</f>
        <v>22158</v>
      </c>
      <c r="M2" t="s">
        <v>15</v>
      </c>
      <c r="N2" t="s">
        <v>20</v>
      </c>
      <c r="O2" t="s">
        <v>16</v>
      </c>
      <c r="P2" t="s">
        <v>17</v>
      </c>
      <c r="Q2" t="s">
        <v>18</v>
      </c>
      <c r="R2" t="s">
        <v>19</v>
      </c>
      <c r="T2">
        <v>2057</v>
      </c>
      <c r="U2" s="8">
        <v>1522.5</v>
      </c>
      <c r="W2" s="8"/>
      <c r="X2" s="3"/>
    </row>
    <row r="3" spans="1:24" x14ac:dyDescent="0.25">
      <c r="A3">
        <v>1937</v>
      </c>
      <c r="B3">
        <v>1613.866</v>
      </c>
      <c r="D3" s="30">
        <f>IF(MIN(LARGE(Trimestres!$E$4:$E$48,ROW()-1),41136)=0,"",MIN(LARGE(Trimestres!$E$4:$E$48,ROW()-1),41136))</f>
        <v>21780</v>
      </c>
      <c r="E3" s="11">
        <f>IF(MIN(LARGE(Trimestres!$E$4:$E$49,ROW()-1),41136)=0,"",MIN(LARGE(Trimestres!$E$4:$E$49,ROW()-1),41136))</f>
        <v>21780</v>
      </c>
      <c r="F3" s="11">
        <f>IF(MIN(LARGE(Trimestres!$E$4:$E$50,ROW()-1),41136)=0,"",MIN(LARGE(Trimestres!$E$4:$E$50,ROW()-1),41136))</f>
        <v>21780</v>
      </c>
      <c r="G3" s="11">
        <f>IF(MIN(LARGE(Trimestres!$E$4:$E$51,ROW()-1),41136)=0,"",MIN(LARGE(Trimestres!$E$4:$E$51,ROW()-1),41136))</f>
        <v>21780</v>
      </c>
      <c r="H3" s="11">
        <f>IF(MIN(LARGE(Trimestres!$E$4:$E$52,ROW()-1),41136)=0,"",MIN(LARGE(Trimestres!$E$4:$E$52,ROW()-1),41136))</f>
        <v>21780</v>
      </c>
      <c r="I3" s="11">
        <f>IF(MIN(LARGE(Trimestres!$E$4:$E$53,ROW()-1),41136)=0,"",MIN(LARGE(Trimestres!$E$4:$E$53,ROW()-1),41136))</f>
        <v>21780</v>
      </c>
      <c r="J3" s="11">
        <f>IF(MIN(LARGE(Trimestres!$E$4:$E$54,ROW()-1),41136)=0,"",MIN(LARGE(Trimestres!$E$4:$E$54,ROW()-1),41136))</f>
        <v>21780</v>
      </c>
      <c r="K3" s="12">
        <f>IF(MIN(LARGE(Trimestres!$E$4:$E$55,ROW()-1),41136)=0,"",MIN(LARGE(Trimestres!$E$4:$E$55,ROW()-1),41136))</f>
        <v>21780</v>
      </c>
      <c r="M3">
        <v>1950</v>
      </c>
      <c r="N3">
        <v>60</v>
      </c>
      <c r="O3">
        <v>162</v>
      </c>
      <c r="P3">
        <v>65</v>
      </c>
      <c r="Q3">
        <v>25</v>
      </c>
      <c r="R3" s="4">
        <v>1.6250000000000001E-2</v>
      </c>
      <c r="T3">
        <v>2056</v>
      </c>
      <c r="U3" s="8">
        <v>1522.5</v>
      </c>
      <c r="W3" s="8"/>
    </row>
    <row r="4" spans="1:24" x14ac:dyDescent="0.25">
      <c r="A4" s="1">
        <v>1938</v>
      </c>
      <c r="B4">
        <v>1464.0909999999999</v>
      </c>
      <c r="D4" s="30">
        <f>IF(MIN(LARGE(Trimestres!$E$4:$E$48,ROW()-1),41136)=0,"",MIN(LARGE(Trimestres!$E$4:$E$48,ROW()-1),41136))</f>
        <v>21438</v>
      </c>
      <c r="E4" s="11">
        <f>IF(MIN(LARGE(Trimestres!$E$4:$E$49,ROW()-1),41136)=0,"",MIN(LARGE(Trimestres!$E$4:$E$49,ROW()-1),41136))</f>
        <v>21438</v>
      </c>
      <c r="F4" s="11">
        <f>IF(MIN(LARGE(Trimestres!$E$4:$E$50,ROW()-1),41136)=0,"",MIN(LARGE(Trimestres!$E$4:$E$50,ROW()-1),41136))</f>
        <v>21438</v>
      </c>
      <c r="G4" s="11">
        <f>IF(MIN(LARGE(Trimestres!$E$4:$E$51,ROW()-1),41136)=0,"",MIN(LARGE(Trimestres!$E$4:$E$51,ROW()-1),41136))</f>
        <v>21438</v>
      </c>
      <c r="H4" s="11">
        <f>IF(MIN(LARGE(Trimestres!$E$4:$E$52,ROW()-1),41136)=0,"",MIN(LARGE(Trimestres!$E$4:$E$52,ROW()-1),41136))</f>
        <v>21438</v>
      </c>
      <c r="I4" s="11">
        <f>IF(MIN(LARGE(Trimestres!$E$4:$E$53,ROW()-1),41136)=0,"",MIN(LARGE(Trimestres!$E$4:$E$53,ROW()-1),41136))</f>
        <v>21438</v>
      </c>
      <c r="J4" s="11">
        <f>IF(MIN(LARGE(Trimestres!$E$4:$E$54,ROW()-1),41136)=0,"",MIN(LARGE(Trimestres!$E$4:$E$54,ROW()-1),41136))</f>
        <v>21438</v>
      </c>
      <c r="K4" s="12">
        <f>IF(MIN(LARGE(Trimestres!$E$4:$E$55,ROW()-1),41136)=0,"",MIN(LARGE(Trimestres!$E$4:$E$55,ROW()-1),41136))</f>
        <v>21438</v>
      </c>
      <c r="M4">
        <v>1951</v>
      </c>
      <c r="N4">
        <v>60</v>
      </c>
      <c r="O4">
        <v>163</v>
      </c>
      <c r="P4">
        <v>65</v>
      </c>
      <c r="Q4">
        <v>25</v>
      </c>
      <c r="R4" s="4">
        <v>1.4999999999999999E-2</v>
      </c>
      <c r="T4">
        <v>2055</v>
      </c>
      <c r="U4" s="8">
        <v>1522.5</v>
      </c>
      <c r="W4" s="8"/>
    </row>
    <row r="5" spans="1:24" x14ac:dyDescent="0.25">
      <c r="A5">
        <v>1939</v>
      </c>
      <c r="B5">
        <v>1343.835</v>
      </c>
      <c r="D5" s="30">
        <f>IF(MIN(LARGE(Trimestres!$E$4:$E$48,ROW()-1),41136)=0,"",MIN(LARGE(Trimestres!$E$4:$E$48,ROW()-1),41136))</f>
        <v>21078</v>
      </c>
      <c r="E5" s="11">
        <f>IF(MIN(LARGE(Trimestres!$E$4:$E$49,ROW()-1),41136)=0,"",MIN(LARGE(Trimestres!$E$4:$E$49,ROW()-1),41136))</f>
        <v>21078</v>
      </c>
      <c r="F5" s="11">
        <f>IF(MIN(LARGE(Trimestres!$E$4:$E$50,ROW()-1),41136)=0,"",MIN(LARGE(Trimestres!$E$4:$E$50,ROW()-1),41136))</f>
        <v>21078</v>
      </c>
      <c r="G5" s="11">
        <f>IF(MIN(LARGE(Trimestres!$E$4:$E$51,ROW()-1),41136)=0,"",MIN(LARGE(Trimestres!$E$4:$E$51,ROW()-1),41136))</f>
        <v>21078</v>
      </c>
      <c r="H5" s="11">
        <f>IF(MIN(LARGE(Trimestres!$E$4:$E$52,ROW()-1),41136)=0,"",MIN(LARGE(Trimestres!$E$4:$E$52,ROW()-1),41136))</f>
        <v>21078</v>
      </c>
      <c r="I5" s="11">
        <f>IF(MIN(LARGE(Trimestres!$E$4:$E$53,ROW()-1),41136)=0,"",MIN(LARGE(Trimestres!$E$4:$E$53,ROW()-1),41136))</f>
        <v>21078</v>
      </c>
      <c r="J5" s="11">
        <f>IF(MIN(LARGE(Trimestres!$E$4:$E$54,ROW()-1),41136)=0,"",MIN(LARGE(Trimestres!$E$4:$E$54,ROW()-1),41136))</f>
        <v>21078</v>
      </c>
      <c r="K5" s="12">
        <f>IF(MIN(LARGE(Trimestres!$E$4:$E$55,ROW()-1),41136)=0,"",MIN(LARGE(Trimestres!$E$4:$E$55,ROW()-1),41136))</f>
        <v>21078</v>
      </c>
      <c r="M5">
        <v>1952</v>
      </c>
      <c r="N5" s="1">
        <v>61</v>
      </c>
      <c r="O5">
        <v>164</v>
      </c>
      <c r="P5">
        <v>66</v>
      </c>
      <c r="Q5">
        <v>25</v>
      </c>
      <c r="R5" s="4">
        <v>1.375E-2</v>
      </c>
      <c r="T5">
        <v>2054</v>
      </c>
      <c r="U5" s="8">
        <v>1522.5</v>
      </c>
      <c r="W5" s="8"/>
    </row>
    <row r="6" spans="1:24" x14ac:dyDescent="0.25">
      <c r="A6" s="1">
        <v>1940</v>
      </c>
      <c r="B6">
        <v>1343.835</v>
      </c>
      <c r="D6" s="30">
        <f>IF(MIN(LARGE(Trimestres!$E$4:$E$48,ROW()-1),41136)=0,"",MIN(LARGE(Trimestres!$E$4:$E$48,ROW()-1),41136))</f>
        <v>20700</v>
      </c>
      <c r="E6" s="11">
        <f>IF(MIN(LARGE(Trimestres!$E$4:$E$49,ROW()-1),41136)=0,"",MIN(LARGE(Trimestres!$E$4:$E$49,ROW()-1),41136))</f>
        <v>20700</v>
      </c>
      <c r="F6" s="11">
        <f>IF(MIN(LARGE(Trimestres!$E$4:$E$50,ROW()-1),41136)=0,"",MIN(LARGE(Trimestres!$E$4:$E$50,ROW()-1),41136))</f>
        <v>20700</v>
      </c>
      <c r="G6" s="11">
        <f>IF(MIN(LARGE(Trimestres!$E$4:$E$51,ROW()-1),41136)=0,"",MIN(LARGE(Trimestres!$E$4:$E$51,ROW()-1),41136))</f>
        <v>20700</v>
      </c>
      <c r="H6" s="11">
        <f>IF(MIN(LARGE(Trimestres!$E$4:$E$52,ROW()-1),41136)=0,"",MIN(LARGE(Trimestres!$E$4:$E$52,ROW()-1),41136))</f>
        <v>20700</v>
      </c>
      <c r="I6" s="11">
        <f>IF(MIN(LARGE(Trimestres!$E$4:$E$53,ROW()-1),41136)=0,"",MIN(LARGE(Trimestres!$E$4:$E$53,ROW()-1),41136))</f>
        <v>20700</v>
      </c>
      <c r="J6" s="11">
        <f>IF(MIN(LARGE(Trimestres!$E$4:$E$54,ROW()-1),41136)=0,"",MIN(LARGE(Trimestres!$E$4:$E$54,ROW()-1),41136))</f>
        <v>20700</v>
      </c>
      <c r="K6" s="12">
        <f>IF(MIN(LARGE(Trimestres!$E$4:$E$55,ROW()-1),41136)=0,"",MIN(LARGE(Trimestres!$E$4:$E$55,ROW()-1),41136))</f>
        <v>20700</v>
      </c>
      <c r="M6">
        <v>1953</v>
      </c>
      <c r="N6">
        <v>61</v>
      </c>
      <c r="O6">
        <v>165</v>
      </c>
      <c r="P6">
        <v>66</v>
      </c>
      <c r="Q6">
        <v>25</v>
      </c>
      <c r="R6" s="4">
        <v>1.2500000000000001E-2</v>
      </c>
      <c r="T6">
        <v>2053</v>
      </c>
      <c r="U6" s="8">
        <v>1522.5</v>
      </c>
      <c r="W6" s="8"/>
    </row>
    <row r="7" spans="1:24" x14ac:dyDescent="0.25">
      <c r="A7">
        <v>1941</v>
      </c>
      <c r="B7">
        <v>896.28</v>
      </c>
      <c r="D7" s="30">
        <f>IF(MIN(LARGE(Trimestres!$E$4:$E$48,ROW()-1),41136)=0,"",MIN(LARGE(Trimestres!$E$4:$E$48,ROW()-1),41136))</f>
        <v>20358</v>
      </c>
      <c r="E7" s="11">
        <f>IF(MIN(LARGE(Trimestres!$E$4:$E$49,ROW()-1),41136)=0,"",MIN(LARGE(Trimestres!$E$4:$E$49,ROW()-1),41136))</f>
        <v>20358</v>
      </c>
      <c r="F7" s="11">
        <f>IF(MIN(LARGE(Trimestres!$E$4:$E$50,ROW()-1),41136)=0,"",MIN(LARGE(Trimestres!$E$4:$E$50,ROW()-1),41136))</f>
        <v>20358</v>
      </c>
      <c r="G7" s="11">
        <f>IF(MIN(LARGE(Trimestres!$E$4:$E$51,ROW()-1),41136)=0,"",MIN(LARGE(Trimestres!$E$4:$E$51,ROW()-1),41136))</f>
        <v>20358</v>
      </c>
      <c r="H7" s="11">
        <f>IF(MIN(LARGE(Trimestres!$E$4:$E$52,ROW()-1),41136)=0,"",MIN(LARGE(Trimestres!$E$4:$E$52,ROW()-1),41136))</f>
        <v>20358</v>
      </c>
      <c r="I7" s="11">
        <f>IF(MIN(LARGE(Trimestres!$E$4:$E$53,ROW()-1),41136)=0,"",MIN(LARGE(Trimestres!$E$4:$E$53,ROW()-1),41136))</f>
        <v>20358</v>
      </c>
      <c r="J7" s="11">
        <f>IF(MIN(LARGE(Trimestres!$E$4:$E$54,ROW()-1),41136)=0,"",MIN(LARGE(Trimestres!$E$4:$E$54,ROW()-1),41136))</f>
        <v>20358</v>
      </c>
      <c r="K7" s="12">
        <f>IF(MIN(LARGE(Trimestres!$E$4:$E$55,ROW()-1),41136)=0,"",MIN(LARGE(Trimestres!$E$4:$E$55,ROW()-1),41136))</f>
        <v>20358</v>
      </c>
      <c r="M7">
        <v>1954</v>
      </c>
      <c r="N7">
        <v>61</v>
      </c>
      <c r="O7">
        <v>165</v>
      </c>
      <c r="P7">
        <v>66</v>
      </c>
      <c r="Q7">
        <v>25</v>
      </c>
      <c r="R7" s="4">
        <v>1.2500000000000001E-2</v>
      </c>
      <c r="T7">
        <v>2052</v>
      </c>
      <c r="U7" s="8">
        <v>1522.5</v>
      </c>
      <c r="W7" s="8"/>
    </row>
    <row r="8" spans="1:24" x14ac:dyDescent="0.25">
      <c r="A8" s="1">
        <v>1942</v>
      </c>
      <c r="B8">
        <v>575.95299999999997</v>
      </c>
      <c r="D8" s="30">
        <f>IF(MIN(LARGE(Trimestres!$E$4:$E$48,ROW()-1),41136)=0,"",MIN(LARGE(Trimestres!$E$4:$E$48,ROW()-1),41136))</f>
        <v>20142</v>
      </c>
      <c r="E8" s="11">
        <f>IF(MIN(LARGE(Trimestres!$E$4:$E$49,ROW()-1),41136)=0,"",MIN(LARGE(Trimestres!$E$4:$E$49,ROW()-1),41136))</f>
        <v>20142</v>
      </c>
      <c r="F8" s="11">
        <f>IF(MIN(LARGE(Trimestres!$E$4:$E$50,ROW()-1),41136)=0,"",MIN(LARGE(Trimestres!$E$4:$E$50,ROW()-1),41136))</f>
        <v>20142</v>
      </c>
      <c r="G8" s="11">
        <f>IF(MIN(LARGE(Trimestres!$E$4:$E$51,ROW()-1),41136)=0,"",MIN(LARGE(Trimestres!$E$4:$E$51,ROW()-1),41136))</f>
        <v>20142</v>
      </c>
      <c r="H8" s="11">
        <f>IF(MIN(LARGE(Trimestres!$E$4:$E$52,ROW()-1),41136)=0,"",MIN(LARGE(Trimestres!$E$4:$E$52,ROW()-1),41136))</f>
        <v>20142</v>
      </c>
      <c r="I8" s="11">
        <f>IF(MIN(LARGE(Trimestres!$E$4:$E$53,ROW()-1),41136)=0,"",MIN(LARGE(Trimestres!$E$4:$E$53,ROW()-1),41136))</f>
        <v>20142</v>
      </c>
      <c r="J8" s="11">
        <f>IF(MIN(LARGE(Trimestres!$E$4:$E$54,ROW()-1),41136)=0,"",MIN(LARGE(Trimestres!$E$4:$E$54,ROW()-1),41136))</f>
        <v>20142</v>
      </c>
      <c r="K8" s="12">
        <f>IF(MIN(LARGE(Trimestres!$E$4:$E$55,ROW()-1),41136)=0,"",MIN(LARGE(Trimestres!$E$4:$E$55,ROW()-1),41136))</f>
        <v>20142</v>
      </c>
      <c r="M8">
        <v>1955</v>
      </c>
      <c r="N8">
        <v>62</v>
      </c>
      <c r="O8">
        <v>166</v>
      </c>
      <c r="P8">
        <v>67</v>
      </c>
      <c r="Q8">
        <v>25</v>
      </c>
      <c r="R8" s="4">
        <v>1.2500000000000001E-2</v>
      </c>
      <c r="T8">
        <v>2051</v>
      </c>
      <c r="U8" s="8">
        <v>1522.5</v>
      </c>
      <c r="W8" s="8"/>
    </row>
    <row r="9" spans="1:24" x14ac:dyDescent="0.25">
      <c r="A9">
        <v>1943</v>
      </c>
      <c r="B9">
        <v>575.95299999999997</v>
      </c>
      <c r="D9" s="30">
        <f>IF(MIN(LARGE(Trimestres!$E$4:$E$48,ROW()-1),41136)=0,"",MIN(LARGE(Trimestres!$E$4:$E$48,ROW()-1),41136))</f>
        <v>19962</v>
      </c>
      <c r="E9" s="11">
        <f>IF(MIN(LARGE(Trimestres!$E$4:$E$49,ROW()-1),41136)=0,"",MIN(LARGE(Trimestres!$E$4:$E$49,ROW()-1),41136))</f>
        <v>19962</v>
      </c>
      <c r="F9" s="11">
        <f>IF(MIN(LARGE(Trimestres!$E$4:$E$50,ROW()-1),41136)=0,"",MIN(LARGE(Trimestres!$E$4:$E$50,ROW()-1),41136))</f>
        <v>19962</v>
      </c>
      <c r="G9" s="11">
        <f>IF(MIN(LARGE(Trimestres!$E$4:$E$51,ROW()-1),41136)=0,"",MIN(LARGE(Trimestres!$E$4:$E$51,ROW()-1),41136))</f>
        <v>19962</v>
      </c>
      <c r="H9" s="11">
        <f>IF(MIN(LARGE(Trimestres!$E$4:$E$52,ROW()-1),41136)=0,"",MIN(LARGE(Trimestres!$E$4:$E$52,ROW()-1),41136))</f>
        <v>19962</v>
      </c>
      <c r="I9" s="11">
        <f>IF(MIN(LARGE(Trimestres!$E$4:$E$53,ROW()-1),41136)=0,"",MIN(LARGE(Trimestres!$E$4:$E$53,ROW()-1),41136))</f>
        <v>19962</v>
      </c>
      <c r="J9" s="11">
        <f>IF(MIN(LARGE(Trimestres!$E$4:$E$54,ROW()-1),41136)=0,"",MIN(LARGE(Trimestres!$E$4:$E$54,ROW()-1),41136))</f>
        <v>19962</v>
      </c>
      <c r="K9" s="12">
        <f>IF(MIN(LARGE(Trimestres!$E$4:$E$55,ROW()-1),41136)=0,"",MIN(LARGE(Trimestres!$E$4:$E$55,ROW()-1),41136))</f>
        <v>19962</v>
      </c>
      <c r="M9">
        <v>1956</v>
      </c>
      <c r="N9">
        <v>62</v>
      </c>
      <c r="O9">
        <v>166</v>
      </c>
      <c r="P9">
        <v>67</v>
      </c>
      <c r="Q9">
        <v>25</v>
      </c>
      <c r="R9" s="4">
        <v>1.2500000000000001E-2</v>
      </c>
      <c r="T9">
        <v>2050</v>
      </c>
      <c r="U9" s="8">
        <v>1522.5</v>
      </c>
      <c r="W9" s="8"/>
    </row>
    <row r="10" spans="1:24" x14ac:dyDescent="0.25">
      <c r="A10" s="1">
        <v>1944</v>
      </c>
      <c r="B10">
        <v>465.22399999999999</v>
      </c>
      <c r="D10" s="30">
        <f>IF(MIN(LARGE(Trimestres!$E$4:$E$48,ROW()-1),41136)=0,"",MIN(LARGE(Trimestres!$E$4:$E$48,ROW()-1),41136))</f>
        <v>19782</v>
      </c>
      <c r="E10" s="11">
        <f>IF(MIN(LARGE(Trimestres!$E$4:$E$49,ROW()-1),41136)=0,"",MIN(LARGE(Trimestres!$E$4:$E$49,ROW()-1),41136))</f>
        <v>19782</v>
      </c>
      <c r="F10" s="11">
        <f>IF(MIN(LARGE(Trimestres!$E$4:$E$50,ROW()-1),41136)=0,"",MIN(LARGE(Trimestres!$E$4:$E$50,ROW()-1),41136))</f>
        <v>19782</v>
      </c>
      <c r="G10" s="11">
        <f>IF(MIN(LARGE(Trimestres!$E$4:$E$51,ROW()-1),41136)=0,"",MIN(LARGE(Trimestres!$E$4:$E$51,ROW()-1),41136))</f>
        <v>19782</v>
      </c>
      <c r="H10" s="11">
        <f>IF(MIN(LARGE(Trimestres!$E$4:$E$52,ROW()-1),41136)=0,"",MIN(LARGE(Trimestres!$E$4:$E$52,ROW()-1),41136))</f>
        <v>19782</v>
      </c>
      <c r="I10" s="11">
        <f>IF(MIN(LARGE(Trimestres!$E$4:$E$53,ROW()-1),41136)=0,"",MIN(LARGE(Trimestres!$E$4:$E$53,ROW()-1),41136))</f>
        <v>19782</v>
      </c>
      <c r="J10" s="11">
        <f>IF(MIN(LARGE(Trimestres!$E$4:$E$54,ROW()-1),41136)=0,"",MIN(LARGE(Trimestres!$E$4:$E$54,ROW()-1),41136))</f>
        <v>19782</v>
      </c>
      <c r="K10" s="12">
        <f>IF(MIN(LARGE(Trimestres!$E$4:$E$55,ROW()-1),41136)=0,"",MIN(LARGE(Trimestres!$E$4:$E$55,ROW()-1),41136))</f>
        <v>19782</v>
      </c>
      <c r="M10">
        <v>1957</v>
      </c>
      <c r="N10">
        <v>62</v>
      </c>
      <c r="O10">
        <v>166</v>
      </c>
      <c r="P10">
        <v>67</v>
      </c>
      <c r="Q10">
        <v>25</v>
      </c>
      <c r="R10" s="4">
        <v>1.2500000000000001E-2</v>
      </c>
      <c r="T10">
        <v>2049</v>
      </c>
      <c r="U10" s="8">
        <v>1522.5</v>
      </c>
      <c r="W10" s="8"/>
    </row>
    <row r="11" spans="1:24" x14ac:dyDescent="0.25">
      <c r="A11">
        <v>1945</v>
      </c>
      <c r="B11">
        <v>230.46</v>
      </c>
      <c r="D11" s="30">
        <f>IF(MIN(LARGE(Trimestres!$E$4:$E$48,ROW()-1),41136)=0,"",MIN(LARGE(Trimestres!$E$4:$E$48,ROW()-1),41136))</f>
        <v>19602</v>
      </c>
      <c r="E11" s="11">
        <f>IF(MIN(LARGE(Trimestres!$E$4:$E$49,ROW()-1),41136)=0,"",MIN(LARGE(Trimestres!$E$4:$E$49,ROW()-1),41136))</f>
        <v>19602</v>
      </c>
      <c r="F11" s="11">
        <f>IF(MIN(LARGE(Trimestres!$E$4:$E$50,ROW()-1),41136)=0,"",MIN(LARGE(Trimestres!$E$4:$E$50,ROW()-1),41136))</f>
        <v>19602</v>
      </c>
      <c r="G11" s="11">
        <f>IF(MIN(LARGE(Trimestres!$E$4:$E$51,ROW()-1),41136)=0,"",MIN(LARGE(Trimestres!$E$4:$E$51,ROW()-1),41136))</f>
        <v>19602</v>
      </c>
      <c r="H11" s="11">
        <f>IF(MIN(LARGE(Trimestres!$E$4:$E$52,ROW()-1),41136)=0,"",MIN(LARGE(Trimestres!$E$4:$E$52,ROW()-1),41136))</f>
        <v>19602</v>
      </c>
      <c r="I11" s="11">
        <f>IF(MIN(LARGE(Trimestres!$E$4:$E$53,ROW()-1),41136)=0,"",MIN(LARGE(Trimestres!$E$4:$E$53,ROW()-1),41136))</f>
        <v>19602</v>
      </c>
      <c r="J11" s="11">
        <f>IF(MIN(LARGE(Trimestres!$E$4:$E$54,ROW()-1),41136)=0,"",MIN(LARGE(Trimestres!$E$4:$E$54,ROW()-1),41136))</f>
        <v>19602</v>
      </c>
      <c r="K11" s="12">
        <f>IF(MIN(LARGE(Trimestres!$E$4:$E$55,ROW()-1),41136)=0,"",MIN(LARGE(Trimestres!$E$4:$E$55,ROW()-1),41136))</f>
        <v>19602</v>
      </c>
      <c r="M11">
        <v>1958</v>
      </c>
      <c r="N11">
        <v>62</v>
      </c>
      <c r="O11">
        <v>167</v>
      </c>
      <c r="P11">
        <v>67</v>
      </c>
      <c r="Q11">
        <v>25</v>
      </c>
      <c r="R11" s="4">
        <v>1.2500000000000001E-2</v>
      </c>
      <c r="T11">
        <v>2048</v>
      </c>
      <c r="U11" s="8">
        <v>1522.5</v>
      </c>
      <c r="W11" s="8"/>
    </row>
    <row r="12" spans="1:24" x14ac:dyDescent="0.25">
      <c r="A12" s="1">
        <v>1946</v>
      </c>
      <c r="B12">
        <v>189.70599999999999</v>
      </c>
      <c r="D12" s="30">
        <f>IF(MIN(LARGE(Trimestres!$E$4:$E$48,ROW()-1),41136)=0,"",MIN(LARGE(Trimestres!$E$4:$E$48,ROW()-1),41136))</f>
        <v>19224</v>
      </c>
      <c r="E12" s="11">
        <f>IF(MIN(LARGE(Trimestres!$E$4:$E$49,ROW()-1),41136)=0,"",MIN(LARGE(Trimestres!$E$4:$E$49,ROW()-1),41136))</f>
        <v>19224</v>
      </c>
      <c r="F12" s="11">
        <f>IF(MIN(LARGE(Trimestres!$E$4:$E$50,ROW()-1),41136)=0,"",MIN(LARGE(Trimestres!$E$4:$E$50,ROW()-1),41136))</f>
        <v>19224</v>
      </c>
      <c r="G12" s="11">
        <f>IF(MIN(LARGE(Trimestres!$E$4:$E$51,ROW()-1),41136)=0,"",MIN(LARGE(Trimestres!$E$4:$E$51,ROW()-1),41136))</f>
        <v>19224</v>
      </c>
      <c r="H12" s="11">
        <f>IF(MIN(LARGE(Trimestres!$E$4:$E$52,ROW()-1),41136)=0,"",MIN(LARGE(Trimestres!$E$4:$E$52,ROW()-1),41136))</f>
        <v>19224</v>
      </c>
      <c r="I12" s="11">
        <f>IF(MIN(LARGE(Trimestres!$E$4:$E$53,ROW()-1),41136)=0,"",MIN(LARGE(Trimestres!$E$4:$E$53,ROW()-1),41136))</f>
        <v>19224</v>
      </c>
      <c r="J12" s="11">
        <f>IF(MIN(LARGE(Trimestres!$E$4:$E$54,ROW()-1),41136)=0,"",MIN(LARGE(Trimestres!$E$4:$E$54,ROW()-1),41136))</f>
        <v>19224</v>
      </c>
      <c r="K12" s="12">
        <f>IF(MIN(LARGE(Trimestres!$E$4:$E$55,ROW()-1),41136)=0,"",MIN(LARGE(Trimestres!$E$4:$E$55,ROW()-1),41136))</f>
        <v>19224</v>
      </c>
      <c r="M12">
        <v>1959</v>
      </c>
      <c r="N12">
        <v>62</v>
      </c>
      <c r="O12">
        <v>167</v>
      </c>
      <c r="P12">
        <v>67</v>
      </c>
      <c r="Q12">
        <v>25</v>
      </c>
      <c r="R12" s="4">
        <v>1.2500000000000001E-2</v>
      </c>
      <c r="T12">
        <v>2047</v>
      </c>
      <c r="U12" s="8">
        <v>1522.5</v>
      </c>
      <c r="W12" s="8"/>
    </row>
    <row r="13" spans="1:24" x14ac:dyDescent="0.25">
      <c r="A13">
        <v>1947</v>
      </c>
      <c r="B13">
        <v>147.77099999999999</v>
      </c>
      <c r="D13" s="30">
        <f>IF(MIN(LARGE(Trimestres!$E$4:$E$48,ROW()-1),41136)=0,"",MIN(LARGE(Trimestres!$E$4:$E$48,ROW()-1),41136))</f>
        <v>18846</v>
      </c>
      <c r="E13" s="11">
        <f>IF(MIN(LARGE(Trimestres!$E$4:$E$49,ROW()-1),41136)=0,"",MIN(LARGE(Trimestres!$E$4:$E$49,ROW()-1),41136))</f>
        <v>18846</v>
      </c>
      <c r="F13" s="11">
        <f>IF(MIN(LARGE(Trimestres!$E$4:$E$50,ROW()-1),41136)=0,"",MIN(LARGE(Trimestres!$E$4:$E$50,ROW()-1),41136))</f>
        <v>18846</v>
      </c>
      <c r="G13" s="11">
        <f>IF(MIN(LARGE(Trimestres!$E$4:$E$51,ROW()-1),41136)=0,"",MIN(LARGE(Trimestres!$E$4:$E$51,ROW()-1),41136))</f>
        <v>18846</v>
      </c>
      <c r="H13" s="11">
        <f>IF(MIN(LARGE(Trimestres!$E$4:$E$52,ROW()-1),41136)=0,"",MIN(LARGE(Trimestres!$E$4:$E$52,ROW()-1),41136))</f>
        <v>18846</v>
      </c>
      <c r="I13" s="11">
        <f>IF(MIN(LARGE(Trimestres!$E$4:$E$53,ROW()-1),41136)=0,"",MIN(LARGE(Trimestres!$E$4:$E$53,ROW()-1),41136))</f>
        <v>18846</v>
      </c>
      <c r="J13" s="11">
        <f>IF(MIN(LARGE(Trimestres!$E$4:$E$54,ROW()-1),41136)=0,"",MIN(LARGE(Trimestres!$E$4:$E$54,ROW()-1),41136))</f>
        <v>18846</v>
      </c>
      <c r="K13" s="12">
        <f>IF(MIN(LARGE(Trimestres!$E$4:$E$55,ROW()-1),41136)=0,"",MIN(LARGE(Trimestres!$E$4:$E$55,ROW()-1),41136))</f>
        <v>18846</v>
      </c>
      <c r="M13">
        <v>1960</v>
      </c>
      <c r="N13">
        <v>62</v>
      </c>
      <c r="O13">
        <v>167</v>
      </c>
      <c r="P13">
        <v>67</v>
      </c>
      <c r="Q13">
        <v>25</v>
      </c>
      <c r="R13" s="4">
        <v>1.2500000000000001E-2</v>
      </c>
      <c r="T13">
        <v>2046</v>
      </c>
      <c r="U13" s="8">
        <v>1522.5</v>
      </c>
      <c r="W13" s="8"/>
    </row>
    <row r="14" spans="1:24" x14ac:dyDescent="0.25">
      <c r="A14" s="1">
        <v>1948</v>
      </c>
      <c r="B14">
        <v>103.17100000000001</v>
      </c>
      <c r="D14" s="30">
        <f>IF(MIN(LARGE(Trimestres!$E$4:$E$48,ROW()-1),41136)=0,"",MIN(LARGE(Trimestres!$E$4:$E$48,ROW()-1),41136))</f>
        <v>18612</v>
      </c>
      <c r="E14" s="11">
        <f>IF(MIN(LARGE(Trimestres!$E$4:$E$49,ROW()-1),41136)=0,"",MIN(LARGE(Trimestres!$E$4:$E$49,ROW()-1),41136))</f>
        <v>18612</v>
      </c>
      <c r="F14" s="11">
        <f>IF(MIN(LARGE(Trimestres!$E$4:$E$50,ROW()-1),41136)=0,"",MIN(LARGE(Trimestres!$E$4:$E$50,ROW()-1),41136))</f>
        <v>18612</v>
      </c>
      <c r="G14" s="11">
        <f>IF(MIN(LARGE(Trimestres!$E$4:$E$51,ROW()-1),41136)=0,"",MIN(LARGE(Trimestres!$E$4:$E$51,ROW()-1),41136))</f>
        <v>18612</v>
      </c>
      <c r="H14" s="11">
        <f>IF(MIN(LARGE(Trimestres!$E$4:$E$52,ROW()-1),41136)=0,"",MIN(LARGE(Trimestres!$E$4:$E$52,ROW()-1),41136))</f>
        <v>18612</v>
      </c>
      <c r="I14" s="11">
        <f>IF(MIN(LARGE(Trimestres!$E$4:$E$53,ROW()-1),41136)=0,"",MIN(LARGE(Trimestres!$E$4:$E$53,ROW()-1),41136))</f>
        <v>18612</v>
      </c>
      <c r="J14" s="11">
        <f>IF(MIN(LARGE(Trimestres!$E$4:$E$54,ROW()-1),41136)=0,"",MIN(LARGE(Trimestres!$E$4:$E$54,ROW()-1),41136))</f>
        <v>18612</v>
      </c>
      <c r="K14" s="12">
        <f>IF(MIN(LARGE(Trimestres!$E$4:$E$55,ROW()-1),41136)=0,"",MIN(LARGE(Trimestres!$E$4:$E$55,ROW()-1),41136))</f>
        <v>18612</v>
      </c>
      <c r="M14">
        <v>1961</v>
      </c>
      <c r="N14">
        <v>62</v>
      </c>
      <c r="O14">
        <v>168</v>
      </c>
      <c r="P14">
        <v>67</v>
      </c>
      <c r="Q14">
        <v>25</v>
      </c>
      <c r="R14" s="4">
        <v>1.2500000000000001E-2</v>
      </c>
      <c r="T14">
        <v>2045</v>
      </c>
      <c r="U14" s="8">
        <v>1522.5</v>
      </c>
      <c r="W14" s="8"/>
    </row>
    <row r="15" spans="1:24" x14ac:dyDescent="0.25">
      <c r="A15">
        <v>1949</v>
      </c>
      <c r="B15">
        <v>87.203999999999994</v>
      </c>
      <c r="D15" s="30">
        <f>IF(MIN(LARGE(Trimestres!$E$4:$E$48,ROW()-1),41136)=0,"",MIN(LARGE(Trimestres!$E$4:$E$48,ROW()-1),41136))</f>
        <v>18612</v>
      </c>
      <c r="E15" s="11">
        <f>IF(MIN(LARGE(Trimestres!$E$4:$E$49,ROW()-1),41136)=0,"",MIN(LARGE(Trimestres!$E$4:$E$49,ROW()-1),41136))</f>
        <v>18612</v>
      </c>
      <c r="F15" s="11">
        <f>IF(MIN(LARGE(Trimestres!$E$4:$E$50,ROW()-1),41136)=0,"",MIN(LARGE(Trimestres!$E$4:$E$50,ROW()-1),41136))</f>
        <v>18612</v>
      </c>
      <c r="G15" s="11">
        <f>IF(MIN(LARGE(Trimestres!$E$4:$E$51,ROW()-1),41136)=0,"",MIN(LARGE(Trimestres!$E$4:$E$51,ROW()-1),41136))</f>
        <v>18612</v>
      </c>
      <c r="H15" s="11">
        <f>IF(MIN(LARGE(Trimestres!$E$4:$E$52,ROW()-1),41136)=0,"",MIN(LARGE(Trimestres!$E$4:$E$52,ROW()-1),41136))</f>
        <v>18612</v>
      </c>
      <c r="I15" s="11">
        <f>IF(MIN(LARGE(Trimestres!$E$4:$E$53,ROW()-1),41136)=0,"",MIN(LARGE(Trimestres!$E$4:$E$53,ROW()-1),41136))</f>
        <v>18612</v>
      </c>
      <c r="J15" s="11">
        <f>IF(MIN(LARGE(Trimestres!$E$4:$E$54,ROW()-1),41136)=0,"",MIN(LARGE(Trimestres!$E$4:$E$54,ROW()-1),41136))</f>
        <v>18612</v>
      </c>
      <c r="K15" s="12">
        <f>IF(MIN(LARGE(Trimestres!$E$4:$E$55,ROW()-1),41136)=0,"",MIN(LARGE(Trimestres!$E$4:$E$55,ROW()-1),41136))</f>
        <v>18612</v>
      </c>
      <c r="M15">
        <v>1962</v>
      </c>
      <c r="N15">
        <v>62</v>
      </c>
      <c r="O15">
        <v>168</v>
      </c>
      <c r="P15">
        <v>67</v>
      </c>
      <c r="Q15">
        <v>25</v>
      </c>
      <c r="R15" s="4">
        <v>1.2500000000000001E-2</v>
      </c>
      <c r="T15">
        <v>2044</v>
      </c>
      <c r="U15" s="8">
        <v>1522.5</v>
      </c>
      <c r="W15" s="8"/>
    </row>
    <row r="16" spans="1:24" x14ac:dyDescent="0.25">
      <c r="A16" s="1">
        <v>1950</v>
      </c>
      <c r="B16">
        <v>76.5</v>
      </c>
      <c r="D16" s="30">
        <f>IF(MIN(LARGE(Trimestres!$E$4:$E$48,ROW()-1),41136)=0,"",MIN(LARGE(Trimestres!$E$4:$E$48,ROW()-1),41136))</f>
        <v>18594</v>
      </c>
      <c r="E16" s="11">
        <f>IF(MIN(LARGE(Trimestres!$E$4:$E$49,ROW()-1),41136)=0,"",MIN(LARGE(Trimestres!$E$4:$E$49,ROW()-1),41136))</f>
        <v>18594</v>
      </c>
      <c r="F16" s="11">
        <f>IF(MIN(LARGE(Trimestres!$E$4:$E$50,ROW()-1),41136)=0,"",MIN(LARGE(Trimestres!$E$4:$E$50,ROW()-1),41136))</f>
        <v>18594</v>
      </c>
      <c r="G16" s="11">
        <f>IF(MIN(LARGE(Trimestres!$E$4:$E$51,ROW()-1),41136)=0,"",MIN(LARGE(Trimestres!$E$4:$E$51,ROW()-1),41136))</f>
        <v>18594</v>
      </c>
      <c r="H16" s="11">
        <f>IF(MIN(LARGE(Trimestres!$E$4:$E$52,ROW()-1),41136)=0,"",MIN(LARGE(Trimestres!$E$4:$E$52,ROW()-1),41136))</f>
        <v>18594</v>
      </c>
      <c r="I16" s="11">
        <f>IF(MIN(LARGE(Trimestres!$E$4:$E$53,ROW()-1),41136)=0,"",MIN(LARGE(Trimestres!$E$4:$E$53,ROW()-1),41136))</f>
        <v>18594</v>
      </c>
      <c r="J16" s="11">
        <f>IF(MIN(LARGE(Trimestres!$E$4:$E$54,ROW()-1),41136)=0,"",MIN(LARGE(Trimestres!$E$4:$E$54,ROW()-1),41136))</f>
        <v>18594</v>
      </c>
      <c r="K16" s="12">
        <f>IF(MIN(LARGE(Trimestres!$E$4:$E$55,ROW()-1),41136)=0,"",MIN(LARGE(Trimestres!$E$4:$E$55,ROW()-1),41136))</f>
        <v>18594</v>
      </c>
      <c r="M16">
        <v>1963</v>
      </c>
      <c r="N16">
        <v>62</v>
      </c>
      <c r="O16">
        <v>168</v>
      </c>
      <c r="P16">
        <v>67</v>
      </c>
      <c r="Q16">
        <v>25</v>
      </c>
      <c r="R16" s="4">
        <v>1.2500000000000001E-2</v>
      </c>
      <c r="T16">
        <v>2043</v>
      </c>
      <c r="U16" s="8">
        <v>1522.5</v>
      </c>
      <c r="W16" s="8"/>
    </row>
    <row r="17" spans="1:23" x14ac:dyDescent="0.25">
      <c r="A17">
        <v>1951</v>
      </c>
      <c r="B17">
        <v>54.286000000000001</v>
      </c>
      <c r="D17" s="30">
        <f>IF(MIN(LARGE(Trimestres!$E$4:$E$48,ROW()-1),41136)=0,"",MIN(LARGE(Trimestres!$E$4:$E$48,ROW()-1),41136))</f>
        <v>18594</v>
      </c>
      <c r="E17" s="11">
        <f>IF(MIN(LARGE(Trimestres!$E$4:$E$49,ROW()-1),41136)=0,"",MIN(LARGE(Trimestres!$E$4:$E$49,ROW()-1),41136))</f>
        <v>18594</v>
      </c>
      <c r="F17" s="11">
        <f>IF(MIN(LARGE(Trimestres!$E$4:$E$50,ROW()-1),41136)=0,"",MIN(LARGE(Trimestres!$E$4:$E$50,ROW()-1),41136))</f>
        <v>18594</v>
      </c>
      <c r="G17" s="11">
        <f>IF(MIN(LARGE(Trimestres!$E$4:$E$51,ROW()-1),41136)=0,"",MIN(LARGE(Trimestres!$E$4:$E$51,ROW()-1),41136))</f>
        <v>18594</v>
      </c>
      <c r="H17" s="11">
        <f>IF(MIN(LARGE(Trimestres!$E$4:$E$52,ROW()-1),41136)=0,"",MIN(LARGE(Trimestres!$E$4:$E$52,ROW()-1),41136))</f>
        <v>18594</v>
      </c>
      <c r="I17" s="11">
        <f>IF(MIN(LARGE(Trimestres!$E$4:$E$53,ROW()-1),41136)=0,"",MIN(LARGE(Trimestres!$E$4:$E$53,ROW()-1),41136))</f>
        <v>18594</v>
      </c>
      <c r="J17" s="11">
        <f>IF(MIN(LARGE(Trimestres!$E$4:$E$54,ROW()-1),41136)=0,"",MIN(LARGE(Trimestres!$E$4:$E$54,ROW()-1),41136))</f>
        <v>18594</v>
      </c>
      <c r="K17" s="12">
        <f>IF(MIN(LARGE(Trimestres!$E$4:$E$55,ROW()-1),41136)=0,"",MIN(LARGE(Trimestres!$E$4:$E$55,ROW()-1),41136))</f>
        <v>18594</v>
      </c>
      <c r="M17">
        <v>1964</v>
      </c>
      <c r="N17">
        <v>62</v>
      </c>
      <c r="O17">
        <v>169</v>
      </c>
      <c r="P17">
        <v>67</v>
      </c>
      <c r="Q17">
        <v>25</v>
      </c>
      <c r="R17" s="4">
        <v>1.2500000000000001E-2</v>
      </c>
      <c r="T17">
        <v>2042</v>
      </c>
      <c r="U17" s="8">
        <v>1522.5</v>
      </c>
      <c r="W17" s="8"/>
    </row>
    <row r="18" spans="1:23" x14ac:dyDescent="0.25">
      <c r="A18" s="1">
        <v>1952</v>
      </c>
      <c r="B18">
        <v>45.234999999999999</v>
      </c>
      <c r="D18" s="30">
        <f>IF(MIN(LARGE(Trimestres!$E$4:$E$48,ROW()-1),41136)=0,"",MIN(LARGE(Trimestres!$E$4:$E$48,ROW()-1),41136))</f>
        <v>18450</v>
      </c>
      <c r="E18" s="11">
        <f>IF(MIN(LARGE(Trimestres!$E$4:$E$49,ROW()-1),41136)=0,"",MIN(LARGE(Trimestres!$E$4:$E$49,ROW()-1),41136))</f>
        <v>18450</v>
      </c>
      <c r="F18" s="11">
        <f>IF(MIN(LARGE(Trimestres!$E$4:$E$50,ROW()-1),41136)=0,"",MIN(LARGE(Trimestres!$E$4:$E$50,ROW()-1),41136))</f>
        <v>18450</v>
      </c>
      <c r="G18" s="11">
        <f>IF(MIN(LARGE(Trimestres!$E$4:$E$51,ROW()-1),41136)=0,"",MIN(LARGE(Trimestres!$E$4:$E$51,ROW()-1),41136))</f>
        <v>18450</v>
      </c>
      <c r="H18" s="11">
        <f>IF(MIN(LARGE(Trimestres!$E$4:$E$52,ROW()-1),41136)=0,"",MIN(LARGE(Trimestres!$E$4:$E$52,ROW()-1),41136))</f>
        <v>18450</v>
      </c>
      <c r="I18" s="11">
        <f>IF(MIN(LARGE(Trimestres!$E$4:$E$53,ROW()-1),41136)=0,"",MIN(LARGE(Trimestres!$E$4:$E$53,ROW()-1),41136))</f>
        <v>18450</v>
      </c>
      <c r="J18" s="11">
        <f>IF(MIN(LARGE(Trimestres!$E$4:$E$54,ROW()-1),41136)=0,"",MIN(LARGE(Trimestres!$E$4:$E$54,ROW()-1),41136))</f>
        <v>18450</v>
      </c>
      <c r="K18" s="12">
        <f>IF(MIN(LARGE(Trimestres!$E$4:$E$55,ROW()-1),41136)=0,"",MIN(LARGE(Trimestres!$E$4:$E$55,ROW()-1),41136))</f>
        <v>18450</v>
      </c>
      <c r="M18">
        <v>1965</v>
      </c>
      <c r="N18">
        <v>62</v>
      </c>
      <c r="O18">
        <v>169</v>
      </c>
      <c r="P18">
        <v>67</v>
      </c>
      <c r="Q18">
        <v>25</v>
      </c>
      <c r="R18" s="4">
        <v>1.2500000000000001E-2</v>
      </c>
      <c r="T18">
        <v>2041</v>
      </c>
      <c r="U18" s="8">
        <v>1522.5</v>
      </c>
      <c r="W18" s="8"/>
    </row>
    <row r="19" spans="1:23" x14ac:dyDescent="0.25">
      <c r="A19">
        <v>1953</v>
      </c>
      <c r="B19">
        <v>44.615000000000002</v>
      </c>
      <c r="D19" s="30">
        <f>IF(MIN(LARGE(Trimestres!$E$4:$E$48,ROW()-1),41136)=0,"",MIN(LARGE(Trimestres!$E$4:$E$48,ROW()-1),41136))</f>
        <v>18180</v>
      </c>
      <c r="E19" s="11">
        <f>IF(MIN(LARGE(Trimestres!$E$4:$E$49,ROW()-1),41136)=0,"",MIN(LARGE(Trimestres!$E$4:$E$49,ROW()-1),41136))</f>
        <v>18180</v>
      </c>
      <c r="F19" s="11">
        <f>IF(MIN(LARGE(Trimestres!$E$4:$E$50,ROW()-1),41136)=0,"",MIN(LARGE(Trimestres!$E$4:$E$50,ROW()-1),41136))</f>
        <v>18180</v>
      </c>
      <c r="G19" s="11">
        <f>IF(MIN(LARGE(Trimestres!$E$4:$E$51,ROW()-1),41136)=0,"",MIN(LARGE(Trimestres!$E$4:$E$51,ROW()-1),41136))</f>
        <v>18180</v>
      </c>
      <c r="H19" s="11">
        <f>IF(MIN(LARGE(Trimestres!$E$4:$E$52,ROW()-1),41136)=0,"",MIN(LARGE(Trimestres!$E$4:$E$52,ROW()-1),41136))</f>
        <v>18180</v>
      </c>
      <c r="I19" s="11">
        <f>IF(MIN(LARGE(Trimestres!$E$4:$E$53,ROW()-1),41136)=0,"",MIN(LARGE(Trimestres!$E$4:$E$53,ROW()-1),41136))</f>
        <v>18180</v>
      </c>
      <c r="J19" s="11">
        <f>IF(MIN(LARGE(Trimestres!$E$4:$E$54,ROW()-1),41136)=0,"",MIN(LARGE(Trimestres!$E$4:$E$54,ROW()-1),41136))</f>
        <v>18180</v>
      </c>
      <c r="K19" s="12">
        <f>IF(MIN(LARGE(Trimestres!$E$4:$E$55,ROW()-1),41136)=0,"",MIN(LARGE(Trimestres!$E$4:$E$55,ROW()-1),41136))</f>
        <v>18180</v>
      </c>
      <c r="M19">
        <v>1966</v>
      </c>
      <c r="N19">
        <v>62</v>
      </c>
      <c r="O19">
        <v>169</v>
      </c>
      <c r="P19">
        <v>67</v>
      </c>
      <c r="Q19">
        <v>25</v>
      </c>
      <c r="R19" s="4">
        <v>1.2500000000000001E-2</v>
      </c>
      <c r="T19">
        <v>2040</v>
      </c>
      <c r="U19" s="8">
        <v>1522.5</v>
      </c>
      <c r="W19" s="8"/>
    </row>
    <row r="20" spans="1:23" x14ac:dyDescent="0.25">
      <c r="A20" s="1">
        <v>1954</v>
      </c>
      <c r="B20">
        <v>41.692</v>
      </c>
      <c r="D20" s="30">
        <f>IF(MIN(LARGE(Trimestres!$E$4:$E$48,ROW()-1),41136)=0,"",MIN(LARGE(Trimestres!$E$4:$E$48,ROW()-1),41136))</f>
        <v>18000</v>
      </c>
      <c r="E20" s="11">
        <f>IF(MIN(LARGE(Trimestres!$E$4:$E$49,ROW()-1),41136)=0,"",MIN(LARGE(Trimestres!$E$4:$E$49,ROW()-1),41136))</f>
        <v>18000</v>
      </c>
      <c r="F20" s="11">
        <f>IF(MIN(LARGE(Trimestres!$E$4:$E$50,ROW()-1),41136)=0,"",MIN(LARGE(Trimestres!$E$4:$E$50,ROW()-1),41136))</f>
        <v>18000</v>
      </c>
      <c r="G20" s="11">
        <f>IF(MIN(LARGE(Trimestres!$E$4:$E$51,ROW()-1),41136)=0,"",MIN(LARGE(Trimestres!$E$4:$E$51,ROW()-1),41136))</f>
        <v>18000</v>
      </c>
      <c r="H20" s="11">
        <f>IF(MIN(LARGE(Trimestres!$E$4:$E$52,ROW()-1),41136)=0,"",MIN(LARGE(Trimestres!$E$4:$E$52,ROW()-1),41136))</f>
        <v>18000</v>
      </c>
      <c r="I20" s="11">
        <f>IF(MIN(LARGE(Trimestres!$E$4:$E$53,ROW()-1),41136)=0,"",MIN(LARGE(Trimestres!$E$4:$E$53,ROW()-1),41136))</f>
        <v>18000</v>
      </c>
      <c r="J20" s="11">
        <f>IF(MIN(LARGE(Trimestres!$E$4:$E$54,ROW()-1),41136)=0,"",MIN(LARGE(Trimestres!$E$4:$E$54,ROW()-1),41136))</f>
        <v>18000</v>
      </c>
      <c r="K20" s="12">
        <f>IF(MIN(LARGE(Trimestres!$E$4:$E$55,ROW()-1),41136)=0,"",MIN(LARGE(Trimestres!$E$4:$E$55,ROW()-1),41136))</f>
        <v>18000</v>
      </c>
      <c r="M20">
        <v>1967</v>
      </c>
      <c r="N20">
        <v>62</v>
      </c>
      <c r="O20">
        <v>170</v>
      </c>
      <c r="P20">
        <v>67</v>
      </c>
      <c r="Q20">
        <v>25</v>
      </c>
      <c r="R20" s="4">
        <v>1.2500000000000001E-2</v>
      </c>
      <c r="T20">
        <v>2039</v>
      </c>
      <c r="U20" s="8">
        <v>1522.5</v>
      </c>
      <c r="W20" s="8"/>
    </row>
    <row r="21" spans="1:23" x14ac:dyDescent="0.25">
      <c r="A21">
        <v>1955</v>
      </c>
      <c r="B21">
        <v>38.426000000000002</v>
      </c>
      <c r="D21" s="30">
        <f>IF(MIN(LARGE(Trimestres!$E$4:$E$48,ROW()-1),41136)=0,"",MIN(LARGE(Trimestres!$E$4:$E$48,ROW()-1),41136))</f>
        <v>18000</v>
      </c>
      <c r="E21" s="11">
        <f>IF(MIN(LARGE(Trimestres!$E$4:$E$49,ROW()-1),41136)=0,"",MIN(LARGE(Trimestres!$E$4:$E$49,ROW()-1),41136))</f>
        <v>18000</v>
      </c>
      <c r="F21" s="11">
        <f>IF(MIN(LARGE(Trimestres!$E$4:$E$50,ROW()-1),41136)=0,"",MIN(LARGE(Trimestres!$E$4:$E$50,ROW()-1),41136))</f>
        <v>18000</v>
      </c>
      <c r="G21" s="11">
        <f>IF(MIN(LARGE(Trimestres!$E$4:$E$51,ROW()-1),41136)=0,"",MIN(LARGE(Trimestres!$E$4:$E$51,ROW()-1),41136))</f>
        <v>18000</v>
      </c>
      <c r="H21" s="11">
        <f>IF(MIN(LARGE(Trimestres!$E$4:$E$52,ROW()-1),41136)=0,"",MIN(LARGE(Trimestres!$E$4:$E$52,ROW()-1),41136))</f>
        <v>18000</v>
      </c>
      <c r="I21" s="11">
        <f>IF(MIN(LARGE(Trimestres!$E$4:$E$53,ROW()-1),41136)=0,"",MIN(LARGE(Trimestres!$E$4:$E$53,ROW()-1),41136))</f>
        <v>18000</v>
      </c>
      <c r="J21" s="11">
        <f>IF(MIN(LARGE(Trimestres!$E$4:$E$54,ROW()-1),41136)=0,"",MIN(LARGE(Trimestres!$E$4:$E$54,ROW()-1),41136))</f>
        <v>18000</v>
      </c>
      <c r="K21" s="12">
        <f>IF(MIN(LARGE(Trimestres!$E$4:$E$55,ROW()-1),41136)=0,"",MIN(LARGE(Trimestres!$E$4:$E$55,ROW()-1),41136))</f>
        <v>18000</v>
      </c>
      <c r="M21">
        <v>1968</v>
      </c>
      <c r="N21">
        <v>62</v>
      </c>
      <c r="O21">
        <v>170</v>
      </c>
      <c r="P21">
        <v>67</v>
      </c>
      <c r="Q21">
        <v>25</v>
      </c>
      <c r="R21" s="4">
        <v>1.2500000000000001E-2</v>
      </c>
      <c r="T21">
        <v>2038</v>
      </c>
      <c r="U21" s="8">
        <v>1522.5</v>
      </c>
    </row>
    <row r="22" spans="1:23" x14ac:dyDescent="0.25">
      <c r="A22" s="1">
        <v>1956</v>
      </c>
      <c r="B22">
        <v>34.305</v>
      </c>
      <c r="D22" s="30">
        <f>IF(MIN(LARGE(Trimestres!$E$4:$E$48,ROW()-1),41136)=0,"",MIN(LARGE(Trimestres!$E$4:$E$48,ROW()-1),41136))</f>
        <v>18000</v>
      </c>
      <c r="E22" s="11">
        <f>IF(MIN(LARGE(Trimestres!$E$4:$E$49,ROW()-1),41136)=0,"",MIN(LARGE(Trimestres!$E$4:$E$49,ROW()-1),41136))</f>
        <v>18000</v>
      </c>
      <c r="F22" s="11">
        <f>IF(MIN(LARGE(Trimestres!$E$4:$E$50,ROW()-1),41136)=0,"",MIN(LARGE(Trimestres!$E$4:$E$50,ROW()-1),41136))</f>
        <v>18000</v>
      </c>
      <c r="G22" s="11">
        <f>IF(MIN(LARGE(Trimestres!$E$4:$E$51,ROW()-1),41136)=0,"",MIN(LARGE(Trimestres!$E$4:$E$51,ROW()-1),41136))</f>
        <v>18000</v>
      </c>
      <c r="H22" s="11">
        <f>IF(MIN(LARGE(Trimestres!$E$4:$E$52,ROW()-1),41136)=0,"",MIN(LARGE(Trimestres!$E$4:$E$52,ROW()-1),41136))</f>
        <v>18000</v>
      </c>
      <c r="I22" s="11">
        <f>IF(MIN(LARGE(Trimestres!$E$4:$E$53,ROW()-1),41136)=0,"",MIN(LARGE(Trimestres!$E$4:$E$53,ROW()-1),41136))</f>
        <v>18000</v>
      </c>
      <c r="J22" s="11">
        <f>IF(MIN(LARGE(Trimestres!$E$4:$E$54,ROW()-1),41136)=0,"",MIN(LARGE(Trimestres!$E$4:$E$54,ROW()-1),41136))</f>
        <v>18000</v>
      </c>
      <c r="K22" s="12">
        <f>IF(MIN(LARGE(Trimestres!$E$4:$E$55,ROW()-1),41136)=0,"",MIN(LARGE(Trimestres!$E$4:$E$55,ROW()-1),41136))</f>
        <v>18000</v>
      </c>
      <c r="M22">
        <v>1969</v>
      </c>
      <c r="N22">
        <v>62</v>
      </c>
      <c r="O22">
        <v>170</v>
      </c>
      <c r="P22">
        <v>67</v>
      </c>
      <c r="Q22">
        <v>25</v>
      </c>
      <c r="R22" s="4">
        <v>1.2500000000000001E-2</v>
      </c>
      <c r="T22">
        <v>2037</v>
      </c>
      <c r="U22" s="8">
        <v>1522.5</v>
      </c>
    </row>
    <row r="23" spans="1:23" x14ac:dyDescent="0.25">
      <c r="A23">
        <v>1957</v>
      </c>
      <c r="B23">
        <v>31.908999999999999</v>
      </c>
      <c r="D23" s="30">
        <f>IF(MIN(LARGE(Trimestres!$E$4:$E$48,ROW()-1),41136)=0,"",MIN(LARGE(Trimestres!$E$4:$E$48,ROW()-1),41136))</f>
        <v>18000</v>
      </c>
      <c r="E23" s="11">
        <f>IF(MIN(LARGE(Trimestres!$E$4:$E$49,ROW()-1),41136)=0,"",MIN(LARGE(Trimestres!$E$4:$E$49,ROW()-1),41136))</f>
        <v>18000</v>
      </c>
      <c r="F23" s="11">
        <f>IF(MIN(LARGE(Trimestres!$E$4:$E$50,ROW()-1),41136)=0,"",MIN(LARGE(Trimestres!$E$4:$E$50,ROW()-1),41136))</f>
        <v>18000</v>
      </c>
      <c r="G23" s="11">
        <f>IF(MIN(LARGE(Trimestres!$E$4:$E$51,ROW()-1),41136)=0,"",MIN(LARGE(Trimestres!$E$4:$E$51,ROW()-1),41136))</f>
        <v>18000</v>
      </c>
      <c r="H23" s="11">
        <f>IF(MIN(LARGE(Trimestres!$E$4:$E$52,ROW()-1),41136)=0,"",MIN(LARGE(Trimestres!$E$4:$E$52,ROW()-1),41136))</f>
        <v>18000</v>
      </c>
      <c r="I23" s="11">
        <f>IF(MIN(LARGE(Trimestres!$E$4:$E$53,ROW()-1),41136)=0,"",MIN(LARGE(Trimestres!$E$4:$E$53,ROW()-1),41136))</f>
        <v>18000</v>
      </c>
      <c r="J23" s="11">
        <f>IF(MIN(LARGE(Trimestres!$E$4:$E$54,ROW()-1),41136)=0,"",MIN(LARGE(Trimestres!$E$4:$E$54,ROW()-1),41136))</f>
        <v>18000</v>
      </c>
      <c r="K23" s="12">
        <f>IF(MIN(LARGE(Trimestres!$E$4:$E$55,ROW()-1),41136)=0,"",MIN(LARGE(Trimestres!$E$4:$E$55,ROW()-1),41136))</f>
        <v>18000</v>
      </c>
      <c r="M23">
        <v>1970</v>
      </c>
      <c r="N23">
        <v>62</v>
      </c>
      <c r="O23">
        <v>171</v>
      </c>
      <c r="P23">
        <v>67</v>
      </c>
      <c r="Q23">
        <v>25</v>
      </c>
      <c r="R23" s="4">
        <v>1.2500000000000001E-2</v>
      </c>
      <c r="T23">
        <v>2036</v>
      </c>
      <c r="U23" s="8">
        <v>1522.5</v>
      </c>
    </row>
    <row r="24" spans="1:23" x14ac:dyDescent="0.25">
      <c r="A24" s="1">
        <v>1958</v>
      </c>
      <c r="B24">
        <v>28.109000000000002</v>
      </c>
      <c r="D24" s="30">
        <f>IF(MIN(LARGE(Trimestres!$E$4:$E$48,ROW()-1),41136)=0,"",MIN(LARGE(Trimestres!$E$4:$E$48,ROW()-1),41136))</f>
        <v>18000</v>
      </c>
      <c r="E24" s="11">
        <f>IF(MIN(LARGE(Trimestres!$E$4:$E$49,ROW()-1),41136)=0,"",MIN(LARGE(Trimestres!$E$4:$E$49,ROW()-1),41136))</f>
        <v>18000</v>
      </c>
      <c r="F24" s="11">
        <f>IF(MIN(LARGE(Trimestres!$E$4:$E$50,ROW()-1),41136)=0,"",MIN(LARGE(Trimestres!$E$4:$E$50,ROW()-1),41136))</f>
        <v>18000</v>
      </c>
      <c r="G24" s="11">
        <f>IF(MIN(LARGE(Trimestres!$E$4:$E$51,ROW()-1),41136)=0,"",MIN(LARGE(Trimestres!$E$4:$E$51,ROW()-1),41136))</f>
        <v>18000</v>
      </c>
      <c r="H24" s="11">
        <f>IF(MIN(LARGE(Trimestres!$E$4:$E$52,ROW()-1),41136)=0,"",MIN(LARGE(Trimestres!$E$4:$E$52,ROW()-1),41136))</f>
        <v>18000</v>
      </c>
      <c r="I24" s="11">
        <f>IF(MIN(LARGE(Trimestres!$E$4:$E$53,ROW()-1),41136)=0,"",MIN(LARGE(Trimestres!$E$4:$E$53,ROW()-1),41136))</f>
        <v>18000</v>
      </c>
      <c r="J24" s="11">
        <f>IF(MIN(LARGE(Trimestres!$E$4:$E$54,ROW()-1),41136)=0,"",MIN(LARGE(Trimestres!$E$4:$E$54,ROW()-1),41136))</f>
        <v>18000</v>
      </c>
      <c r="K24" s="12">
        <f>IF(MIN(LARGE(Trimestres!$E$4:$E$55,ROW()-1),41136)=0,"",MIN(LARGE(Trimestres!$E$4:$E$55,ROW()-1),41136))</f>
        <v>18000</v>
      </c>
      <c r="M24">
        <v>1971</v>
      </c>
      <c r="N24">
        <v>62</v>
      </c>
      <c r="O24">
        <v>171</v>
      </c>
      <c r="P24">
        <v>67</v>
      </c>
      <c r="Q24">
        <v>25</v>
      </c>
      <c r="R24" s="4">
        <v>1.2500000000000001E-2</v>
      </c>
      <c r="T24">
        <v>2035</v>
      </c>
      <c r="U24" s="8">
        <v>1522.5</v>
      </c>
    </row>
    <row r="25" spans="1:23" x14ac:dyDescent="0.25">
      <c r="A25">
        <v>1959</v>
      </c>
      <c r="B25">
        <v>25.437999999999999</v>
      </c>
      <c r="D25" s="30">
        <f>IF(MIN(LARGE(Trimestres!$E$4:$E$48,ROW()-1),41136)=0,"",MIN(LARGE(Trimestres!$E$4:$E$48,ROW()-1),41136))</f>
        <v>18000</v>
      </c>
      <c r="E25" s="11">
        <f>IF(MIN(LARGE(Trimestres!$E$4:$E$49,ROW()-1),41136)=0,"",MIN(LARGE(Trimestres!$E$4:$E$49,ROW()-1),41136))</f>
        <v>18000</v>
      </c>
      <c r="F25" s="11">
        <f>IF(MIN(LARGE(Trimestres!$E$4:$E$50,ROW()-1),41136)=0,"",MIN(LARGE(Trimestres!$E$4:$E$50,ROW()-1),41136))</f>
        <v>18000</v>
      </c>
      <c r="G25" s="11">
        <f>IF(MIN(LARGE(Trimestres!$E$4:$E$51,ROW()-1),41136)=0,"",MIN(LARGE(Trimestres!$E$4:$E$51,ROW()-1),41136))</f>
        <v>18000</v>
      </c>
      <c r="H25" s="11">
        <f>IF(MIN(LARGE(Trimestres!$E$4:$E$52,ROW()-1),41136)=0,"",MIN(LARGE(Trimestres!$E$4:$E$52,ROW()-1),41136))</f>
        <v>18000</v>
      </c>
      <c r="I25" s="11">
        <f>IF(MIN(LARGE(Trimestres!$E$4:$E$53,ROW()-1),41136)=0,"",MIN(LARGE(Trimestres!$E$4:$E$53,ROW()-1),41136))</f>
        <v>18000</v>
      </c>
      <c r="J25" s="11">
        <f>IF(MIN(LARGE(Trimestres!$E$4:$E$54,ROW()-1),41136)=0,"",MIN(LARGE(Trimestres!$E$4:$E$54,ROW()-1),41136))</f>
        <v>18000</v>
      </c>
      <c r="K25" s="12">
        <f>IF(MIN(LARGE(Trimestres!$E$4:$E$55,ROW()-1),41136)=0,"",MIN(LARGE(Trimestres!$E$4:$E$55,ROW()-1),41136))</f>
        <v>18000</v>
      </c>
      <c r="M25">
        <v>1972</v>
      </c>
      <c r="N25">
        <v>62</v>
      </c>
      <c r="O25">
        <v>171</v>
      </c>
      <c r="P25">
        <v>67</v>
      </c>
      <c r="Q25">
        <v>25</v>
      </c>
      <c r="R25" s="4">
        <v>1.2500000000000001E-2</v>
      </c>
      <c r="T25">
        <v>2034</v>
      </c>
      <c r="U25" s="8">
        <v>1522.5</v>
      </c>
    </row>
    <row r="26" spans="1:23" x14ac:dyDescent="0.25">
      <c r="A26" s="1">
        <v>1960</v>
      </c>
      <c r="B26">
        <v>23.62</v>
      </c>
      <c r="D26" s="30">
        <f>IF(MIN(LARGE(Trimestres!$E$4:$E$48,ROW()-1),41136)=0,"",MIN(LARGE(Trimestres!$E$4:$E$48,ROW()-1),41136))</f>
        <v>18000</v>
      </c>
      <c r="E26" s="11">
        <f>IF(MIN(LARGE(Trimestres!$E$4:$E$49,ROW()-1),41136)=0,"",MIN(LARGE(Trimestres!$E$4:$E$49,ROW()-1),41136))</f>
        <v>18000</v>
      </c>
      <c r="F26" s="11">
        <f>IF(MIN(LARGE(Trimestres!$E$4:$E$50,ROW()-1),41136)=0,"",MIN(LARGE(Trimestres!$E$4:$E$50,ROW()-1),41136))</f>
        <v>18000</v>
      </c>
      <c r="G26" s="11">
        <f>IF(MIN(LARGE(Trimestres!$E$4:$E$51,ROW()-1),41136)=0,"",MIN(LARGE(Trimestres!$E$4:$E$51,ROW()-1),41136))</f>
        <v>18000</v>
      </c>
      <c r="H26" s="11">
        <f>IF(MIN(LARGE(Trimestres!$E$4:$E$52,ROW()-1),41136)=0,"",MIN(LARGE(Trimestres!$E$4:$E$52,ROW()-1),41136))</f>
        <v>18000</v>
      </c>
      <c r="I26" s="11">
        <f>IF(MIN(LARGE(Trimestres!$E$4:$E$53,ROW()-1),41136)=0,"",MIN(LARGE(Trimestres!$E$4:$E$53,ROW()-1),41136))</f>
        <v>18000</v>
      </c>
      <c r="J26" s="11">
        <f>IF(MIN(LARGE(Trimestres!$E$4:$E$54,ROW()-1),41136)=0,"",MIN(LARGE(Trimestres!$E$4:$E$54,ROW()-1),41136))</f>
        <v>18000</v>
      </c>
      <c r="K26" s="12">
        <f>IF(MIN(LARGE(Trimestres!$E$4:$E$55,ROW()-1),41136)=0,"",MIN(LARGE(Trimestres!$E$4:$E$55,ROW()-1),41136))</f>
        <v>18000</v>
      </c>
      <c r="M26">
        <v>1973</v>
      </c>
      <c r="N26">
        <v>62</v>
      </c>
      <c r="O26">
        <v>172</v>
      </c>
      <c r="P26">
        <v>67</v>
      </c>
      <c r="Q26">
        <v>25</v>
      </c>
      <c r="R26" s="4">
        <v>1.2500000000000001E-2</v>
      </c>
      <c r="T26">
        <v>2033</v>
      </c>
      <c r="U26" s="8">
        <v>1522.5</v>
      </c>
    </row>
    <row r="27" spans="1:23" x14ac:dyDescent="0.25">
      <c r="A27">
        <v>1961</v>
      </c>
      <c r="B27">
        <v>20.536999999999999</v>
      </c>
      <c r="D27" s="30">
        <f>IF(MIN(LARGE(Trimestres!$E$4:$E$48,ROW()-1),41136)=0,"",MIN(LARGE(Trimestres!$E$4:$E$48,ROW()-1),41136))</f>
        <v>12005.415013857679</v>
      </c>
      <c r="E27" s="11">
        <f>IF(MIN(LARGE(Trimestres!$E$4:$E$49,ROW()-1),41136)=0,"",MIN(LARGE(Trimestres!$E$4:$E$49,ROW()-1),41136))</f>
        <v>18000</v>
      </c>
      <c r="F27" s="11">
        <f>IF(MIN(LARGE(Trimestres!$E$4:$E$50,ROW()-1),41136)=0,"",MIN(LARGE(Trimestres!$E$4:$E$50,ROW()-1),41136))</f>
        <v>18000</v>
      </c>
      <c r="G27" s="11">
        <f>IF(MIN(LARGE(Trimestres!$E$4:$E$51,ROW()-1),41136)=0,"",MIN(LARGE(Trimestres!$E$4:$E$51,ROW()-1),41136))</f>
        <v>18000</v>
      </c>
      <c r="H27" s="11">
        <f>IF(MIN(LARGE(Trimestres!$E$4:$E$52,ROW()-1),41136)=0,"",MIN(LARGE(Trimestres!$E$4:$E$52,ROW()-1),41136))</f>
        <v>18000</v>
      </c>
      <c r="I27" s="11">
        <f>IF(MIN(LARGE(Trimestres!$E$4:$E$53,ROW()-1),41136)=0,"",MIN(LARGE(Trimestres!$E$4:$E$53,ROW()-1),41136))</f>
        <v>18000</v>
      </c>
      <c r="J27" s="11">
        <f>IF(MIN(LARGE(Trimestres!$E$4:$E$54,ROW()-1),41136)=0,"",MIN(LARGE(Trimestres!$E$4:$E$54,ROW()-1),41136))</f>
        <v>18000</v>
      </c>
      <c r="K27" s="12">
        <f>IF(MIN(LARGE(Trimestres!$E$4:$E$55,ROW()-1),41136)=0,"",MIN(LARGE(Trimestres!$E$4:$E$55,ROW()-1),41136))</f>
        <v>18000</v>
      </c>
      <c r="M27">
        <v>1974</v>
      </c>
      <c r="N27">
        <v>62</v>
      </c>
      <c r="O27">
        <v>172</v>
      </c>
      <c r="P27">
        <v>67</v>
      </c>
      <c r="Q27">
        <v>25</v>
      </c>
      <c r="R27" s="4">
        <v>1.2500000000000001E-2</v>
      </c>
      <c r="T27">
        <v>2032</v>
      </c>
      <c r="U27" s="8">
        <v>1522.5</v>
      </c>
    </row>
    <row r="28" spans="1:23" x14ac:dyDescent="0.25">
      <c r="A28" s="1">
        <v>1962</v>
      </c>
      <c r="B28">
        <v>17.704999999999998</v>
      </c>
      <c r="M28">
        <v>1975</v>
      </c>
      <c r="N28">
        <v>62</v>
      </c>
      <c r="O28">
        <v>172</v>
      </c>
      <c r="P28">
        <v>67</v>
      </c>
      <c r="Q28">
        <v>25</v>
      </c>
      <c r="R28" s="4">
        <v>1.2500000000000001E-2</v>
      </c>
      <c r="T28">
        <v>2031</v>
      </c>
      <c r="U28" s="8">
        <v>1522.5</v>
      </c>
    </row>
    <row r="29" spans="1:23" x14ac:dyDescent="0.25">
      <c r="A29">
        <v>1963</v>
      </c>
      <c r="B29">
        <v>15.802</v>
      </c>
      <c r="F29" t="s">
        <v>7</v>
      </c>
      <c r="G29">
        <f>IF(Client!B2="Mme",Client!B6*8,0)</f>
        <v>0</v>
      </c>
      <c r="M29">
        <v>1976</v>
      </c>
      <c r="N29">
        <v>62</v>
      </c>
      <c r="O29">
        <v>172</v>
      </c>
      <c r="P29">
        <v>67</v>
      </c>
      <c r="Q29">
        <v>25</v>
      </c>
      <c r="R29" s="4">
        <v>1.2500000000000001E-2</v>
      </c>
      <c r="T29">
        <v>2030</v>
      </c>
      <c r="U29" s="8">
        <v>1522.5</v>
      </c>
    </row>
    <row r="30" spans="1:23" x14ac:dyDescent="0.25">
      <c r="A30" s="1">
        <v>1964</v>
      </c>
      <c r="B30">
        <v>14.234</v>
      </c>
      <c r="F30" t="s">
        <v>25</v>
      </c>
      <c r="G30">
        <v>1.2714000000000001</v>
      </c>
      <c r="M30">
        <v>1977</v>
      </c>
      <c r="N30">
        <v>62</v>
      </c>
      <c r="O30">
        <v>172</v>
      </c>
      <c r="P30">
        <v>67</v>
      </c>
      <c r="Q30">
        <v>25</v>
      </c>
      <c r="R30" s="4">
        <v>1.2500000000000001E-2</v>
      </c>
      <c r="T30">
        <v>2029</v>
      </c>
      <c r="U30" s="8">
        <v>1522.5</v>
      </c>
    </row>
    <row r="31" spans="1:23" x14ac:dyDescent="0.25">
      <c r="A31">
        <v>1965</v>
      </c>
      <c r="B31">
        <v>13.314</v>
      </c>
      <c r="M31">
        <v>1978</v>
      </c>
      <c r="N31">
        <v>62</v>
      </c>
      <c r="O31">
        <v>172</v>
      </c>
      <c r="P31">
        <v>67</v>
      </c>
      <c r="Q31">
        <v>25</v>
      </c>
      <c r="R31" s="4">
        <v>1.2500000000000001E-2</v>
      </c>
      <c r="T31">
        <v>2028</v>
      </c>
      <c r="U31" s="8">
        <v>1522.5</v>
      </c>
    </row>
    <row r="32" spans="1:23" x14ac:dyDescent="0.25">
      <c r="A32" s="1">
        <v>1966</v>
      </c>
      <c r="B32">
        <v>12.582000000000001</v>
      </c>
      <c r="M32">
        <v>1979</v>
      </c>
      <c r="N32">
        <v>62</v>
      </c>
      <c r="O32">
        <v>172</v>
      </c>
      <c r="P32">
        <v>67</v>
      </c>
      <c r="Q32">
        <v>25</v>
      </c>
      <c r="R32" s="4">
        <v>1.2500000000000001E-2</v>
      </c>
      <c r="T32">
        <v>2027</v>
      </c>
      <c r="U32" s="8">
        <v>1522.5</v>
      </c>
    </row>
    <row r="33" spans="1:21" x14ac:dyDescent="0.25">
      <c r="A33">
        <v>1967</v>
      </c>
      <c r="B33">
        <v>11.912000000000001</v>
      </c>
      <c r="M33">
        <v>1980</v>
      </c>
      <c r="N33">
        <v>62</v>
      </c>
      <c r="O33">
        <v>172</v>
      </c>
      <c r="P33">
        <v>67</v>
      </c>
      <c r="Q33">
        <v>25</v>
      </c>
      <c r="R33" s="4">
        <v>1.2500000000000001E-2</v>
      </c>
      <c r="T33">
        <v>2026</v>
      </c>
      <c r="U33" s="8">
        <v>1522.5</v>
      </c>
    </row>
    <row r="34" spans="1:21" x14ac:dyDescent="0.25">
      <c r="A34" s="1">
        <v>1968</v>
      </c>
      <c r="B34">
        <v>10.98</v>
      </c>
      <c r="M34">
        <v>1981</v>
      </c>
      <c r="N34">
        <v>62</v>
      </c>
      <c r="O34">
        <v>172</v>
      </c>
      <c r="P34">
        <v>67</v>
      </c>
      <c r="Q34">
        <v>25</v>
      </c>
      <c r="R34" s="4">
        <v>1.2500000000000001E-2</v>
      </c>
      <c r="T34">
        <v>2025</v>
      </c>
      <c r="U34" s="8">
        <v>1522.5</v>
      </c>
    </row>
    <row r="35" spans="1:21" x14ac:dyDescent="0.25">
      <c r="A35">
        <v>1969</v>
      </c>
      <c r="B35">
        <v>9.5180000000000007</v>
      </c>
      <c r="M35">
        <v>1982</v>
      </c>
      <c r="N35">
        <v>62</v>
      </c>
      <c r="O35">
        <v>172</v>
      </c>
      <c r="P35">
        <v>67</v>
      </c>
      <c r="Q35">
        <v>25</v>
      </c>
      <c r="R35" s="4">
        <v>1.2500000000000001E-2</v>
      </c>
      <c r="T35">
        <v>2024</v>
      </c>
      <c r="U35" s="8">
        <v>1522.5</v>
      </c>
    </row>
    <row r="36" spans="1:21" x14ac:dyDescent="0.25">
      <c r="A36" s="1">
        <v>1970</v>
      </c>
      <c r="B36">
        <v>8.6460000000000008</v>
      </c>
      <c r="M36">
        <v>1983</v>
      </c>
      <c r="N36">
        <v>62</v>
      </c>
      <c r="O36">
        <v>172</v>
      </c>
      <c r="P36">
        <v>67</v>
      </c>
      <c r="Q36">
        <v>25</v>
      </c>
      <c r="R36" s="4">
        <v>1.2500000000000001E-2</v>
      </c>
      <c r="T36">
        <v>2023</v>
      </c>
      <c r="U36" s="8">
        <v>1522.5</v>
      </c>
    </row>
    <row r="37" spans="1:21" x14ac:dyDescent="0.25">
      <c r="A37">
        <v>1971</v>
      </c>
      <c r="B37">
        <v>7.7560000000000002</v>
      </c>
      <c r="M37">
        <v>1984</v>
      </c>
      <c r="N37">
        <v>62</v>
      </c>
      <c r="O37">
        <v>172</v>
      </c>
      <c r="P37">
        <v>67</v>
      </c>
      <c r="Q37">
        <v>25</v>
      </c>
      <c r="R37" s="4">
        <v>1.2500000000000001E-2</v>
      </c>
      <c r="T37">
        <v>2022</v>
      </c>
      <c r="U37" s="8">
        <v>1522.5</v>
      </c>
    </row>
    <row r="38" spans="1:21" x14ac:dyDescent="0.25">
      <c r="A38" s="1">
        <v>1972</v>
      </c>
      <c r="B38">
        <v>6.9889999999999999</v>
      </c>
      <c r="M38">
        <v>1985</v>
      </c>
      <c r="N38">
        <v>62</v>
      </c>
      <c r="O38">
        <v>172</v>
      </c>
      <c r="P38">
        <v>67</v>
      </c>
      <c r="Q38">
        <v>25</v>
      </c>
      <c r="R38" s="4">
        <v>1.2500000000000001E-2</v>
      </c>
      <c r="T38">
        <v>2021</v>
      </c>
      <c r="U38" s="8">
        <v>1522.5</v>
      </c>
    </row>
    <row r="39" spans="1:21" x14ac:dyDescent="0.25">
      <c r="A39">
        <v>1973</v>
      </c>
      <c r="B39">
        <v>6.4580000000000002</v>
      </c>
      <c r="M39">
        <v>1986</v>
      </c>
      <c r="N39">
        <v>62</v>
      </c>
      <c r="O39">
        <v>172</v>
      </c>
      <c r="P39">
        <v>67</v>
      </c>
      <c r="Q39">
        <v>25</v>
      </c>
      <c r="R39" s="4">
        <v>1.2500000000000001E-2</v>
      </c>
      <c r="T39">
        <v>2020</v>
      </c>
      <c r="U39" s="8">
        <v>1522.5</v>
      </c>
    </row>
    <row r="40" spans="1:21" x14ac:dyDescent="0.25">
      <c r="A40" s="1">
        <v>1974</v>
      </c>
      <c r="B40">
        <v>5.694</v>
      </c>
      <c r="M40">
        <v>1987</v>
      </c>
      <c r="N40">
        <v>62</v>
      </c>
      <c r="O40">
        <v>172</v>
      </c>
      <c r="P40">
        <v>67</v>
      </c>
      <c r="Q40">
        <v>25</v>
      </c>
      <c r="R40" s="4">
        <v>1.2500000000000001E-2</v>
      </c>
      <c r="T40">
        <v>2019</v>
      </c>
      <c r="U40" s="8">
        <v>1504.5</v>
      </c>
    </row>
    <row r="41" spans="1:21" x14ac:dyDescent="0.25">
      <c r="A41">
        <v>1975</v>
      </c>
      <c r="B41">
        <v>4.7930000000000001</v>
      </c>
      <c r="M41">
        <v>1988</v>
      </c>
      <c r="N41">
        <v>62</v>
      </c>
      <c r="O41">
        <v>172</v>
      </c>
      <c r="P41">
        <v>67</v>
      </c>
      <c r="Q41">
        <v>25</v>
      </c>
      <c r="R41" s="4">
        <v>1.2500000000000001E-2</v>
      </c>
      <c r="T41" s="7">
        <v>2018</v>
      </c>
      <c r="U41" s="8">
        <v>1482</v>
      </c>
    </row>
    <row r="42" spans="1:21" x14ac:dyDescent="0.25">
      <c r="A42" s="1">
        <v>1976</v>
      </c>
      <c r="B42">
        <v>4.0730000000000004</v>
      </c>
      <c r="M42">
        <v>1989</v>
      </c>
      <c r="N42">
        <v>62</v>
      </c>
      <c r="O42">
        <v>172</v>
      </c>
      <c r="P42">
        <v>67</v>
      </c>
      <c r="Q42">
        <v>25</v>
      </c>
      <c r="R42" s="4">
        <v>1.2500000000000001E-2</v>
      </c>
      <c r="T42">
        <v>2017</v>
      </c>
      <c r="U42" s="8">
        <v>1464</v>
      </c>
    </row>
    <row r="43" spans="1:21" x14ac:dyDescent="0.25">
      <c r="A43">
        <v>1977</v>
      </c>
      <c r="B43">
        <v>3.5129999999999999</v>
      </c>
      <c r="M43">
        <v>1990</v>
      </c>
      <c r="N43">
        <v>62</v>
      </c>
      <c r="O43">
        <v>172</v>
      </c>
      <c r="P43">
        <v>67</v>
      </c>
      <c r="Q43">
        <v>25</v>
      </c>
      <c r="R43" s="4">
        <v>1.2500000000000001E-2</v>
      </c>
      <c r="T43">
        <v>2016</v>
      </c>
      <c r="U43" s="8">
        <v>1450.5</v>
      </c>
    </row>
    <row r="44" spans="1:21" x14ac:dyDescent="0.25">
      <c r="A44" s="1">
        <v>1978</v>
      </c>
      <c r="B44">
        <v>3.16</v>
      </c>
      <c r="M44">
        <v>1991</v>
      </c>
      <c r="N44">
        <v>62</v>
      </c>
      <c r="O44">
        <v>172</v>
      </c>
      <c r="P44">
        <v>67</v>
      </c>
      <c r="Q44">
        <v>25</v>
      </c>
      <c r="R44" s="4">
        <v>1.2500000000000001E-2</v>
      </c>
      <c r="T44">
        <v>2015</v>
      </c>
      <c r="U44" s="8">
        <v>1441.5</v>
      </c>
    </row>
    <row r="45" spans="1:21" x14ac:dyDescent="0.25">
      <c r="A45">
        <v>1979</v>
      </c>
      <c r="B45">
        <v>2.8820000000000001</v>
      </c>
      <c r="M45">
        <v>1992</v>
      </c>
      <c r="N45">
        <v>62</v>
      </c>
      <c r="O45">
        <v>172</v>
      </c>
      <c r="P45">
        <v>67</v>
      </c>
      <c r="Q45">
        <v>25</v>
      </c>
      <c r="R45" s="4">
        <v>1.2500000000000001E-2</v>
      </c>
      <c r="T45">
        <v>2014</v>
      </c>
      <c r="U45" s="8">
        <f>1429.5</f>
        <v>1429.5</v>
      </c>
    </row>
    <row r="46" spans="1:21" x14ac:dyDescent="0.25">
      <c r="A46" s="1">
        <v>1980</v>
      </c>
      <c r="B46">
        <v>2.5339999999999998</v>
      </c>
      <c r="M46">
        <v>1993</v>
      </c>
      <c r="N46">
        <v>62</v>
      </c>
      <c r="O46">
        <v>172</v>
      </c>
      <c r="P46">
        <v>67</v>
      </c>
      <c r="Q46">
        <v>25</v>
      </c>
      <c r="R46" s="4">
        <v>1.2500000000000001E-2</v>
      </c>
      <c r="T46">
        <v>2013</v>
      </c>
      <c r="U46" s="8">
        <v>1886</v>
      </c>
    </row>
    <row r="47" spans="1:21" x14ac:dyDescent="0.25">
      <c r="A47">
        <v>1981</v>
      </c>
      <c r="B47">
        <v>2.2370000000000001</v>
      </c>
      <c r="M47">
        <v>1994</v>
      </c>
      <c r="N47">
        <v>62</v>
      </c>
      <c r="O47">
        <v>172</v>
      </c>
      <c r="P47">
        <v>67</v>
      </c>
      <c r="Q47">
        <v>25</v>
      </c>
      <c r="R47" s="4">
        <v>1.2500000000000001E-2</v>
      </c>
      <c r="T47">
        <v>2012</v>
      </c>
      <c r="U47" s="8">
        <v>1844</v>
      </c>
    </row>
    <row r="48" spans="1:21" x14ac:dyDescent="0.25">
      <c r="A48" s="1">
        <v>1982</v>
      </c>
      <c r="B48">
        <v>1.9970000000000001</v>
      </c>
      <c r="M48">
        <v>1995</v>
      </c>
      <c r="N48">
        <v>62</v>
      </c>
      <c r="O48">
        <v>172</v>
      </c>
      <c r="P48">
        <v>67</v>
      </c>
      <c r="Q48">
        <v>25</v>
      </c>
      <c r="R48" s="4">
        <v>1.2500000000000001E-2</v>
      </c>
      <c r="T48">
        <v>2011</v>
      </c>
      <c r="U48" s="8">
        <v>1800</v>
      </c>
    </row>
    <row r="49" spans="1:21" x14ac:dyDescent="0.25">
      <c r="A49">
        <v>1983</v>
      </c>
      <c r="B49">
        <v>1.8839999999999999</v>
      </c>
      <c r="M49">
        <v>1996</v>
      </c>
      <c r="N49">
        <v>62</v>
      </c>
      <c r="O49">
        <v>172</v>
      </c>
      <c r="P49">
        <v>67</v>
      </c>
      <c r="Q49">
        <v>25</v>
      </c>
      <c r="R49" s="4">
        <v>1.2500000000000001E-2</v>
      </c>
      <c r="T49">
        <v>2010</v>
      </c>
      <c r="U49" s="8">
        <v>1772</v>
      </c>
    </row>
    <row r="50" spans="1:21" x14ac:dyDescent="0.25">
      <c r="A50" s="1">
        <v>1984</v>
      </c>
      <c r="B50">
        <v>1.786</v>
      </c>
      <c r="M50">
        <v>1997</v>
      </c>
      <c r="N50">
        <v>62</v>
      </c>
      <c r="O50">
        <v>172</v>
      </c>
      <c r="P50">
        <v>67</v>
      </c>
      <c r="Q50">
        <v>25</v>
      </c>
      <c r="R50" s="4">
        <v>1.2500000000000001E-2</v>
      </c>
      <c r="T50">
        <v>2009</v>
      </c>
      <c r="U50" s="8">
        <v>1742</v>
      </c>
    </row>
    <row r="51" spans="1:21" x14ac:dyDescent="0.25">
      <c r="A51">
        <v>1985</v>
      </c>
      <c r="B51">
        <v>1.712</v>
      </c>
      <c r="M51">
        <v>1998</v>
      </c>
      <c r="N51">
        <v>62</v>
      </c>
      <c r="O51">
        <v>172</v>
      </c>
      <c r="P51">
        <v>67</v>
      </c>
      <c r="Q51">
        <v>25</v>
      </c>
      <c r="R51" s="4">
        <v>1.2500000000000001E-2</v>
      </c>
      <c r="T51">
        <v>2008</v>
      </c>
      <c r="U51" s="8">
        <v>1688</v>
      </c>
    </row>
    <row r="52" spans="1:21" x14ac:dyDescent="0.25">
      <c r="A52" s="1">
        <v>1986</v>
      </c>
      <c r="B52">
        <v>1.673</v>
      </c>
      <c r="M52">
        <v>1999</v>
      </c>
      <c r="N52">
        <v>62</v>
      </c>
      <c r="O52">
        <v>172</v>
      </c>
      <c r="P52">
        <v>67</v>
      </c>
      <c r="Q52">
        <v>25</v>
      </c>
      <c r="R52" s="4">
        <v>1.2500000000000001E-2</v>
      </c>
      <c r="T52">
        <v>2007</v>
      </c>
      <c r="U52" s="8">
        <v>1654</v>
      </c>
    </row>
    <row r="53" spans="1:21" x14ac:dyDescent="0.25">
      <c r="A53">
        <v>1987</v>
      </c>
      <c r="B53">
        <v>1.6120000000000001</v>
      </c>
      <c r="M53">
        <v>2000</v>
      </c>
      <c r="N53">
        <v>62</v>
      </c>
      <c r="O53">
        <v>172</v>
      </c>
      <c r="P53">
        <v>67</v>
      </c>
      <c r="Q53">
        <v>25</v>
      </c>
      <c r="R53" s="4">
        <v>1.2500000000000001E-2</v>
      </c>
      <c r="T53">
        <v>2006</v>
      </c>
      <c r="U53" s="8">
        <v>1606</v>
      </c>
    </row>
    <row r="54" spans="1:21" x14ac:dyDescent="0.25">
      <c r="A54" s="1">
        <v>1988</v>
      </c>
      <c r="B54">
        <v>1.575</v>
      </c>
      <c r="M54">
        <v>2001</v>
      </c>
      <c r="N54">
        <v>62</v>
      </c>
      <c r="O54">
        <v>172</v>
      </c>
      <c r="P54">
        <v>67</v>
      </c>
      <c r="Q54">
        <v>25</v>
      </c>
      <c r="R54" s="4">
        <v>1.2500000000000001E-2</v>
      </c>
      <c r="T54">
        <v>2005</v>
      </c>
      <c r="U54" s="8">
        <v>1522</v>
      </c>
    </row>
    <row r="55" spans="1:21" x14ac:dyDescent="0.25">
      <c r="A55">
        <v>1989</v>
      </c>
      <c r="B55">
        <v>1.5189999999999999</v>
      </c>
      <c r="M55">
        <v>2002</v>
      </c>
      <c r="N55">
        <v>62</v>
      </c>
      <c r="O55">
        <v>172</v>
      </c>
      <c r="P55">
        <v>67</v>
      </c>
      <c r="Q55">
        <v>25</v>
      </c>
      <c r="R55" s="4">
        <v>1.2500000000000001E-2</v>
      </c>
      <c r="T55">
        <v>2004</v>
      </c>
      <c r="U55" s="8">
        <v>1438</v>
      </c>
    </row>
    <row r="56" spans="1:21" x14ac:dyDescent="0.25">
      <c r="A56" s="1">
        <v>1990</v>
      </c>
      <c r="B56">
        <v>1.478</v>
      </c>
      <c r="M56">
        <v>2003</v>
      </c>
      <c r="N56">
        <v>62</v>
      </c>
      <c r="O56">
        <v>172</v>
      </c>
      <c r="P56">
        <v>67</v>
      </c>
      <c r="Q56">
        <v>25</v>
      </c>
      <c r="R56" s="4">
        <v>1.2500000000000001E-2</v>
      </c>
      <c r="T56">
        <v>2003</v>
      </c>
      <c r="U56" s="8">
        <v>1366</v>
      </c>
    </row>
    <row r="57" spans="1:21" x14ac:dyDescent="0.25">
      <c r="A57">
        <v>1991</v>
      </c>
      <c r="B57">
        <v>1.4550000000000001</v>
      </c>
      <c r="M57">
        <v>2004</v>
      </c>
      <c r="N57">
        <v>62</v>
      </c>
      <c r="O57">
        <v>172</v>
      </c>
      <c r="P57">
        <v>67</v>
      </c>
      <c r="Q57">
        <v>25</v>
      </c>
      <c r="R57" s="4">
        <v>1.2500000000000001E-2</v>
      </c>
      <c r="T57">
        <v>2002</v>
      </c>
      <c r="U57" s="8">
        <v>1334</v>
      </c>
    </row>
    <row r="58" spans="1:21" x14ac:dyDescent="0.25">
      <c r="A58" s="1">
        <v>1992</v>
      </c>
      <c r="B58">
        <v>1.4079999999999999</v>
      </c>
      <c r="M58">
        <v>2005</v>
      </c>
      <c r="N58">
        <v>62</v>
      </c>
      <c r="O58">
        <v>172</v>
      </c>
      <c r="P58">
        <v>67</v>
      </c>
      <c r="Q58">
        <v>25</v>
      </c>
      <c r="R58" s="4">
        <v>1.2500000000000001E-2</v>
      </c>
      <c r="T58">
        <v>2001</v>
      </c>
      <c r="U58" s="8">
        <v>1281.1815408631969</v>
      </c>
    </row>
    <row r="59" spans="1:21" x14ac:dyDescent="0.25">
      <c r="A59">
        <v>1993</v>
      </c>
      <c r="B59">
        <v>1.4079999999999999</v>
      </c>
      <c r="M59">
        <v>2006</v>
      </c>
      <c r="N59">
        <v>62</v>
      </c>
      <c r="O59">
        <v>172</v>
      </c>
      <c r="P59">
        <v>67</v>
      </c>
      <c r="Q59">
        <v>25</v>
      </c>
      <c r="R59" s="4">
        <v>1.2500000000000001E-2</v>
      </c>
      <c r="T59">
        <v>2000</v>
      </c>
      <c r="U59" s="8">
        <v>1241.5447963814702</v>
      </c>
    </row>
    <row r="60" spans="1:21" x14ac:dyDescent="0.25">
      <c r="A60" s="1">
        <v>1994</v>
      </c>
      <c r="B60">
        <v>1.383</v>
      </c>
      <c r="M60">
        <v>2007</v>
      </c>
      <c r="N60">
        <v>62</v>
      </c>
      <c r="O60">
        <v>172</v>
      </c>
      <c r="P60">
        <v>67</v>
      </c>
      <c r="Q60">
        <v>25</v>
      </c>
      <c r="R60" s="4">
        <v>1.2500000000000001E-2</v>
      </c>
      <c r="T60">
        <v>1999</v>
      </c>
      <c r="U60" s="8">
        <v>1226.2998946577291</v>
      </c>
    </row>
    <row r="61" spans="1:21" x14ac:dyDescent="0.25">
      <c r="A61">
        <v>1995</v>
      </c>
      <c r="B61">
        <v>1.367</v>
      </c>
      <c r="M61">
        <v>2008</v>
      </c>
      <c r="N61">
        <v>62</v>
      </c>
      <c r="O61">
        <v>172</v>
      </c>
      <c r="P61">
        <v>67</v>
      </c>
      <c r="Q61">
        <v>25</v>
      </c>
      <c r="R61" s="4">
        <v>1.2500000000000001E-2</v>
      </c>
      <c r="T61">
        <v>1998</v>
      </c>
      <c r="U61" s="8">
        <v>1202.2129499342182</v>
      </c>
    </row>
    <row r="62" spans="1:21" x14ac:dyDescent="0.25">
      <c r="A62" s="1">
        <v>1996</v>
      </c>
      <c r="B62">
        <v>1.3340000000000001</v>
      </c>
      <c r="M62">
        <v>2009</v>
      </c>
      <c r="N62">
        <v>62</v>
      </c>
      <c r="O62">
        <v>172</v>
      </c>
      <c r="P62">
        <v>67</v>
      </c>
      <c r="Q62">
        <v>25</v>
      </c>
      <c r="R62" s="4">
        <v>1.2500000000000001E-2</v>
      </c>
      <c r="T62">
        <v>1997</v>
      </c>
      <c r="U62" s="8">
        <v>1155.8684486940456</v>
      </c>
    </row>
    <row r="63" spans="1:21" x14ac:dyDescent="0.25">
      <c r="A63">
        <v>1997</v>
      </c>
      <c r="B63">
        <v>1.32</v>
      </c>
      <c r="M63">
        <v>2010</v>
      </c>
      <c r="N63">
        <v>62</v>
      </c>
      <c r="O63">
        <v>172</v>
      </c>
      <c r="P63">
        <v>67</v>
      </c>
      <c r="Q63">
        <v>25</v>
      </c>
      <c r="R63" s="4">
        <v>1.2500000000000001E-2</v>
      </c>
      <c r="T63">
        <v>1996</v>
      </c>
      <c r="U63" s="8">
        <v>1127.5129314878873</v>
      </c>
    </row>
    <row r="64" spans="1:21" x14ac:dyDescent="0.25">
      <c r="A64" s="1">
        <v>1998</v>
      </c>
      <c r="B64">
        <v>1.3049999999999999</v>
      </c>
      <c r="M64">
        <v>2011</v>
      </c>
      <c r="N64">
        <v>62</v>
      </c>
      <c r="O64">
        <v>172</v>
      </c>
      <c r="P64">
        <v>67</v>
      </c>
      <c r="Q64">
        <v>25</v>
      </c>
      <c r="R64" s="4">
        <v>1.2500000000000001E-2</v>
      </c>
      <c r="T64">
        <v>1995</v>
      </c>
      <c r="U64" s="8">
        <v>1084.2174105924626</v>
      </c>
    </row>
    <row r="65" spans="1:21" x14ac:dyDescent="0.25">
      <c r="A65">
        <v>1999</v>
      </c>
      <c r="B65">
        <v>1.29</v>
      </c>
      <c r="M65">
        <v>2012</v>
      </c>
      <c r="N65">
        <v>62</v>
      </c>
      <c r="O65">
        <v>172</v>
      </c>
      <c r="P65">
        <v>67</v>
      </c>
      <c r="Q65">
        <v>25</v>
      </c>
      <c r="R65" s="4">
        <v>1.2500000000000001E-2</v>
      </c>
      <c r="T65">
        <v>1994</v>
      </c>
      <c r="U65" s="8">
        <v>1061.9598540758006</v>
      </c>
    </row>
    <row r="66" spans="1:21" x14ac:dyDescent="0.25">
      <c r="A66" s="1">
        <v>2000</v>
      </c>
      <c r="B66">
        <v>1.2829999999999999</v>
      </c>
      <c r="M66">
        <v>2013</v>
      </c>
      <c r="N66">
        <v>62</v>
      </c>
      <c r="O66">
        <v>172</v>
      </c>
      <c r="P66">
        <v>67</v>
      </c>
      <c r="Q66">
        <v>25</v>
      </c>
      <c r="R66" s="4">
        <v>1.2500000000000001E-2</v>
      </c>
      <c r="T66">
        <v>1993</v>
      </c>
      <c r="U66" s="8">
        <v>1038.4827054212394</v>
      </c>
    </row>
    <row r="67" spans="1:21" x14ac:dyDescent="0.25">
      <c r="A67">
        <v>2001</v>
      </c>
      <c r="B67">
        <v>1.258</v>
      </c>
      <c r="M67">
        <v>2014</v>
      </c>
      <c r="N67">
        <v>62</v>
      </c>
      <c r="O67">
        <v>172</v>
      </c>
      <c r="P67">
        <v>67</v>
      </c>
      <c r="Q67">
        <v>25</v>
      </c>
      <c r="R67" s="4">
        <v>1.2500000000000001E-2</v>
      </c>
      <c r="T67">
        <v>1992</v>
      </c>
      <c r="U67" s="8">
        <v>995.79698059476459</v>
      </c>
    </row>
    <row r="68" spans="1:21" x14ac:dyDescent="0.25">
      <c r="A68" s="1">
        <v>2002</v>
      </c>
      <c r="B68">
        <v>1.2310000000000001</v>
      </c>
      <c r="M68">
        <v>2015</v>
      </c>
      <c r="N68">
        <v>62</v>
      </c>
      <c r="O68">
        <v>172</v>
      </c>
      <c r="P68">
        <v>67</v>
      </c>
      <c r="Q68">
        <v>25</v>
      </c>
      <c r="R68" s="4">
        <v>1.2500000000000001E-2</v>
      </c>
      <c r="T68">
        <v>1991</v>
      </c>
      <c r="U68" s="8">
        <v>973.84432211257752</v>
      </c>
    </row>
    <row r="69" spans="1:21" x14ac:dyDescent="0.25">
      <c r="A69">
        <v>2003</v>
      </c>
      <c r="B69">
        <v>1.21</v>
      </c>
      <c r="M69">
        <v>2016</v>
      </c>
      <c r="N69">
        <v>62</v>
      </c>
      <c r="O69">
        <v>172</v>
      </c>
      <c r="P69">
        <v>67</v>
      </c>
      <c r="Q69">
        <v>25</v>
      </c>
      <c r="R69" s="4">
        <v>1.2500000000000001E-2</v>
      </c>
      <c r="T69">
        <v>1990</v>
      </c>
      <c r="U69" s="8">
        <v>911.95002111418887</v>
      </c>
    </row>
    <row r="70" spans="1:21" x14ac:dyDescent="0.25">
      <c r="A70" s="1">
        <v>2004</v>
      </c>
      <c r="B70">
        <v>1.1910000000000001</v>
      </c>
      <c r="M70">
        <v>2017</v>
      </c>
      <c r="N70">
        <v>62</v>
      </c>
      <c r="O70">
        <v>172</v>
      </c>
      <c r="P70">
        <v>67</v>
      </c>
      <c r="Q70">
        <v>25</v>
      </c>
      <c r="R70" s="4">
        <v>1.2500000000000001E-2</v>
      </c>
      <c r="T70">
        <v>1989</v>
      </c>
      <c r="U70" s="8">
        <v>876.88674714958449</v>
      </c>
    </row>
    <row r="71" spans="1:21" x14ac:dyDescent="0.25">
      <c r="A71">
        <v>2005</v>
      </c>
      <c r="B71">
        <v>1.171</v>
      </c>
      <c r="M71">
        <v>2018</v>
      </c>
      <c r="N71">
        <v>62</v>
      </c>
      <c r="O71">
        <v>172</v>
      </c>
      <c r="P71">
        <v>67</v>
      </c>
      <c r="Q71">
        <v>25</v>
      </c>
      <c r="R71" s="4">
        <v>1.2500000000000001E-2</v>
      </c>
      <c r="T71">
        <v>1988</v>
      </c>
      <c r="U71" s="8">
        <v>848.83612797790101</v>
      </c>
    </row>
    <row r="72" spans="1:21" x14ac:dyDescent="0.25">
      <c r="A72" s="1">
        <v>2006</v>
      </c>
      <c r="B72">
        <v>1.1499999999999999</v>
      </c>
      <c r="M72">
        <v>2019</v>
      </c>
      <c r="N72">
        <v>62</v>
      </c>
      <c r="O72">
        <v>172</v>
      </c>
      <c r="P72">
        <v>67</v>
      </c>
      <c r="Q72">
        <v>25</v>
      </c>
      <c r="R72" s="4">
        <v>1.2500000000000001E-2</v>
      </c>
      <c r="T72">
        <v>1987</v>
      </c>
      <c r="U72" s="8">
        <v>820.78550880621754</v>
      </c>
    </row>
    <row r="73" spans="1:21" x14ac:dyDescent="0.25">
      <c r="A73">
        <v>2007</v>
      </c>
      <c r="B73">
        <v>1.131</v>
      </c>
      <c r="T73">
        <v>1986</v>
      </c>
      <c r="U73" s="8">
        <v>793.95448177243327</v>
      </c>
    </row>
    <row r="74" spans="1:21" x14ac:dyDescent="0.25">
      <c r="A74" s="1">
        <v>2008</v>
      </c>
      <c r="B74">
        <v>1.119</v>
      </c>
      <c r="T74">
        <v>1985</v>
      </c>
      <c r="U74" s="8">
        <v>742.73161198066339</v>
      </c>
    </row>
    <row r="75" spans="1:21" x14ac:dyDescent="0.25">
      <c r="A75">
        <v>2009</v>
      </c>
      <c r="B75">
        <v>1.109</v>
      </c>
      <c r="T75">
        <v>1984</v>
      </c>
      <c r="U75" s="8">
        <v>694.55772253364171</v>
      </c>
    </row>
    <row r="76" spans="1:21" x14ac:dyDescent="0.25">
      <c r="A76" s="1">
        <v>2010</v>
      </c>
      <c r="B76">
        <v>1.099</v>
      </c>
      <c r="T76">
        <v>1983</v>
      </c>
      <c r="U76" s="8">
        <v>618.63811194941138</v>
      </c>
    </row>
    <row r="77" spans="1:21" x14ac:dyDescent="0.25">
      <c r="A77">
        <v>2011</v>
      </c>
      <c r="B77">
        <v>1.089</v>
      </c>
      <c r="T77">
        <v>1982</v>
      </c>
      <c r="U77" s="8">
        <v>553.3899325717997</v>
      </c>
    </row>
    <row r="78" spans="1:21" x14ac:dyDescent="0.25">
      <c r="A78" s="1">
        <v>2012</v>
      </c>
      <c r="B78">
        <v>1.0680000000000001</v>
      </c>
      <c r="T78">
        <v>1981</v>
      </c>
      <c r="U78" s="8">
        <v>450.94419298825989</v>
      </c>
    </row>
    <row r="79" spans="1:21" x14ac:dyDescent="0.25">
      <c r="A79">
        <v>2013</v>
      </c>
      <c r="B79">
        <v>1.0469999999999999</v>
      </c>
      <c r="T79">
        <v>1980</v>
      </c>
      <c r="U79" s="8">
        <v>394.23315857594326</v>
      </c>
    </row>
    <row r="80" spans="1:21" x14ac:dyDescent="0.25">
      <c r="A80" s="1">
        <v>2014</v>
      </c>
      <c r="B80">
        <v>1.034</v>
      </c>
      <c r="T80">
        <v>1979</v>
      </c>
      <c r="U80" s="8">
        <v>344.83967699102226</v>
      </c>
    </row>
    <row r="81" spans="1:21" x14ac:dyDescent="0.25">
      <c r="A81">
        <v>2015</v>
      </c>
      <c r="B81">
        <v>1.034</v>
      </c>
      <c r="T81">
        <v>1978</v>
      </c>
      <c r="U81" s="8">
        <v>306.72742268166968</v>
      </c>
    </row>
    <row r="82" spans="1:21" x14ac:dyDescent="0.25">
      <c r="A82" s="1">
        <v>2016</v>
      </c>
      <c r="B82">
        <v>1.0329999999999999</v>
      </c>
      <c r="T82">
        <v>1977</v>
      </c>
      <c r="U82" s="8">
        <v>272.57884282048974</v>
      </c>
    </row>
    <row r="83" spans="1:21" x14ac:dyDescent="0.25">
      <c r="A83">
        <v>2017</v>
      </c>
      <c r="B83">
        <v>1.0329999999999999</v>
      </c>
      <c r="T83">
        <v>1976</v>
      </c>
      <c r="U83" s="8">
        <v>240.56454920063359</v>
      </c>
    </row>
    <row r="84" spans="1:21" x14ac:dyDescent="0.25">
      <c r="A84" s="1">
        <v>2018</v>
      </c>
      <c r="B84">
        <v>1.0249999999999999</v>
      </c>
      <c r="T84">
        <v>1975</v>
      </c>
      <c r="U84" s="8">
        <v>205.80617327050402</v>
      </c>
    </row>
    <row r="85" spans="1:21" x14ac:dyDescent="0.25">
      <c r="A85">
        <v>2019</v>
      </c>
      <c r="B85">
        <v>1.01</v>
      </c>
      <c r="T85">
        <v>1974</v>
      </c>
      <c r="U85" s="8">
        <v>165.55963271982768</v>
      </c>
    </row>
    <row r="86" spans="1:21" x14ac:dyDescent="0.25">
      <c r="A86" s="1">
        <v>2020</v>
      </c>
      <c r="B86">
        <v>1</v>
      </c>
      <c r="T86">
        <v>1973</v>
      </c>
      <c r="U86" s="8">
        <v>138.72860568604344</v>
      </c>
    </row>
    <row r="87" spans="1:21" x14ac:dyDescent="0.25">
      <c r="A87">
        <v>2021</v>
      </c>
      <c r="B87">
        <v>1</v>
      </c>
      <c r="T87">
        <v>1972</v>
      </c>
      <c r="U87" s="8">
        <v>120.12982558307938</v>
      </c>
    </row>
    <row r="88" spans="1:21" x14ac:dyDescent="0.25">
      <c r="A88" s="1">
        <v>2022</v>
      </c>
      <c r="B88">
        <v>1</v>
      </c>
      <c r="T88">
        <v>1971</v>
      </c>
      <c r="U88" s="8">
        <v>66.696445041367042</v>
      </c>
    </row>
    <row r="89" spans="1:21" x14ac:dyDescent="0.25">
      <c r="A89">
        <v>2023</v>
      </c>
      <c r="B89">
        <v>1</v>
      </c>
      <c r="T89">
        <v>1970</v>
      </c>
      <c r="U89" s="8">
        <v>62.885219610431783</v>
      </c>
    </row>
    <row r="90" spans="1:21" x14ac:dyDescent="0.25">
      <c r="A90" s="1">
        <v>2024</v>
      </c>
      <c r="B90">
        <v>1</v>
      </c>
      <c r="T90">
        <v>1969</v>
      </c>
      <c r="U90" s="8">
        <v>59.073994179496523</v>
      </c>
    </row>
    <row r="91" spans="1:21" x14ac:dyDescent="0.25">
      <c r="A91">
        <v>2025</v>
      </c>
      <c r="B91">
        <v>1</v>
      </c>
      <c r="T91">
        <v>1968</v>
      </c>
      <c r="U91" s="8">
        <v>55.262768748561264</v>
      </c>
    </row>
    <row r="92" spans="1:21" x14ac:dyDescent="0.25">
      <c r="A92" s="1">
        <v>2026</v>
      </c>
      <c r="B92">
        <v>1</v>
      </c>
      <c r="T92">
        <v>1967</v>
      </c>
      <c r="U92" s="8">
        <v>49.545930602158371</v>
      </c>
    </row>
    <row r="93" spans="1:21" x14ac:dyDescent="0.25">
      <c r="A93">
        <v>2027</v>
      </c>
      <c r="B93">
        <v>1</v>
      </c>
      <c r="T93">
        <v>1966</v>
      </c>
      <c r="U93" s="8">
        <v>43.829092455755486</v>
      </c>
    </row>
    <row r="94" spans="1:21" x14ac:dyDescent="0.25">
      <c r="A94" s="1">
        <v>2028</v>
      </c>
      <c r="B94">
        <v>1</v>
      </c>
      <c r="T94">
        <v>1965</v>
      </c>
      <c r="U94" s="8">
        <v>38.112254309352593</v>
      </c>
    </row>
    <row r="95" spans="1:21" x14ac:dyDescent="0.25">
      <c r="A95">
        <v>2029</v>
      </c>
      <c r="B95">
        <v>1</v>
      </c>
      <c r="T95">
        <v>1964</v>
      </c>
      <c r="U95" s="8">
        <v>34.301028878417334</v>
      </c>
    </row>
    <row r="96" spans="1:21" x14ac:dyDescent="0.25">
      <c r="A96" s="1">
        <v>2030</v>
      </c>
      <c r="B96">
        <v>1</v>
      </c>
      <c r="T96">
        <v>1963</v>
      </c>
      <c r="U96" s="8">
        <v>30.489803447482075</v>
      </c>
    </row>
    <row r="97" spans="1:21" x14ac:dyDescent="0.25">
      <c r="A97">
        <v>2031</v>
      </c>
      <c r="B97">
        <v>1</v>
      </c>
      <c r="T97">
        <v>1962</v>
      </c>
      <c r="U97" s="8">
        <v>27.585649669109408</v>
      </c>
    </row>
    <row r="98" spans="1:21" x14ac:dyDescent="0.25">
      <c r="A98" s="1">
        <v>2032</v>
      </c>
      <c r="B98">
        <v>1</v>
      </c>
      <c r="T98">
        <v>1961</v>
      </c>
      <c r="U98" s="8">
        <v>27.585649669109408</v>
      </c>
    </row>
    <row r="99" spans="1:21" x14ac:dyDescent="0.25">
      <c r="A99">
        <v>2033</v>
      </c>
      <c r="B99">
        <v>1</v>
      </c>
      <c r="T99">
        <v>1960</v>
      </c>
      <c r="U99" s="8">
        <v>27.585649669109408</v>
      </c>
    </row>
    <row r="100" spans="1:21" x14ac:dyDescent="0.25">
      <c r="A100" s="1">
        <v>2034</v>
      </c>
      <c r="B100">
        <v>1</v>
      </c>
    </row>
    <row r="101" spans="1:21" x14ac:dyDescent="0.25">
      <c r="A101">
        <v>2035</v>
      </c>
      <c r="B101">
        <v>1</v>
      </c>
    </row>
    <row r="102" spans="1:21" x14ac:dyDescent="0.25">
      <c r="A102" s="1">
        <v>2036</v>
      </c>
      <c r="B102">
        <v>1</v>
      </c>
    </row>
    <row r="103" spans="1:21" x14ac:dyDescent="0.25">
      <c r="A103">
        <v>2037</v>
      </c>
      <c r="B103">
        <v>1</v>
      </c>
    </row>
    <row r="104" spans="1:21" x14ac:dyDescent="0.25">
      <c r="A104" s="1">
        <v>2038</v>
      </c>
      <c r="B104">
        <v>1</v>
      </c>
    </row>
    <row r="105" spans="1:21" x14ac:dyDescent="0.25">
      <c r="A105">
        <v>2039</v>
      </c>
      <c r="B105">
        <v>1</v>
      </c>
    </row>
    <row r="106" spans="1:21" x14ac:dyDescent="0.25">
      <c r="A106" s="1">
        <v>2040</v>
      </c>
      <c r="B106">
        <v>1</v>
      </c>
    </row>
    <row r="107" spans="1:21" x14ac:dyDescent="0.25">
      <c r="A107">
        <v>2041</v>
      </c>
      <c r="B107">
        <v>1</v>
      </c>
    </row>
    <row r="108" spans="1:21" x14ac:dyDescent="0.25">
      <c r="A108" s="1">
        <v>2042</v>
      </c>
      <c r="B108">
        <v>1</v>
      </c>
    </row>
    <row r="109" spans="1:21" x14ac:dyDescent="0.25">
      <c r="A109">
        <v>2043</v>
      </c>
      <c r="B109">
        <v>1</v>
      </c>
    </row>
    <row r="110" spans="1:21" x14ac:dyDescent="0.25">
      <c r="A110" s="1">
        <v>2044</v>
      </c>
      <c r="B110">
        <v>1</v>
      </c>
    </row>
    <row r="111" spans="1:21" x14ac:dyDescent="0.25">
      <c r="A111">
        <v>2045</v>
      </c>
      <c r="B111">
        <v>1</v>
      </c>
    </row>
    <row r="112" spans="1:21" x14ac:dyDescent="0.25">
      <c r="A112" s="1">
        <v>2046</v>
      </c>
      <c r="B112">
        <v>1</v>
      </c>
    </row>
    <row r="113" spans="1:2" x14ac:dyDescent="0.25">
      <c r="A113">
        <v>2047</v>
      </c>
      <c r="B113">
        <v>1</v>
      </c>
    </row>
    <row r="114" spans="1:2" x14ac:dyDescent="0.25">
      <c r="A114" s="1">
        <v>2048</v>
      </c>
      <c r="B114">
        <v>1</v>
      </c>
    </row>
    <row r="115" spans="1:2" x14ac:dyDescent="0.25">
      <c r="A115">
        <v>2049</v>
      </c>
      <c r="B115">
        <v>1</v>
      </c>
    </row>
    <row r="116" spans="1:2" x14ac:dyDescent="0.25">
      <c r="A116" s="1">
        <v>2050</v>
      </c>
      <c r="B116">
        <v>1</v>
      </c>
    </row>
    <row r="117" spans="1:2" x14ac:dyDescent="0.25">
      <c r="A117">
        <v>2051</v>
      </c>
      <c r="B117">
        <v>1</v>
      </c>
    </row>
    <row r="118" spans="1:2" x14ac:dyDescent="0.25">
      <c r="A118" s="1">
        <v>2052</v>
      </c>
      <c r="B118">
        <v>1</v>
      </c>
    </row>
    <row r="119" spans="1:2" x14ac:dyDescent="0.25">
      <c r="A119">
        <v>2053</v>
      </c>
      <c r="B119">
        <v>1</v>
      </c>
    </row>
    <row r="120" spans="1:2" x14ac:dyDescent="0.25">
      <c r="A120" s="1">
        <v>2054</v>
      </c>
      <c r="B120">
        <v>1</v>
      </c>
    </row>
    <row r="121" spans="1:2" x14ac:dyDescent="0.25">
      <c r="A121">
        <v>2055</v>
      </c>
      <c r="B121">
        <v>1</v>
      </c>
    </row>
    <row r="122" spans="1:2" x14ac:dyDescent="0.25">
      <c r="A122" s="1">
        <v>2056</v>
      </c>
      <c r="B122">
        <v>1</v>
      </c>
    </row>
    <row r="123" spans="1:2" x14ac:dyDescent="0.25">
      <c r="A123">
        <v>2057</v>
      </c>
      <c r="B123">
        <v>1</v>
      </c>
    </row>
    <row r="124" spans="1:2" x14ac:dyDescent="0.25">
      <c r="A124" s="1">
        <v>2058</v>
      </c>
      <c r="B124">
        <v>1</v>
      </c>
    </row>
    <row r="125" spans="1:2" x14ac:dyDescent="0.25">
      <c r="A125">
        <v>2059</v>
      </c>
      <c r="B125">
        <v>1</v>
      </c>
    </row>
    <row r="126" spans="1:2" x14ac:dyDescent="0.25">
      <c r="A126" s="1">
        <v>2060</v>
      </c>
      <c r="B126">
        <v>1</v>
      </c>
    </row>
    <row r="127" spans="1:2" x14ac:dyDescent="0.25">
      <c r="A127">
        <v>2061</v>
      </c>
      <c r="B127">
        <v>1</v>
      </c>
    </row>
    <row r="128" spans="1:2" x14ac:dyDescent="0.25">
      <c r="A128" s="1">
        <v>2062</v>
      </c>
      <c r="B128">
        <v>1</v>
      </c>
    </row>
    <row r="129" spans="1:2" x14ac:dyDescent="0.25">
      <c r="A129">
        <v>2063</v>
      </c>
      <c r="B129">
        <v>1</v>
      </c>
    </row>
    <row r="130" spans="1:2" x14ac:dyDescent="0.25">
      <c r="A130" s="1">
        <v>2064</v>
      </c>
      <c r="B130">
        <v>1</v>
      </c>
    </row>
    <row r="131" spans="1:2" x14ac:dyDescent="0.25">
      <c r="A131">
        <v>2065</v>
      </c>
      <c r="B131">
        <v>1</v>
      </c>
    </row>
    <row r="132" spans="1:2" x14ac:dyDescent="0.25">
      <c r="A132" s="1">
        <v>2066</v>
      </c>
      <c r="B132">
        <v>1</v>
      </c>
    </row>
    <row r="133" spans="1:2" x14ac:dyDescent="0.25">
      <c r="A133">
        <v>2067</v>
      </c>
      <c r="B133">
        <v>1</v>
      </c>
    </row>
    <row r="134" spans="1:2" x14ac:dyDescent="0.25">
      <c r="A134" s="1">
        <v>2068</v>
      </c>
      <c r="B134">
        <v>1</v>
      </c>
    </row>
    <row r="135" spans="1:2" x14ac:dyDescent="0.25">
      <c r="A135">
        <v>2069</v>
      </c>
      <c r="B135">
        <v>1</v>
      </c>
    </row>
    <row r="136" spans="1:2" x14ac:dyDescent="0.25">
      <c r="A136" s="1">
        <v>2070</v>
      </c>
      <c r="B136">
        <v>1</v>
      </c>
    </row>
    <row r="137" spans="1:2" x14ac:dyDescent="0.25">
      <c r="A137">
        <v>2071</v>
      </c>
      <c r="B137">
        <v>1</v>
      </c>
    </row>
    <row r="138" spans="1:2" x14ac:dyDescent="0.25">
      <c r="A138" s="1">
        <v>2072</v>
      </c>
      <c r="B138">
        <v>1</v>
      </c>
    </row>
    <row r="139" spans="1:2" x14ac:dyDescent="0.25">
      <c r="A139">
        <v>2073</v>
      </c>
      <c r="B139">
        <v>1</v>
      </c>
    </row>
    <row r="140" spans="1:2" x14ac:dyDescent="0.25">
      <c r="A140" s="1">
        <v>2074</v>
      </c>
      <c r="B140">
        <v>1</v>
      </c>
    </row>
    <row r="141" spans="1:2" x14ac:dyDescent="0.25">
      <c r="A141">
        <v>2075</v>
      </c>
      <c r="B141">
        <v>1</v>
      </c>
    </row>
    <row r="142" spans="1:2" x14ac:dyDescent="0.25">
      <c r="A142" s="1">
        <v>2076</v>
      </c>
      <c r="B142">
        <v>1</v>
      </c>
    </row>
    <row r="143" spans="1:2" x14ac:dyDescent="0.25">
      <c r="A143">
        <v>2077</v>
      </c>
      <c r="B143">
        <v>1</v>
      </c>
    </row>
    <row r="144" spans="1:2" x14ac:dyDescent="0.25">
      <c r="A144" s="1">
        <v>2078</v>
      </c>
      <c r="B144">
        <v>1</v>
      </c>
    </row>
    <row r="145" spans="1:2" x14ac:dyDescent="0.25">
      <c r="A145">
        <v>2079</v>
      </c>
      <c r="B145">
        <v>1</v>
      </c>
    </row>
    <row r="146" spans="1:2" x14ac:dyDescent="0.25">
      <c r="A146" s="1">
        <v>2080</v>
      </c>
      <c r="B146">
        <v>1</v>
      </c>
    </row>
    <row r="147" spans="1:2" x14ac:dyDescent="0.25">
      <c r="A147">
        <v>2081</v>
      </c>
      <c r="B147">
        <v>1</v>
      </c>
    </row>
    <row r="148" spans="1:2" x14ac:dyDescent="0.25">
      <c r="A148" s="1">
        <v>2082</v>
      </c>
      <c r="B148">
        <v>1</v>
      </c>
    </row>
    <row r="149" spans="1:2" x14ac:dyDescent="0.25">
      <c r="A149">
        <v>2083</v>
      </c>
      <c r="B149">
        <v>1</v>
      </c>
    </row>
    <row r="150" spans="1:2" x14ac:dyDescent="0.25">
      <c r="A150" s="1">
        <v>2084</v>
      </c>
      <c r="B150">
        <v>1</v>
      </c>
    </row>
    <row r="151" spans="1:2" x14ac:dyDescent="0.25">
      <c r="A151">
        <v>2085</v>
      </c>
      <c r="B151">
        <v>1</v>
      </c>
    </row>
    <row r="152" spans="1:2" x14ac:dyDescent="0.25">
      <c r="A152" s="1">
        <v>2086</v>
      </c>
      <c r="B152">
        <v>1</v>
      </c>
    </row>
    <row r="153" spans="1:2" x14ac:dyDescent="0.25">
      <c r="A153">
        <v>2087</v>
      </c>
      <c r="B153">
        <v>1</v>
      </c>
    </row>
    <row r="154" spans="1:2" x14ac:dyDescent="0.25">
      <c r="A154" s="1">
        <v>2088</v>
      </c>
      <c r="B154">
        <v>1</v>
      </c>
    </row>
    <row r="155" spans="1:2" x14ac:dyDescent="0.25">
      <c r="A155">
        <v>2089</v>
      </c>
      <c r="B155">
        <v>1</v>
      </c>
    </row>
    <row r="156" spans="1:2" x14ac:dyDescent="0.25">
      <c r="A156" s="1">
        <v>2090</v>
      </c>
      <c r="B156">
        <v>1</v>
      </c>
    </row>
    <row r="157" spans="1:2" x14ac:dyDescent="0.25">
      <c r="A157">
        <v>2091</v>
      </c>
      <c r="B157">
        <v>1</v>
      </c>
    </row>
    <row r="158" spans="1:2" x14ac:dyDescent="0.25">
      <c r="A158" s="1">
        <v>2092</v>
      </c>
      <c r="B158">
        <v>1</v>
      </c>
    </row>
    <row r="159" spans="1:2" x14ac:dyDescent="0.25">
      <c r="A159">
        <v>2093</v>
      </c>
      <c r="B159">
        <v>1</v>
      </c>
    </row>
    <row r="160" spans="1:2" x14ac:dyDescent="0.25">
      <c r="A160" s="1">
        <v>2094</v>
      </c>
      <c r="B160">
        <v>1</v>
      </c>
    </row>
    <row r="161" spans="1:2" x14ac:dyDescent="0.25">
      <c r="A161">
        <v>2095</v>
      </c>
      <c r="B161">
        <v>1</v>
      </c>
    </row>
    <row r="162" spans="1:2" x14ac:dyDescent="0.25">
      <c r="A162" s="1">
        <v>2096</v>
      </c>
      <c r="B162">
        <v>1</v>
      </c>
    </row>
    <row r="163" spans="1:2" x14ac:dyDescent="0.25">
      <c r="A163">
        <v>2097</v>
      </c>
      <c r="B163">
        <v>1</v>
      </c>
    </row>
    <row r="164" spans="1:2" x14ac:dyDescent="0.25">
      <c r="A164" s="1">
        <v>2098</v>
      </c>
      <c r="B164">
        <v>1</v>
      </c>
    </row>
    <row r="165" spans="1:2" x14ac:dyDescent="0.25">
      <c r="A165">
        <v>2099</v>
      </c>
      <c r="B165">
        <v>1</v>
      </c>
    </row>
    <row r="166" spans="1:2" x14ac:dyDescent="0.25">
      <c r="A166" s="1">
        <v>2100</v>
      </c>
      <c r="B166">
        <v>1</v>
      </c>
    </row>
    <row r="167" spans="1:2" x14ac:dyDescent="0.25">
      <c r="A167">
        <v>2101</v>
      </c>
      <c r="B167">
        <v>1</v>
      </c>
    </row>
    <row r="168" spans="1:2" x14ac:dyDescent="0.25">
      <c r="A168" s="1">
        <v>2102</v>
      </c>
      <c r="B168">
        <v>1</v>
      </c>
    </row>
    <row r="169" spans="1:2" x14ac:dyDescent="0.25">
      <c r="A169">
        <v>2103</v>
      </c>
      <c r="B169">
        <v>1</v>
      </c>
    </row>
    <row r="170" spans="1:2" x14ac:dyDescent="0.25">
      <c r="A170" s="1">
        <v>2104</v>
      </c>
      <c r="B170">
        <v>1</v>
      </c>
    </row>
    <row r="171" spans="1:2" x14ac:dyDescent="0.25">
      <c r="A171">
        <v>2105</v>
      </c>
      <c r="B171">
        <v>1</v>
      </c>
    </row>
    <row r="172" spans="1:2" x14ac:dyDescent="0.25">
      <c r="A172" s="1">
        <v>2106</v>
      </c>
      <c r="B172">
        <v>1</v>
      </c>
    </row>
    <row r="173" spans="1:2" x14ac:dyDescent="0.25">
      <c r="A173">
        <v>2107</v>
      </c>
      <c r="B173">
        <v>1</v>
      </c>
    </row>
    <row r="174" spans="1:2" x14ac:dyDescent="0.25">
      <c r="A174" s="1">
        <v>2108</v>
      </c>
      <c r="B174">
        <v>1</v>
      </c>
    </row>
    <row r="175" spans="1:2" x14ac:dyDescent="0.25">
      <c r="A175">
        <v>2109</v>
      </c>
      <c r="B175">
        <v>1</v>
      </c>
    </row>
    <row r="176" spans="1:2" x14ac:dyDescent="0.25">
      <c r="A176" s="1">
        <v>2110</v>
      </c>
      <c r="B176">
        <v>1</v>
      </c>
    </row>
    <row r="177" spans="1:2" x14ac:dyDescent="0.25">
      <c r="A177">
        <v>2111</v>
      </c>
      <c r="B177">
        <v>1</v>
      </c>
    </row>
    <row r="178" spans="1:2" x14ac:dyDescent="0.25">
      <c r="A178" s="1">
        <v>2112</v>
      </c>
      <c r="B178">
        <v>1</v>
      </c>
    </row>
    <row r="179" spans="1:2" x14ac:dyDescent="0.25">
      <c r="A179">
        <v>2113</v>
      </c>
      <c r="B179">
        <v>1</v>
      </c>
    </row>
    <row r="180" spans="1:2" x14ac:dyDescent="0.25">
      <c r="A180" s="1">
        <v>2114</v>
      </c>
      <c r="B180">
        <v>1</v>
      </c>
    </row>
    <row r="181" spans="1:2" x14ac:dyDescent="0.25">
      <c r="A181">
        <v>2115</v>
      </c>
      <c r="B181">
        <v>1</v>
      </c>
    </row>
    <row r="182" spans="1:2" x14ac:dyDescent="0.25">
      <c r="A182" s="1">
        <v>2116</v>
      </c>
      <c r="B182">
        <v>1</v>
      </c>
    </row>
    <row r="183" spans="1:2" x14ac:dyDescent="0.25">
      <c r="A183">
        <v>2117</v>
      </c>
      <c r="B183">
        <v>1</v>
      </c>
    </row>
    <row r="184" spans="1:2" x14ac:dyDescent="0.25">
      <c r="A184" s="1">
        <v>2118</v>
      </c>
      <c r="B184">
        <v>1</v>
      </c>
    </row>
    <row r="185" spans="1:2" x14ac:dyDescent="0.25">
      <c r="A185">
        <v>2119</v>
      </c>
      <c r="B185">
        <v>1</v>
      </c>
    </row>
    <row r="186" spans="1:2" x14ac:dyDescent="0.25">
      <c r="A186" s="1">
        <v>2120</v>
      </c>
      <c r="B186">
        <v>1</v>
      </c>
    </row>
    <row r="187" spans="1:2" x14ac:dyDescent="0.25">
      <c r="A187">
        <v>2121</v>
      </c>
      <c r="B187">
        <v>1</v>
      </c>
    </row>
    <row r="188" spans="1:2" x14ac:dyDescent="0.25">
      <c r="A188" s="1">
        <v>2122</v>
      </c>
      <c r="B188">
        <v>1</v>
      </c>
    </row>
    <row r="189" spans="1:2" x14ac:dyDescent="0.25">
      <c r="A189">
        <v>2123</v>
      </c>
      <c r="B189">
        <v>1</v>
      </c>
    </row>
    <row r="190" spans="1:2" x14ac:dyDescent="0.25">
      <c r="A190" s="1">
        <v>2124</v>
      </c>
      <c r="B190">
        <v>1</v>
      </c>
    </row>
    <row r="191" spans="1:2" x14ac:dyDescent="0.25">
      <c r="A191">
        <v>2125</v>
      </c>
      <c r="B191">
        <v>1</v>
      </c>
    </row>
    <row r="192" spans="1:2" x14ac:dyDescent="0.25">
      <c r="A192" s="1">
        <v>2126</v>
      </c>
      <c r="B192">
        <v>1</v>
      </c>
    </row>
    <row r="193" spans="1:2" x14ac:dyDescent="0.25">
      <c r="A193">
        <v>2127</v>
      </c>
      <c r="B193">
        <v>1</v>
      </c>
    </row>
    <row r="194" spans="1:2" x14ac:dyDescent="0.25">
      <c r="A194" s="1">
        <v>2128</v>
      </c>
      <c r="B194">
        <v>1</v>
      </c>
    </row>
    <row r="195" spans="1:2" x14ac:dyDescent="0.25">
      <c r="A195">
        <v>2129</v>
      </c>
      <c r="B195">
        <v>1</v>
      </c>
    </row>
    <row r="196" spans="1:2" x14ac:dyDescent="0.25">
      <c r="A196" s="1">
        <v>2130</v>
      </c>
      <c r="B196">
        <v>1</v>
      </c>
    </row>
    <row r="197" spans="1:2" x14ac:dyDescent="0.25">
      <c r="A197">
        <v>2131</v>
      </c>
      <c r="B197">
        <v>1</v>
      </c>
    </row>
    <row r="198" spans="1:2" x14ac:dyDescent="0.25">
      <c r="A198" s="1">
        <v>2132</v>
      </c>
      <c r="B198">
        <v>1</v>
      </c>
    </row>
    <row r="199" spans="1:2" x14ac:dyDescent="0.25">
      <c r="A199">
        <v>2133</v>
      </c>
      <c r="B199">
        <v>1</v>
      </c>
    </row>
    <row r="200" spans="1:2" x14ac:dyDescent="0.25">
      <c r="A200" s="1">
        <v>2134</v>
      </c>
      <c r="B200">
        <v>1</v>
      </c>
    </row>
    <row r="201" spans="1:2" x14ac:dyDescent="0.25">
      <c r="A201">
        <v>2135</v>
      </c>
      <c r="B201">
        <v>1</v>
      </c>
    </row>
    <row r="202" spans="1:2" x14ac:dyDescent="0.25">
      <c r="A202" s="1">
        <v>2136</v>
      </c>
      <c r="B202">
        <v>1</v>
      </c>
    </row>
    <row r="203" spans="1:2" x14ac:dyDescent="0.25">
      <c r="A203">
        <v>2137</v>
      </c>
      <c r="B203">
        <v>1</v>
      </c>
    </row>
    <row r="204" spans="1:2" x14ac:dyDescent="0.25">
      <c r="A204" s="1">
        <v>2138</v>
      </c>
      <c r="B204">
        <v>1</v>
      </c>
    </row>
    <row r="205" spans="1:2" x14ac:dyDescent="0.25">
      <c r="A205">
        <v>2139</v>
      </c>
      <c r="B205">
        <v>1</v>
      </c>
    </row>
    <row r="206" spans="1:2" x14ac:dyDescent="0.25">
      <c r="A206" s="1">
        <v>2140</v>
      </c>
      <c r="B206">
        <v>1</v>
      </c>
    </row>
    <row r="207" spans="1:2" x14ac:dyDescent="0.25">
      <c r="A207">
        <v>2141</v>
      </c>
      <c r="B207">
        <v>1</v>
      </c>
    </row>
    <row r="208" spans="1:2" x14ac:dyDescent="0.25">
      <c r="A208" s="1">
        <v>2142</v>
      </c>
      <c r="B208">
        <v>1</v>
      </c>
    </row>
    <row r="209" spans="1:2" x14ac:dyDescent="0.25">
      <c r="A209">
        <v>2143</v>
      </c>
      <c r="B209">
        <v>1</v>
      </c>
    </row>
    <row r="210" spans="1:2" x14ac:dyDescent="0.25">
      <c r="A210" s="1">
        <v>2144</v>
      </c>
      <c r="B210">
        <v>1</v>
      </c>
    </row>
    <row r="211" spans="1:2" x14ac:dyDescent="0.25">
      <c r="A211">
        <v>2145</v>
      </c>
      <c r="B211">
        <v>1</v>
      </c>
    </row>
    <row r="212" spans="1:2" x14ac:dyDescent="0.25">
      <c r="A212" s="1">
        <v>2146</v>
      </c>
      <c r="B212">
        <v>1</v>
      </c>
    </row>
    <row r="213" spans="1:2" x14ac:dyDescent="0.25">
      <c r="A213">
        <v>2147</v>
      </c>
      <c r="B213">
        <v>1</v>
      </c>
    </row>
    <row r="214" spans="1:2" x14ac:dyDescent="0.25">
      <c r="A214" s="1">
        <v>2148</v>
      </c>
      <c r="B214">
        <v>1</v>
      </c>
    </row>
    <row r="215" spans="1:2" x14ac:dyDescent="0.25">
      <c r="A215">
        <v>2149</v>
      </c>
      <c r="B215">
        <v>1</v>
      </c>
    </row>
    <row r="216" spans="1:2" x14ac:dyDescent="0.25">
      <c r="A216" s="1">
        <v>2150</v>
      </c>
      <c r="B216">
        <v>1</v>
      </c>
    </row>
    <row r="217" spans="1:2" x14ac:dyDescent="0.25">
      <c r="A217">
        <v>2151</v>
      </c>
      <c r="B217">
        <v>1</v>
      </c>
    </row>
    <row r="218" spans="1:2" x14ac:dyDescent="0.25">
      <c r="A218" s="1">
        <v>2152</v>
      </c>
      <c r="B218">
        <v>1</v>
      </c>
    </row>
    <row r="219" spans="1:2" x14ac:dyDescent="0.25">
      <c r="A219">
        <v>2153</v>
      </c>
      <c r="B219">
        <v>1</v>
      </c>
    </row>
    <row r="220" spans="1:2" x14ac:dyDescent="0.25">
      <c r="A220" s="1">
        <v>2154</v>
      </c>
      <c r="B220">
        <v>1</v>
      </c>
    </row>
    <row r="221" spans="1:2" x14ac:dyDescent="0.25">
      <c r="A221">
        <v>2155</v>
      </c>
      <c r="B221">
        <v>1</v>
      </c>
    </row>
    <row r="222" spans="1:2" x14ac:dyDescent="0.25">
      <c r="A222" s="1">
        <v>2156</v>
      </c>
      <c r="B222">
        <v>1</v>
      </c>
    </row>
    <row r="223" spans="1:2" x14ac:dyDescent="0.25">
      <c r="A223">
        <v>2157</v>
      </c>
      <c r="B223">
        <v>1</v>
      </c>
    </row>
    <row r="224" spans="1:2" x14ac:dyDescent="0.25">
      <c r="A224" s="1">
        <v>2158</v>
      </c>
      <c r="B224">
        <v>1</v>
      </c>
    </row>
    <row r="225" spans="1:2" x14ac:dyDescent="0.25">
      <c r="A225">
        <v>2159</v>
      </c>
      <c r="B225">
        <v>1</v>
      </c>
    </row>
    <row r="226" spans="1:2" x14ac:dyDescent="0.25">
      <c r="A226" s="1">
        <v>2160</v>
      </c>
      <c r="B226">
        <v>1</v>
      </c>
    </row>
    <row r="227" spans="1:2" x14ac:dyDescent="0.25">
      <c r="A227">
        <v>2161</v>
      </c>
      <c r="B227">
        <v>1</v>
      </c>
    </row>
    <row r="228" spans="1:2" x14ac:dyDescent="0.25">
      <c r="A228" s="1">
        <v>2162</v>
      </c>
      <c r="B228">
        <v>1</v>
      </c>
    </row>
    <row r="229" spans="1:2" x14ac:dyDescent="0.25">
      <c r="A229">
        <v>2163</v>
      </c>
      <c r="B229">
        <v>1</v>
      </c>
    </row>
    <row r="230" spans="1:2" x14ac:dyDescent="0.25">
      <c r="A230" s="1">
        <v>2164</v>
      </c>
      <c r="B230">
        <v>1</v>
      </c>
    </row>
    <row r="231" spans="1:2" x14ac:dyDescent="0.25">
      <c r="A231">
        <v>2165</v>
      </c>
      <c r="B231">
        <v>1</v>
      </c>
    </row>
    <row r="232" spans="1:2" x14ac:dyDescent="0.25">
      <c r="A232" s="1">
        <v>2166</v>
      </c>
      <c r="B232">
        <v>1</v>
      </c>
    </row>
    <row r="233" spans="1:2" x14ac:dyDescent="0.25">
      <c r="A233">
        <v>2167</v>
      </c>
      <c r="B233">
        <v>1</v>
      </c>
    </row>
    <row r="234" spans="1:2" x14ac:dyDescent="0.25">
      <c r="A234" s="1">
        <v>2168</v>
      </c>
      <c r="B234">
        <v>1</v>
      </c>
    </row>
    <row r="235" spans="1:2" x14ac:dyDescent="0.25">
      <c r="A235">
        <v>2169</v>
      </c>
      <c r="B235">
        <v>1</v>
      </c>
    </row>
    <row r="236" spans="1:2" x14ac:dyDescent="0.25">
      <c r="A236" s="1">
        <v>2170</v>
      </c>
      <c r="B236">
        <v>1</v>
      </c>
    </row>
    <row r="237" spans="1:2" x14ac:dyDescent="0.25">
      <c r="A237">
        <v>2171</v>
      </c>
      <c r="B237">
        <v>1</v>
      </c>
    </row>
    <row r="238" spans="1:2" x14ac:dyDescent="0.25">
      <c r="A238" s="1">
        <v>2172</v>
      </c>
      <c r="B238">
        <v>1</v>
      </c>
    </row>
    <row r="239" spans="1:2" x14ac:dyDescent="0.25">
      <c r="A239">
        <v>2173</v>
      </c>
      <c r="B239">
        <v>1</v>
      </c>
    </row>
    <row r="240" spans="1:2" x14ac:dyDescent="0.25">
      <c r="A240" s="1">
        <v>2174</v>
      </c>
      <c r="B240">
        <v>1</v>
      </c>
    </row>
    <row r="241" spans="1:2" x14ac:dyDescent="0.25">
      <c r="A241">
        <v>2175</v>
      </c>
      <c r="B241">
        <v>1</v>
      </c>
    </row>
    <row r="242" spans="1:2" x14ac:dyDescent="0.25">
      <c r="A242" s="1">
        <v>2176</v>
      </c>
      <c r="B242">
        <v>1</v>
      </c>
    </row>
    <row r="243" spans="1:2" x14ac:dyDescent="0.25">
      <c r="A243">
        <v>2177</v>
      </c>
      <c r="B243">
        <v>1</v>
      </c>
    </row>
    <row r="244" spans="1:2" x14ac:dyDescent="0.25">
      <c r="A244" s="1">
        <v>2178</v>
      </c>
      <c r="B244">
        <v>1</v>
      </c>
    </row>
    <row r="245" spans="1:2" x14ac:dyDescent="0.25">
      <c r="A245">
        <v>2179</v>
      </c>
      <c r="B245">
        <v>1</v>
      </c>
    </row>
    <row r="246" spans="1:2" x14ac:dyDescent="0.25">
      <c r="A246" s="1">
        <v>2180</v>
      </c>
      <c r="B246">
        <v>1</v>
      </c>
    </row>
    <row r="247" spans="1:2" x14ac:dyDescent="0.25">
      <c r="A247">
        <v>2181</v>
      </c>
      <c r="B247">
        <v>1</v>
      </c>
    </row>
    <row r="248" spans="1:2" x14ac:dyDescent="0.25">
      <c r="A248" s="1">
        <v>2182</v>
      </c>
      <c r="B248">
        <v>1</v>
      </c>
    </row>
    <row r="249" spans="1:2" x14ac:dyDescent="0.25">
      <c r="A249">
        <v>2183</v>
      </c>
      <c r="B249">
        <v>1</v>
      </c>
    </row>
    <row r="250" spans="1:2" x14ac:dyDescent="0.25">
      <c r="A250" s="1">
        <v>2184</v>
      </c>
      <c r="B250">
        <v>1</v>
      </c>
    </row>
    <row r="251" spans="1:2" x14ac:dyDescent="0.25">
      <c r="A251">
        <v>2185</v>
      </c>
      <c r="B251">
        <v>1</v>
      </c>
    </row>
    <row r="252" spans="1:2" x14ac:dyDescent="0.25">
      <c r="A252" s="1">
        <v>2186</v>
      </c>
      <c r="B252">
        <v>1</v>
      </c>
    </row>
    <row r="253" spans="1:2" x14ac:dyDescent="0.25">
      <c r="A253">
        <v>2187</v>
      </c>
      <c r="B253">
        <v>1</v>
      </c>
    </row>
    <row r="254" spans="1:2" x14ac:dyDescent="0.25">
      <c r="A254" s="1">
        <v>2188</v>
      </c>
      <c r="B254">
        <v>1</v>
      </c>
    </row>
    <row r="255" spans="1:2" x14ac:dyDescent="0.25">
      <c r="A255">
        <v>2189</v>
      </c>
      <c r="B255">
        <v>1</v>
      </c>
    </row>
    <row r="256" spans="1:2" x14ac:dyDescent="0.25">
      <c r="A256" s="1">
        <v>2190</v>
      </c>
      <c r="B256">
        <v>1</v>
      </c>
    </row>
    <row r="257" spans="1:2" x14ac:dyDescent="0.25">
      <c r="A257">
        <v>2191</v>
      </c>
      <c r="B257">
        <v>1</v>
      </c>
    </row>
    <row r="258" spans="1:2" x14ac:dyDescent="0.25">
      <c r="A258" s="1">
        <v>2192</v>
      </c>
      <c r="B258">
        <v>1</v>
      </c>
    </row>
    <row r="259" spans="1:2" x14ac:dyDescent="0.25">
      <c r="A259">
        <v>2193</v>
      </c>
      <c r="B259">
        <v>1</v>
      </c>
    </row>
    <row r="260" spans="1:2" x14ac:dyDescent="0.25">
      <c r="A260" s="1">
        <v>2194</v>
      </c>
      <c r="B260">
        <v>1</v>
      </c>
    </row>
    <row r="261" spans="1:2" x14ac:dyDescent="0.25">
      <c r="A261">
        <v>2195</v>
      </c>
      <c r="B261">
        <v>1</v>
      </c>
    </row>
    <row r="262" spans="1:2" x14ac:dyDescent="0.25">
      <c r="A262" s="1">
        <v>2196</v>
      </c>
      <c r="B262">
        <v>1</v>
      </c>
    </row>
    <row r="263" spans="1:2" x14ac:dyDescent="0.25">
      <c r="A263">
        <v>2197</v>
      </c>
      <c r="B263">
        <v>1</v>
      </c>
    </row>
    <row r="264" spans="1:2" x14ac:dyDescent="0.25">
      <c r="A264" s="1">
        <v>2198</v>
      </c>
      <c r="B264">
        <v>1</v>
      </c>
    </row>
    <row r="265" spans="1:2" x14ac:dyDescent="0.25">
      <c r="A265">
        <v>2199</v>
      </c>
    </row>
    <row r="266" spans="1:2" x14ac:dyDescent="0.25">
      <c r="A266" s="1">
        <v>2200</v>
      </c>
    </row>
    <row r="267" spans="1:2" x14ac:dyDescent="0.25">
      <c r="A267">
        <v>2201</v>
      </c>
    </row>
    <row r="268" spans="1:2" x14ac:dyDescent="0.25">
      <c r="A268" s="1">
        <v>2202</v>
      </c>
    </row>
    <row r="269" spans="1:2" x14ac:dyDescent="0.25">
      <c r="A269">
        <v>2203</v>
      </c>
    </row>
    <row r="270" spans="1:2" x14ac:dyDescent="0.25">
      <c r="A270" s="1">
        <v>2204</v>
      </c>
    </row>
    <row r="271" spans="1:2" x14ac:dyDescent="0.25">
      <c r="A271">
        <v>2205</v>
      </c>
    </row>
    <row r="272" spans="1:2" x14ac:dyDescent="0.25">
      <c r="A272" s="1">
        <v>2206</v>
      </c>
    </row>
    <row r="273" spans="1:1" x14ac:dyDescent="0.25">
      <c r="A273">
        <v>2207</v>
      </c>
    </row>
    <row r="274" spans="1:1" x14ac:dyDescent="0.25">
      <c r="A274" s="1">
        <v>2208</v>
      </c>
    </row>
    <row r="275" spans="1:1" x14ac:dyDescent="0.25">
      <c r="A275">
        <v>2209</v>
      </c>
    </row>
    <row r="276" spans="1:1" x14ac:dyDescent="0.25">
      <c r="A276" s="1">
        <v>2210</v>
      </c>
    </row>
    <row r="277" spans="1:1" x14ac:dyDescent="0.25">
      <c r="A277">
        <v>2211</v>
      </c>
    </row>
    <row r="278" spans="1:1" x14ac:dyDescent="0.25">
      <c r="A278" s="1">
        <v>2212</v>
      </c>
    </row>
    <row r="279" spans="1:1" x14ac:dyDescent="0.25">
      <c r="A279">
        <v>2213</v>
      </c>
    </row>
    <row r="280" spans="1:1" x14ac:dyDescent="0.25">
      <c r="A280" s="1">
        <v>2214</v>
      </c>
    </row>
    <row r="281" spans="1:1" x14ac:dyDescent="0.25">
      <c r="A281">
        <v>2215</v>
      </c>
    </row>
    <row r="282" spans="1:1" x14ac:dyDescent="0.25">
      <c r="A282" s="1">
        <v>2216</v>
      </c>
    </row>
    <row r="283" spans="1:1" x14ac:dyDescent="0.25">
      <c r="A283">
        <v>2217</v>
      </c>
    </row>
    <row r="284" spans="1:1" x14ac:dyDescent="0.25">
      <c r="A284" s="1">
        <v>2218</v>
      </c>
    </row>
    <row r="285" spans="1:1" x14ac:dyDescent="0.25">
      <c r="A285">
        <v>2219</v>
      </c>
    </row>
    <row r="286" spans="1:1" x14ac:dyDescent="0.25">
      <c r="A286" s="1">
        <v>2220</v>
      </c>
    </row>
    <row r="287" spans="1:1" x14ac:dyDescent="0.25">
      <c r="A287">
        <v>2221</v>
      </c>
    </row>
    <row r="288" spans="1:1" x14ac:dyDescent="0.25">
      <c r="A288" s="1">
        <v>2222</v>
      </c>
    </row>
    <row r="289" spans="1:1" x14ac:dyDescent="0.25">
      <c r="A289">
        <v>2223</v>
      </c>
    </row>
    <row r="290" spans="1:1" x14ac:dyDescent="0.25">
      <c r="A290" s="1">
        <v>2224</v>
      </c>
    </row>
    <row r="291" spans="1:1" x14ac:dyDescent="0.25">
      <c r="A291">
        <v>2225</v>
      </c>
    </row>
    <row r="292" spans="1:1" x14ac:dyDescent="0.25">
      <c r="A292" s="1">
        <v>2226</v>
      </c>
    </row>
    <row r="293" spans="1:1" x14ac:dyDescent="0.25">
      <c r="A293">
        <v>2227</v>
      </c>
    </row>
    <row r="294" spans="1:1" x14ac:dyDescent="0.25">
      <c r="A294" s="1">
        <v>2228</v>
      </c>
    </row>
    <row r="295" spans="1:1" x14ac:dyDescent="0.25">
      <c r="A295">
        <v>2229</v>
      </c>
    </row>
    <row r="296" spans="1:1" x14ac:dyDescent="0.25">
      <c r="A296" s="1">
        <v>2230</v>
      </c>
    </row>
    <row r="297" spans="1:1" x14ac:dyDescent="0.25">
      <c r="A297">
        <v>2231</v>
      </c>
    </row>
    <row r="298" spans="1:1" x14ac:dyDescent="0.25">
      <c r="A298" s="1">
        <v>2232</v>
      </c>
    </row>
    <row r="299" spans="1:1" x14ac:dyDescent="0.25">
      <c r="A299">
        <v>2233</v>
      </c>
    </row>
    <row r="300" spans="1:1" x14ac:dyDescent="0.25">
      <c r="A300" s="1">
        <v>2234</v>
      </c>
    </row>
    <row r="301" spans="1:1" x14ac:dyDescent="0.25">
      <c r="A301">
        <v>2235</v>
      </c>
    </row>
    <row r="302" spans="1:1" x14ac:dyDescent="0.25">
      <c r="A302" s="1">
        <v>2236</v>
      </c>
    </row>
    <row r="303" spans="1:1" x14ac:dyDescent="0.25">
      <c r="A303">
        <v>2237</v>
      </c>
    </row>
    <row r="304" spans="1:1" x14ac:dyDescent="0.25">
      <c r="A304" s="1">
        <v>2238</v>
      </c>
    </row>
    <row r="305" spans="1:1" x14ac:dyDescent="0.25">
      <c r="A305">
        <v>2239</v>
      </c>
    </row>
    <row r="306" spans="1:1" x14ac:dyDescent="0.25">
      <c r="A306" s="1">
        <v>2240</v>
      </c>
    </row>
    <row r="307" spans="1:1" x14ac:dyDescent="0.25">
      <c r="A307">
        <v>2241</v>
      </c>
    </row>
    <row r="308" spans="1:1" x14ac:dyDescent="0.25">
      <c r="A308" s="1">
        <v>2242</v>
      </c>
    </row>
    <row r="309" spans="1:1" x14ac:dyDescent="0.25">
      <c r="A309">
        <v>2243</v>
      </c>
    </row>
    <row r="310" spans="1:1" x14ac:dyDescent="0.25">
      <c r="A310" s="1">
        <v>2244</v>
      </c>
    </row>
    <row r="311" spans="1:1" x14ac:dyDescent="0.25">
      <c r="A311">
        <v>2245</v>
      </c>
    </row>
    <row r="312" spans="1:1" x14ac:dyDescent="0.25">
      <c r="A312" s="1">
        <v>2246</v>
      </c>
    </row>
    <row r="313" spans="1:1" x14ac:dyDescent="0.25">
      <c r="A313">
        <v>2247</v>
      </c>
    </row>
    <row r="314" spans="1:1" x14ac:dyDescent="0.25">
      <c r="A314" s="1">
        <v>2248</v>
      </c>
    </row>
    <row r="315" spans="1:1" x14ac:dyDescent="0.25">
      <c r="A315">
        <v>2249</v>
      </c>
    </row>
    <row r="316" spans="1:1" x14ac:dyDescent="0.25">
      <c r="A316" s="1">
        <v>2250</v>
      </c>
    </row>
    <row r="317" spans="1:1" x14ac:dyDescent="0.25">
      <c r="A317">
        <v>2251</v>
      </c>
    </row>
    <row r="318" spans="1:1" x14ac:dyDescent="0.25">
      <c r="A318" s="1">
        <v>2252</v>
      </c>
    </row>
    <row r="319" spans="1:1" x14ac:dyDescent="0.25">
      <c r="A319">
        <v>2253</v>
      </c>
    </row>
    <row r="320" spans="1:1" x14ac:dyDescent="0.25">
      <c r="A320" s="1">
        <v>2254</v>
      </c>
    </row>
    <row r="321" spans="1:1" x14ac:dyDescent="0.25">
      <c r="A321">
        <v>2255</v>
      </c>
    </row>
    <row r="322" spans="1:1" x14ac:dyDescent="0.25">
      <c r="A322" s="1">
        <v>2256</v>
      </c>
    </row>
    <row r="323" spans="1:1" x14ac:dyDescent="0.25">
      <c r="A323">
        <v>2257</v>
      </c>
    </row>
    <row r="324" spans="1:1" x14ac:dyDescent="0.25">
      <c r="A324" s="1">
        <v>2258</v>
      </c>
    </row>
    <row r="325" spans="1:1" x14ac:dyDescent="0.25">
      <c r="A325">
        <v>2259</v>
      </c>
    </row>
    <row r="326" spans="1:1" x14ac:dyDescent="0.25">
      <c r="A326" s="1">
        <v>2260</v>
      </c>
    </row>
    <row r="327" spans="1:1" x14ac:dyDescent="0.25">
      <c r="A327">
        <v>2261</v>
      </c>
    </row>
    <row r="328" spans="1:1" x14ac:dyDescent="0.25">
      <c r="A328" s="1">
        <v>2262</v>
      </c>
    </row>
    <row r="329" spans="1:1" x14ac:dyDescent="0.25">
      <c r="A329">
        <v>2263</v>
      </c>
    </row>
    <row r="330" spans="1:1" x14ac:dyDescent="0.25">
      <c r="A330" s="1">
        <v>2264</v>
      </c>
    </row>
    <row r="331" spans="1:1" x14ac:dyDescent="0.25">
      <c r="A331">
        <v>2265</v>
      </c>
    </row>
    <row r="332" spans="1:1" x14ac:dyDescent="0.25">
      <c r="A332" s="1">
        <v>2266</v>
      </c>
    </row>
    <row r="333" spans="1:1" x14ac:dyDescent="0.25">
      <c r="A333">
        <v>2267</v>
      </c>
    </row>
    <row r="334" spans="1:1" x14ac:dyDescent="0.25">
      <c r="A334" s="1">
        <v>2268</v>
      </c>
    </row>
    <row r="335" spans="1:1" x14ac:dyDescent="0.25">
      <c r="A335">
        <v>2269</v>
      </c>
    </row>
    <row r="336" spans="1:1" x14ac:dyDescent="0.25">
      <c r="A336" s="1">
        <v>2270</v>
      </c>
    </row>
    <row r="337" spans="1:1" x14ac:dyDescent="0.25">
      <c r="A337">
        <v>2271</v>
      </c>
    </row>
    <row r="338" spans="1:1" x14ac:dyDescent="0.25">
      <c r="A338" s="1">
        <v>2272</v>
      </c>
    </row>
    <row r="339" spans="1:1" x14ac:dyDescent="0.25">
      <c r="A339">
        <v>2273</v>
      </c>
    </row>
    <row r="340" spans="1:1" x14ac:dyDescent="0.25">
      <c r="A340" s="1">
        <v>2274</v>
      </c>
    </row>
    <row r="341" spans="1:1" x14ac:dyDescent="0.25">
      <c r="A341">
        <v>2275</v>
      </c>
    </row>
    <row r="342" spans="1:1" x14ac:dyDescent="0.25">
      <c r="A342" s="1">
        <v>2276</v>
      </c>
    </row>
    <row r="343" spans="1:1" x14ac:dyDescent="0.25">
      <c r="A343">
        <v>2277</v>
      </c>
    </row>
    <row r="344" spans="1:1" x14ac:dyDescent="0.25">
      <c r="A344" s="1">
        <v>2278</v>
      </c>
    </row>
    <row r="345" spans="1:1" x14ac:dyDescent="0.25">
      <c r="A345">
        <v>2279</v>
      </c>
    </row>
    <row r="346" spans="1:1" x14ac:dyDescent="0.25">
      <c r="A346" s="1">
        <v>2280</v>
      </c>
    </row>
    <row r="347" spans="1:1" x14ac:dyDescent="0.25">
      <c r="A347">
        <v>2281</v>
      </c>
    </row>
    <row r="348" spans="1:1" x14ac:dyDescent="0.25">
      <c r="A348" s="1">
        <v>2282</v>
      </c>
    </row>
    <row r="349" spans="1:1" x14ac:dyDescent="0.25">
      <c r="A349">
        <v>2283</v>
      </c>
    </row>
    <row r="350" spans="1:1" x14ac:dyDescent="0.25">
      <c r="A350" s="1">
        <v>2284</v>
      </c>
    </row>
    <row r="351" spans="1:1" x14ac:dyDescent="0.25">
      <c r="A351">
        <v>2285</v>
      </c>
    </row>
    <row r="352" spans="1:1" x14ac:dyDescent="0.25">
      <c r="A352" s="1">
        <v>2286</v>
      </c>
    </row>
    <row r="353" spans="1:1" x14ac:dyDescent="0.25">
      <c r="A353">
        <v>2287</v>
      </c>
    </row>
    <row r="354" spans="1:1" x14ac:dyDescent="0.25">
      <c r="A354" s="1">
        <v>2288</v>
      </c>
    </row>
    <row r="355" spans="1:1" x14ac:dyDescent="0.25">
      <c r="A355">
        <v>2289</v>
      </c>
    </row>
    <row r="356" spans="1:1" x14ac:dyDescent="0.25">
      <c r="A356" s="1">
        <v>2290</v>
      </c>
    </row>
    <row r="357" spans="1:1" x14ac:dyDescent="0.25">
      <c r="A357">
        <v>2291</v>
      </c>
    </row>
    <row r="358" spans="1:1" x14ac:dyDescent="0.25">
      <c r="A358" s="1">
        <v>2292</v>
      </c>
    </row>
    <row r="359" spans="1:1" x14ac:dyDescent="0.25">
      <c r="A359">
        <v>2293</v>
      </c>
    </row>
  </sheetData>
  <mergeCells count="1">
    <mergeCell ref="T1:U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190B2A-9FC2-40EA-BBDD-619BBF4290AC}">
            <xm:f>$M3=YEAR(Client!$B$5)</xm:f>
            <x14:dxf>
              <fill>
                <patternFill>
                  <bgColor rgb="FFFFFF00"/>
                </patternFill>
              </fill>
            </x14:dxf>
          </x14:cfRule>
          <xm:sqref>M3:R72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U56"/>
  <sheetViews>
    <sheetView workbookViewId="0">
      <selection activeCell="S33" sqref="S33"/>
    </sheetView>
  </sheetViews>
  <sheetFormatPr baseColWidth="10" defaultRowHeight="15" x14ac:dyDescent="0.25"/>
  <cols>
    <col min="14" max="23" width="8.7109375" customWidth="1"/>
  </cols>
  <sheetData>
    <row r="2" spans="2:21" ht="15.75" thickBot="1" x14ac:dyDescent="0.3"/>
    <row r="3" spans="2:21" ht="36.75" thickBot="1" x14ac:dyDescent="0.3">
      <c r="B3" s="137" t="s">
        <v>3</v>
      </c>
      <c r="C3" s="138" t="s">
        <v>11</v>
      </c>
      <c r="D3" s="138" t="s">
        <v>68</v>
      </c>
      <c r="E3" s="138" t="s">
        <v>31</v>
      </c>
      <c r="F3" s="138" t="s">
        <v>28</v>
      </c>
    </row>
    <row r="4" spans="2:21" ht="15" customHeight="1" x14ac:dyDescent="0.25">
      <c r="B4" s="141">
        <v>1982</v>
      </c>
      <c r="C4" s="141">
        <v>16</v>
      </c>
      <c r="D4" s="144">
        <v>0</v>
      </c>
      <c r="E4" s="145"/>
      <c r="F4" s="144">
        <v>0</v>
      </c>
    </row>
    <row r="5" spans="2:21" ht="15" customHeight="1" x14ac:dyDescent="0.25">
      <c r="B5" s="141">
        <v>1983</v>
      </c>
      <c r="C5" s="141">
        <v>17</v>
      </c>
      <c r="D5" s="144">
        <v>0</v>
      </c>
      <c r="E5" s="145"/>
      <c r="F5" s="144">
        <v>0</v>
      </c>
      <c r="M5" s="180" t="s">
        <v>106</v>
      </c>
      <c r="N5" s="180"/>
      <c r="O5" s="180"/>
      <c r="P5" s="158">
        <v>2028</v>
      </c>
      <c r="Q5" s="158">
        <v>2029</v>
      </c>
      <c r="R5" s="158">
        <v>2030</v>
      </c>
      <c r="S5" s="158">
        <v>2031</v>
      </c>
      <c r="T5" s="158">
        <v>2032</v>
      </c>
      <c r="U5" s="158">
        <v>2033</v>
      </c>
    </row>
    <row r="6" spans="2:21" ht="15" customHeight="1" x14ac:dyDescent="0.25">
      <c r="B6" s="141">
        <v>1984</v>
      </c>
      <c r="C6" s="141">
        <v>18</v>
      </c>
      <c r="D6" s="144">
        <v>0</v>
      </c>
      <c r="E6" s="145"/>
      <c r="F6" s="144">
        <v>0</v>
      </c>
      <c r="M6" s="181"/>
      <c r="N6" s="181"/>
      <c r="O6" s="181"/>
      <c r="P6" s="160"/>
      <c r="Q6" s="160"/>
      <c r="R6" s="160"/>
      <c r="S6" s="160"/>
      <c r="T6" s="160"/>
      <c r="U6" s="160"/>
    </row>
    <row r="7" spans="2:21" ht="15" customHeight="1" x14ac:dyDescent="0.25">
      <c r="B7" s="141">
        <v>1985</v>
      </c>
      <c r="C7" s="141">
        <v>19</v>
      </c>
      <c r="D7" s="144">
        <v>0</v>
      </c>
      <c r="E7" s="145"/>
      <c r="F7" s="144">
        <v>0</v>
      </c>
      <c r="M7" s="180" t="s">
        <v>23</v>
      </c>
      <c r="N7" s="180"/>
      <c r="O7" s="180"/>
      <c r="P7" s="161">
        <v>9641.2757760000004</v>
      </c>
      <c r="Q7" s="162">
        <v>9641.2757760000004</v>
      </c>
      <c r="R7" s="162">
        <v>9641.2757760000004</v>
      </c>
      <c r="S7" s="162">
        <v>9641.2757760000004</v>
      </c>
      <c r="T7" s="162">
        <v>9641.2757760000004</v>
      </c>
      <c r="U7" s="162">
        <v>9641.2757760000004</v>
      </c>
    </row>
    <row r="8" spans="2:21" ht="15" customHeight="1" x14ac:dyDescent="0.25">
      <c r="B8" s="141">
        <v>1986</v>
      </c>
      <c r="C8" s="141">
        <v>20</v>
      </c>
      <c r="D8" s="144">
        <v>4</v>
      </c>
      <c r="E8" s="145"/>
      <c r="F8" s="144">
        <v>4</v>
      </c>
      <c r="M8" s="180" t="s">
        <v>105</v>
      </c>
      <c r="N8" s="180"/>
      <c r="O8" s="180"/>
      <c r="P8" s="161">
        <v>5930.5491135347111</v>
      </c>
      <c r="Q8" s="162">
        <v>6011.1972728477431</v>
      </c>
      <c r="R8" s="162">
        <v>6091.8454321607742</v>
      </c>
      <c r="S8" s="162">
        <v>6172.4935914738071</v>
      </c>
      <c r="T8" s="162">
        <v>6253.14175078684</v>
      </c>
      <c r="U8" s="162">
        <v>6333.789910099872</v>
      </c>
    </row>
    <row r="9" spans="2:21" ht="15" customHeight="1" x14ac:dyDescent="0.25">
      <c r="B9" s="146">
        <v>1987</v>
      </c>
      <c r="C9" s="146">
        <v>21</v>
      </c>
      <c r="D9" s="144">
        <v>4</v>
      </c>
      <c r="E9" s="148"/>
      <c r="F9" s="144">
        <v>4</v>
      </c>
      <c r="M9" s="180" t="s">
        <v>107</v>
      </c>
      <c r="N9" s="180"/>
      <c r="O9" s="180"/>
      <c r="P9" s="163">
        <v>0</v>
      </c>
      <c r="Q9" s="164">
        <v>0</v>
      </c>
      <c r="R9" s="164">
        <v>0</v>
      </c>
      <c r="S9" s="164">
        <v>0</v>
      </c>
      <c r="T9" s="164">
        <v>0</v>
      </c>
      <c r="U9" s="164">
        <v>0</v>
      </c>
    </row>
    <row r="10" spans="2:21" ht="15" customHeight="1" x14ac:dyDescent="0.25">
      <c r="B10" s="146">
        <v>1988</v>
      </c>
      <c r="C10" s="146">
        <v>22</v>
      </c>
      <c r="D10" s="144">
        <v>4</v>
      </c>
      <c r="E10" s="148"/>
      <c r="F10" s="144">
        <v>4</v>
      </c>
      <c r="M10" s="182"/>
      <c r="N10" s="182"/>
      <c r="O10" s="182"/>
      <c r="P10" s="161"/>
      <c r="Q10" s="162"/>
      <c r="R10" s="162"/>
      <c r="S10" s="162"/>
      <c r="T10" s="162"/>
      <c r="U10" s="162"/>
    </row>
    <row r="11" spans="2:21" ht="15" customHeight="1" x14ac:dyDescent="0.25">
      <c r="B11" s="146">
        <v>1989</v>
      </c>
      <c r="C11" s="146">
        <v>23</v>
      </c>
      <c r="D11" s="144">
        <v>4</v>
      </c>
      <c r="E11" s="148"/>
      <c r="F11" s="144">
        <v>4</v>
      </c>
      <c r="M11" s="180" t="s">
        <v>62</v>
      </c>
      <c r="N11" s="180"/>
      <c r="O11" s="180"/>
      <c r="P11" s="161">
        <v>0</v>
      </c>
      <c r="Q11" s="162">
        <v>561.89005714285724</v>
      </c>
      <c r="R11" s="162">
        <v>1123.7801142857145</v>
      </c>
      <c r="S11" s="162">
        <v>1685.6701714285716</v>
      </c>
      <c r="T11" s="162">
        <v>2247.560228571429</v>
      </c>
      <c r="U11" s="162">
        <v>2809.4502857142857</v>
      </c>
    </row>
    <row r="12" spans="2:21" ht="15" customHeight="1" x14ac:dyDescent="0.25">
      <c r="B12" s="146">
        <v>1990</v>
      </c>
      <c r="C12" s="146">
        <v>24</v>
      </c>
      <c r="D12" s="144">
        <v>4</v>
      </c>
      <c r="E12" s="148"/>
      <c r="F12" s="144">
        <v>4</v>
      </c>
      <c r="M12" s="181"/>
      <c r="N12" s="181"/>
      <c r="O12" s="181"/>
      <c r="P12" s="160"/>
      <c r="Q12" s="160"/>
      <c r="R12" s="160"/>
      <c r="S12" s="160"/>
      <c r="T12" s="160"/>
      <c r="U12" s="160"/>
    </row>
    <row r="13" spans="2:21" ht="15" customHeight="1" x14ac:dyDescent="0.25">
      <c r="B13" s="146">
        <v>1991</v>
      </c>
      <c r="C13" s="146">
        <v>25</v>
      </c>
      <c r="D13" s="144">
        <v>4</v>
      </c>
      <c r="E13" s="149"/>
      <c r="F13" s="144">
        <v>4</v>
      </c>
      <c r="M13" s="185" t="s">
        <v>72</v>
      </c>
      <c r="N13" s="185"/>
      <c r="O13" s="185"/>
      <c r="P13" s="165">
        <v>15571.824889534711</v>
      </c>
      <c r="Q13" s="165">
        <v>16214.3631059906</v>
      </c>
      <c r="R13" s="165">
        <v>16856.901322446487</v>
      </c>
      <c r="S13" s="165">
        <v>17499.439538902378</v>
      </c>
      <c r="T13" s="165">
        <v>18141.977755358272</v>
      </c>
      <c r="U13" s="165">
        <v>18784.515971814159</v>
      </c>
    </row>
    <row r="14" spans="2:21" ht="15" customHeight="1" x14ac:dyDescent="0.25">
      <c r="B14" s="146">
        <v>1992</v>
      </c>
      <c r="C14" s="146">
        <v>26</v>
      </c>
      <c r="D14" s="144">
        <v>4</v>
      </c>
      <c r="E14" s="148"/>
      <c r="F14" s="144">
        <v>4</v>
      </c>
      <c r="M14" s="255" t="s">
        <v>60</v>
      </c>
      <c r="N14" s="255"/>
      <c r="O14" s="255"/>
      <c r="P14" s="165">
        <v>1297.6520741278925</v>
      </c>
      <c r="Q14" s="165">
        <v>1351.1969254992166</v>
      </c>
      <c r="R14" s="165">
        <v>1404.7417768705407</v>
      </c>
      <c r="S14" s="165">
        <v>1458.2866282418647</v>
      </c>
      <c r="T14" s="165">
        <v>1511.8314796131892</v>
      </c>
      <c r="U14" s="165">
        <v>1565.3763309845133</v>
      </c>
    </row>
    <row r="15" spans="2:21" ht="15" customHeight="1" x14ac:dyDescent="0.25">
      <c r="B15" s="146">
        <v>1993</v>
      </c>
      <c r="C15" s="146">
        <v>27</v>
      </c>
      <c r="D15" s="144">
        <v>4</v>
      </c>
      <c r="E15" s="148"/>
      <c r="F15" s="144">
        <v>4</v>
      </c>
    </row>
    <row r="16" spans="2:21" ht="15" customHeight="1" x14ac:dyDescent="0.25">
      <c r="B16" s="146">
        <v>1994</v>
      </c>
      <c r="C16" s="146">
        <v>28</v>
      </c>
      <c r="D16" s="144">
        <v>4</v>
      </c>
      <c r="E16" s="148"/>
      <c r="F16" s="144">
        <v>4</v>
      </c>
    </row>
    <row r="17" spans="2:19" ht="15" customHeight="1" x14ac:dyDescent="0.25">
      <c r="B17" s="146">
        <v>1995</v>
      </c>
      <c r="C17" s="146">
        <v>29</v>
      </c>
      <c r="D17" s="144">
        <v>4</v>
      </c>
      <c r="E17" s="148"/>
      <c r="F17" s="144">
        <v>4</v>
      </c>
    </row>
    <row r="18" spans="2:19" ht="15" customHeight="1" x14ac:dyDescent="0.25">
      <c r="B18" s="146">
        <v>1996</v>
      </c>
      <c r="C18" s="146">
        <v>30</v>
      </c>
      <c r="D18" s="144">
        <v>4</v>
      </c>
      <c r="E18" s="148"/>
      <c r="F18" s="144">
        <v>4</v>
      </c>
    </row>
    <row r="19" spans="2:19" ht="15" customHeight="1" x14ac:dyDescent="0.25">
      <c r="B19" s="146">
        <v>1997</v>
      </c>
      <c r="C19" s="146">
        <v>31</v>
      </c>
      <c r="D19" s="144">
        <v>4</v>
      </c>
      <c r="E19" s="148"/>
      <c r="F19" s="144">
        <v>4</v>
      </c>
    </row>
    <row r="20" spans="2:19" ht="15" customHeight="1" x14ac:dyDescent="0.25">
      <c r="B20" s="146">
        <v>1998</v>
      </c>
      <c r="C20" s="146">
        <v>32</v>
      </c>
      <c r="D20" s="144">
        <v>4</v>
      </c>
      <c r="E20" s="148"/>
      <c r="F20" s="144">
        <v>4</v>
      </c>
    </row>
    <row r="21" spans="2:19" ht="15" customHeight="1" x14ac:dyDescent="0.25">
      <c r="B21" s="146">
        <v>1999</v>
      </c>
      <c r="C21" s="146">
        <v>33</v>
      </c>
      <c r="D21" s="144">
        <v>4</v>
      </c>
      <c r="E21" s="148"/>
      <c r="F21" s="144">
        <v>4</v>
      </c>
    </row>
    <row r="22" spans="2:19" ht="15" customHeight="1" x14ac:dyDescent="0.25">
      <c r="B22" s="146">
        <v>2000</v>
      </c>
      <c r="C22" s="146">
        <v>34</v>
      </c>
      <c r="D22" s="144">
        <v>4</v>
      </c>
      <c r="E22" s="148"/>
      <c r="F22" s="144">
        <v>4</v>
      </c>
    </row>
    <row r="23" spans="2:19" ht="15" customHeight="1" x14ac:dyDescent="0.25">
      <c r="B23" s="146">
        <v>2001</v>
      </c>
      <c r="C23" s="146">
        <v>35</v>
      </c>
      <c r="D23" s="144">
        <v>4</v>
      </c>
      <c r="E23" s="148"/>
      <c r="F23" s="144">
        <v>4</v>
      </c>
    </row>
    <row r="24" spans="2:19" ht="15" customHeight="1" x14ac:dyDescent="0.25">
      <c r="B24" s="146">
        <v>2002</v>
      </c>
      <c r="C24" s="146">
        <v>36</v>
      </c>
      <c r="D24" s="144">
        <v>4</v>
      </c>
      <c r="E24" s="148"/>
      <c r="F24" s="144">
        <v>4</v>
      </c>
    </row>
    <row r="25" spans="2:19" ht="15" customHeight="1" x14ac:dyDescent="0.25">
      <c r="B25" s="146">
        <v>2003</v>
      </c>
      <c r="C25" s="146">
        <v>37</v>
      </c>
      <c r="D25" s="144">
        <v>4</v>
      </c>
      <c r="E25" s="148"/>
      <c r="F25" s="144">
        <v>4</v>
      </c>
    </row>
    <row r="26" spans="2:19" ht="15" customHeight="1" x14ac:dyDescent="0.25">
      <c r="B26" s="146">
        <v>2004</v>
      </c>
      <c r="C26" s="146">
        <v>38</v>
      </c>
      <c r="D26" s="144">
        <v>4</v>
      </c>
      <c r="E26" s="148"/>
      <c r="F26" s="144">
        <v>4</v>
      </c>
    </row>
    <row r="27" spans="2:19" ht="15" customHeight="1" x14ac:dyDescent="0.25">
      <c r="B27" s="146">
        <v>2005</v>
      </c>
      <c r="C27" s="146">
        <v>39</v>
      </c>
      <c r="D27" s="144">
        <v>4</v>
      </c>
      <c r="E27" s="148"/>
      <c r="F27" s="144">
        <v>4</v>
      </c>
      <c r="M27" s="199" t="s">
        <v>69</v>
      </c>
      <c r="N27" s="199"/>
      <c r="O27" s="199"/>
      <c r="P27" s="158" t="s">
        <v>54</v>
      </c>
      <c r="Q27" s="158" t="s">
        <v>29</v>
      </c>
      <c r="R27" s="158" t="s">
        <v>53</v>
      </c>
      <c r="S27" s="158" t="s">
        <v>55</v>
      </c>
    </row>
    <row r="28" spans="2:19" ht="15" customHeight="1" x14ac:dyDescent="0.25">
      <c r="B28" s="146">
        <v>2006</v>
      </c>
      <c r="C28" s="146">
        <v>40</v>
      </c>
      <c r="D28" s="144">
        <v>4</v>
      </c>
      <c r="E28" s="148"/>
      <c r="F28" s="144">
        <v>4</v>
      </c>
      <c r="M28" s="201"/>
      <c r="N28" s="201"/>
      <c r="O28" s="201"/>
      <c r="P28" s="160"/>
      <c r="Q28" s="160"/>
      <c r="R28" s="160"/>
      <c r="S28" s="160"/>
    </row>
    <row r="29" spans="2:19" ht="15" customHeight="1" x14ac:dyDescent="0.25">
      <c r="B29" s="141">
        <v>2007</v>
      </c>
      <c r="C29" s="141">
        <v>41</v>
      </c>
      <c r="D29" s="144">
        <v>4</v>
      </c>
      <c r="E29" s="145"/>
      <c r="F29" s="144">
        <v>4</v>
      </c>
      <c r="M29" s="199" t="s">
        <v>23</v>
      </c>
      <c r="N29" s="199"/>
      <c r="O29" s="199"/>
      <c r="P29" s="162">
        <v>10606.464</v>
      </c>
      <c r="Q29" s="162">
        <v>883.87199999999996</v>
      </c>
      <c r="R29" s="161">
        <v>9641.2757760000004</v>
      </c>
      <c r="S29" s="162">
        <v>803.43964800000003</v>
      </c>
    </row>
    <row r="30" spans="2:19" ht="15" customHeight="1" x14ac:dyDescent="0.25">
      <c r="B30" s="141">
        <v>2008</v>
      </c>
      <c r="C30" s="141">
        <v>42</v>
      </c>
      <c r="D30" s="144">
        <v>4</v>
      </c>
      <c r="E30" s="145"/>
      <c r="F30" s="144">
        <v>4</v>
      </c>
      <c r="M30" s="199" t="s">
        <v>105</v>
      </c>
      <c r="N30" s="199"/>
      <c r="O30" s="199"/>
      <c r="P30" s="162">
        <v>6596.8288248439503</v>
      </c>
      <c r="Q30" s="162">
        <v>549.73573540366249</v>
      </c>
      <c r="R30" s="162">
        <v>5930.5491135347111</v>
      </c>
      <c r="S30" s="162">
        <v>494.21242612789257</v>
      </c>
    </row>
    <row r="31" spans="2:19" ht="15" customHeight="1" x14ac:dyDescent="0.25">
      <c r="B31" s="141">
        <v>2009</v>
      </c>
      <c r="C31" s="141">
        <v>43</v>
      </c>
      <c r="D31" s="144">
        <v>4</v>
      </c>
      <c r="E31" s="145"/>
      <c r="F31" s="144">
        <v>4</v>
      </c>
      <c r="M31" s="199" t="s">
        <v>107</v>
      </c>
      <c r="N31" s="199"/>
      <c r="O31" s="199"/>
      <c r="P31" s="162">
        <v>0</v>
      </c>
      <c r="Q31" s="162">
        <v>0</v>
      </c>
      <c r="R31" s="162">
        <v>0</v>
      </c>
      <c r="S31" s="162">
        <v>0</v>
      </c>
    </row>
    <row r="32" spans="2:19" ht="15" customHeight="1" x14ac:dyDescent="0.25">
      <c r="B32" s="141">
        <v>2010</v>
      </c>
      <c r="C32" s="141">
        <v>44</v>
      </c>
      <c r="D32" s="144">
        <v>4</v>
      </c>
      <c r="E32" s="145"/>
      <c r="F32" s="144">
        <v>4</v>
      </c>
      <c r="M32" s="250"/>
      <c r="N32" s="250"/>
      <c r="O32" s="250"/>
      <c r="P32" s="166"/>
      <c r="Q32" s="166"/>
      <c r="R32" s="166"/>
      <c r="S32" s="166"/>
    </row>
    <row r="33" spans="2:19" ht="15" customHeight="1" x14ac:dyDescent="0.25">
      <c r="B33" s="141">
        <v>2011</v>
      </c>
      <c r="C33" s="141">
        <v>45</v>
      </c>
      <c r="D33" s="144">
        <v>4</v>
      </c>
      <c r="E33" s="145"/>
      <c r="F33" s="144">
        <v>4</v>
      </c>
      <c r="M33" s="202" t="s">
        <v>58</v>
      </c>
      <c r="N33" s="202"/>
      <c r="O33" s="202"/>
      <c r="P33" s="165">
        <v>17203.292824843949</v>
      </c>
      <c r="Q33" s="165">
        <v>1433.6077354036624</v>
      </c>
      <c r="R33" s="165">
        <v>15571.824889534711</v>
      </c>
      <c r="S33" s="165">
        <v>1297.6520741278925</v>
      </c>
    </row>
    <row r="34" spans="2:19" ht="15" customHeight="1" x14ac:dyDescent="0.25">
      <c r="B34" s="141">
        <v>2012</v>
      </c>
      <c r="C34" s="141">
        <v>46</v>
      </c>
      <c r="D34" s="144">
        <v>4</v>
      </c>
      <c r="E34" s="145"/>
      <c r="F34" s="144">
        <v>4</v>
      </c>
    </row>
    <row r="35" spans="2:19" ht="15" customHeight="1" x14ac:dyDescent="0.25">
      <c r="B35" s="141">
        <v>2013</v>
      </c>
      <c r="C35" s="141">
        <v>47</v>
      </c>
      <c r="D35" s="144">
        <v>4</v>
      </c>
      <c r="E35" s="145"/>
      <c r="F35" s="144">
        <v>4</v>
      </c>
    </row>
    <row r="36" spans="2:19" ht="15" customHeight="1" x14ac:dyDescent="0.25">
      <c r="B36" s="141">
        <v>2014</v>
      </c>
      <c r="C36" s="141">
        <v>48</v>
      </c>
      <c r="D36" s="144">
        <v>4</v>
      </c>
      <c r="E36" s="145"/>
      <c r="F36" s="144">
        <v>4</v>
      </c>
    </row>
    <row r="37" spans="2:19" ht="15" customHeight="1" x14ac:dyDescent="0.25">
      <c r="B37" s="141">
        <v>2015</v>
      </c>
      <c r="C37" s="141">
        <v>49</v>
      </c>
      <c r="D37" s="144">
        <v>4</v>
      </c>
      <c r="E37" s="142"/>
      <c r="F37" s="144">
        <v>4</v>
      </c>
    </row>
    <row r="38" spans="2:19" ht="15" customHeight="1" x14ac:dyDescent="0.25">
      <c r="B38" s="141">
        <v>2016</v>
      </c>
      <c r="C38" s="141">
        <v>50</v>
      </c>
      <c r="D38" s="144">
        <v>4</v>
      </c>
      <c r="E38" s="142"/>
      <c r="F38" s="144">
        <v>4</v>
      </c>
    </row>
    <row r="39" spans="2:19" ht="15" customHeight="1" x14ac:dyDescent="0.25">
      <c r="B39" s="141">
        <v>2017</v>
      </c>
      <c r="C39" s="141">
        <v>51</v>
      </c>
      <c r="D39" s="144">
        <v>4</v>
      </c>
      <c r="E39" s="142"/>
      <c r="F39" s="144">
        <v>4</v>
      </c>
    </row>
    <row r="40" spans="2:19" ht="15" customHeight="1" x14ac:dyDescent="0.25">
      <c r="B40" s="141">
        <v>2018</v>
      </c>
      <c r="C40" s="141">
        <v>52</v>
      </c>
      <c r="D40" s="144">
        <v>4</v>
      </c>
      <c r="E40" s="142"/>
      <c r="F40" s="144">
        <v>4</v>
      </c>
    </row>
    <row r="41" spans="2:19" ht="15" customHeight="1" x14ac:dyDescent="0.25">
      <c r="B41" s="141">
        <v>2019</v>
      </c>
      <c r="C41" s="141">
        <v>53</v>
      </c>
      <c r="D41" s="144">
        <v>4</v>
      </c>
      <c r="E41" s="142"/>
      <c r="F41" s="144">
        <v>4</v>
      </c>
    </row>
    <row r="42" spans="2:19" ht="15" customHeight="1" x14ac:dyDescent="0.25">
      <c r="B42" s="141">
        <v>2020</v>
      </c>
      <c r="C42" s="141">
        <v>54</v>
      </c>
      <c r="D42" s="144">
        <v>4</v>
      </c>
      <c r="E42" s="142"/>
      <c r="F42" s="144">
        <v>4</v>
      </c>
    </row>
    <row r="43" spans="2:19" ht="15" customHeight="1" x14ac:dyDescent="0.25">
      <c r="B43" s="141">
        <v>2021</v>
      </c>
      <c r="C43" s="141">
        <v>55</v>
      </c>
      <c r="D43" s="144">
        <v>4</v>
      </c>
      <c r="E43" s="142"/>
      <c r="F43" s="144">
        <v>4</v>
      </c>
    </row>
    <row r="44" spans="2:19" ht="15" customHeight="1" x14ac:dyDescent="0.25">
      <c r="B44" s="141">
        <v>2022</v>
      </c>
      <c r="C44" s="141">
        <v>56</v>
      </c>
      <c r="D44" s="144">
        <v>4</v>
      </c>
      <c r="E44" s="142"/>
      <c r="F44" s="144">
        <v>4</v>
      </c>
    </row>
    <row r="45" spans="2:19" ht="15" customHeight="1" x14ac:dyDescent="0.25">
      <c r="B45" s="141">
        <v>2023</v>
      </c>
      <c r="C45" s="141">
        <v>57</v>
      </c>
      <c r="D45" s="144">
        <v>4</v>
      </c>
      <c r="E45" s="142"/>
      <c r="F45" s="144">
        <v>4</v>
      </c>
    </row>
    <row r="46" spans="2:19" ht="15" customHeight="1" x14ac:dyDescent="0.25">
      <c r="B46" s="141">
        <v>2024</v>
      </c>
      <c r="C46" s="141">
        <v>58</v>
      </c>
      <c r="D46" s="144">
        <v>4</v>
      </c>
      <c r="E46" s="142"/>
      <c r="F46" s="144">
        <v>4</v>
      </c>
    </row>
    <row r="47" spans="2:19" ht="15" customHeight="1" x14ac:dyDescent="0.25">
      <c r="B47" s="141">
        <v>2025</v>
      </c>
      <c r="C47" s="141">
        <v>59</v>
      </c>
      <c r="D47" s="144">
        <v>4</v>
      </c>
      <c r="E47" s="142"/>
      <c r="F47" s="144">
        <v>4</v>
      </c>
    </row>
    <row r="48" spans="2:19" ht="15" customHeight="1" x14ac:dyDescent="0.25">
      <c r="B48" s="141">
        <v>2026</v>
      </c>
      <c r="C48" s="141">
        <v>60</v>
      </c>
      <c r="D48" s="144">
        <v>4</v>
      </c>
      <c r="E48" s="142"/>
      <c r="F48" s="144">
        <v>4</v>
      </c>
    </row>
    <row r="49" spans="2:6" ht="15" customHeight="1" x14ac:dyDescent="0.25">
      <c r="B49" s="141">
        <v>2027</v>
      </c>
      <c r="C49" s="141">
        <v>61</v>
      </c>
      <c r="D49" s="144">
        <v>4</v>
      </c>
      <c r="E49" s="142"/>
      <c r="F49" s="144">
        <v>4</v>
      </c>
    </row>
    <row r="50" spans="2:6" ht="15" customHeight="1" x14ac:dyDescent="0.25">
      <c r="B50" s="141">
        <v>2028</v>
      </c>
      <c r="C50" s="141">
        <v>62</v>
      </c>
      <c r="D50" s="144">
        <v>2</v>
      </c>
      <c r="E50" s="142"/>
      <c r="F50" s="144">
        <v>2</v>
      </c>
    </row>
    <row r="51" spans="2:6" ht="15" customHeight="1" x14ac:dyDescent="0.25">
      <c r="B51" s="141">
        <v>2029</v>
      </c>
      <c r="C51" s="141">
        <v>63</v>
      </c>
      <c r="D51" s="144">
        <v>4</v>
      </c>
      <c r="E51" s="142"/>
      <c r="F51" s="144">
        <v>4</v>
      </c>
    </row>
    <row r="52" spans="2:6" ht="15" customHeight="1" x14ac:dyDescent="0.25">
      <c r="B52" s="141">
        <v>2030</v>
      </c>
      <c r="C52" s="141">
        <v>64</v>
      </c>
      <c r="D52" s="144">
        <v>4</v>
      </c>
      <c r="E52" s="142"/>
      <c r="F52" s="144">
        <v>4</v>
      </c>
    </row>
    <row r="53" spans="2:6" ht="15" customHeight="1" x14ac:dyDescent="0.25">
      <c r="B53" s="141">
        <v>2031</v>
      </c>
      <c r="C53" s="141">
        <v>65</v>
      </c>
      <c r="D53" s="144">
        <v>4</v>
      </c>
      <c r="E53" s="142"/>
      <c r="F53" s="144">
        <v>4</v>
      </c>
    </row>
    <row r="54" spans="2:6" ht="15" customHeight="1" x14ac:dyDescent="0.25">
      <c r="B54" s="141">
        <v>2032</v>
      </c>
      <c r="C54" s="141">
        <v>66</v>
      </c>
      <c r="D54" s="144">
        <v>4</v>
      </c>
      <c r="E54" s="142"/>
      <c r="F54" s="144">
        <v>4</v>
      </c>
    </row>
    <row r="55" spans="2:6" ht="15" customHeight="1" thickBot="1" x14ac:dyDescent="0.3">
      <c r="B55" s="150">
        <v>2033</v>
      </c>
      <c r="C55" s="150">
        <v>67</v>
      </c>
      <c r="D55" s="144">
        <v>4</v>
      </c>
      <c r="E55" s="142"/>
      <c r="F55" s="144">
        <v>4</v>
      </c>
    </row>
    <row r="56" spans="2:6" ht="15" customHeight="1" thickBot="1" x14ac:dyDescent="0.3">
      <c r="B56" s="193" t="s">
        <v>37</v>
      </c>
      <c r="C56" s="194"/>
      <c r="D56" s="154">
        <v>178</v>
      </c>
      <c r="E56" s="154">
        <v>0</v>
      </c>
      <c r="F56" s="154" t="s">
        <v>143</v>
      </c>
    </row>
  </sheetData>
  <mergeCells count="9">
    <mergeCell ref="M14:O14"/>
    <mergeCell ref="B56:C56"/>
    <mergeCell ref="M31:O31"/>
    <mergeCell ref="M32:O32"/>
    <mergeCell ref="M33:O33"/>
    <mergeCell ref="M27:O27"/>
    <mergeCell ref="M28:O28"/>
    <mergeCell ref="M29:O29"/>
    <mergeCell ref="M30:O30"/>
  </mergeCells>
  <conditionalFormatting sqref="F4:F55">
    <cfRule type="cellIs" dxfId="0" priority="1" operator="lessThan">
      <formula>4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7"/>
  <sheetViews>
    <sheetView workbookViewId="0">
      <selection activeCell="H30" sqref="H30"/>
    </sheetView>
  </sheetViews>
  <sheetFormatPr baseColWidth="10" defaultRowHeight="15" x14ac:dyDescent="0.25"/>
  <cols>
    <col min="4" max="10" width="8.7109375" customWidth="1"/>
  </cols>
  <sheetData>
    <row r="2" spans="2:10" ht="22.5" x14ac:dyDescent="0.35">
      <c r="B2" s="186" t="s">
        <v>147</v>
      </c>
    </row>
    <row r="4" spans="2:10" x14ac:dyDescent="0.25">
      <c r="B4" s="199" t="s">
        <v>52</v>
      </c>
      <c r="C4" s="199"/>
      <c r="D4" s="199"/>
      <c r="E4" s="158">
        <v>2028</v>
      </c>
      <c r="F4" s="158">
        <v>2029</v>
      </c>
      <c r="G4" s="158">
        <v>2030</v>
      </c>
      <c r="H4" s="158">
        <v>2031</v>
      </c>
      <c r="I4" s="158">
        <v>2032</v>
      </c>
      <c r="J4" s="158">
        <v>2033</v>
      </c>
    </row>
    <row r="5" spans="2:10" x14ac:dyDescent="0.25">
      <c r="B5" s="201"/>
      <c r="C5" s="201"/>
      <c r="D5" s="201"/>
      <c r="E5" s="160"/>
      <c r="F5" s="160"/>
      <c r="G5" s="160"/>
      <c r="H5" s="160"/>
      <c r="I5" s="160"/>
      <c r="J5" s="160"/>
    </row>
    <row r="6" spans="2:10" x14ac:dyDescent="0.25">
      <c r="B6" s="199" t="s">
        <v>56</v>
      </c>
      <c r="C6" s="199"/>
      <c r="D6" s="199"/>
      <c r="E6" s="162">
        <v>0</v>
      </c>
      <c r="F6" s="162">
        <v>0</v>
      </c>
      <c r="G6" s="162">
        <v>0</v>
      </c>
      <c r="H6" s="162">
        <v>0</v>
      </c>
      <c r="I6" s="162">
        <v>0</v>
      </c>
      <c r="J6" s="162">
        <v>0</v>
      </c>
    </row>
    <row r="7" spans="2:10" x14ac:dyDescent="0.25">
      <c r="B7" s="199" t="s">
        <v>57</v>
      </c>
      <c r="C7" s="199"/>
      <c r="D7" s="199"/>
      <c r="E7" s="162">
        <v>0</v>
      </c>
      <c r="F7" s="162">
        <v>0</v>
      </c>
      <c r="G7" s="162">
        <v>0</v>
      </c>
      <c r="H7" s="162">
        <v>0</v>
      </c>
      <c r="I7" s="162">
        <v>0</v>
      </c>
      <c r="J7" s="162">
        <v>0</v>
      </c>
    </row>
    <row r="8" spans="2:10" x14ac:dyDescent="0.25">
      <c r="B8" s="199" t="s">
        <v>24</v>
      </c>
      <c r="C8" s="199"/>
      <c r="D8" s="199"/>
      <c r="E8" s="161">
        <v>390.04099200000002</v>
      </c>
      <c r="F8" s="161">
        <v>356.12438400000008</v>
      </c>
      <c r="G8" s="161">
        <v>322.20777600000008</v>
      </c>
      <c r="H8" s="161">
        <v>288.29116800000003</v>
      </c>
      <c r="I8" s="161">
        <v>254.37456000000003</v>
      </c>
      <c r="J8" s="161">
        <v>220.45795200000003</v>
      </c>
    </row>
    <row r="9" spans="2:10" x14ac:dyDescent="0.25">
      <c r="B9" s="200"/>
      <c r="C9" s="200"/>
      <c r="D9" s="200"/>
      <c r="E9" s="162"/>
      <c r="F9" s="162"/>
      <c r="G9" s="162"/>
      <c r="H9" s="162"/>
      <c r="I9" s="162"/>
      <c r="J9" s="162"/>
    </row>
    <row r="10" spans="2:10" x14ac:dyDescent="0.25">
      <c r="B10" s="199" t="s">
        <v>62</v>
      </c>
      <c r="C10" s="199"/>
      <c r="D10" s="199"/>
      <c r="E10" s="162">
        <v>0</v>
      </c>
      <c r="F10" s="162">
        <v>0</v>
      </c>
      <c r="G10" s="162">
        <v>0</v>
      </c>
      <c r="H10" s="162">
        <v>0</v>
      </c>
      <c r="I10" s="162">
        <v>0</v>
      </c>
      <c r="J10" s="162">
        <v>0</v>
      </c>
    </row>
    <row r="11" spans="2:10" x14ac:dyDescent="0.25">
      <c r="B11" s="201"/>
      <c r="C11" s="201"/>
      <c r="D11" s="201"/>
      <c r="E11" s="160"/>
      <c r="F11" s="160"/>
      <c r="G11" s="160"/>
      <c r="H11" s="160"/>
      <c r="I11" s="160"/>
      <c r="J11" s="160"/>
    </row>
    <row r="12" spans="2:10" x14ac:dyDescent="0.25">
      <c r="B12" s="202" t="s">
        <v>59</v>
      </c>
      <c r="C12" s="202"/>
      <c r="D12" s="202"/>
      <c r="E12" s="165">
        <v>390.04099200000002</v>
      </c>
      <c r="F12" s="165">
        <v>356.12438400000008</v>
      </c>
      <c r="G12" s="165">
        <v>322.20777600000008</v>
      </c>
      <c r="H12" s="165">
        <v>288.29116800000003</v>
      </c>
      <c r="I12" s="165">
        <v>254.37456000000003</v>
      </c>
      <c r="J12" s="165">
        <v>220.45795200000003</v>
      </c>
    </row>
    <row r="13" spans="2:10" x14ac:dyDescent="0.25">
      <c r="B13" s="198" t="s">
        <v>60</v>
      </c>
      <c r="C13" s="198"/>
      <c r="D13" s="198"/>
      <c r="E13" s="165">
        <v>32.503416000000001</v>
      </c>
      <c r="F13" s="165">
        <v>29.677032000000008</v>
      </c>
      <c r="G13" s="165">
        <v>26.850648000000007</v>
      </c>
      <c r="H13" s="165">
        <v>24.024264000000002</v>
      </c>
      <c r="I13" s="165">
        <v>21.197880000000001</v>
      </c>
      <c r="J13" s="165">
        <v>18.371496000000004</v>
      </c>
    </row>
    <row r="16" spans="2:10" x14ac:dyDescent="0.25">
      <c r="B16" s="260" t="s">
        <v>144</v>
      </c>
      <c r="C16" s="260"/>
      <c r="D16" s="260"/>
      <c r="E16" s="260"/>
      <c r="F16" s="260"/>
      <c r="G16" s="260"/>
      <c r="H16" s="260"/>
      <c r="I16" s="260"/>
      <c r="J16" s="260"/>
    </row>
    <row r="17" spans="2:10" x14ac:dyDescent="0.25">
      <c r="B17" s="260" t="s">
        <v>148</v>
      </c>
      <c r="C17" s="260"/>
      <c r="D17" s="260"/>
      <c r="E17" s="260"/>
      <c r="F17" s="260"/>
      <c r="G17" s="260"/>
      <c r="H17" s="260"/>
      <c r="I17" s="260"/>
      <c r="J17" s="260"/>
    </row>
    <row r="18" spans="2:10" x14ac:dyDescent="0.25">
      <c r="B18" s="260"/>
      <c r="C18" s="260"/>
      <c r="D18" s="260"/>
      <c r="E18" s="260"/>
      <c r="F18" s="260"/>
      <c r="G18" s="260"/>
      <c r="H18" s="260"/>
      <c r="I18" s="260"/>
      <c r="J18" s="260"/>
    </row>
    <row r="19" spans="2:10" x14ac:dyDescent="0.25">
      <c r="B19" s="260"/>
      <c r="C19" s="260"/>
      <c r="D19" s="260"/>
      <c r="E19" s="260"/>
      <c r="F19" s="260"/>
      <c r="G19" s="260"/>
      <c r="H19" s="260"/>
      <c r="I19" s="260"/>
      <c r="J19" s="260"/>
    </row>
    <row r="20" spans="2:10" x14ac:dyDescent="0.25">
      <c r="B20" s="260"/>
      <c r="C20" s="260"/>
      <c r="D20" s="260"/>
      <c r="E20" s="260"/>
      <c r="F20" s="260"/>
      <c r="G20" s="260"/>
      <c r="H20" s="260"/>
      <c r="I20" s="260"/>
      <c r="J20" s="260"/>
    </row>
    <row r="23" spans="2:10" x14ac:dyDescent="0.25">
      <c r="B23" s="260" t="s">
        <v>145</v>
      </c>
      <c r="C23" s="260"/>
      <c r="D23" s="260"/>
      <c r="E23" s="260"/>
      <c r="F23" s="260"/>
      <c r="G23" s="260"/>
      <c r="H23" s="260"/>
      <c r="I23" s="260"/>
      <c r="J23" s="260"/>
    </row>
    <row r="24" spans="2:10" x14ac:dyDescent="0.25">
      <c r="B24" s="260" t="s">
        <v>149</v>
      </c>
      <c r="C24" s="260"/>
      <c r="D24" s="260"/>
      <c r="E24" s="260"/>
      <c r="F24" s="260"/>
      <c r="G24" s="260"/>
      <c r="H24" s="260"/>
      <c r="I24" s="260"/>
      <c r="J24" s="260"/>
    </row>
    <row r="25" spans="2:10" x14ac:dyDescent="0.25">
      <c r="B25" s="260"/>
      <c r="C25" s="260"/>
      <c r="D25" s="260"/>
      <c r="E25" s="260"/>
      <c r="F25" s="260"/>
      <c r="G25" s="260"/>
      <c r="H25" s="260"/>
      <c r="I25" s="260"/>
      <c r="J25" s="260"/>
    </row>
    <row r="26" spans="2:10" x14ac:dyDescent="0.25">
      <c r="B26" s="260"/>
      <c r="C26" s="260"/>
      <c r="D26" s="260"/>
      <c r="E26" s="260"/>
      <c r="F26" s="260"/>
      <c r="G26" s="260"/>
      <c r="H26" s="260"/>
      <c r="I26" s="260"/>
      <c r="J26" s="260"/>
    </row>
    <row r="27" spans="2:10" x14ac:dyDescent="0.25">
      <c r="B27" s="260"/>
      <c r="C27" s="260"/>
      <c r="D27" s="260"/>
      <c r="E27" s="260"/>
      <c r="F27" s="260"/>
      <c r="G27" s="260"/>
      <c r="H27" s="260"/>
      <c r="I27" s="260"/>
      <c r="J27" s="260"/>
    </row>
  </sheetData>
  <mergeCells count="14">
    <mergeCell ref="B9:D9"/>
    <mergeCell ref="B4:D4"/>
    <mergeCell ref="B5:D5"/>
    <mergeCell ref="B6:D6"/>
    <mergeCell ref="B7:D7"/>
    <mergeCell ref="B8:D8"/>
    <mergeCell ref="B24:J27"/>
    <mergeCell ref="B10:D10"/>
    <mergeCell ref="B11:D11"/>
    <mergeCell ref="B12:D12"/>
    <mergeCell ref="B13:D13"/>
    <mergeCell ref="B16:J16"/>
    <mergeCell ref="B23:J23"/>
    <mergeCell ref="B17:J20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7"/>
  <sheetViews>
    <sheetView workbookViewId="0">
      <selection activeCell="R23" sqref="R23"/>
    </sheetView>
  </sheetViews>
  <sheetFormatPr baseColWidth="10" defaultRowHeight="15" x14ac:dyDescent="0.25"/>
  <sheetData>
    <row r="2" spans="2:10" ht="22.5" x14ac:dyDescent="0.35">
      <c r="B2" s="186" t="s">
        <v>146</v>
      </c>
    </row>
    <row r="4" spans="2:10" x14ac:dyDescent="0.25">
      <c r="B4" s="180" t="s">
        <v>106</v>
      </c>
      <c r="C4" s="180"/>
      <c r="D4" s="180"/>
      <c r="E4" s="158">
        <v>2028</v>
      </c>
      <c r="F4" s="158">
        <v>2029</v>
      </c>
      <c r="G4" s="158">
        <v>2030</v>
      </c>
      <c r="H4" s="158">
        <v>2031</v>
      </c>
      <c r="I4" s="158">
        <v>2032</v>
      </c>
      <c r="J4" s="158">
        <v>2033</v>
      </c>
    </row>
    <row r="5" spans="2:10" x14ac:dyDescent="0.25">
      <c r="B5" s="181"/>
      <c r="C5" s="181"/>
      <c r="D5" s="181"/>
      <c r="E5" s="160"/>
      <c r="F5" s="160"/>
      <c r="G5" s="160"/>
      <c r="H5" s="160"/>
      <c r="I5" s="160"/>
      <c r="J5" s="160"/>
    </row>
    <row r="6" spans="2:10" x14ac:dyDescent="0.25">
      <c r="B6" s="180" t="s">
        <v>23</v>
      </c>
      <c r="C6" s="180"/>
      <c r="D6" s="180"/>
      <c r="E6" s="161">
        <v>9641.2757760000004</v>
      </c>
      <c r="F6" s="162">
        <v>9641.2757760000004</v>
      </c>
      <c r="G6" s="162">
        <v>9641.2757760000004</v>
      </c>
      <c r="H6" s="162">
        <v>9641.2757760000004</v>
      </c>
      <c r="I6" s="162">
        <v>9641.2757760000004</v>
      </c>
      <c r="J6" s="162">
        <v>9641.2757760000004</v>
      </c>
    </row>
    <row r="7" spans="2:10" x14ac:dyDescent="0.25">
      <c r="B7" s="180" t="s">
        <v>105</v>
      </c>
      <c r="C7" s="180"/>
      <c r="D7" s="180"/>
      <c r="E7" s="161">
        <v>5930.5491135347111</v>
      </c>
      <c r="F7" s="162">
        <v>6011.1972728477431</v>
      </c>
      <c r="G7" s="162">
        <v>6091.8454321607742</v>
      </c>
      <c r="H7" s="162">
        <v>6172.4935914738071</v>
      </c>
      <c r="I7" s="162">
        <v>6253.14175078684</v>
      </c>
      <c r="J7" s="162">
        <v>6333.789910099872</v>
      </c>
    </row>
    <row r="8" spans="2:10" x14ac:dyDescent="0.25">
      <c r="B8" s="180" t="s">
        <v>107</v>
      </c>
      <c r="C8" s="180"/>
      <c r="D8" s="180"/>
      <c r="E8" s="163">
        <v>0</v>
      </c>
      <c r="F8" s="164">
        <v>0</v>
      </c>
      <c r="G8" s="164">
        <v>0</v>
      </c>
      <c r="H8" s="164">
        <v>0</v>
      </c>
      <c r="I8" s="164">
        <v>0</v>
      </c>
      <c r="J8" s="164">
        <v>0</v>
      </c>
    </row>
    <row r="9" spans="2:10" x14ac:dyDescent="0.25">
      <c r="B9" s="182"/>
      <c r="C9" s="182"/>
      <c r="D9" s="182"/>
      <c r="E9" s="161"/>
      <c r="F9" s="162"/>
      <c r="G9" s="162"/>
      <c r="H9" s="162"/>
      <c r="I9" s="162"/>
      <c r="J9" s="162"/>
    </row>
    <row r="10" spans="2:10" x14ac:dyDescent="0.25">
      <c r="B10" s="180" t="s">
        <v>62</v>
      </c>
      <c r="C10" s="180"/>
      <c r="D10" s="180"/>
      <c r="E10" s="161">
        <v>0</v>
      </c>
      <c r="F10" s="162">
        <v>561.89005714285724</v>
      </c>
      <c r="G10" s="162">
        <v>1123.7801142857145</v>
      </c>
      <c r="H10" s="162">
        <v>1685.6701714285716</v>
      </c>
      <c r="I10" s="162">
        <v>2247.560228571429</v>
      </c>
      <c r="J10" s="162">
        <v>2809.4502857142857</v>
      </c>
    </row>
    <row r="11" spans="2:10" x14ac:dyDescent="0.25">
      <c r="B11" s="181"/>
      <c r="C11" s="181"/>
      <c r="D11" s="181"/>
      <c r="E11" s="160"/>
      <c r="F11" s="160"/>
      <c r="G11" s="160"/>
      <c r="H11" s="160"/>
      <c r="I11" s="160"/>
      <c r="J11" s="160"/>
    </row>
    <row r="12" spans="2:10" x14ac:dyDescent="0.25">
      <c r="B12" s="185" t="s">
        <v>72</v>
      </c>
      <c r="C12" s="185"/>
      <c r="D12" s="185"/>
      <c r="E12" s="165">
        <v>15571.824889534711</v>
      </c>
      <c r="F12" s="165">
        <v>16214.3631059906</v>
      </c>
      <c r="G12" s="165">
        <v>16856.901322446487</v>
      </c>
      <c r="H12" s="165">
        <v>17499.439538902378</v>
      </c>
      <c r="I12" s="165">
        <v>18141.977755358272</v>
      </c>
      <c r="J12" s="165">
        <v>18784.515971814159</v>
      </c>
    </row>
    <row r="13" spans="2:10" x14ac:dyDescent="0.25">
      <c r="B13" s="255" t="s">
        <v>60</v>
      </c>
      <c r="C13" s="255"/>
      <c r="D13" s="255"/>
      <c r="E13" s="165">
        <v>1297.6520741278925</v>
      </c>
      <c r="F13" s="165">
        <v>1351.1969254992166</v>
      </c>
      <c r="G13" s="165">
        <v>1404.7417768705407</v>
      </c>
      <c r="H13" s="165">
        <v>1458.2866282418647</v>
      </c>
      <c r="I13" s="165">
        <v>1511.8314796131892</v>
      </c>
      <c r="J13" s="165">
        <v>1565.3763309845133</v>
      </c>
    </row>
    <row r="16" spans="2:10" x14ac:dyDescent="0.25">
      <c r="B16" s="260" t="s">
        <v>144</v>
      </c>
      <c r="C16" s="260"/>
      <c r="D16" s="260"/>
      <c r="E16" s="260"/>
      <c r="F16" s="260"/>
      <c r="G16" s="260"/>
      <c r="H16" s="260"/>
      <c r="I16" s="260"/>
      <c r="J16" s="260"/>
    </row>
    <row r="17" spans="2:10" x14ac:dyDescent="0.25">
      <c r="B17" s="260" t="s">
        <v>150</v>
      </c>
      <c r="C17" s="260"/>
      <c r="D17" s="260"/>
      <c r="E17" s="260"/>
      <c r="F17" s="260"/>
      <c r="G17" s="260"/>
      <c r="H17" s="260"/>
      <c r="I17" s="260"/>
      <c r="J17" s="260"/>
    </row>
    <row r="18" spans="2:10" x14ac:dyDescent="0.25">
      <c r="B18" s="260"/>
      <c r="C18" s="260"/>
      <c r="D18" s="260"/>
      <c r="E18" s="260"/>
      <c r="F18" s="260"/>
      <c r="G18" s="260"/>
      <c r="H18" s="260"/>
      <c r="I18" s="260"/>
      <c r="J18" s="260"/>
    </row>
    <row r="19" spans="2:10" x14ac:dyDescent="0.25">
      <c r="B19" s="260"/>
      <c r="C19" s="260"/>
      <c r="D19" s="260"/>
      <c r="E19" s="260"/>
      <c r="F19" s="260"/>
      <c r="G19" s="260"/>
      <c r="H19" s="260"/>
      <c r="I19" s="260"/>
      <c r="J19" s="260"/>
    </row>
    <row r="20" spans="2:10" x14ac:dyDescent="0.25">
      <c r="B20" s="260"/>
      <c r="C20" s="260"/>
      <c r="D20" s="260"/>
      <c r="E20" s="260"/>
      <c r="F20" s="260"/>
      <c r="G20" s="260"/>
      <c r="H20" s="260"/>
      <c r="I20" s="260"/>
      <c r="J20" s="260"/>
    </row>
    <row r="23" spans="2:10" x14ac:dyDescent="0.25">
      <c r="B23" s="260" t="s">
        <v>145</v>
      </c>
      <c r="C23" s="260"/>
      <c r="D23" s="260"/>
      <c r="E23" s="260"/>
      <c r="F23" s="260"/>
      <c r="G23" s="260"/>
      <c r="H23" s="260"/>
      <c r="I23" s="260"/>
      <c r="J23" s="260"/>
    </row>
    <row r="24" spans="2:10" x14ac:dyDescent="0.25">
      <c r="B24" s="260" t="s">
        <v>151</v>
      </c>
      <c r="C24" s="260"/>
      <c r="D24" s="260"/>
      <c r="E24" s="260"/>
      <c r="F24" s="260"/>
      <c r="G24" s="260"/>
      <c r="H24" s="260"/>
      <c r="I24" s="260"/>
      <c r="J24" s="260"/>
    </row>
    <row r="25" spans="2:10" x14ac:dyDescent="0.25">
      <c r="B25" s="260"/>
      <c r="C25" s="260"/>
      <c r="D25" s="260"/>
      <c r="E25" s="260"/>
      <c r="F25" s="260"/>
      <c r="G25" s="260"/>
      <c r="H25" s="260"/>
      <c r="I25" s="260"/>
      <c r="J25" s="260"/>
    </row>
    <row r="26" spans="2:10" x14ac:dyDescent="0.25">
      <c r="B26" s="260"/>
      <c r="C26" s="260"/>
      <c r="D26" s="260"/>
      <c r="E26" s="260"/>
      <c r="F26" s="260"/>
      <c r="G26" s="260"/>
      <c r="H26" s="260"/>
      <c r="I26" s="260"/>
      <c r="J26" s="260"/>
    </row>
    <row r="27" spans="2:10" x14ac:dyDescent="0.25">
      <c r="B27" s="260"/>
      <c r="C27" s="260"/>
      <c r="D27" s="260"/>
      <c r="E27" s="260"/>
      <c r="F27" s="260"/>
      <c r="G27" s="260"/>
      <c r="H27" s="260"/>
      <c r="I27" s="260"/>
      <c r="J27" s="260"/>
    </row>
  </sheetData>
  <mergeCells count="5">
    <mergeCell ref="B13:D13"/>
    <mergeCell ref="B16:J16"/>
    <mergeCell ref="B23:J23"/>
    <mergeCell ref="B17:J20"/>
    <mergeCell ref="B24:J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Client</vt:lpstr>
      <vt:lpstr>Trimestres</vt:lpstr>
      <vt:lpstr>MSA</vt:lpstr>
      <vt:lpstr>Salarié et assimilés</vt:lpstr>
      <vt:lpstr>MSA + Salarié</vt:lpstr>
      <vt:lpstr>CARMF</vt:lpstr>
      <vt:lpstr>Outils</vt:lpstr>
      <vt:lpstr>Hypothèse de base</vt:lpstr>
      <vt:lpstr>6</vt:lpstr>
      <vt:lpstr>2</vt:lpstr>
    </vt:vector>
  </TitlesOfParts>
  <Company>CERFRANCE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PONTY</dc:creator>
  <cp:lastModifiedBy>Lucas PONTY</cp:lastModifiedBy>
  <dcterms:created xsi:type="dcterms:W3CDTF">2020-12-15T15:34:45Z</dcterms:created>
  <dcterms:modified xsi:type="dcterms:W3CDTF">2021-08-25T09:30:41Z</dcterms:modified>
</cp:coreProperties>
</file>