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25" yWindow="2100" windowWidth="30000" windowHeight="15720"/>
  </bookViews>
  <sheets>
    <sheet name="Saisie" sheetId="8" r:id="rId1"/>
    <sheet name="Base" sheetId="12" r:id="rId2"/>
    <sheet name="Listes" sheetId="3" r:id="rId3"/>
    <sheet name="Leurres" sheetId="7" r:id="rId4"/>
    <sheet name="Meteo" sheetId="13" r:id="rId5"/>
  </sheets>
  <functionGroups builtInGroupCount="17"/>
  <definedNames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pl_categorieLeurre">Leurres!$A$4:$A$23</definedName>
    <definedName name="pl_couleurLeurre">Leurres!$J$4:$J$23</definedName>
    <definedName name="pl_leurres">Leurres!$F$4:$F$23</definedName>
    <definedName name="pl_riviere">Listes!$A$5:$A$28</definedName>
    <definedName name="pl_secteur">Listes!$E$5:$E$28</definedName>
    <definedName name="Remarque">Saisie!$K$4</definedName>
    <definedName name="Riviere">Saisie!$F$4</definedName>
    <definedName name="Secteur">Saisie!$G$4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8" l="1"/>
  <c r="E34" i="8"/>
  <c r="F34" i="8"/>
  <c r="G34" i="8"/>
  <c r="H34" i="8"/>
  <c r="I34" i="8"/>
  <c r="J34" i="8"/>
  <c r="K34" i="8"/>
  <c r="L3" i="12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L41" i="12"/>
  <c r="N41" i="12"/>
  <c r="O41" i="12"/>
  <c r="P41" i="12"/>
  <c r="Q41" i="12"/>
  <c r="R41" i="12"/>
  <c r="S41" i="12"/>
  <c r="T41" i="12"/>
  <c r="U41" i="12"/>
  <c r="V41" i="12"/>
  <c r="W41" i="12"/>
  <c r="X41" i="12"/>
  <c r="Y41" i="12"/>
  <c r="Z41" i="12"/>
  <c r="AA41" i="12"/>
  <c r="AB41" i="12"/>
  <c r="AC41" i="12"/>
  <c r="AD41" i="12"/>
  <c r="AE41" i="12"/>
  <c r="AF41" i="12"/>
  <c r="AG41" i="12"/>
  <c r="AH41" i="12"/>
  <c r="AI41" i="12"/>
  <c r="AJ41" i="12"/>
  <c r="AK41" i="12"/>
</calcChain>
</file>

<file path=xl/sharedStrings.xml><?xml version="1.0" encoding="utf-8"?>
<sst xmlns="http://schemas.openxmlformats.org/spreadsheetml/2006/main" count="575" uniqueCount="233">
  <si>
    <t>Date</t>
  </si>
  <si>
    <t>pluie</t>
  </si>
  <si>
    <t>froid</t>
  </si>
  <si>
    <t>bon</t>
  </si>
  <si>
    <t>chaud</t>
  </si>
  <si>
    <t>Champ</t>
  </si>
  <si>
    <t>St Pierre du pont romain au moulin de Go</t>
  </si>
  <si>
    <t>St Pierre du moulin d'Hardray au pont romain</t>
  </si>
  <si>
    <t>Auvers le Hamon Les roches</t>
  </si>
  <si>
    <t>Auvers le Hamon la jeune panne</t>
  </si>
  <si>
    <t>Neau en face du plan d'eau</t>
  </si>
  <si>
    <t>Montsurs amont du pont du centre ville</t>
  </si>
  <si>
    <t>Montsurs aval du pont du centre ville</t>
  </si>
  <si>
    <t>Montsurs les petits ifs amont</t>
  </si>
  <si>
    <t>Montsurs les petits ifs aval</t>
  </si>
  <si>
    <t>L'Hermitage</t>
  </si>
  <si>
    <t>Moulin de Pochard amont</t>
  </si>
  <si>
    <t>Moulin de Porchard aval</t>
  </si>
  <si>
    <t>No Kill Montgiroux</t>
  </si>
  <si>
    <t>Le port (sud de montgiroux)</t>
  </si>
  <si>
    <t>Saint jean sur Erve</t>
  </si>
  <si>
    <t>Neau</t>
  </si>
  <si>
    <t>Blandouet</t>
  </si>
  <si>
    <t>Brûlon moulin du pont</t>
  </si>
  <si>
    <t>Entre Beauomon pied de Bouef et val du Maine</t>
  </si>
  <si>
    <t>Terrain et alentours</t>
  </si>
  <si>
    <t>Eychargelat au pont de pierre</t>
  </si>
  <si>
    <t>Au dessus du pont de pierre</t>
  </si>
  <si>
    <t>parcours famillial Tarascon</t>
  </si>
  <si>
    <t>Mercus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</si>
  <si>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</si>
  <si>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</si>
  <si>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</si>
  <si>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</si>
  <si>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</si>
  <si>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</si>
  <si>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</si>
  <si>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</si>
  <si>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La Fenderie</t>
  </si>
  <si>
    <t>St Pierre du moulin d'Hardray à la Roche Brault</t>
  </si>
  <si>
    <t>Oratoire amont</t>
  </si>
  <si>
    <t>Oratoire aval</t>
  </si>
  <si>
    <t>No kill de Saulges</t>
  </si>
  <si>
    <t>Nationale à maison</t>
  </si>
  <si>
    <t>Autoroute à Davier</t>
  </si>
  <si>
    <t>Terrain 4X4</t>
  </si>
  <si>
    <t>Entre 4X4 et forges</t>
  </si>
  <si>
    <t>Vaiges</t>
  </si>
  <si>
    <t>Olivet</t>
  </si>
  <si>
    <t>St pierre enrtre moulin de Go et moulin aux moines</t>
  </si>
  <si>
    <t>cuiller n°0</t>
  </si>
  <si>
    <t>cranck</t>
  </si>
  <si>
    <t>souple à palette</t>
  </si>
  <si>
    <t>asticot</t>
  </si>
  <si>
    <t>cuiller n°1</t>
  </si>
  <si>
    <t>minow</t>
  </si>
  <si>
    <t>popper</t>
  </si>
  <si>
    <t>jig</t>
  </si>
  <si>
    <t>verre de terre</t>
  </si>
  <si>
    <t>cuiller n°2</t>
  </si>
  <si>
    <t>jerk</t>
  </si>
  <si>
    <t>chatter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</si>
  <si>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</si>
  <si>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</si>
  <si>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</si>
  <si>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</si>
  <si>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</si>
  <si>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</si>
  <si>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</si>
  <si>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</si>
  <si>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</si>
  <si>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AUTRE ESPECE</t>
  </si>
  <si>
    <t>REMARQUE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</si>
  <si>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</si>
  <si>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</si>
  <si>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</si>
  <si>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</si>
  <si>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</si>
  <si>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</si>
  <si>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</si>
  <si>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</si>
  <si>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</si>
  <si>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Chammes entre eglise et route de Blanoudet</t>
  </si>
  <si>
    <t>Montee vers gourbit</t>
  </si>
  <si>
    <t>Sauvigne sur Sarthe aval</t>
  </si>
  <si>
    <t>La courbe Origne</t>
  </si>
  <si>
    <t>etang d'Artax</t>
  </si>
  <si>
    <t>St Cenere lavoir amont</t>
  </si>
  <si>
    <t>Argentre</t>
  </si>
  <si>
    <t>En face de l'etang de St Jean</t>
  </si>
  <si>
    <t>St Cenere lavoir aval</t>
  </si>
  <si>
    <t>Plan d'eau fede Bonchamp les Laval</t>
  </si>
  <si>
    <t>Argentre la courbe</t>
  </si>
  <si>
    <t>Mezangers le Gue de sel</t>
  </si>
  <si>
    <t>Argentre amont du plan d'eau</t>
  </si>
  <si>
    <t>Argentre en face du plan d'eau</t>
  </si>
  <si>
    <t>Argentre aval du plan d'eau</t>
  </si>
  <si>
    <t>Entre moulin de pre et oratoire</t>
  </si>
  <si>
    <t>Moulin de pre</t>
  </si>
  <si>
    <t>Moulin de Thevales</t>
  </si>
  <si>
    <t>La Malabriere (entre Entrammes et maisoncelle du Maine)</t>
  </si>
  <si>
    <t>tres chaud</t>
  </si>
  <si>
    <t>St Jean La riviere Amont</t>
  </si>
  <si>
    <t>St pierre entre moulin aux moines et la riviere</t>
  </si>
  <si>
    <t>Entrammes Carriere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</si>
  <si>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</si>
  <si>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</si>
  <si>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</si>
  <si>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</si>
  <si>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</si>
  <si>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</si>
  <si>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</si>
  <si>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</si>
  <si>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</si>
  <si>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</si>
  <si>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</si>
  <si>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</si>
  <si>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</si>
  <si>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</si>
  <si>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</si>
  <si>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</si>
  <si>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</si>
  <si>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</si>
  <si>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</si>
  <si>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</si>
  <si>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</si>
  <si>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</si>
  <si>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</si>
  <si>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</si>
  <si>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</si>
  <si>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</si>
  <si>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</si>
  <si>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</si>
  <si>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</si>
  <si>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</si>
  <si>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</si>
  <si>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</si>
  <si>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</si>
  <si>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</si>
  <si>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</si>
  <si>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</si>
  <si>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</si>
  <si>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</si>
  <si>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</si>
  <si>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</si>
  <si>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</si>
  <si>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</si>
  <si>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</si>
  <si>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</si>
  <si>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</si>
  <si>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</si>
  <si>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</si>
  <si>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</si>
  <si>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</si>
  <si>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</si>
  <si>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Etang</t>
  </si>
  <si>
    <t>Pour supprimer une rivière : supprimer le nom dans la colonne "Riviere" ainsi que la colonne correspondante.</t>
  </si>
  <si>
    <t>Leurre_couleur</t>
  </si>
  <si>
    <t>jaune</t>
  </si>
  <si>
    <t>vert</t>
  </si>
  <si>
    <t>bleu</t>
  </si>
  <si>
    <t>Leurre couleur</t>
  </si>
  <si>
    <r>
      <t xml:space="preserve">Pour ajouter une rivière : entrer le nom dans la colonne "Riviere". L'ajout de la colonne pour les secteurs est automatique. </t>
    </r>
    <r>
      <rPr>
        <b/>
        <sz val="12"/>
        <color theme="1"/>
        <rFont val="Calibri"/>
        <family val="2"/>
        <scheme val="minor"/>
      </rPr>
      <t xml:space="preserve">Attention sur certaines versions d'excel dans les noms de tableau </t>
    </r>
    <r>
      <rPr>
        <sz val="12"/>
        <color theme="1"/>
        <rFont val="Calibri"/>
        <family val="2"/>
        <scheme val="minor"/>
      </rPr>
      <t xml:space="preserve"> certains caractères sont interdits : "&lt;&gt;?[]:*\/|.&amp;?""-# (),;" ainsi que les caractères accentués</t>
    </r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</si>
  <si>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</si>
  <si>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</si>
  <si>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</si>
  <si>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</si>
  <si>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</si>
  <si>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</si>
  <si>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</si>
  <si>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</si>
  <si>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zone de loisirs</t>
  </si>
  <si>
    <t>Truite arc en ciel</t>
  </si>
  <si>
    <t>Truite Fario</t>
  </si>
  <si>
    <t>Silure</t>
  </si>
  <si>
    <t>Carpe</t>
  </si>
  <si>
    <t>X</t>
  </si>
  <si>
    <t>naturel</t>
  </si>
  <si>
    <t>fire tiger</t>
  </si>
  <si>
    <t>chartreuse</t>
  </si>
  <si>
    <t>gudgeon</t>
  </si>
  <si>
    <t>DuckFin shad 3 pouces</t>
  </si>
  <si>
    <t>shad 3 pouces</t>
  </si>
  <si>
    <t>transparent</t>
  </si>
  <si>
    <t>truitelle 5 pouces</t>
  </si>
  <si>
    <t>truite</t>
  </si>
  <si>
    <t>créature</t>
  </si>
  <si>
    <t>écrevisse</t>
  </si>
  <si>
    <t>worm</t>
  </si>
  <si>
    <t>marron</t>
  </si>
  <si>
    <t>notobeug 2cm</t>
  </si>
  <si>
    <t>notobeug 3cm</t>
  </si>
  <si>
    <t>Moulin de pré à Moulin de Thévales</t>
  </si>
  <si>
    <t>stickbait WXM STK 70</t>
  </si>
  <si>
    <t>noir à point jaune</t>
  </si>
  <si>
    <t>argent à point rouge</t>
  </si>
  <si>
    <t>easy shinner 2+ pouces</t>
  </si>
  <si>
    <t>rockvibe 2+ pouces</t>
  </si>
  <si>
    <t>shad 2+ pouces</t>
  </si>
  <si>
    <t>Duree</t>
  </si>
  <si>
    <t>43053|Etang|Plan d'eau fede Bonchamp les Laval|froid|X|X|X</t>
  </si>
  <si>
    <t>43187|Etang|Mezangers le Gue de sel|froid|Souple|DuckFin shad 3 pouces|gudgeon</t>
  </si>
  <si>
    <t>43774|Etang|La Fenderie|bon|X|X|X</t>
  </si>
  <si>
    <t>43775|Etang|Saint jean sur Erve|froid|X|X|X</t>
  </si>
  <si>
    <t>44099|Jouanne|Moulin de Pochard amont|bon|Souple|shad 3 pouces|rouge</t>
  </si>
  <si>
    <t>44137|Erve|En face de l'etang de St Jean|froid|Souple|shad 3 pouces|rouge</t>
  </si>
  <si>
    <t>44166|Jouanne|Moulin de Porchard aval|froid|Souple|truitelle 5 pouces|truite</t>
  </si>
  <si>
    <t>44310|Erve|St Pierre du moulin d'Hardray à la Roche Brault|froid|X|X|X</t>
  </si>
  <si>
    <t>44312|Jouanne|Moulin de Porchard aval|bon|X|X|X</t>
  </si>
  <si>
    <t>44338|Jouanne|Argentre en face du plan d'eau|bon|créature|écrevisse|marron</t>
  </si>
  <si>
    <t>44362|Erve|Oratoire aval|bon|Souple|shad 2+ pouces|X</t>
  </si>
  <si>
    <t>44363|Erve|Oratoire aval|bon|X|X|X</t>
  </si>
  <si>
    <t>44403|Jouanne|Moulin de Porchard aval|chaud|X|X|X</t>
  </si>
  <si>
    <t>44442|Erve|Moulin de pre|bon|X|X|X</t>
  </si>
  <si>
    <t>44446|Erve|Moulin de pre|bon|Surface|notobeug 2cm|marron</t>
  </si>
  <si>
    <t>44446|Erve|Moulin de pre|bon|X|X|X</t>
  </si>
  <si>
    <t>44451|Erve|Moulin de pré à Moulin de Thévales|bon|Surface|stickbait WXM STK 70|blanc</t>
  </si>
  <si>
    <t>44451|Erve|Moulin de pre|bon|Surface|stickbait WXM STK 70|blanc</t>
  </si>
  <si>
    <t>44451|Erve|Moulin de pre|bon|Souple|easy shinner 2+ pouces|blanc</t>
  </si>
  <si>
    <t>44467|Vaige|Entre Beauomon pied de Bouef et val du Maine|bon|Surface|notobeug 2cm|jaune</t>
  </si>
  <si>
    <t>44467|Vaige|Entre Beauomon pied de Bouef et val du Maine|bon|Cuiller|cuiller n°2|noir à point jaune</t>
  </si>
  <si>
    <t>44484|Erve|Moulin de pre|bon|X|X|X</t>
  </si>
  <si>
    <t>44487|Erve|St Pierre du pont romain au moulin de Go|froid|Surface|notobeug 2cm|vert</t>
  </si>
  <si>
    <t>44487|Erve|St Pierre du pont romain au moulin de Go|froid|Cuiller|cuiller n°2|argent à point rouge</t>
  </si>
  <si>
    <t>44487|Erve|St Pierre du pont romain au moulin de Go|froid|Souple|rockvibe 2+ pouces|chartreuse</t>
  </si>
  <si>
    <t>44495|Erve|St Pierre du moulin d'Hardray au pont romain|froid|Cuiller|cuiller n°2|X</t>
  </si>
  <si>
    <t>44498|Erve|St Pierre du pont romain au moulin de Go|bon|Cuiller|cuiller n°2|jaune</t>
  </si>
  <si>
    <t>44513|Erve|Moulin de pre|froid|Cuiller|cuiller n°2|noir à point jaune</t>
  </si>
  <si>
    <t>44513|Erve|St Pierre du moulin d'Hardray au pont romain|froid|Cuiller|cuiller n°2|noir à point jaune</t>
  </si>
  <si>
    <t>44514|Taude|Sauvigne sur Sarthe aval|froid|Cuiller|cuiller n°2|noir à point jaune</t>
  </si>
  <si>
    <t>44507|froid|Erve|St Pierre du pont romain au moulin de Go|Souple|DuckFin shad 3 pouces|gudgeon</t>
  </si>
  <si>
    <t>44451|bon|Erve|Moulin de pre|Surface|stickbait WXM STK 70|blanc</t>
  </si>
  <si>
    <t>44514|froid|Taude|Sauvigne sur Sarthe aval|Cuiller|cuiller n°2|noir à point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</si>
</sst>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5" xfId="0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9" xfId="0" applyFont="1" applyBorder="1"/>
    <xf numFmtId="0" fontId="1" fillId="2" borderId="0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7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</dxf>
    <dxf>
      <numFmt numFmtId="164" formatCode="h:mm;@"/>
    </dxf>
    <dxf>
      <numFmt numFmtId="164" formatCode="h:mm;@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" formatCode="0.00"/>
    </dxf>
    <dxf>
      <numFmt numFmtId="164" formatCode="h:mm;@"/>
    </dxf>
    <dxf>
      <numFmt numFmtId="164" formatCode="h:mm;@"/>
    </dxf>
    <dxf>
      <numFmt numFmtId="19" formatCode="dd/mm/yyyy"/>
    </dxf>
    <dxf>
      <numFmt numFmtId="19" formatCode="dd/mm/yyyy"/>
    </dxf>
    <dxf>
      <numFmt numFmtId="19" formatCode="dd/mm/yyyy"/>
    </dxf>
    <dxf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523875</xdr:colOff>
          <xdr:row>0</xdr:row>
          <xdr:rowOff>333375</xdr:rowOff>
        </xdr:from>
        <xdr:to>
          <xdr:col>2</xdr:col>
          <xdr:colOff>952500</xdr:colOff>
          <xdr:row>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38100</xdr:rowOff>
        </xdr:from>
        <xdr:to>
          <xdr:col>2</xdr:col>
          <xdr:colOff>304800</xdr:colOff>
          <xdr:row>7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pêche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b_Peche" displayName="tb_Peche" ref="C9:K34" totalsRowCount="1" headerRowDxfId="71" dataDxfId="70">
  <tableColumns count="9">
    <tableColumn id="1" name="Afficher tout" totalsRowLabel="Total"/>
    <tableColumn id="2" name="Brochet" totalsRowFunction="sum" dataDxfId="69" totalsRowDxfId="7"/>
    <tableColumn id="3" name="Perche" totalsRowFunction="sum" dataDxfId="68" totalsRowDxfId="6"/>
    <tableColumn id="4" name="Sandre" totalsRowFunction="sum" dataDxfId="67" totalsRowDxfId="5"/>
    <tableColumn id="5" name="Truite Fario" totalsRowFunction="sum" dataDxfId="66" totalsRowDxfId="4"/>
    <tableColumn id="9" name="Chevesne" totalsRowFunction="sum" dataDxfId="65" totalsRowDxfId="3"/>
    <tableColumn id="6" name="Truite arc en ciel" totalsRowFunction="sum" dataDxfId="64" totalsRowDxfId="2"/>
    <tableColumn id="7" name="Silure" totalsRowFunction="sum" dataDxfId="63" totalsRowDxfId="1"/>
    <tableColumn id="8" name="Carpe" totalsRowFunction="sum" dataDxfId="62" totalsRowDxfId="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7" name="tb_Base" displayName="tb_Base" ref="A2:AL41" totalsRowCount="1" headerRowDxfId="61">
  <autoFilter ref="A2:AL40"/>
  <sortState ref="A3:AL44">
    <sortCondition ref="B2:B45"/>
  </sortState>
  <tableColumns count="38">
    <tableColumn id="15" name="Id" dataDxfId="60" totalsRowDxfId="13"/>
    <tableColumn id="1" name="Date" totalsRowLabel="Totaux" dataDxfId="59"/>
    <tableColumn id="2" name="Riviere" dataDxfId="58"/>
    <tableColumn id="18" name="Secteur" dataDxfId="57"/>
    <tableColumn id="25" name="Heure_debut" dataDxfId="56" totalsRowDxfId="12"/>
    <tableColumn id="21" name="Heure_fin" dataDxfId="55" totalsRowDxfId="11"/>
    <tableColumn id="38" name="Duree" totalsRowFunction="sum" dataDxfId="54" totalsRowDxfId="10">
      <calculatedColumnFormula>(tb_Base[[#This Row],[Heure_fin]]-tb_Base[[#This Row],[Heure_debut]])*24</calculatedColumnFormula>
    </tableColumn>
    <tableColumn id="16" name="Meteo" dataDxfId="53"/>
    <tableColumn id="17" name="Leurre_type" dataDxfId="52"/>
    <tableColumn id="22" name="Leurre_categorie" dataDxfId="51"/>
    <tableColumn id="37" name="Leurre_couleur" dataDxfId="50"/>
    <tableColumn id="39" name="Total_espece" totalsRowFunction="sum" dataDxfId="49">
      <calculatedColumnFormula>SUM(tb_Base[[#This Row],[0 - 19 cm]:[240 - 249 cm]])</calculatedColumnFormula>
    </tableColumn>
    <tableColumn id="3" name="Espece" dataDxfId="48" totalsRowDxfId="9"/>
    <tableColumn id="20" name="0 - 19 cm" totalsRowFunction="sum"/>
    <tableColumn id="26" name="20 - 29 cm" totalsRowFunction="sum"/>
    <tableColumn id="27" name="30 - 39 cm" totalsRowFunction="sum"/>
    <tableColumn id="28" name="40 - 49 cm" totalsRowFunction="sum"/>
    <tableColumn id="29" name="50 - 59 cm" totalsRowFunction="sum"/>
    <tableColumn id="30" name="60 - 69 cm" totalsRowFunction="sum"/>
    <tableColumn id="31" name="70 - 79 cm" totalsRowFunction="sum"/>
    <tableColumn id="32" name="80 - 89 cm" totalsRowFunction="sum"/>
    <tableColumn id="33" name="90 - 99 cm" totalsRowFunction="sum"/>
    <tableColumn id="34" name="100 - 109 cm" totalsRowFunction="sum"/>
    <tableColumn id="35" name="110 - 119 cm" totalsRowFunction="sum"/>
    <tableColumn id="36" name="120 - 129 cm" totalsRowFunction="sum"/>
    <tableColumn id="4" name="130 - 139 cm" totalsRowFunction="sum" dataDxfId="47"/>
    <tableColumn id="5" name="140 - 149 cm" totalsRowFunction="sum" dataDxfId="46"/>
    <tableColumn id="6" name="150 - 159 cm" totalsRowFunction="sum" dataDxfId="45"/>
    <tableColumn id="7" name="160 - 169 cm" totalsRowFunction="sum" dataDxfId="44"/>
    <tableColumn id="8" name="170 - 179 cm" totalsRowFunction="sum" dataDxfId="43"/>
    <tableColumn id="9" name="180 - 189 cm" totalsRowFunction="sum" dataDxfId="42"/>
    <tableColumn id="10" name="190 - 199 cm" totalsRowFunction="sum" dataDxfId="41"/>
    <tableColumn id="11" name="200 - 209 cm" totalsRowFunction="sum" dataDxfId="40"/>
    <tableColumn id="12" name="210 - 219 cm" totalsRowFunction="sum" dataDxfId="39"/>
    <tableColumn id="13" name="220 - 229 cm" totalsRowFunction="sum" dataDxfId="38"/>
    <tableColumn id="14" name="230 - 239 cm" totalsRowFunction="sum" dataDxfId="37"/>
    <tableColumn id="19" name="240 - 249 cm" totalsRowFunction="sum" dataDxfId="36"/>
    <tableColumn id="24" name="Remarque" dataDxfId="35" totalsRow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1" name="tb_listes" displayName="tb_listes" ref="A4:N28" totalsRowShown="0" headerRowDxfId="34" headerRowBorderDxfId="33" tableBorderDxfId="32">
  <autoFilter ref="A4:N28"/>
  <tableColumns count="14">
    <tableColumn id="3" name="Riviere" dataDxfId="31"/>
    <tableColumn id="1" name="Seiche" dataDxfId="30"/>
    <tableColumn id="4" name="Erve" dataDxfId="29"/>
    <tableColumn id="5" name="Jouanne" dataDxfId="28"/>
    <tableColumn id="6" name="Mayenne" dataDxfId="27"/>
    <tableColumn id="7" name="Etang" dataDxfId="26"/>
    <tableColumn id="8" name="Vegre" dataDxfId="25"/>
    <tableColumn id="9" name="Vaige" dataDxfId="24"/>
    <tableColumn id="10" name="Artax" dataDxfId="23"/>
    <tableColumn id="11" name="Arriege" dataDxfId="22"/>
    <tableColumn id="12" name="Ouette" dataDxfId="21"/>
    <tableColumn id="13" name="Taude" dataDxfId="20"/>
    <tableColumn id="61" name="AUTRE ESPECE" dataDxfId="19"/>
    <tableColumn id="62" name="REMARQUE" dataDxfId="1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b_leurres" displayName="tb_leurres" ref="A3:J23" totalsRowShown="0">
  <autoFilter ref="A3:J23"/>
  <tableColumns count="10">
    <tableColumn id="1" name="Leurre_type"/>
    <tableColumn id="9" name="créature"/>
    <tableColumn id="8" name="X"/>
    <tableColumn id="2" name="Cuiller"/>
    <tableColumn id="3" name="Souple"/>
    <tableColumn id="4" name="Poisson Nageur"/>
    <tableColumn id="5" name="Surface"/>
    <tableColumn id="6" name="Palette"/>
    <tableColumn id="7" name="Appat Naturel"/>
    <tableColumn id="10" name="Leurre_couleur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2" name="tb_meteo" displayName="tb_meteo" ref="A1:A8" totalsRowShown="0" headerRowDxfId="17" dataDxfId="16" tableBorderDxfId="15">
  <autoFilter ref="A1:A8"/>
  <tableColumns count="1">
    <tableColumn id="1" name="Meteo" dataDxfId="1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K35"/>
  <sheetViews>
    <sheetView showGridLines="0" tabSelected="1" workbookViewId="0">
      <selection activeCell="M6" sqref="M6"/>
    </sheetView>
  </sheetViews>
  <sheetFormatPr baseColWidth="10" defaultRowHeight="15.75" x14ac:dyDescent="0.25"/>
  <cols>
    <col min="2" max="2" width="12" style="2" customWidth="1"/>
    <col min="3" max="5" width="14.625" style="2" customWidth="1"/>
    <col min="6" max="6" width="14.625" customWidth="1"/>
    <col min="7" max="7" width="23.625" customWidth="1"/>
    <col min="8" max="9" width="14.625" customWidth="1"/>
    <col min="10" max="10" width="15.125" customWidth="1"/>
    <col min="11" max="11" width="9.125" customWidth="1"/>
    <col min="12" max="12" width="9.125" bestFit="1" customWidth="1"/>
    <col min="13" max="13" width="8" customWidth="1"/>
  </cols>
  <sheetData>
    <row r="1" spans="2:11" ht="50.25" customHeight="1" x14ac:dyDescent="0.25">
      <c r="J1" s="24"/>
    </row>
    <row r="2" spans="2:11" ht="24.75" customHeight="1" x14ac:dyDescent="0.25">
      <c r="B2" s="15" t="s">
        <v>124</v>
      </c>
      <c r="C2" s="14"/>
      <c r="D2" s="14"/>
      <c r="E2" s="14"/>
      <c r="F2" s="14"/>
      <c r="G2" s="14"/>
      <c r="H2" s="14"/>
      <c r="I2" s="14"/>
    </row>
    <row r="3" spans="2:11" s="2" customFormat="1" x14ac:dyDescent="0.25">
      <c r="B3" s="17" t="s">
        <v>0</v>
      </c>
      <c r="C3" s="17" t="s">
        <v>127</v>
      </c>
      <c r="D3" s="17" t="s">
        <v>128</v>
      </c>
      <c r="E3" s="17" t="s">
        <v>74</v>
      </c>
      <c r="F3" s="17" t="s">
        <v>73</v>
      </c>
      <c r="G3" s="17" t="s">
        <v>75</v>
      </c>
      <c r="H3" s="17" t="s">
        <v>113</v>
      </c>
      <c r="I3" s="17" t="s">
        <v>114</v>
      </c>
      <c r="J3" s="17" t="s">
        <v>161</v>
      </c>
      <c r="K3" s="17" t="s">
        <v>76</v>
      </c>
    </row>
    <row r="4" spans="2:11" x14ac:dyDescent="0.25">
      <c r="B4" s="18">
        <v>44858</v>
      </c>
      <c r="C4" s="19">
        <v>0.35416666666666669</v>
      </c>
      <c r="D4" s="19">
        <v>0.47916666666666669</v>
      </c>
      <c r="E4" s="20" t="s">
        <v>4</v>
      </c>
      <c r="F4" s="20"/>
      <c r="G4" s="21"/>
      <c r="H4" s="20" t="s">
        <v>106</v>
      </c>
      <c r="I4" s="20" t="s">
        <v>184</v>
      </c>
      <c r="J4" s="20" t="s">
        <v>167</v>
      </c>
      <c r="K4" s="22"/>
    </row>
    <row r="5" spans="2:11" x14ac:dyDescent="0.25">
      <c r="B5" s="25"/>
      <c r="E5" s="10"/>
      <c r="F5" s="2"/>
      <c r="G5" s="2"/>
      <c r="H5" s="2"/>
      <c r="I5" s="2"/>
      <c r="J5" s="2"/>
    </row>
    <row r="6" spans="2:11" s="2" customFormat="1" x14ac:dyDescent="0.25">
      <c r="J6"/>
    </row>
    <row r="7" spans="2:11" x14ac:dyDescent="0.25">
      <c r="D7" s="16"/>
      <c r="I7" s="2"/>
    </row>
    <row r="8" spans="2:11" ht="18.75" x14ac:dyDescent="0.25">
      <c r="C8" s="15" t="s">
        <v>125</v>
      </c>
      <c r="D8" s="14"/>
      <c r="E8" s="14"/>
      <c r="F8" s="14"/>
      <c r="G8" s="14"/>
      <c r="H8" s="14"/>
      <c r="I8" s="14"/>
    </row>
    <row r="9" spans="2:11" x14ac:dyDescent="0.25">
      <c r="C9" s="8" t="s">
        <v>115</v>
      </c>
      <c r="D9" s="8" t="s">
        <v>116</v>
      </c>
      <c r="E9" s="8" t="s">
        <v>117</v>
      </c>
      <c r="F9" s="8" t="s">
        <v>118</v>
      </c>
      <c r="G9" s="8" t="s">
        <v>173</v>
      </c>
      <c r="H9" s="8" t="s">
        <v>119</v>
      </c>
      <c r="I9" s="8" t="s">
        <v>172</v>
      </c>
      <c r="J9" s="8" t="s">
        <v>174</v>
      </c>
      <c r="K9" s="8" t="s">
        <v>175</v>
      </c>
    </row>
    <row r="10" spans="2:11" x14ac:dyDescent="0.25">
      <c r="C10" t="s">
        <v>131</v>
      </c>
      <c r="F10" s="2"/>
      <c r="G10" s="2"/>
      <c r="H10" s="2"/>
      <c r="I10" s="2"/>
      <c r="J10" s="2"/>
      <c r="K10" s="2"/>
    </row>
    <row r="11" spans="2:11" x14ac:dyDescent="0.25">
      <c r="C11" t="s">
        <v>132</v>
      </c>
      <c r="F11" s="2"/>
      <c r="G11" s="2"/>
      <c r="H11" s="2"/>
      <c r="I11" s="2"/>
      <c r="J11" s="2"/>
      <c r="K11" s="2"/>
    </row>
    <row r="12" spans="2:11" x14ac:dyDescent="0.25">
      <c r="C12" t="s">
        <v>133</v>
      </c>
      <c r="F12" s="2"/>
      <c r="G12" s="2"/>
      <c r="H12" s="2"/>
      <c r="I12" s="2"/>
      <c r="J12" s="2"/>
      <c r="K12" s="2"/>
    </row>
    <row r="13" spans="2:11" x14ac:dyDescent="0.25">
      <c r="C13" t="s">
        <v>134</v>
      </c>
      <c r="F13" s="2"/>
      <c r="G13" s="2"/>
      <c r="H13" s="2"/>
      <c r="I13" s="2"/>
      <c r="J13" s="2"/>
      <c r="K13" s="2"/>
    </row>
    <row r="14" spans="2:11" x14ac:dyDescent="0.25">
      <c r="C14" t="s">
        <v>135</v>
      </c>
      <c r="F14" s="2"/>
      <c r="G14" s="2"/>
      <c r="H14" s="2"/>
      <c r="I14" s="2"/>
      <c r="J14" s="2"/>
      <c r="K14" s="2"/>
    </row>
    <row r="15" spans="2:11" x14ac:dyDescent="0.25">
      <c r="C15" t="s">
        <v>136</v>
      </c>
      <c r="F15" s="2"/>
      <c r="G15" s="2"/>
      <c r="H15" s="2"/>
      <c r="I15" s="2"/>
      <c r="J15" s="2"/>
      <c r="K15" s="2"/>
    </row>
    <row r="16" spans="2:11" x14ac:dyDescent="0.25">
      <c r="C16" t="s">
        <v>137</v>
      </c>
      <c r="F16" s="2"/>
      <c r="G16" s="2"/>
      <c r="H16" s="2"/>
      <c r="I16" s="2"/>
      <c r="J16" s="2"/>
      <c r="K16" s="2"/>
    </row>
    <row r="17" spans="3:11" x14ac:dyDescent="0.25">
      <c r="C17" t="s">
        <v>138</v>
      </c>
      <c r="F17" s="2"/>
      <c r="G17" s="2"/>
      <c r="H17" s="2"/>
      <c r="I17" s="2"/>
      <c r="J17" s="2"/>
      <c r="K17" s="2"/>
    </row>
    <row r="18" spans="3:11" x14ac:dyDescent="0.25">
      <c r="C18" t="s">
        <v>139</v>
      </c>
      <c r="F18" s="2"/>
      <c r="G18" s="2"/>
      <c r="H18" s="2"/>
      <c r="I18" s="2"/>
      <c r="J18" s="2"/>
      <c r="K18" s="2"/>
    </row>
    <row r="19" spans="3:11" x14ac:dyDescent="0.25">
      <c r="C19" t="s">
        <v>140</v>
      </c>
      <c r="F19" s="2"/>
      <c r="G19" s="2"/>
      <c r="H19" s="2"/>
      <c r="I19" s="2"/>
      <c r="J19" s="2"/>
      <c r="K19" s="2"/>
    </row>
    <row r="20" spans="3:11" x14ac:dyDescent="0.25">
      <c r="C20" t="s">
        <v>141</v>
      </c>
      <c r="F20" s="2"/>
      <c r="G20" s="2"/>
      <c r="H20" s="2"/>
      <c r="I20" s="2"/>
      <c r="J20" s="2"/>
      <c r="K20" s="2"/>
    </row>
    <row r="21" spans="3:11" x14ac:dyDescent="0.25">
      <c r="C21" t="s">
        <v>142</v>
      </c>
      <c r="F21" s="2"/>
      <c r="G21" s="2"/>
      <c r="H21" s="2"/>
      <c r="I21" s="2"/>
      <c r="J21" s="2"/>
      <c r="K21" s="2"/>
    </row>
    <row r="22" spans="3:11" x14ac:dyDescent="0.25">
      <c r="C22" t="s">
        <v>143</v>
      </c>
      <c r="F22" s="2"/>
      <c r="G22" s="2"/>
      <c r="H22" s="2"/>
      <c r="I22" s="2"/>
      <c r="J22" s="2"/>
      <c r="K22" s="2"/>
    </row>
    <row r="23" spans="3:11" x14ac:dyDescent="0.25">
      <c r="C23" t="s">
        <v>144</v>
      </c>
      <c r="F23" s="2"/>
      <c r="G23" s="2"/>
      <c r="H23" s="2"/>
      <c r="I23" s="2"/>
      <c r="J23" s="2"/>
      <c r="K23" s="2"/>
    </row>
    <row r="24" spans="3:11" x14ac:dyDescent="0.25">
      <c r="C24" t="s">
        <v>145</v>
      </c>
      <c r="F24" s="2"/>
      <c r="G24" s="2"/>
      <c r="H24" s="2"/>
      <c r="I24" s="2"/>
      <c r="J24" s="2"/>
      <c r="K24" s="2"/>
    </row>
    <row r="25" spans="3:11" x14ac:dyDescent="0.25">
      <c r="C25" t="s">
        <v>146</v>
      </c>
      <c r="F25" s="2"/>
      <c r="G25" s="2"/>
      <c r="H25" s="2"/>
      <c r="I25" s="2"/>
      <c r="J25" s="2"/>
      <c r="K25" s="2"/>
    </row>
    <row r="26" spans="3:11" x14ac:dyDescent="0.25">
      <c r="C26" t="s">
        <v>147</v>
      </c>
      <c r="F26" s="2"/>
      <c r="G26" s="2"/>
      <c r="H26" s="2"/>
      <c r="I26" s="2"/>
      <c r="J26" s="2"/>
      <c r="K26" s="2"/>
    </row>
    <row r="27" spans="3:11" x14ac:dyDescent="0.25">
      <c r="C27" t="s">
        <v>148</v>
      </c>
      <c r="F27" s="2"/>
      <c r="G27" s="2"/>
      <c r="H27" s="2"/>
      <c r="I27" s="2"/>
      <c r="J27" s="2"/>
      <c r="K27" s="2"/>
    </row>
    <row r="28" spans="3:11" x14ac:dyDescent="0.25">
      <c r="C28" t="s">
        <v>149</v>
      </c>
      <c r="F28" s="2"/>
      <c r="G28" s="2"/>
      <c r="H28" s="2"/>
      <c r="I28" s="2"/>
      <c r="J28" s="2"/>
      <c r="K28" s="2"/>
    </row>
    <row r="29" spans="3:11" x14ac:dyDescent="0.25">
      <c r="C29" t="s">
        <v>150</v>
      </c>
      <c r="F29" s="2"/>
      <c r="G29" s="2"/>
      <c r="H29" s="2"/>
      <c r="I29" s="2"/>
      <c r="J29" s="2"/>
      <c r="K29" s="2"/>
    </row>
    <row r="30" spans="3:11" x14ac:dyDescent="0.25">
      <c r="C30" t="s">
        <v>151</v>
      </c>
      <c r="F30" s="2"/>
      <c r="G30" s="2"/>
      <c r="H30" s="2"/>
      <c r="I30" s="2"/>
      <c r="J30" s="2"/>
      <c r="K30" s="2"/>
    </row>
    <row r="31" spans="3:11" x14ac:dyDescent="0.25">
      <c r="C31" t="s">
        <v>152</v>
      </c>
      <c r="F31" s="2"/>
      <c r="G31" s="2"/>
      <c r="H31" s="2"/>
      <c r="I31" s="2"/>
      <c r="J31" s="2"/>
      <c r="K31" s="2"/>
    </row>
    <row r="32" spans="3:11" x14ac:dyDescent="0.25">
      <c r="C32" t="s">
        <v>153</v>
      </c>
      <c r="F32" s="2"/>
      <c r="G32" s="2"/>
      <c r="H32" s="2"/>
      <c r="I32" s="2"/>
      <c r="J32" s="2"/>
      <c r="K32" s="2"/>
    </row>
    <row r="33" spans="3:11" x14ac:dyDescent="0.25">
      <c r="C33" t="s">
        <v>154</v>
      </c>
      <c r="F33" s="2"/>
      <c r="G33" s="2"/>
      <c r="H33" s="2"/>
      <c r="I33" s="2"/>
      <c r="J33" s="2"/>
      <c r="K33" s="2"/>
    </row>
    <row r="34" spans="3:11" x14ac:dyDescent="0.25">
      <c r="C34" t="s">
        <v>120</v>
      </c>
      <c r="D34" s="2">
        <f>SUBTOTAL(109,tb_Peche[Brochet])</f>
        <v>0</v>
      </c>
      <c r="E34" s="2">
        <f>SUBTOTAL(109,tb_Peche[Perche])</f>
        <v>0</v>
      </c>
      <c r="F34" s="2">
        <f>SUBTOTAL(109,tb_Peche[Sandre])</f>
        <v>0</v>
      </c>
      <c r="G34" s="2">
        <f>SUBTOTAL(109,tb_Peche[Truite Fario])</f>
        <v>0</v>
      </c>
      <c r="H34" s="2">
        <f>SUBTOTAL(109,tb_Peche[Chevesne])</f>
        <v>0</v>
      </c>
      <c r="I34" s="2">
        <f>SUBTOTAL(109,tb_Peche[Truite arc en ciel])</f>
        <v>0</v>
      </c>
      <c r="J34" s="2">
        <f>SUBTOTAL(109,tb_Peche[Silure])</f>
        <v>0</v>
      </c>
      <c r="K34" s="2">
        <f>SUBTOTAL(109,tb_Peche[Carpe])</f>
        <v>0</v>
      </c>
    </row>
    <row r="35" spans="3:11" x14ac:dyDescent="0.25">
      <c r="C35"/>
      <c r="D35"/>
      <c r="E35"/>
    </row>
  </sheetData>
  <dataConsolidate/>
  <dataValidations count="5">
    <dataValidation type="list" allowBlank="1" showInputMessage="1" showErrorMessage="1" sqref="E4">
      <formula1>INDIRECT("tb_meteo[Meteo]")</formula1>
    </dataValidation>
    <dataValidation type="list" allowBlank="1" showInputMessage="1" showErrorMessage="1" sqref="F4">
      <formula1>INDIRECT("tb_listes[Riviere]")</formula1>
    </dataValidation>
    <dataValidation type="list" allowBlank="1" showInputMessage="1" showErrorMessage="1" sqref="H4">
      <formula1>INDIRECT("tb_leurres[Leurre_type]")</formula1>
    </dataValidation>
    <dataValidation type="list" allowBlank="1" showInputMessage="1" showErrorMessage="1" sqref="I4">
      <formula1>INDIRECT("tb_leurres[Souple]")</formula1>
    </dataValidation>
    <dataValidation type="list" allowBlank="1" showInputMessage="1" showErrorMessage="1" sqref="J4">
      <formula1>INDIRECT("tb_leurres[Leurre_couleur]")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jBase">
                <anchor>
                  <from>
                    <xdr:col>1</xdr:col>
                    <xdr:colOff>523875</xdr:colOff>
                    <xdr:row>0</xdr:row>
                    <xdr:rowOff>333375</xdr:rowOff>
                  </from>
                  <to>
                    <xdr:col>2</xdr:col>
                    <xdr:colOff>952500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azTbPeche">
                <anchor>
                  <from>
                    <xdr:col>1</xdr:col>
                    <xdr:colOff>0</xdr:colOff>
                    <xdr:row>6</xdr:row>
                    <xdr:rowOff>38100</xdr:rowOff>
                  </from>
                  <to>
                    <xdr:col>2</xdr:col>
                    <xdr:colOff>304800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41"/>
  <sheetViews>
    <sheetView showGridLines="0" topLeftCell="A10" workbookViewId="0">
      <selection activeCell="E29" sqref="E29"/>
    </sheetView>
  </sheetViews>
  <sheetFormatPr baseColWidth="10" defaultColWidth="11" defaultRowHeight="15.75" x14ac:dyDescent="0.25"/>
  <cols>
    <col min="1" max="1" width="12.875" customWidth="1"/>
    <col min="2" max="2" width="11.625" customWidth="1"/>
    <col min="3" max="3" width="9" bestFit="1" customWidth="1"/>
    <col min="4" max="4" width="10.75" bestFit="1" customWidth="1"/>
    <col min="5" max="5" width="16.125" style="26" bestFit="1" customWidth="1"/>
    <col min="6" max="6" width="13.125" style="26" bestFit="1" customWidth="1"/>
    <col min="7" max="7" width="10" style="28" bestFit="1" customWidth="1"/>
    <col min="8" max="8" width="10.5" bestFit="1" customWidth="1"/>
    <col min="9" max="9" width="15.125" bestFit="1" customWidth="1"/>
    <col min="10" max="10" width="24" customWidth="1"/>
    <col min="11" max="11" width="17.875" bestFit="1" customWidth="1"/>
    <col min="12" max="12" width="15.625" style="2" customWidth="1"/>
    <col min="13" max="14" width="11" style="2" bestFit="1" customWidth="1"/>
    <col min="15" max="22" width="16.5" style="2" bestFit="1" customWidth="1"/>
    <col min="23" max="23" width="14.875" style="2" bestFit="1" customWidth="1"/>
    <col min="24" max="24" width="16" style="2" bestFit="1" customWidth="1"/>
    <col min="25" max="26" width="17.375" bestFit="1" customWidth="1"/>
  </cols>
  <sheetData>
    <row r="1" spans="1:38" x14ac:dyDescent="0.25">
      <c r="M1"/>
      <c r="N1"/>
      <c r="O1"/>
      <c r="P1"/>
      <c r="Q1"/>
      <c r="R1"/>
      <c r="S1"/>
      <c r="T1"/>
      <c r="U1"/>
      <c r="V1"/>
      <c r="W1"/>
      <c r="X1"/>
    </row>
    <row r="2" spans="1:38" x14ac:dyDescent="0.25">
      <c r="A2" s="8" t="s">
        <v>122</v>
      </c>
      <c r="B2" s="23" t="s">
        <v>0</v>
      </c>
      <c r="C2" s="23" t="s">
        <v>78</v>
      </c>
      <c r="D2" s="11" t="s">
        <v>75</v>
      </c>
      <c r="E2" s="27" t="s">
        <v>129</v>
      </c>
      <c r="F2" s="27" t="s">
        <v>130</v>
      </c>
      <c r="G2" s="29" t="s">
        <v>199</v>
      </c>
      <c r="H2" s="23" t="s">
        <v>79</v>
      </c>
      <c r="I2" s="11" t="s">
        <v>111</v>
      </c>
      <c r="J2" s="11" t="s">
        <v>112</v>
      </c>
      <c r="K2" s="12" t="s">
        <v>157</v>
      </c>
      <c r="L2" s="12" t="s">
        <v>123</v>
      </c>
      <c r="M2" s="8" t="s">
        <v>121</v>
      </c>
      <c r="N2" t="s">
        <v>131</v>
      </c>
      <c r="O2" t="s">
        <v>132</v>
      </c>
      <c r="P2" t="s">
        <v>133</v>
      </c>
      <c r="Q2" t="s">
        <v>134</v>
      </c>
      <c r="R2" t="s">
        <v>135</v>
      </c>
      <c r="S2" t="s">
        <v>136</v>
      </c>
      <c r="T2" t="s">
        <v>137</v>
      </c>
      <c r="U2" t="s">
        <v>138</v>
      </c>
      <c r="V2" t="s">
        <v>139</v>
      </c>
      <c r="W2" t="s">
        <v>140</v>
      </c>
      <c r="X2" t="s">
        <v>141</v>
      </c>
      <c r="Y2" t="s">
        <v>142</v>
      </c>
      <c r="Z2" t="s">
        <v>143</v>
      </c>
      <c r="AA2" t="s">
        <v>144</v>
      </c>
      <c r="AB2" t="s">
        <v>145</v>
      </c>
      <c r="AC2" t="s">
        <v>146</v>
      </c>
      <c r="AD2" t="s">
        <v>147</v>
      </c>
      <c r="AE2" t="s">
        <v>148</v>
      </c>
      <c r="AF2" t="s">
        <v>149</v>
      </c>
      <c r="AG2" t="s">
        <v>150</v>
      </c>
      <c r="AH2" t="s">
        <v>151</v>
      </c>
      <c r="AI2" t="s">
        <v>152</v>
      </c>
      <c r="AJ2" t="s">
        <v>153</v>
      </c>
      <c r="AK2" t="s">
        <v>154</v>
      </c>
      <c r="AL2" s="13" t="s">
        <v>76</v>
      </c>
    </row>
    <row r="3" spans="1:38" x14ac:dyDescent="0.25">
      <c r="A3" s="16" t="s">
        <v>200</v>
      </c>
      <c r="B3" s="9">
        <v>43053</v>
      </c>
      <c r="C3" s="9" t="s">
        <v>155</v>
      </c>
      <c r="D3" s="9" t="s">
        <v>91</v>
      </c>
      <c r="E3" s="26">
        <v>0.41666666666666669</v>
      </c>
      <c r="F3" s="26">
        <v>0.5</v>
      </c>
      <c r="G3" s="28">
        <f>(tb_Base[[#This Row],[Heure_fin]]-tb_Base[[#This Row],[Heure_debut]])*24</f>
        <v>1.9999999999999996</v>
      </c>
      <c r="H3" s="9" t="s">
        <v>2</v>
      </c>
      <c r="I3" s="9" t="s">
        <v>176</v>
      </c>
      <c r="J3" s="9" t="s">
        <v>176</v>
      </c>
      <c r="K3" s="9" t="s">
        <v>176</v>
      </c>
      <c r="L3" s="30">
        <f>SUM(tb_Base[[#This Row],[0 - 19 cm]:[240 - 249 cm]])</f>
        <v>1</v>
      </c>
      <c r="M3" s="2" t="s">
        <v>116</v>
      </c>
      <c r="N3"/>
      <c r="O3"/>
      <c r="P3"/>
      <c r="Q3"/>
      <c r="R3">
        <v>1</v>
      </c>
      <c r="S3"/>
      <c r="T3"/>
      <c r="U3"/>
      <c r="V3"/>
      <c r="W3"/>
      <c r="X3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6"/>
    </row>
    <row r="4" spans="1:38" x14ac:dyDescent="0.25">
      <c r="A4" s="16" t="s">
        <v>201</v>
      </c>
      <c r="B4" s="9">
        <v>43187</v>
      </c>
      <c r="C4" s="9" t="s">
        <v>155</v>
      </c>
      <c r="D4" s="9" t="s">
        <v>93</v>
      </c>
      <c r="E4" s="26">
        <v>0.66666666666666663</v>
      </c>
      <c r="F4" s="26">
        <v>0.75</v>
      </c>
      <c r="G4" s="28">
        <f>(tb_Base[[#This Row],[Heure_fin]]-tb_Base[[#This Row],[Heure_debut]])*24</f>
        <v>2.0000000000000009</v>
      </c>
      <c r="H4" s="9" t="s">
        <v>2</v>
      </c>
      <c r="I4" s="9" t="s">
        <v>106</v>
      </c>
      <c r="J4" s="9" t="s">
        <v>181</v>
      </c>
      <c r="K4" s="9" t="s">
        <v>180</v>
      </c>
      <c r="L4" s="30">
        <f>SUM(tb_Base[[#This Row],[0 - 19 cm]:[240 - 249 cm]])</f>
        <v>1</v>
      </c>
      <c r="M4" s="2" t="s">
        <v>116</v>
      </c>
      <c r="T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16"/>
    </row>
    <row r="5" spans="1:38" x14ac:dyDescent="0.25">
      <c r="A5" s="16" t="s">
        <v>202</v>
      </c>
      <c r="B5" s="9">
        <v>43774</v>
      </c>
      <c r="C5" s="9" t="s">
        <v>155</v>
      </c>
      <c r="D5" s="9" t="s">
        <v>38</v>
      </c>
      <c r="E5" s="26">
        <v>0.625</v>
      </c>
      <c r="F5" s="26">
        <v>0.70833333333333337</v>
      </c>
      <c r="G5" s="28">
        <f>(tb_Base[[#This Row],[Heure_fin]]-tb_Base[[#This Row],[Heure_debut]])*24</f>
        <v>2.0000000000000009</v>
      </c>
      <c r="H5" s="9" t="s">
        <v>3</v>
      </c>
      <c r="I5" s="9" t="s">
        <v>176</v>
      </c>
      <c r="J5" s="9" t="s">
        <v>176</v>
      </c>
      <c r="K5" s="9" t="s">
        <v>176</v>
      </c>
      <c r="L5" s="30">
        <f>SUM(tb_Base[[#This Row],[0 - 19 cm]:[240 - 249 cm]])</f>
        <v>1</v>
      </c>
      <c r="M5" s="2" t="s">
        <v>116</v>
      </c>
      <c r="Q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16"/>
    </row>
    <row r="6" spans="1:38" ht="18" customHeight="1" x14ac:dyDescent="0.25">
      <c r="A6" s="16" t="s">
        <v>203</v>
      </c>
      <c r="B6" s="9">
        <v>43775</v>
      </c>
      <c r="C6" s="9" t="s">
        <v>155</v>
      </c>
      <c r="D6" s="9" t="s">
        <v>20</v>
      </c>
      <c r="E6" s="26">
        <v>0.58333333333333337</v>
      </c>
      <c r="F6" s="26">
        <v>0.66666666666666663</v>
      </c>
      <c r="G6" s="28">
        <f>(tb_Base[[#This Row],[Heure_fin]]-tb_Base[[#This Row],[Heure_debut]])*24</f>
        <v>1.9999999999999982</v>
      </c>
      <c r="H6" s="9" t="s">
        <v>2</v>
      </c>
      <c r="I6" s="9" t="s">
        <v>176</v>
      </c>
      <c r="J6" s="9" t="s">
        <v>176</v>
      </c>
      <c r="K6" s="9" t="s">
        <v>176</v>
      </c>
      <c r="L6" s="30">
        <f>SUM(tb_Base[[#This Row],[0 - 19 cm]:[240 - 249 cm]])</f>
        <v>1</v>
      </c>
      <c r="M6" s="2" t="s">
        <v>118</v>
      </c>
      <c r="N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16"/>
    </row>
    <row r="7" spans="1:38" x14ac:dyDescent="0.25">
      <c r="A7" s="16" t="s">
        <v>204</v>
      </c>
      <c r="B7" s="9">
        <v>44099</v>
      </c>
      <c r="C7" s="9" t="s">
        <v>31</v>
      </c>
      <c r="D7" s="9" t="s">
        <v>16</v>
      </c>
      <c r="E7" s="26">
        <v>0.58333333333333337</v>
      </c>
      <c r="F7" s="26">
        <v>0.70833333333333337</v>
      </c>
      <c r="G7" s="28">
        <f>(tb_Base[[#This Row],[Heure_fin]]-tb_Base[[#This Row],[Heure_debut]])*24</f>
        <v>3</v>
      </c>
      <c r="H7" s="9" t="s">
        <v>3</v>
      </c>
      <c r="I7" s="9" t="s">
        <v>106</v>
      </c>
      <c r="J7" s="9" t="s">
        <v>182</v>
      </c>
      <c r="K7" s="9" t="s">
        <v>165</v>
      </c>
      <c r="L7" s="30">
        <f>SUM(tb_Base[[#This Row],[0 - 19 cm]:[240 - 249 cm]])</f>
        <v>2</v>
      </c>
      <c r="M7" s="2" t="s">
        <v>116</v>
      </c>
      <c r="Q7" s="2">
        <v>1</v>
      </c>
      <c r="R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16"/>
    </row>
    <row r="8" spans="1:38" x14ac:dyDescent="0.25">
      <c r="A8" s="16" t="s">
        <v>205</v>
      </c>
      <c r="B8" s="9">
        <v>44137</v>
      </c>
      <c r="C8" s="9" t="s">
        <v>30</v>
      </c>
      <c r="D8" s="9" t="s">
        <v>89</v>
      </c>
      <c r="E8" s="26">
        <v>0.58333333333333337</v>
      </c>
      <c r="F8" s="26">
        <v>0.625</v>
      </c>
      <c r="G8" s="28">
        <f>(tb_Base[[#This Row],[Heure_fin]]-tb_Base[[#This Row],[Heure_debut]])*24</f>
        <v>0.99999999999999911</v>
      </c>
      <c r="H8" s="9" t="s">
        <v>2</v>
      </c>
      <c r="I8" s="9" t="s">
        <v>106</v>
      </c>
      <c r="J8" s="9" t="s">
        <v>182</v>
      </c>
      <c r="K8" s="9" t="s">
        <v>165</v>
      </c>
      <c r="L8" s="30">
        <f>SUM(tb_Base[[#This Row],[0 - 19 cm]:[240 - 249 cm]])</f>
        <v>1</v>
      </c>
      <c r="M8" s="2" t="s">
        <v>116</v>
      </c>
      <c r="Q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6"/>
    </row>
    <row r="9" spans="1:38" x14ac:dyDescent="0.25">
      <c r="A9" s="16" t="s">
        <v>206</v>
      </c>
      <c r="B9" s="9">
        <v>44166</v>
      </c>
      <c r="C9" s="9" t="s">
        <v>31</v>
      </c>
      <c r="D9" s="9" t="s">
        <v>17</v>
      </c>
      <c r="E9" s="26">
        <v>0.45833333333333331</v>
      </c>
      <c r="F9" s="26">
        <v>0.58333333333333337</v>
      </c>
      <c r="G9" s="28">
        <f>(tb_Base[[#This Row],[Heure_fin]]-tb_Base[[#This Row],[Heure_debut]])*24</f>
        <v>3.0000000000000013</v>
      </c>
      <c r="H9" s="9" t="s">
        <v>2</v>
      </c>
      <c r="I9" s="9" t="s">
        <v>106</v>
      </c>
      <c r="J9" s="9" t="s">
        <v>184</v>
      </c>
      <c r="K9" s="9" t="s">
        <v>185</v>
      </c>
      <c r="L9" s="30">
        <f>SUM(tb_Base[[#This Row],[0 - 19 cm]:[240 - 249 cm]])</f>
        <v>3</v>
      </c>
      <c r="M9" s="2" t="s">
        <v>116</v>
      </c>
      <c r="Q9" s="2">
        <v>1</v>
      </c>
      <c r="R9" s="2">
        <v>1</v>
      </c>
      <c r="S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16"/>
    </row>
    <row r="10" spans="1:38" x14ac:dyDescent="0.25">
      <c r="A10" s="16" t="s">
        <v>207</v>
      </c>
      <c r="B10" s="9">
        <v>44310</v>
      </c>
      <c r="C10" s="9" t="s">
        <v>30</v>
      </c>
      <c r="D10" s="9" t="s">
        <v>39</v>
      </c>
      <c r="E10" s="26">
        <v>0.33333333333333331</v>
      </c>
      <c r="F10" s="26">
        <v>0.41666666666666669</v>
      </c>
      <c r="G10" s="28">
        <f>(tb_Base[[#This Row],[Heure_fin]]-tb_Base[[#This Row],[Heure_debut]])*24</f>
        <v>2.0000000000000009</v>
      </c>
      <c r="H10" s="9" t="s">
        <v>2</v>
      </c>
      <c r="I10" s="9" t="s">
        <v>176</v>
      </c>
      <c r="J10" s="9" t="s">
        <v>176</v>
      </c>
      <c r="K10" s="9" t="s">
        <v>176</v>
      </c>
      <c r="L10" s="30">
        <f>SUM(tb_Base[[#This Row],[0 - 19 cm]:[240 - 249 cm]])</f>
        <v>1</v>
      </c>
      <c r="M10" s="2" t="s">
        <v>116</v>
      </c>
      <c r="Q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6"/>
    </row>
    <row r="11" spans="1:38" x14ac:dyDescent="0.25">
      <c r="A11" s="16" t="s">
        <v>208</v>
      </c>
      <c r="B11" s="9">
        <v>44312</v>
      </c>
      <c r="C11" s="9" t="s">
        <v>31</v>
      </c>
      <c r="D11" s="9" t="s">
        <v>17</v>
      </c>
      <c r="E11" s="26">
        <v>0.39583333333333331</v>
      </c>
      <c r="F11" s="26">
        <v>0.5625</v>
      </c>
      <c r="G11" s="28">
        <f>(tb_Base[[#This Row],[Heure_fin]]-tb_Base[[#This Row],[Heure_debut]])*24</f>
        <v>4</v>
      </c>
      <c r="H11" s="9" t="s">
        <v>3</v>
      </c>
      <c r="I11" s="9" t="s">
        <v>176</v>
      </c>
      <c r="J11" s="9" t="s">
        <v>176</v>
      </c>
      <c r="K11" s="9" t="s">
        <v>176</v>
      </c>
      <c r="L11" s="30">
        <f>SUM(tb_Base[[#This Row],[0 - 19 cm]:[240 - 249 cm]])</f>
        <v>1</v>
      </c>
      <c r="M11" s="2" t="s">
        <v>116</v>
      </c>
      <c r="S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16"/>
    </row>
    <row r="12" spans="1:38" x14ac:dyDescent="0.25">
      <c r="A12" s="16" t="s">
        <v>209</v>
      </c>
      <c r="B12" s="9">
        <v>44338</v>
      </c>
      <c r="C12" s="9" t="s">
        <v>31</v>
      </c>
      <c r="D12" s="9" t="s">
        <v>95</v>
      </c>
      <c r="E12" s="26">
        <v>0.45833333333333331</v>
      </c>
      <c r="F12" s="26">
        <v>0.54166666666666663</v>
      </c>
      <c r="G12" s="28">
        <f>(tb_Base[[#This Row],[Heure_fin]]-tb_Base[[#This Row],[Heure_debut]])*24</f>
        <v>1.9999999999999996</v>
      </c>
      <c r="H12" s="9" t="s">
        <v>3</v>
      </c>
      <c r="I12" s="9" t="s">
        <v>186</v>
      </c>
      <c r="J12" s="9" t="s">
        <v>187</v>
      </c>
      <c r="K12" s="9" t="s">
        <v>189</v>
      </c>
      <c r="L12" s="30">
        <f>SUM(tb_Base[[#This Row],[0 - 19 cm]:[240 - 249 cm]])</f>
        <v>1</v>
      </c>
      <c r="M12" s="2" t="s">
        <v>116</v>
      </c>
      <c r="Q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6"/>
    </row>
    <row r="13" spans="1:38" x14ac:dyDescent="0.25">
      <c r="A13" s="16" t="s">
        <v>210</v>
      </c>
      <c r="B13" s="9">
        <v>44362</v>
      </c>
      <c r="C13" s="9" t="s">
        <v>30</v>
      </c>
      <c r="D13" s="9" t="s">
        <v>41</v>
      </c>
      <c r="E13" s="26">
        <v>0.375</v>
      </c>
      <c r="F13" s="26">
        <v>0.45833333333333331</v>
      </c>
      <c r="G13" s="28">
        <f>(tb_Base[[#This Row],[Heure_fin]]-tb_Base[[#This Row],[Heure_debut]])*24</f>
        <v>1.9999999999999996</v>
      </c>
      <c r="H13" s="9" t="s">
        <v>3</v>
      </c>
      <c r="I13" s="9" t="s">
        <v>106</v>
      </c>
      <c r="J13" t="s">
        <v>198</v>
      </c>
      <c r="K13" s="9" t="s">
        <v>176</v>
      </c>
      <c r="L13" s="30">
        <f>SUM(tb_Base[[#This Row],[0 - 19 cm]:[240 - 249 cm]])</f>
        <v>1</v>
      </c>
      <c r="M13" s="2" t="s">
        <v>116</v>
      </c>
      <c r="O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16"/>
    </row>
    <row r="14" spans="1:38" x14ac:dyDescent="0.25">
      <c r="A14" s="16" t="s">
        <v>211</v>
      </c>
      <c r="B14" s="9">
        <v>44363</v>
      </c>
      <c r="C14" s="9" t="s">
        <v>30</v>
      </c>
      <c r="D14" s="9" t="s">
        <v>41</v>
      </c>
      <c r="E14" s="26">
        <v>0.60416666666666663</v>
      </c>
      <c r="F14" s="26">
        <v>0.6875</v>
      </c>
      <c r="G14" s="28">
        <f>(tb_Base[[#This Row],[Heure_fin]]-tb_Base[[#This Row],[Heure_debut]])*24</f>
        <v>2.0000000000000009</v>
      </c>
      <c r="H14" s="9" t="s">
        <v>3</v>
      </c>
      <c r="I14" s="9" t="s">
        <v>176</v>
      </c>
      <c r="J14" s="9" t="s">
        <v>176</v>
      </c>
      <c r="K14" s="9" t="s">
        <v>176</v>
      </c>
      <c r="L14" s="30">
        <f>SUM(tb_Base[[#This Row],[0 - 19 cm]:[240 - 249 cm]])</f>
        <v>1</v>
      </c>
      <c r="M14" s="2" t="s">
        <v>116</v>
      </c>
      <c r="O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16"/>
    </row>
    <row r="15" spans="1:38" x14ac:dyDescent="0.25">
      <c r="A15" s="16" t="s">
        <v>212</v>
      </c>
      <c r="B15" s="9">
        <v>44403</v>
      </c>
      <c r="C15" s="9" t="s">
        <v>31</v>
      </c>
      <c r="D15" s="9" t="s">
        <v>17</v>
      </c>
      <c r="E15" s="26">
        <v>0.66666666666666663</v>
      </c>
      <c r="F15" s="26">
        <v>0.79166666666666663</v>
      </c>
      <c r="G15" s="28">
        <f>(tb_Base[[#This Row],[Heure_fin]]-tb_Base[[#This Row],[Heure_debut]])*24</f>
        <v>3</v>
      </c>
      <c r="H15" s="9" t="s">
        <v>4</v>
      </c>
      <c r="I15" s="9" t="s">
        <v>176</v>
      </c>
      <c r="J15" s="9" t="s">
        <v>176</v>
      </c>
      <c r="K15" s="9" t="s">
        <v>176</v>
      </c>
      <c r="L15" s="30">
        <f>SUM(tb_Base[[#This Row],[0 - 19 cm]:[240 - 249 cm]])</f>
        <v>3</v>
      </c>
      <c r="M15" s="2" t="s">
        <v>116</v>
      </c>
      <c r="Q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16"/>
    </row>
    <row r="16" spans="1:38" x14ac:dyDescent="0.25">
      <c r="A16" s="16" t="s">
        <v>213</v>
      </c>
      <c r="B16" s="9">
        <v>44442</v>
      </c>
      <c r="C16" s="9" t="s">
        <v>30</v>
      </c>
      <c r="D16" s="9" t="s">
        <v>98</v>
      </c>
      <c r="E16" s="26">
        <v>0.5</v>
      </c>
      <c r="F16" s="26">
        <v>0.66666666666666663</v>
      </c>
      <c r="G16" s="28">
        <f>(tb_Base[[#This Row],[Heure_fin]]-tb_Base[[#This Row],[Heure_debut]])*24</f>
        <v>3.9999999999999991</v>
      </c>
      <c r="H16" s="9" t="s">
        <v>3</v>
      </c>
      <c r="I16" s="9" t="s">
        <v>176</v>
      </c>
      <c r="J16" s="9" t="s">
        <v>176</v>
      </c>
      <c r="K16" s="9" t="s">
        <v>176</v>
      </c>
      <c r="L16" s="30">
        <f>SUM(tb_Base[[#This Row],[0 - 19 cm]:[240 - 249 cm]])</f>
        <v>1</v>
      </c>
      <c r="M16" s="2" t="s">
        <v>116</v>
      </c>
      <c r="Q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16"/>
    </row>
    <row r="17" spans="1:38" ht="15" customHeight="1" x14ac:dyDescent="0.25">
      <c r="A17" s="16" t="s">
        <v>214</v>
      </c>
      <c r="B17" s="9">
        <v>44446</v>
      </c>
      <c r="C17" s="9" t="s">
        <v>30</v>
      </c>
      <c r="D17" s="9" t="s">
        <v>98</v>
      </c>
      <c r="E17" s="26">
        <v>0.5</v>
      </c>
      <c r="F17" s="26">
        <v>0.66666666666666663</v>
      </c>
      <c r="G17" s="28">
        <f>(tb_Base[[#This Row],[Heure_fin]]-tb_Base[[#This Row],[Heure_debut]])*24</f>
        <v>3.9999999999999991</v>
      </c>
      <c r="H17" s="9" t="s">
        <v>3</v>
      </c>
      <c r="I17" s="9" t="s">
        <v>108</v>
      </c>
      <c r="J17" s="9" t="s">
        <v>190</v>
      </c>
      <c r="K17" s="9" t="s">
        <v>189</v>
      </c>
      <c r="L17" s="30">
        <f>SUM(tb_Base[[#This Row],[0 - 19 cm]:[240 - 249 cm]])</f>
        <v>1</v>
      </c>
      <c r="M17" s="2" t="s">
        <v>119</v>
      </c>
      <c r="P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16"/>
    </row>
    <row r="18" spans="1:38" x14ac:dyDescent="0.25">
      <c r="A18" s="16" t="s">
        <v>215</v>
      </c>
      <c r="B18" s="9">
        <v>44446</v>
      </c>
      <c r="C18" s="9" t="s">
        <v>30</v>
      </c>
      <c r="D18" s="9" t="s">
        <v>98</v>
      </c>
      <c r="E18" s="26">
        <v>0.5</v>
      </c>
      <c r="F18" s="26">
        <v>0.66666666666666663</v>
      </c>
      <c r="G18" s="28">
        <f>(tb_Base[[#This Row],[Heure_fin]]-tb_Base[[#This Row],[Heure_debut]])*24</f>
        <v>3.9999999999999991</v>
      </c>
      <c r="H18" s="9" t="s">
        <v>3</v>
      </c>
      <c r="I18" s="9" t="s">
        <v>176</v>
      </c>
      <c r="J18" s="9" t="s">
        <v>176</v>
      </c>
      <c r="K18" s="9" t="s">
        <v>176</v>
      </c>
      <c r="L18" s="30">
        <f>SUM(tb_Base[[#This Row],[0 - 19 cm]:[240 - 249 cm]])</f>
        <v>1</v>
      </c>
      <c r="M18" s="2" t="s">
        <v>116</v>
      </c>
      <c r="Q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16"/>
    </row>
    <row r="19" spans="1:38" ht="17.100000000000001" customHeight="1" x14ac:dyDescent="0.25">
      <c r="A19" s="16" t="s">
        <v>216</v>
      </c>
      <c r="B19" s="9">
        <v>44451</v>
      </c>
      <c r="C19" s="9" t="s">
        <v>30</v>
      </c>
      <c r="D19" s="9" t="s">
        <v>192</v>
      </c>
      <c r="E19" s="26">
        <v>0.33333333333333331</v>
      </c>
      <c r="F19" s="26">
        <v>0.35416666666666669</v>
      </c>
      <c r="G19" s="28">
        <f>(tb_Base[[#This Row],[Heure_fin]]-tb_Base[[#This Row],[Heure_debut]])*24</f>
        <v>0.50000000000000089</v>
      </c>
      <c r="H19" s="9" t="s">
        <v>3</v>
      </c>
      <c r="I19" s="9" t="s">
        <v>108</v>
      </c>
      <c r="J19" s="9" t="s">
        <v>193</v>
      </c>
      <c r="K19" s="9" t="s">
        <v>166</v>
      </c>
      <c r="L19" s="30">
        <f>SUM(tb_Base[[#This Row],[0 - 19 cm]:[240 - 249 cm]])</f>
        <v>2</v>
      </c>
      <c r="M19" s="2" t="s">
        <v>117</v>
      </c>
      <c r="N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16"/>
    </row>
    <row r="20" spans="1:38" x14ac:dyDescent="0.25">
      <c r="A20" s="16" t="s">
        <v>217</v>
      </c>
      <c r="B20" s="9">
        <v>44451</v>
      </c>
      <c r="C20" s="9" t="s">
        <v>30</v>
      </c>
      <c r="D20" s="9" t="s">
        <v>98</v>
      </c>
      <c r="E20" s="26">
        <v>0.35416666666666669</v>
      </c>
      <c r="F20" s="26">
        <v>0.41666666666666669</v>
      </c>
      <c r="G20" s="28">
        <f>(tb_Base[[#This Row],[Heure_fin]]-tb_Base[[#This Row],[Heure_debut]])*24</f>
        <v>1.5</v>
      </c>
      <c r="H20" s="9" t="s">
        <v>3</v>
      </c>
      <c r="I20" s="9" t="s">
        <v>108</v>
      </c>
      <c r="J20" s="9" t="s">
        <v>193</v>
      </c>
      <c r="K20" s="9" t="s">
        <v>166</v>
      </c>
      <c r="L20" s="30">
        <f>SUM(tb_Base[[#This Row],[0 - 19 cm]:[240 - 249 cm]])</f>
        <v>1</v>
      </c>
      <c r="M20" s="2" t="s">
        <v>116</v>
      </c>
      <c r="Q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16"/>
    </row>
    <row r="21" spans="1:38" ht="15.95" customHeight="1" x14ac:dyDescent="0.25">
      <c r="A21" s="16" t="s">
        <v>217</v>
      </c>
      <c r="B21" s="9">
        <v>44451</v>
      </c>
      <c r="C21" s="9" t="s">
        <v>30</v>
      </c>
      <c r="D21" s="9" t="s">
        <v>98</v>
      </c>
      <c r="E21" s="26">
        <v>0.35416666666666669</v>
      </c>
      <c r="F21" s="26">
        <v>0.41666666666666669</v>
      </c>
      <c r="G21" s="28">
        <f>(tb_Base[[#This Row],[Heure_fin]]-tb_Base[[#This Row],[Heure_debut]])*24</f>
        <v>1.5</v>
      </c>
      <c r="H21" s="9" t="s">
        <v>3</v>
      </c>
      <c r="I21" s="9" t="s">
        <v>108</v>
      </c>
      <c r="J21" s="9" t="s">
        <v>193</v>
      </c>
      <c r="K21" s="9" t="s">
        <v>166</v>
      </c>
      <c r="L21" s="30">
        <f>SUM(tb_Base[[#This Row],[0 - 19 cm]:[240 - 249 cm]])</f>
        <v>1</v>
      </c>
      <c r="M21" s="2" t="s">
        <v>117</v>
      </c>
      <c r="O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16"/>
    </row>
    <row r="22" spans="1:38" ht="18.95" customHeight="1" x14ac:dyDescent="0.25">
      <c r="A22" s="16" t="s">
        <v>218</v>
      </c>
      <c r="B22" s="9">
        <v>44451</v>
      </c>
      <c r="C22" s="9" t="s">
        <v>30</v>
      </c>
      <c r="D22" s="9" t="s">
        <v>98</v>
      </c>
      <c r="E22" s="26">
        <v>0.35416666666666669</v>
      </c>
      <c r="F22" s="26">
        <v>0.41666666666666669</v>
      </c>
      <c r="G22" s="28">
        <f>(tb_Base[[#This Row],[Heure_fin]]-tb_Base[[#This Row],[Heure_debut]])*24</f>
        <v>1.5</v>
      </c>
      <c r="H22" s="9" t="s">
        <v>3</v>
      </c>
      <c r="I22" s="9" t="s">
        <v>106</v>
      </c>
      <c r="J22" t="s">
        <v>196</v>
      </c>
      <c r="K22" s="9" t="s">
        <v>166</v>
      </c>
      <c r="L22" s="30">
        <f>SUM(tb_Base[[#This Row],[0 - 19 cm]:[240 - 249 cm]])</f>
        <v>1</v>
      </c>
      <c r="M22" s="2" t="s">
        <v>117</v>
      </c>
      <c r="O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16"/>
    </row>
    <row r="23" spans="1:38" x14ac:dyDescent="0.25">
      <c r="A23" s="16" t="s">
        <v>231</v>
      </c>
      <c r="B23" s="9">
        <v>44451</v>
      </c>
      <c r="C23" s="9" t="s">
        <v>30</v>
      </c>
      <c r="D23" s="9" t="s">
        <v>98</v>
      </c>
      <c r="E23" s="26">
        <v>0.35416666666666669</v>
      </c>
      <c r="F23" s="26">
        <v>0.41666666666666669</v>
      </c>
      <c r="G23" s="28">
        <f>(tb_Base[[#This Row],[Heure_fin]]-tb_Base[[#This Row],[Heure_debut]])*24</f>
        <v>1.5</v>
      </c>
      <c r="H23" s="9" t="s">
        <v>3</v>
      </c>
      <c r="I23" s="9" t="s">
        <v>108</v>
      </c>
      <c r="J23" s="9" t="s">
        <v>193</v>
      </c>
      <c r="K23" s="9" t="s">
        <v>166</v>
      </c>
      <c r="L23" s="30">
        <f>SUM(tb_Base[[#This Row],[0 - 19 cm]:[240 - 249 cm]])</f>
        <v>1</v>
      </c>
      <c r="M23" s="2" t="s">
        <v>116</v>
      </c>
      <c r="Q23" s="2">
        <v>1</v>
      </c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16"/>
    </row>
    <row r="24" spans="1:38" x14ac:dyDescent="0.25">
      <c r="A24" s="16" t="s">
        <v>231</v>
      </c>
      <c r="B24" s="9">
        <v>44451</v>
      </c>
      <c r="C24" s="9" t="s">
        <v>30</v>
      </c>
      <c r="D24" s="9" t="s">
        <v>98</v>
      </c>
      <c r="E24" s="26">
        <v>0.35416666666666669</v>
      </c>
      <c r="F24" s="26">
        <v>0.41666666666666669</v>
      </c>
      <c r="G24" s="28">
        <f>(tb_Base[[#This Row],[Heure_fin]]-tb_Base[[#This Row],[Heure_debut]])*24</f>
        <v>1.5</v>
      </c>
      <c r="H24" s="9" t="s">
        <v>3</v>
      </c>
      <c r="I24" s="9" t="s">
        <v>108</v>
      </c>
      <c r="J24" s="9" t="s">
        <v>193</v>
      </c>
      <c r="K24" s="9" t="s">
        <v>166</v>
      </c>
      <c r="L24" s="30">
        <f>SUM(tb_Base[[#This Row],[0 - 19 cm]:[240 - 249 cm]])</f>
        <v>1</v>
      </c>
      <c r="M24" s="2" t="s">
        <v>117</v>
      </c>
      <c r="O24" s="2">
        <v>1</v>
      </c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16"/>
    </row>
    <row r="25" spans="1:38" ht="18.95" customHeight="1" x14ac:dyDescent="0.25">
      <c r="A25" s="16" t="s">
        <v>219</v>
      </c>
      <c r="B25" s="9">
        <v>44467</v>
      </c>
      <c r="C25" s="9" t="s">
        <v>33</v>
      </c>
      <c r="D25" s="9" t="s">
        <v>24</v>
      </c>
      <c r="E25" s="26">
        <v>0.5625</v>
      </c>
      <c r="F25" s="26">
        <v>0.66666666666666663</v>
      </c>
      <c r="G25" s="28">
        <f>(tb_Base[[#This Row],[Heure_fin]]-tb_Base[[#This Row],[Heure_debut]])*24</f>
        <v>2.4999999999999991</v>
      </c>
      <c r="H25" s="9" t="s">
        <v>3</v>
      </c>
      <c r="I25" s="9" t="s">
        <v>108</v>
      </c>
      <c r="J25" s="9" t="s">
        <v>190</v>
      </c>
      <c r="K25" s="9" t="s">
        <v>158</v>
      </c>
      <c r="L25" s="30">
        <f>SUM(tb_Base[[#This Row],[0 - 19 cm]:[240 - 249 cm]])</f>
        <v>1</v>
      </c>
      <c r="M25" s="2" t="s">
        <v>116</v>
      </c>
      <c r="S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16"/>
    </row>
    <row r="26" spans="1:38" ht="17.100000000000001" customHeight="1" x14ac:dyDescent="0.25">
      <c r="A26" s="16" t="s">
        <v>220</v>
      </c>
      <c r="B26" s="9">
        <v>44467</v>
      </c>
      <c r="C26" s="9" t="s">
        <v>33</v>
      </c>
      <c r="D26" s="9" t="s">
        <v>24</v>
      </c>
      <c r="E26" s="26">
        <v>0.5625</v>
      </c>
      <c r="F26" s="26">
        <v>0.66666666666666663</v>
      </c>
      <c r="G26" s="28">
        <f>(tb_Base[[#This Row],[Heure_fin]]-tb_Base[[#This Row],[Heure_debut]])*24</f>
        <v>2.4999999999999991</v>
      </c>
      <c r="H26" s="9" t="s">
        <v>3</v>
      </c>
      <c r="I26" s="9" t="s">
        <v>105</v>
      </c>
      <c r="J26" s="9" t="s">
        <v>59</v>
      </c>
      <c r="K26" s="9" t="s">
        <v>194</v>
      </c>
      <c r="L26" s="30">
        <f>SUM(tb_Base[[#This Row],[0 - 19 cm]:[240 - 249 cm]])</f>
        <v>2</v>
      </c>
      <c r="M26" s="2" t="s">
        <v>116</v>
      </c>
      <c r="O26" s="2">
        <v>1</v>
      </c>
      <c r="R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16"/>
    </row>
    <row r="27" spans="1:38" ht="20.100000000000001" customHeight="1" x14ac:dyDescent="0.25">
      <c r="A27" s="16" t="s">
        <v>221</v>
      </c>
      <c r="B27" s="9">
        <v>44484</v>
      </c>
      <c r="C27" s="9" t="s">
        <v>30</v>
      </c>
      <c r="D27" s="9" t="s">
        <v>98</v>
      </c>
      <c r="E27" s="26">
        <v>0.70833333333333337</v>
      </c>
      <c r="F27" s="26">
        <v>0.79166666666666663</v>
      </c>
      <c r="G27" s="28">
        <f>(tb_Base[[#This Row],[Heure_fin]]-tb_Base[[#This Row],[Heure_debut]])*24</f>
        <v>1.9999999999999982</v>
      </c>
      <c r="H27" s="9" t="s">
        <v>3</v>
      </c>
      <c r="I27" s="9" t="s">
        <v>176</v>
      </c>
      <c r="J27" s="9" t="s">
        <v>176</v>
      </c>
      <c r="K27" s="9" t="s">
        <v>176</v>
      </c>
      <c r="L27" s="30">
        <f>SUM(tb_Base[[#This Row],[0 - 19 cm]:[240 - 249 cm]])</f>
        <v>1</v>
      </c>
      <c r="M27" s="2" t="s">
        <v>116</v>
      </c>
      <c r="O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16"/>
    </row>
    <row r="28" spans="1:38" ht="15" customHeight="1" x14ac:dyDescent="0.25">
      <c r="A28" s="16" t="s">
        <v>221</v>
      </c>
      <c r="B28" s="9">
        <v>44484</v>
      </c>
      <c r="C28" s="9" t="s">
        <v>30</v>
      </c>
      <c r="D28" s="9" t="s">
        <v>98</v>
      </c>
      <c r="E28" s="26">
        <v>0.70833333333333337</v>
      </c>
      <c r="F28" s="26">
        <v>0.79166666666666663</v>
      </c>
      <c r="G28" s="28">
        <f>(tb_Base[[#This Row],[Heure_fin]]-tb_Base[[#This Row],[Heure_debut]])*24</f>
        <v>1.9999999999999982</v>
      </c>
      <c r="H28" s="9" t="s">
        <v>3</v>
      </c>
      <c r="I28" s="9" t="s">
        <v>176</v>
      </c>
      <c r="J28" s="9" t="s">
        <v>176</v>
      </c>
      <c r="K28" s="9" t="s">
        <v>176</v>
      </c>
      <c r="L28" s="30">
        <f>SUM(tb_Base[[#This Row],[0 - 19 cm]:[240 - 249 cm]])</f>
        <v>1</v>
      </c>
      <c r="M28" s="2" t="s">
        <v>117</v>
      </c>
      <c r="O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16"/>
    </row>
    <row r="29" spans="1:38" ht="18.95" customHeight="1" x14ac:dyDescent="0.25">
      <c r="A29" s="16" t="s">
        <v>222</v>
      </c>
      <c r="B29" s="9">
        <v>44487</v>
      </c>
      <c r="C29" s="9" t="s">
        <v>30</v>
      </c>
      <c r="D29" s="9" t="s">
        <v>6</v>
      </c>
      <c r="E29" s="26">
        <v>0.52083333333333337</v>
      </c>
      <c r="F29" s="26">
        <v>0.60416666666666663</v>
      </c>
      <c r="G29" s="28">
        <f>(tb_Base[[#This Row],[Heure_fin]]-tb_Base[[#This Row],[Heure_debut]])*24</f>
        <v>1.9999999999999982</v>
      </c>
      <c r="H29" s="9" t="s">
        <v>2</v>
      </c>
      <c r="I29" s="9" t="s">
        <v>108</v>
      </c>
      <c r="J29" s="9" t="s">
        <v>190</v>
      </c>
      <c r="K29" s="9" t="s">
        <v>159</v>
      </c>
      <c r="L29" s="30">
        <f>SUM(tb_Base[[#This Row],[0 - 19 cm]:[240 - 249 cm]])</f>
        <v>1</v>
      </c>
      <c r="M29" s="2" t="s">
        <v>119</v>
      </c>
      <c r="P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16"/>
    </row>
    <row r="30" spans="1:38" ht="18" customHeight="1" x14ac:dyDescent="0.25">
      <c r="A30" s="16" t="s">
        <v>223</v>
      </c>
      <c r="B30" s="9">
        <v>44487</v>
      </c>
      <c r="C30" s="9" t="s">
        <v>30</v>
      </c>
      <c r="D30" s="9" t="s">
        <v>6</v>
      </c>
      <c r="E30" s="26">
        <v>0.52083333333333337</v>
      </c>
      <c r="F30" s="26">
        <v>0.60416666666666663</v>
      </c>
      <c r="G30" s="28">
        <f>(tb_Base[[#This Row],[Heure_fin]]-tb_Base[[#This Row],[Heure_debut]])*24</f>
        <v>1.9999999999999982</v>
      </c>
      <c r="H30" s="9" t="s">
        <v>2</v>
      </c>
      <c r="I30" s="9" t="s">
        <v>105</v>
      </c>
      <c r="J30" s="9" t="s">
        <v>59</v>
      </c>
      <c r="K30" s="9" t="s">
        <v>195</v>
      </c>
      <c r="L30" s="30">
        <f>SUM(tb_Base[[#This Row],[0 - 19 cm]:[240 - 249 cm]])</f>
        <v>1</v>
      </c>
      <c r="M30" s="2" t="s">
        <v>117</v>
      </c>
      <c r="O30" s="2">
        <v>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16"/>
    </row>
    <row r="31" spans="1:38" x14ac:dyDescent="0.25">
      <c r="A31" s="16" t="s">
        <v>224</v>
      </c>
      <c r="B31" s="9">
        <v>44487</v>
      </c>
      <c r="C31" s="9" t="s">
        <v>30</v>
      </c>
      <c r="D31" s="9" t="s">
        <v>6</v>
      </c>
      <c r="E31" s="26">
        <v>0.52083333333333337</v>
      </c>
      <c r="F31" s="26">
        <v>0.60416666666666663</v>
      </c>
      <c r="G31" s="28">
        <f>(tb_Base[[#This Row],[Heure_fin]]-tb_Base[[#This Row],[Heure_debut]])*24</f>
        <v>1.9999999999999982</v>
      </c>
      <c r="H31" s="9" t="s">
        <v>2</v>
      </c>
      <c r="I31" s="9" t="s">
        <v>106</v>
      </c>
      <c r="J31" s="9" t="s">
        <v>197</v>
      </c>
      <c r="K31" s="9" t="s">
        <v>179</v>
      </c>
      <c r="L31" s="30">
        <f>SUM(tb_Base[[#This Row],[0 - 19 cm]:[240 - 249 cm]])</f>
        <v>1</v>
      </c>
      <c r="M31" s="2" t="s">
        <v>175</v>
      </c>
      <c r="S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16"/>
    </row>
    <row r="32" spans="1:38" ht="15.95" customHeight="1" x14ac:dyDescent="0.25">
      <c r="A32" s="16" t="s">
        <v>225</v>
      </c>
      <c r="B32" s="9">
        <v>44495</v>
      </c>
      <c r="C32" s="9" t="s">
        <v>30</v>
      </c>
      <c r="D32" s="9" t="s">
        <v>7</v>
      </c>
      <c r="E32" s="26">
        <v>0.375</v>
      </c>
      <c r="F32" s="26">
        <v>0.41666666666666669</v>
      </c>
      <c r="G32" s="28">
        <f>(tb_Base[[#This Row],[Heure_fin]]-tb_Base[[#This Row],[Heure_debut]])*24</f>
        <v>1.0000000000000004</v>
      </c>
      <c r="H32" s="9" t="s">
        <v>2</v>
      </c>
      <c r="I32" s="9" t="s">
        <v>105</v>
      </c>
      <c r="J32" s="9" t="s">
        <v>59</v>
      </c>
      <c r="K32" s="9" t="s">
        <v>176</v>
      </c>
      <c r="L32" s="30">
        <f>SUM(tb_Base[[#This Row],[0 - 19 cm]:[240 - 249 cm]])</f>
        <v>3</v>
      </c>
      <c r="M32" s="2" t="s">
        <v>117</v>
      </c>
      <c r="N32" s="2">
        <v>1</v>
      </c>
      <c r="O32" s="2">
        <v>2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16"/>
    </row>
    <row r="33" spans="1:38" x14ac:dyDescent="0.25">
      <c r="A33" s="16" t="s">
        <v>226</v>
      </c>
      <c r="B33" s="9">
        <v>44498</v>
      </c>
      <c r="C33" s="9" t="s">
        <v>30</v>
      </c>
      <c r="D33" s="9" t="s">
        <v>6</v>
      </c>
      <c r="E33" s="26">
        <v>0.64583333333333337</v>
      </c>
      <c r="F33" s="26">
        <v>0.77083333333333337</v>
      </c>
      <c r="G33" s="28">
        <f>(tb_Base[[#This Row],[Heure_fin]]-tb_Base[[#This Row],[Heure_debut]])*24</f>
        <v>3</v>
      </c>
      <c r="H33" s="9" t="s">
        <v>3</v>
      </c>
      <c r="I33" s="9" t="s">
        <v>105</v>
      </c>
      <c r="J33" s="9" t="s">
        <v>59</v>
      </c>
      <c r="K33" s="9" t="s">
        <v>158</v>
      </c>
      <c r="L33" s="30">
        <f>SUM(tb_Base[[#This Row],[0 - 19 cm]:[240 - 249 cm]])</f>
        <v>1</v>
      </c>
      <c r="M33" s="2" t="s">
        <v>116</v>
      </c>
      <c r="R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16"/>
    </row>
    <row r="34" spans="1:38" ht="18" customHeight="1" x14ac:dyDescent="0.25">
      <c r="A34" s="16" t="s">
        <v>226</v>
      </c>
      <c r="B34" s="9">
        <v>44498</v>
      </c>
      <c r="C34" s="9" t="s">
        <v>30</v>
      </c>
      <c r="D34" s="9" t="s">
        <v>6</v>
      </c>
      <c r="E34" s="26">
        <v>0.64583333333333337</v>
      </c>
      <c r="F34" s="26">
        <v>0.77083333333333337</v>
      </c>
      <c r="G34" s="28">
        <f>(tb_Base[[#This Row],[Heure_fin]]-tb_Base[[#This Row],[Heure_debut]])*24</f>
        <v>3</v>
      </c>
      <c r="H34" s="9" t="s">
        <v>3</v>
      </c>
      <c r="I34" s="9" t="s">
        <v>105</v>
      </c>
      <c r="J34" s="9" t="s">
        <v>59</v>
      </c>
      <c r="K34" s="9" t="s">
        <v>158</v>
      </c>
      <c r="L34" s="30">
        <f>SUM(tb_Base[[#This Row],[0 - 19 cm]:[240 - 249 cm]])</f>
        <v>1</v>
      </c>
      <c r="M34" s="2" t="s">
        <v>117</v>
      </c>
      <c r="O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16"/>
    </row>
    <row r="35" spans="1:38" x14ac:dyDescent="0.25">
      <c r="A35" s="16" t="s">
        <v>230</v>
      </c>
      <c r="B35" s="9">
        <v>44507</v>
      </c>
      <c r="C35" s="9" t="s">
        <v>30</v>
      </c>
      <c r="D35" s="9" t="s">
        <v>6</v>
      </c>
      <c r="E35" s="26">
        <v>0.35416666666666669</v>
      </c>
      <c r="F35" s="26">
        <v>0.4375</v>
      </c>
      <c r="G35" s="28">
        <f>(tb_Base[[#This Row],[Heure_fin]]-tb_Base[[#This Row],[Heure_debut]])*24</f>
        <v>1.9999999999999996</v>
      </c>
      <c r="H35" s="9" t="s">
        <v>2</v>
      </c>
      <c r="I35" s="9" t="s">
        <v>106</v>
      </c>
      <c r="J35" s="9" t="s">
        <v>181</v>
      </c>
      <c r="K35" s="9" t="s">
        <v>180</v>
      </c>
      <c r="L35" s="30">
        <f>SUM(tb_Base[[#This Row],[0 - 19 cm]:[240 - 249 cm]])</f>
        <v>1</v>
      </c>
      <c r="M35" s="2" t="s">
        <v>116</v>
      </c>
      <c r="Q35" s="2">
        <v>1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16"/>
    </row>
    <row r="36" spans="1:38" x14ac:dyDescent="0.25">
      <c r="A36" s="16" t="s">
        <v>230</v>
      </c>
      <c r="B36" s="9">
        <v>44507</v>
      </c>
      <c r="C36" s="9" t="s">
        <v>30</v>
      </c>
      <c r="D36" s="9" t="s">
        <v>6</v>
      </c>
      <c r="E36" s="26">
        <v>0.35416666666666669</v>
      </c>
      <c r="F36" s="26">
        <v>0.4375</v>
      </c>
      <c r="G36" s="28">
        <f>(tb_Base[[#This Row],[Heure_fin]]-tb_Base[[#This Row],[Heure_debut]])*24</f>
        <v>1.9999999999999996</v>
      </c>
      <c r="H36" s="9" t="s">
        <v>2</v>
      </c>
      <c r="I36" s="9" t="s">
        <v>106</v>
      </c>
      <c r="J36" s="9" t="s">
        <v>181</v>
      </c>
      <c r="K36" s="9" t="s">
        <v>180</v>
      </c>
      <c r="L36" s="30">
        <f>SUM(tb_Base[[#This Row],[0 - 19 cm]:[240 - 249 cm]])</f>
        <v>1</v>
      </c>
      <c r="M36" s="2" t="s">
        <v>119</v>
      </c>
      <c r="Q36" s="2">
        <v>1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16"/>
    </row>
    <row r="37" spans="1:38" x14ac:dyDescent="0.25">
      <c r="A37" s="16" t="s">
        <v>227</v>
      </c>
      <c r="B37" s="9">
        <v>44513</v>
      </c>
      <c r="C37" s="9" t="s">
        <v>30</v>
      </c>
      <c r="D37" s="9" t="s">
        <v>98</v>
      </c>
      <c r="E37" s="26">
        <v>0.33333333333333331</v>
      </c>
      <c r="F37" s="26">
        <v>0.375</v>
      </c>
      <c r="G37" s="28">
        <f>(tb_Base[[#This Row],[Heure_fin]]-tb_Base[[#This Row],[Heure_debut]])*24</f>
        <v>1.0000000000000004</v>
      </c>
      <c r="H37" s="9" t="s">
        <v>2</v>
      </c>
      <c r="I37" s="9" t="s">
        <v>105</v>
      </c>
      <c r="J37" s="9" t="s">
        <v>59</v>
      </c>
      <c r="K37" s="9" t="s">
        <v>194</v>
      </c>
      <c r="L37" s="30">
        <f>SUM(tb_Base[[#This Row],[0 - 19 cm]:[240 - 249 cm]])</f>
        <v>1</v>
      </c>
      <c r="M37" s="2" t="s">
        <v>116</v>
      </c>
      <c r="Q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16"/>
    </row>
    <row r="38" spans="1:38" x14ac:dyDescent="0.25">
      <c r="A38" s="16" t="s">
        <v>228</v>
      </c>
      <c r="B38" s="9">
        <v>44513</v>
      </c>
      <c r="C38" s="9" t="s">
        <v>30</v>
      </c>
      <c r="D38" s="9" t="s">
        <v>7</v>
      </c>
      <c r="E38" s="26">
        <v>0.47916666666666669</v>
      </c>
      <c r="F38" s="26">
        <v>0.52083333333333337</v>
      </c>
      <c r="G38" s="28">
        <f>(tb_Base[[#This Row],[Heure_fin]]-tb_Base[[#This Row],[Heure_debut]])*24</f>
        <v>1.0000000000000004</v>
      </c>
      <c r="H38" s="9" t="s">
        <v>2</v>
      </c>
      <c r="I38" s="9" t="s">
        <v>105</v>
      </c>
      <c r="J38" s="9" t="s">
        <v>59</v>
      </c>
      <c r="K38" s="9" t="s">
        <v>194</v>
      </c>
      <c r="L38" s="30">
        <f>SUM(tb_Base[[#This Row],[0 - 19 cm]:[240 - 249 cm]])</f>
        <v>1</v>
      </c>
      <c r="M38" s="2" t="s">
        <v>116</v>
      </c>
      <c r="P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16"/>
    </row>
    <row r="39" spans="1:38" x14ac:dyDescent="0.25">
      <c r="A39" s="16" t="s">
        <v>229</v>
      </c>
      <c r="B39" s="9">
        <v>44514</v>
      </c>
      <c r="C39" s="9" t="s">
        <v>36</v>
      </c>
      <c r="D39" s="9" t="s">
        <v>84</v>
      </c>
      <c r="E39" s="26">
        <v>0.35416666666666669</v>
      </c>
      <c r="F39" s="26">
        <v>0.47916666666666669</v>
      </c>
      <c r="G39" s="28">
        <f>(tb_Base[[#This Row],[Heure_fin]]-tb_Base[[#This Row],[Heure_debut]])*24</f>
        <v>3</v>
      </c>
      <c r="H39" s="9" t="s">
        <v>2</v>
      </c>
      <c r="I39" s="9" t="s">
        <v>105</v>
      </c>
      <c r="J39" s="9" t="s">
        <v>59</v>
      </c>
      <c r="K39" s="9" t="s">
        <v>194</v>
      </c>
      <c r="L39" s="30">
        <f>SUM(tb_Base[[#This Row],[0 - 19 cm]:[240 - 249 cm]])</f>
        <v>1</v>
      </c>
      <c r="M39" s="2" t="s">
        <v>116</v>
      </c>
      <c r="P39" s="2">
        <v>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16"/>
    </row>
    <row r="40" spans="1:38" x14ac:dyDescent="0.25">
      <c r="A40" s="16" t="s">
        <v>232</v>
      </c>
      <c r="B40" s="9">
        <v>44514</v>
      </c>
      <c r="C40" s="9" t="s">
        <v>36</v>
      </c>
      <c r="D40" s="9" t="s">
        <v>84</v>
      </c>
      <c r="E40" s="26">
        <v>0.35416666666666669</v>
      </c>
      <c r="F40" s="26">
        <v>0.47916666666666669</v>
      </c>
      <c r="G40" s="28">
        <f>(tb_Base[[#This Row],[Heure_fin]]-tb_Base[[#This Row],[Heure_debut]])*24</f>
        <v>3</v>
      </c>
      <c r="H40" s="9" t="s">
        <v>2</v>
      </c>
      <c r="I40" s="9" t="s">
        <v>105</v>
      </c>
      <c r="J40" s="9" t="s">
        <v>59</v>
      </c>
      <c r="K40" s="9" t="s">
        <v>194</v>
      </c>
      <c r="L40" s="30">
        <f>SUM(tb_Base[[#This Row],[0 - 19 cm]:[240 - 249 cm]])</f>
        <v>1</v>
      </c>
      <c r="M40" s="2" t="s">
        <v>116</v>
      </c>
      <c r="P40" s="2">
        <v>1</v>
      </c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16"/>
    </row>
    <row r="41" spans="1:38" x14ac:dyDescent="0.25">
      <c r="A41" s="2"/>
      <c r="B41" t="s">
        <v>126</v>
      </c>
      <c r="G41" s="28">
        <f>SUBTOTAL(109,tb_Base[Duree])</f>
        <v>84</v>
      </c>
      <c r="L41">
        <f>SUBTOTAL(109,tb_Base[Total_espece])</f>
        <v>47</v>
      </c>
      <c r="N41">
        <f>SUBTOTAL(109,tb_Base[0 - 19 cm])</f>
        <v>4</v>
      </c>
      <c r="O41">
        <f>SUBTOTAL(109,tb_Base[20 - 29 cm])</f>
        <v>12</v>
      </c>
      <c r="P41">
        <f>SUBTOTAL(109,tb_Base[30 - 39 cm])</f>
        <v>5</v>
      </c>
      <c r="Q41">
        <f>SUBTOTAL(109,tb_Base[40 - 49 cm])</f>
        <v>16</v>
      </c>
      <c r="R41">
        <f>SUBTOTAL(109,tb_Base[50 - 59 cm])</f>
        <v>5</v>
      </c>
      <c r="S41">
        <f>SUBTOTAL(109,tb_Base[60 - 69 cm])</f>
        <v>4</v>
      </c>
      <c r="T41">
        <f>SUBTOTAL(109,tb_Base[70 - 79 cm])</f>
        <v>1</v>
      </c>
      <c r="U41">
        <f>SUBTOTAL(109,tb_Base[80 - 89 cm])</f>
        <v>0</v>
      </c>
      <c r="V41">
        <f>SUBTOTAL(109,tb_Base[90 - 99 cm])</f>
        <v>0</v>
      </c>
      <c r="W41">
        <f>SUBTOTAL(109,tb_Base[100 - 109 cm])</f>
        <v>0</v>
      </c>
      <c r="X41">
        <f>SUBTOTAL(109,tb_Base[110 - 119 cm])</f>
        <v>0</v>
      </c>
      <c r="Y41">
        <f>SUBTOTAL(109,tb_Base[120 - 129 cm])</f>
        <v>0</v>
      </c>
      <c r="Z41">
        <f>SUBTOTAL(109,tb_Base[130 - 139 cm])</f>
        <v>0</v>
      </c>
      <c r="AA41">
        <f>SUBTOTAL(109,tb_Base[140 - 149 cm])</f>
        <v>0</v>
      </c>
      <c r="AB41">
        <f>SUBTOTAL(109,tb_Base[150 - 159 cm])</f>
        <v>0</v>
      </c>
      <c r="AC41">
        <f>SUBTOTAL(109,tb_Base[160 - 169 cm])</f>
        <v>0</v>
      </c>
      <c r="AD41">
        <f>SUBTOTAL(109,tb_Base[170 - 179 cm])</f>
        <v>0</v>
      </c>
      <c r="AE41">
        <f>SUBTOTAL(109,tb_Base[180 - 189 cm])</f>
        <v>0</v>
      </c>
      <c r="AF41">
        <f>SUBTOTAL(109,tb_Base[190 - 199 cm])</f>
        <v>0</v>
      </c>
      <c r="AG41">
        <f>SUBTOTAL(109,tb_Base[200 - 209 cm])</f>
        <v>0</v>
      </c>
      <c r="AH41">
        <f>SUBTOTAL(109,tb_Base[210 - 219 cm])</f>
        <v>0</v>
      </c>
      <c r="AI41">
        <f>SUBTOTAL(109,tb_Base[220 - 229 cm])</f>
        <v>0</v>
      </c>
      <c r="AJ41">
        <f>SUBTOTAL(109,tb_Base[230 - 239 cm])</f>
        <v>0</v>
      </c>
      <c r="AK41">
        <f>SUBTOTAL(109,tb_Base[240 - 249 cm])</f>
        <v>0</v>
      </c>
      <c r="AL41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8"/>
  <sheetViews>
    <sheetView showGridLines="0" workbookViewId="0">
      <selection activeCell="A5" sqref="A5"/>
    </sheetView>
  </sheetViews>
  <sheetFormatPr baseColWidth="10" defaultRowHeight="15.75" x14ac:dyDescent="0.25"/>
  <cols>
    <col min="1" max="1" width="23.375" customWidth="1"/>
    <col min="2" max="2" width="9.5" bestFit="1" customWidth="1"/>
    <col min="3" max="3" width="16.5" customWidth="1"/>
    <col min="4" max="4" width="44.375" bestFit="1" customWidth="1"/>
    <col min="5" max="5" width="34" bestFit="1" customWidth="1"/>
    <col min="6" max="6" width="24.125" bestFit="1" customWidth="1"/>
    <col min="7" max="7" width="31" bestFit="1" customWidth="1"/>
    <col min="8" max="8" width="19.625" bestFit="1" customWidth="1"/>
    <col min="9" max="9" width="40.625" bestFit="1" customWidth="1"/>
    <col min="10" max="10" width="25.5" bestFit="1" customWidth="1"/>
    <col min="11" max="11" width="23.625" bestFit="1" customWidth="1"/>
    <col min="12" max="12" width="50.5" bestFit="1" customWidth="1"/>
    <col min="13" max="13" width="21.5" bestFit="1" customWidth="1"/>
    <col min="14" max="14" width="18.375" bestFit="1" customWidth="1"/>
    <col min="15" max="15" width="16" bestFit="1" customWidth="1"/>
  </cols>
  <sheetData>
    <row r="1" spans="1:14" x14ac:dyDescent="0.25">
      <c r="A1" t="s">
        <v>162</v>
      </c>
    </row>
    <row r="2" spans="1:14" x14ac:dyDescent="0.25">
      <c r="A2" t="s">
        <v>156</v>
      </c>
    </row>
    <row r="4" spans="1:14" x14ac:dyDescent="0.25">
      <c r="A4" s="6" t="s">
        <v>78</v>
      </c>
      <c r="B4" s="6" t="s">
        <v>170</v>
      </c>
      <c r="C4" s="6" t="s">
        <v>30</v>
      </c>
      <c r="D4" s="6" t="s">
        <v>31</v>
      </c>
      <c r="E4" s="6" t="s">
        <v>32</v>
      </c>
      <c r="F4" s="6" t="s">
        <v>155</v>
      </c>
      <c r="G4" s="6" t="s">
        <v>80</v>
      </c>
      <c r="H4" s="6" t="s">
        <v>33</v>
      </c>
      <c r="I4" s="6" t="s">
        <v>34</v>
      </c>
      <c r="J4" s="6" t="s">
        <v>81</v>
      </c>
      <c r="K4" s="6" t="s">
        <v>35</v>
      </c>
      <c r="L4" s="7" t="s">
        <v>36</v>
      </c>
      <c r="M4" s="4" t="s">
        <v>71</v>
      </c>
      <c r="N4" s="5" t="s">
        <v>72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3"/>
      <c r="M5" s="33"/>
      <c r="N5" s="33"/>
    </row>
    <row r="6" spans="1:14" x14ac:dyDescent="0.25">
      <c r="A6" s="1" t="s">
        <v>30</v>
      </c>
      <c r="B6" s="1" t="s">
        <v>171</v>
      </c>
      <c r="C6" s="1" t="s">
        <v>82</v>
      </c>
      <c r="D6" s="1" t="s">
        <v>10</v>
      </c>
      <c r="E6" s="1" t="s">
        <v>18</v>
      </c>
      <c r="F6" s="1" t="s">
        <v>20</v>
      </c>
      <c r="G6" s="1" t="s">
        <v>23</v>
      </c>
      <c r="H6" s="1" t="s">
        <v>24</v>
      </c>
      <c r="I6" s="1" t="s">
        <v>83</v>
      </c>
      <c r="J6" s="1" t="s">
        <v>28</v>
      </c>
      <c r="K6" s="1" t="s">
        <v>100</v>
      </c>
      <c r="L6" s="3" t="s">
        <v>84</v>
      </c>
      <c r="M6" s="1"/>
      <c r="N6" s="1"/>
    </row>
    <row r="7" spans="1:14" x14ac:dyDescent="0.25">
      <c r="A7" s="1" t="s">
        <v>31</v>
      </c>
      <c r="B7" s="1"/>
      <c r="C7" s="1" t="s">
        <v>46</v>
      </c>
      <c r="D7" s="1" t="s">
        <v>11</v>
      </c>
      <c r="E7" s="1" t="s">
        <v>19</v>
      </c>
      <c r="F7" s="1" t="s">
        <v>85</v>
      </c>
      <c r="G7" s="1" t="s">
        <v>77</v>
      </c>
      <c r="H7" s="1" t="s">
        <v>77</v>
      </c>
      <c r="I7" s="1" t="s">
        <v>25</v>
      </c>
      <c r="J7" s="1" t="s">
        <v>29</v>
      </c>
      <c r="K7" s="1" t="s">
        <v>77</v>
      </c>
      <c r="L7" s="1" t="s">
        <v>77</v>
      </c>
      <c r="M7" s="1"/>
      <c r="N7" s="1"/>
    </row>
    <row r="8" spans="1:14" x14ac:dyDescent="0.25">
      <c r="A8" s="1" t="s">
        <v>32</v>
      </c>
      <c r="B8" s="1"/>
      <c r="C8" s="1" t="s">
        <v>45</v>
      </c>
      <c r="D8" s="1" t="s">
        <v>12</v>
      </c>
      <c r="E8" s="1" t="s">
        <v>77</v>
      </c>
      <c r="F8" s="1" t="s">
        <v>38</v>
      </c>
      <c r="G8" s="1"/>
      <c r="H8" s="1"/>
      <c r="I8" s="1" t="s">
        <v>26</v>
      </c>
      <c r="J8" s="1" t="s">
        <v>77</v>
      </c>
      <c r="K8" s="1"/>
      <c r="L8" s="3"/>
      <c r="M8" s="1"/>
      <c r="N8" s="1"/>
    </row>
    <row r="9" spans="1:14" x14ac:dyDescent="0.25">
      <c r="A9" s="1" t="s">
        <v>35</v>
      </c>
      <c r="B9" s="1"/>
      <c r="C9" s="1" t="s">
        <v>44</v>
      </c>
      <c r="D9" s="1" t="s">
        <v>13</v>
      </c>
      <c r="E9" s="1"/>
      <c r="F9" s="1" t="s">
        <v>21</v>
      </c>
      <c r="G9" s="1"/>
      <c r="H9" s="1"/>
      <c r="I9" s="1" t="s">
        <v>27</v>
      </c>
      <c r="J9" s="1"/>
      <c r="K9" s="1"/>
      <c r="L9" s="3"/>
      <c r="M9" s="1"/>
      <c r="N9" s="1"/>
    </row>
    <row r="10" spans="1:14" x14ac:dyDescent="0.25">
      <c r="A10" s="1" t="s">
        <v>80</v>
      </c>
      <c r="B10" s="1"/>
      <c r="C10" s="1" t="s">
        <v>5</v>
      </c>
      <c r="D10" s="1" t="s">
        <v>14</v>
      </c>
      <c r="E10" s="1"/>
      <c r="F10" s="1" t="s">
        <v>22</v>
      </c>
      <c r="G10" s="1"/>
      <c r="H10" s="1"/>
      <c r="I10" s="1" t="s">
        <v>86</v>
      </c>
      <c r="J10" s="1"/>
      <c r="K10" s="1"/>
      <c r="L10" s="3"/>
      <c r="M10" s="1"/>
      <c r="N10" s="1"/>
    </row>
    <row r="11" spans="1:14" x14ac:dyDescent="0.25">
      <c r="A11" s="1" t="s">
        <v>33</v>
      </c>
      <c r="B11" s="1"/>
      <c r="C11" s="1" t="s">
        <v>43</v>
      </c>
      <c r="D11" s="1" t="s">
        <v>87</v>
      </c>
      <c r="E11" s="1"/>
      <c r="F11" s="1" t="s">
        <v>88</v>
      </c>
      <c r="G11" s="1"/>
      <c r="H11" s="1"/>
      <c r="I11" s="1" t="s">
        <v>77</v>
      </c>
      <c r="J11" s="1"/>
      <c r="K11" s="1"/>
      <c r="L11" s="3"/>
      <c r="M11" s="1"/>
      <c r="N11" s="1"/>
    </row>
    <row r="12" spans="1:14" x14ac:dyDescent="0.25">
      <c r="A12" s="1" t="s">
        <v>36</v>
      </c>
      <c r="B12" s="1"/>
      <c r="C12" s="1" t="s">
        <v>89</v>
      </c>
      <c r="D12" s="1" t="s">
        <v>90</v>
      </c>
      <c r="E12" s="1"/>
      <c r="F12" s="1" t="s">
        <v>91</v>
      </c>
      <c r="G12" s="1"/>
      <c r="H12" s="1"/>
      <c r="I12" s="1"/>
      <c r="J12" s="1"/>
      <c r="K12" s="1"/>
      <c r="L12" s="3"/>
      <c r="M12" s="1"/>
      <c r="N12" s="1"/>
    </row>
    <row r="13" spans="1:14" x14ac:dyDescent="0.25">
      <c r="A13" s="1" t="s">
        <v>155</v>
      </c>
      <c r="B13" s="1"/>
      <c r="C13" s="1" t="s">
        <v>102</v>
      </c>
      <c r="D13" s="1" t="s">
        <v>92</v>
      </c>
      <c r="E13" s="1"/>
      <c r="F13" s="1" t="s">
        <v>93</v>
      </c>
      <c r="G13" s="1"/>
      <c r="H13" s="1"/>
      <c r="I13" s="1"/>
      <c r="J13" s="1"/>
      <c r="K13" s="1"/>
      <c r="L13" s="3"/>
      <c r="M13" s="1"/>
      <c r="N13" s="1"/>
    </row>
    <row r="14" spans="1:14" x14ac:dyDescent="0.25">
      <c r="A14" s="1" t="s">
        <v>34</v>
      </c>
      <c r="B14" s="1"/>
      <c r="C14" s="1" t="s">
        <v>103</v>
      </c>
      <c r="D14" s="1" t="s">
        <v>94</v>
      </c>
      <c r="E14" s="1"/>
      <c r="F14" s="1" t="s">
        <v>47</v>
      </c>
      <c r="G14" s="1"/>
      <c r="H14" s="1"/>
      <c r="I14" s="1"/>
      <c r="J14" s="1"/>
      <c r="K14" s="1"/>
      <c r="L14" s="3"/>
      <c r="M14" s="1"/>
      <c r="N14" s="1"/>
    </row>
    <row r="15" spans="1:14" x14ac:dyDescent="0.25">
      <c r="A15" s="1" t="s">
        <v>81</v>
      </c>
      <c r="B15" s="1"/>
      <c r="C15" s="1" t="s">
        <v>49</v>
      </c>
      <c r="D15" s="1" t="s">
        <v>95</v>
      </c>
      <c r="E15" s="1"/>
      <c r="F15" s="1" t="s">
        <v>48</v>
      </c>
      <c r="G15" s="1"/>
      <c r="H15" s="1"/>
      <c r="I15" s="1"/>
      <c r="J15" s="1"/>
      <c r="K15" s="1"/>
      <c r="L15" s="3"/>
      <c r="M15" s="1"/>
      <c r="N15" s="1"/>
    </row>
    <row r="16" spans="1:14" x14ac:dyDescent="0.25">
      <c r="A16" s="1" t="s">
        <v>170</v>
      </c>
      <c r="B16" s="1"/>
      <c r="C16" s="1" t="s">
        <v>6</v>
      </c>
      <c r="D16" s="1" t="s">
        <v>96</v>
      </c>
      <c r="E16" s="1"/>
      <c r="F16" s="1" t="s">
        <v>77</v>
      </c>
      <c r="G16" s="1"/>
      <c r="H16" s="1"/>
      <c r="I16" s="1"/>
      <c r="J16" s="1"/>
      <c r="K16" s="1"/>
      <c r="L16" s="3"/>
      <c r="M16" s="1"/>
      <c r="N16" s="1"/>
    </row>
    <row r="17" spans="1:14" x14ac:dyDescent="0.25">
      <c r="A17" s="1"/>
      <c r="B17" s="1"/>
      <c r="C17" s="1" t="s">
        <v>7</v>
      </c>
      <c r="D17" s="1" t="s">
        <v>15</v>
      </c>
      <c r="E17" s="1"/>
      <c r="F17" s="1"/>
      <c r="G17" s="1"/>
      <c r="H17" s="1"/>
      <c r="I17" s="1"/>
      <c r="J17" s="1"/>
      <c r="K17" s="1"/>
      <c r="L17" s="3"/>
      <c r="M17" s="1"/>
      <c r="N17" s="1"/>
    </row>
    <row r="18" spans="1:14" x14ac:dyDescent="0.25">
      <c r="A18" s="1"/>
      <c r="B18" s="1"/>
      <c r="C18" s="1" t="s">
        <v>39</v>
      </c>
      <c r="D18" s="1" t="s">
        <v>16</v>
      </c>
      <c r="E18" s="1"/>
      <c r="F18" s="1"/>
      <c r="G18" s="1"/>
      <c r="H18" s="1"/>
      <c r="I18" s="1"/>
      <c r="J18" s="1"/>
      <c r="K18" s="1"/>
      <c r="L18" s="3"/>
      <c r="M18" s="1"/>
      <c r="N18" s="1"/>
    </row>
    <row r="19" spans="1:14" x14ac:dyDescent="0.25">
      <c r="A19" s="1"/>
      <c r="B19" s="1"/>
      <c r="C19" s="1" t="s">
        <v>42</v>
      </c>
      <c r="D19" s="1" t="s">
        <v>17</v>
      </c>
      <c r="E19" s="1"/>
      <c r="F19" s="1"/>
      <c r="G19" s="1"/>
      <c r="H19" s="1"/>
      <c r="I19" s="1"/>
      <c r="J19" s="1"/>
      <c r="K19" s="1"/>
      <c r="L19" s="3"/>
      <c r="M19" s="1"/>
      <c r="N19" s="1"/>
    </row>
    <row r="20" spans="1:14" x14ac:dyDescent="0.25">
      <c r="A20" s="1"/>
      <c r="B20" s="1"/>
      <c r="C20" s="1" t="s">
        <v>40</v>
      </c>
      <c r="D20" s="1" t="s">
        <v>104</v>
      </c>
      <c r="E20" s="1"/>
      <c r="F20" s="1"/>
      <c r="G20" s="1"/>
      <c r="H20" s="1"/>
      <c r="I20" s="1"/>
      <c r="J20" s="1"/>
      <c r="K20" s="1"/>
      <c r="L20" s="3"/>
      <c r="M20" s="1"/>
      <c r="N20" s="1"/>
    </row>
    <row r="21" spans="1:14" x14ac:dyDescent="0.25">
      <c r="A21" s="1"/>
      <c r="B21" s="1"/>
      <c r="C21" s="1" t="s">
        <v>41</v>
      </c>
      <c r="D21" s="1" t="s">
        <v>77</v>
      </c>
      <c r="E21" s="1"/>
      <c r="F21" s="1"/>
      <c r="G21" s="1"/>
      <c r="H21" s="1"/>
      <c r="I21" s="1"/>
      <c r="J21" s="1"/>
      <c r="K21" s="1"/>
      <c r="L21" s="3"/>
      <c r="M21" s="1"/>
      <c r="N21" s="1"/>
    </row>
    <row r="22" spans="1:14" x14ac:dyDescent="0.25">
      <c r="A22" s="1"/>
      <c r="B22" s="1"/>
      <c r="C22" s="1" t="s">
        <v>97</v>
      </c>
      <c r="D22" s="1"/>
      <c r="E22" s="1"/>
      <c r="F22" s="1"/>
      <c r="G22" s="1"/>
      <c r="H22" s="1"/>
      <c r="I22" s="1"/>
      <c r="J22" s="1"/>
      <c r="K22" s="1"/>
      <c r="L22" s="3"/>
      <c r="M22" s="1"/>
      <c r="N22" s="1"/>
    </row>
    <row r="23" spans="1:14" x14ac:dyDescent="0.25">
      <c r="A23" s="1"/>
      <c r="B23" s="1"/>
      <c r="C23" s="1" t="s">
        <v>98</v>
      </c>
      <c r="D23" s="1"/>
      <c r="E23" s="1"/>
      <c r="F23" s="1"/>
      <c r="G23" s="1"/>
      <c r="H23" s="1"/>
      <c r="I23" s="1"/>
      <c r="J23" s="1"/>
      <c r="K23" s="1"/>
      <c r="L23" s="3"/>
      <c r="M23" s="1"/>
      <c r="N23" s="1"/>
    </row>
    <row r="24" spans="1:14" x14ac:dyDescent="0.25">
      <c r="A24" s="1"/>
      <c r="B24" s="1"/>
      <c r="C24" s="1" t="s">
        <v>192</v>
      </c>
      <c r="D24" s="1"/>
      <c r="E24" s="1"/>
      <c r="F24" s="1"/>
      <c r="G24" s="1"/>
      <c r="H24" s="1"/>
      <c r="I24" s="1"/>
      <c r="J24" s="1"/>
      <c r="K24" s="1"/>
      <c r="L24" s="3"/>
      <c r="M24" s="1"/>
      <c r="N24" s="1"/>
    </row>
    <row r="25" spans="1:14" x14ac:dyDescent="0.25">
      <c r="A25" s="1"/>
      <c r="B25" s="1"/>
      <c r="C25" s="1" t="s">
        <v>99</v>
      </c>
      <c r="D25" s="1"/>
      <c r="E25" s="1"/>
      <c r="F25" s="1"/>
      <c r="G25" s="1"/>
      <c r="H25" s="1"/>
      <c r="I25" s="1"/>
      <c r="J25" s="1"/>
      <c r="K25" s="1"/>
      <c r="L25" s="3"/>
      <c r="M25" s="1"/>
      <c r="N25" s="1"/>
    </row>
    <row r="26" spans="1:14" x14ac:dyDescent="0.25">
      <c r="A26" s="1"/>
      <c r="B26" s="1"/>
      <c r="C26" s="1" t="s">
        <v>8</v>
      </c>
      <c r="D26" s="1"/>
      <c r="E26" s="1"/>
      <c r="F26" s="1"/>
      <c r="G26" s="1"/>
      <c r="H26" s="1"/>
      <c r="I26" s="1"/>
      <c r="J26" s="1"/>
      <c r="K26" s="1"/>
      <c r="L26" s="3"/>
      <c r="M26" s="1"/>
      <c r="N26" s="1"/>
    </row>
    <row r="27" spans="1:14" x14ac:dyDescent="0.25">
      <c r="A27" s="1"/>
      <c r="B27" s="1"/>
      <c r="C27" s="1" t="s">
        <v>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 t="s">
        <v>77</v>
      </c>
      <c r="D28" s="1"/>
      <c r="E28" s="1"/>
      <c r="F28" s="1"/>
      <c r="G28" s="1"/>
      <c r="H28" s="1"/>
      <c r="I28" s="1"/>
      <c r="J28" s="1"/>
      <c r="K28" s="1"/>
      <c r="L28" s="3"/>
      <c r="M28" s="1"/>
      <c r="N28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3"/>
  <sheetViews>
    <sheetView showGridLines="0" workbookViewId="0">
      <selection activeCell="A4" sqref="A4"/>
    </sheetView>
  </sheetViews>
  <sheetFormatPr baseColWidth="10" defaultRowHeight="15.75" x14ac:dyDescent="0.25"/>
  <cols>
    <col min="1" max="1" width="39" bestFit="1" customWidth="1"/>
    <col min="2" max="2" width="10.625" bestFit="1" customWidth="1"/>
    <col min="3" max="3" width="4.875" bestFit="1" customWidth="1"/>
    <col min="4" max="4" width="14.875" bestFit="1" customWidth="1"/>
    <col min="5" max="5" width="19.625" bestFit="1" customWidth="1"/>
    <col min="6" max="6" width="16.375" bestFit="1" customWidth="1"/>
    <col min="7" max="7" width="23" customWidth="1"/>
    <col min="8" max="8" width="14.125" bestFit="1" customWidth="1"/>
    <col min="9" max="9" width="15.125" bestFit="1" customWidth="1"/>
    <col min="10" max="10" width="15.875" bestFit="1" customWidth="1"/>
  </cols>
  <sheetData>
    <row r="1" spans="1:10" x14ac:dyDescent="0.25">
      <c r="A1" t="s">
        <v>163</v>
      </c>
    </row>
    <row r="3" spans="1:10" x14ac:dyDescent="0.25">
      <c r="A3" t="s">
        <v>111</v>
      </c>
      <c r="B3" t="s">
        <v>186</v>
      </c>
      <c r="C3" t="s">
        <v>176</v>
      </c>
      <c r="D3" t="s">
        <v>105</v>
      </c>
      <c r="E3" t="s">
        <v>106</v>
      </c>
      <c r="F3" t="s">
        <v>107</v>
      </c>
      <c r="G3" t="s">
        <v>108</v>
      </c>
      <c r="H3" t="s">
        <v>109</v>
      </c>
      <c r="I3" t="s">
        <v>110</v>
      </c>
      <c r="J3" t="s">
        <v>157</v>
      </c>
    </row>
    <row r="5" spans="1:10" x14ac:dyDescent="0.25">
      <c r="A5" t="s">
        <v>105</v>
      </c>
      <c r="B5" t="s">
        <v>187</v>
      </c>
      <c r="C5" t="s">
        <v>176</v>
      </c>
      <c r="D5" t="s">
        <v>50</v>
      </c>
      <c r="E5" t="s">
        <v>181</v>
      </c>
      <c r="F5" t="s">
        <v>51</v>
      </c>
      <c r="G5" t="s">
        <v>193</v>
      </c>
      <c r="H5" t="s">
        <v>52</v>
      </c>
      <c r="I5" t="s">
        <v>53</v>
      </c>
      <c r="J5" t="s">
        <v>158</v>
      </c>
    </row>
    <row r="6" spans="1:10" x14ac:dyDescent="0.25">
      <c r="A6" t="s">
        <v>106</v>
      </c>
      <c r="B6" t="s">
        <v>188</v>
      </c>
      <c r="D6" t="s">
        <v>54</v>
      </c>
      <c r="E6" t="s">
        <v>182</v>
      </c>
      <c r="F6" t="s">
        <v>55</v>
      </c>
      <c r="G6" t="s">
        <v>56</v>
      </c>
      <c r="H6" t="s">
        <v>57</v>
      </c>
      <c r="I6" t="s">
        <v>58</v>
      </c>
      <c r="J6" t="s">
        <v>159</v>
      </c>
    </row>
    <row r="7" spans="1:10" x14ac:dyDescent="0.25">
      <c r="A7" t="s">
        <v>107</v>
      </c>
      <c r="D7" t="s">
        <v>59</v>
      </c>
      <c r="E7" t="s">
        <v>184</v>
      </c>
      <c r="F7" t="s">
        <v>60</v>
      </c>
      <c r="G7" t="s">
        <v>190</v>
      </c>
      <c r="H7" t="s">
        <v>61</v>
      </c>
      <c r="I7" t="s">
        <v>62</v>
      </c>
      <c r="J7" t="s">
        <v>160</v>
      </c>
    </row>
    <row r="8" spans="1:10" x14ac:dyDescent="0.25">
      <c r="A8" t="s">
        <v>108</v>
      </c>
      <c r="D8" t="s">
        <v>63</v>
      </c>
      <c r="E8" t="s">
        <v>198</v>
      </c>
      <c r="F8" t="s">
        <v>77</v>
      </c>
      <c r="G8" t="s">
        <v>64</v>
      </c>
      <c r="H8" t="s">
        <v>65</v>
      </c>
      <c r="I8" t="s">
        <v>66</v>
      </c>
      <c r="J8" t="s">
        <v>165</v>
      </c>
    </row>
    <row r="9" spans="1:10" x14ac:dyDescent="0.25">
      <c r="A9" t="s">
        <v>109</v>
      </c>
      <c r="D9" t="s">
        <v>67</v>
      </c>
      <c r="E9" t="s">
        <v>196</v>
      </c>
      <c r="G9" t="s">
        <v>77</v>
      </c>
      <c r="H9" t="s">
        <v>77</v>
      </c>
      <c r="I9" t="s">
        <v>68</v>
      </c>
      <c r="J9" t="s">
        <v>166</v>
      </c>
    </row>
    <row r="10" spans="1:10" x14ac:dyDescent="0.25">
      <c r="A10" t="s">
        <v>110</v>
      </c>
      <c r="D10" t="s">
        <v>69</v>
      </c>
      <c r="E10" t="s">
        <v>197</v>
      </c>
      <c r="G10" t="s">
        <v>191</v>
      </c>
      <c r="I10" t="s">
        <v>77</v>
      </c>
      <c r="J10" t="s">
        <v>167</v>
      </c>
    </row>
    <row r="11" spans="1:10" x14ac:dyDescent="0.25">
      <c r="A11" t="s">
        <v>176</v>
      </c>
      <c r="D11" t="s">
        <v>70</v>
      </c>
      <c r="J11" t="s">
        <v>168</v>
      </c>
    </row>
    <row r="12" spans="1:10" x14ac:dyDescent="0.25">
      <c r="A12" t="s">
        <v>186</v>
      </c>
      <c r="D12" t="s">
        <v>77</v>
      </c>
      <c r="J12" t="s">
        <v>169</v>
      </c>
    </row>
    <row r="13" spans="1:10" x14ac:dyDescent="0.25">
      <c r="J13" t="s">
        <v>37</v>
      </c>
    </row>
    <row r="14" spans="1:10" x14ac:dyDescent="0.25">
      <c r="J14" t="s">
        <v>177</v>
      </c>
    </row>
    <row r="15" spans="1:10" x14ac:dyDescent="0.25">
      <c r="J15" t="s">
        <v>178</v>
      </c>
    </row>
    <row r="16" spans="1:10" x14ac:dyDescent="0.25">
      <c r="J16" t="s">
        <v>179</v>
      </c>
    </row>
    <row r="17" spans="10:10" x14ac:dyDescent="0.25">
      <c r="J17" t="s">
        <v>180</v>
      </c>
    </row>
    <row r="18" spans="10:10" x14ac:dyDescent="0.25">
      <c r="J18" t="s">
        <v>176</v>
      </c>
    </row>
    <row r="19" spans="10:10" x14ac:dyDescent="0.25">
      <c r="J19" t="s">
        <v>183</v>
      </c>
    </row>
    <row r="20" spans="10:10" x14ac:dyDescent="0.25">
      <c r="J20" t="s">
        <v>185</v>
      </c>
    </row>
    <row r="21" spans="10:10" x14ac:dyDescent="0.25">
      <c r="J21" t="s">
        <v>189</v>
      </c>
    </row>
    <row r="22" spans="10:10" x14ac:dyDescent="0.25">
      <c r="J22" t="s">
        <v>194</v>
      </c>
    </row>
    <row r="23" spans="10:10" x14ac:dyDescent="0.25">
      <c r="J23" t="s">
        <v>195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workbookViewId="0">
      <selection activeCell="A5" sqref="A5"/>
    </sheetView>
  </sheetViews>
  <sheetFormatPr baseColWidth="10" defaultRowHeight="15.75" x14ac:dyDescent="0.25"/>
  <sheetData>
    <row r="1" spans="1:1" x14ac:dyDescent="0.25">
      <c r="A1" s="32" t="s">
        <v>79</v>
      </c>
    </row>
    <row r="2" spans="1:1" x14ac:dyDescent="0.25">
      <c r="A2" s="31" t="s">
        <v>2</v>
      </c>
    </row>
    <row r="3" spans="1:1" x14ac:dyDescent="0.25">
      <c r="A3" s="31" t="s">
        <v>1</v>
      </c>
    </row>
    <row r="4" spans="1:1" x14ac:dyDescent="0.25">
      <c r="A4" s="31" t="s">
        <v>37</v>
      </c>
    </row>
    <row r="5" spans="1:1" x14ac:dyDescent="0.25">
      <c r="A5" s="31" t="s">
        <v>3</v>
      </c>
    </row>
    <row r="6" spans="1:1" x14ac:dyDescent="0.25">
      <c r="A6" s="31" t="s">
        <v>4</v>
      </c>
    </row>
    <row r="7" spans="1:1" x14ac:dyDescent="0.25">
      <c r="A7" s="31" t="s">
        <v>101</v>
      </c>
    </row>
    <row r="8" spans="1:1" x14ac:dyDescent="0.25">
      <c r="A8" s="31" t="s">
        <v>164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Saisie</vt:lpstr>
      <vt:lpstr>Base</vt:lpstr>
      <vt:lpstr>Listes</vt:lpstr>
      <vt:lpstr>Leurres</vt:lpstr>
      <vt:lpstr>Meteo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pl_categorieLeurre</vt:lpstr>
      <vt:lpstr>pl_couleurLeurre</vt:lpstr>
      <vt:lpstr>pl_leurres</vt:lpstr>
      <vt:lpstr>pl_riviere</vt:lpstr>
      <vt:lpstr>pl_secteur</vt:lpstr>
      <vt:lpstr>Remarque</vt:lpstr>
      <vt:lpstr>Riviere</vt:lpstr>
      <vt:lpstr>Secteur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yal</cp:lastModifiedBy>
  <dcterms:created xsi:type="dcterms:W3CDTF">2022-09-26T04:59:44Z</dcterms:created>
  <dcterms:modified xsi:type="dcterms:W3CDTF">2022-11-08T12:31:03Z</dcterms:modified>
</cp:coreProperties>
</file>