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defaultThemeVersion="124226"/>
  <bookViews>
    <workbookView xWindow="-120" yWindow="-120" windowWidth="29040" windowHeight="15840" tabRatio="699" firstSheet="3" activeTab="3"/>
  </bookViews>
  <sheets>
    <sheet name="base chantier" sheetId="170" state="hidden" r:id="rId1"/>
    <sheet name="Base" sheetId="4" state="hidden" r:id="rId2"/>
    <sheet name="RECAP" sheetId="15" state="hidden" r:id="rId3"/>
    <sheet name="LAUVERGEAT" sheetId="164" r:id="rId4"/>
  </sheets>
  <functionGroups builtInGroupCount="17"/>
  <definedNames>
    <definedName name="chantier">'base chantier'!$A$1:$A$87</definedName>
    <definedName name="_xlnm.Print_Titles" localSheetId="2">RECAP!$A:$C,RECAP!$1:$6</definedName>
    <definedName name="_xlnm.Print_Area" localSheetId="1">Base!$A$1:$F$52</definedName>
    <definedName name="_xlnm.Print_Area" localSheetId="3">LAUVERGEAT!$A$2:$Z$53</definedName>
    <definedName name="_xlnm.Print_Area" localSheetId="2">RECAP!$A$1:$DC$52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D10" i="164" l="1"/>
  <c r="Z15" i="164"/>
  <c r="X15" i="164"/>
  <c r="W15" i="164"/>
  <c r="V15" i="164"/>
  <c r="L15" i="164"/>
  <c r="M15" i="164" s="1"/>
  <c r="N15" i="164" l="1"/>
  <c r="E25" i="164"/>
  <c r="AD35" i="164" a="1"/>
  <c r="AD67" i="164" a="1"/>
  <c r="AD16" i="164" a="1"/>
  <c r="AD56" i="164" a="1"/>
  <c r="AD88" i="164" a="1"/>
  <c r="AD24" i="164" a="1"/>
  <c r="AD52" i="164" a="1"/>
  <c r="AD84" i="164" a="1"/>
  <c r="AD29" i="164" a="1"/>
  <c r="AD61" i="164" a="1"/>
  <c r="AD62" i="164" a="1"/>
  <c r="AD33" i="164" a="1"/>
  <c r="AD65" i="164" a="1"/>
  <c r="AD70" i="164" a="1"/>
  <c r="AD26" i="164" a="1"/>
  <c r="AD42" i="164" a="1"/>
  <c r="AD58" i="164" a="1"/>
  <c r="AD31" i="164" a="1"/>
  <c r="AD63" i="164" a="1"/>
  <c r="AD86" i="164" a="1"/>
  <c r="AD11" i="164" a="1"/>
  <c r="AD43" i="164" a="1"/>
  <c r="AD75" i="164" a="1"/>
  <c r="AD32" i="164" a="1"/>
  <c r="AD64" i="164" a="1"/>
  <c r="AD90" i="164" a="1"/>
  <c r="AD28" i="164" a="1"/>
  <c r="AD60" i="164" a="1"/>
  <c r="AD78" i="164" a="1"/>
  <c r="AD37" i="164" a="1"/>
  <c r="AD69" i="164" a="1"/>
  <c r="AD82" i="164" a="1"/>
  <c r="AD41" i="164" a="1"/>
  <c r="AD73" i="164" a="1"/>
  <c r="AD14" i="164" a="1"/>
  <c r="AD30" i="164" a="1"/>
  <c r="AD46" i="164" a="1"/>
  <c r="AD66" i="164" a="1"/>
  <c r="AD39" i="164" a="1"/>
  <c r="AD71" i="164" a="1"/>
  <c r="AD19" i="164" a="1"/>
  <c r="AD51" i="164" a="1"/>
  <c r="AD83" i="164" a="1"/>
  <c r="AD36" i="164" a="1"/>
  <c r="AD72" i="164" a="1"/>
  <c r="AD12" i="164" a="1"/>
  <c r="AD40" i="164" a="1"/>
  <c r="AD68" i="164" a="1"/>
  <c r="AD17" i="164" a="1"/>
  <c r="AD45" i="164" a="1"/>
  <c r="AD77" i="164" a="1"/>
  <c r="AD13" i="164" a="1"/>
  <c r="AD49" i="164" a="1"/>
  <c r="AD81" i="164" a="1"/>
  <c r="AD18" i="164" a="1"/>
  <c r="AD34" i="164" a="1"/>
  <c r="AD50" i="164" a="1"/>
  <c r="AD15" i="164" a="1"/>
  <c r="AD47" i="164" a="1"/>
  <c r="AD79" i="164" a="1"/>
  <c r="AD27" i="164" a="1"/>
  <c r="AD59" i="164" a="1"/>
  <c r="AD74" i="164" a="1"/>
  <c r="AD44" i="164" a="1"/>
  <c r="AD80" i="164" a="1"/>
  <c r="AD20" i="164" a="1"/>
  <c r="AD48" i="164" a="1"/>
  <c r="AD76" i="164" a="1"/>
  <c r="AD25" i="164" a="1"/>
  <c r="AD53" i="164" a="1"/>
  <c r="AD85" i="164" a="1"/>
  <c r="AD21" i="164" a="1"/>
  <c r="AD57" i="164" a="1"/>
  <c r="AD89" i="164" a="1"/>
  <c r="AD22" i="164" a="1"/>
  <c r="AD38" i="164" a="1"/>
  <c r="AD54" i="164" a="1"/>
  <c r="AD23" i="164" a="1"/>
  <c r="AD55" i="164" a="1"/>
  <c r="AD87" i="164" a="1"/>
  <c r="Q15" i="164" l="1"/>
  <c r="S15" i="164" s="1"/>
  <c r="P15" i="164"/>
  <c r="AD86" i="164"/>
  <c r="AD87" i="164"/>
  <c r="AD79" i="164"/>
  <c r="AD71" i="164"/>
  <c r="AD63" i="164"/>
  <c r="AD55" i="164"/>
  <c r="AD47" i="164"/>
  <c r="AD39" i="164"/>
  <c r="AD31" i="164"/>
  <c r="AD23" i="164"/>
  <c r="AD15" i="164"/>
  <c r="AD66" i="164"/>
  <c r="AD58" i="164"/>
  <c r="AD54" i="164"/>
  <c r="AD50" i="164"/>
  <c r="AD46" i="164"/>
  <c r="AD42" i="164"/>
  <c r="AD38" i="164"/>
  <c r="AD34" i="164"/>
  <c r="AD30" i="164"/>
  <c r="AD26" i="164"/>
  <c r="AD22" i="164"/>
  <c r="AD18" i="164"/>
  <c r="AD14" i="164"/>
  <c r="AD70" i="164"/>
  <c r="AD89" i="164"/>
  <c r="AD81" i="164"/>
  <c r="AD73" i="164"/>
  <c r="AD65" i="164"/>
  <c r="AD57" i="164"/>
  <c r="AD49" i="164"/>
  <c r="AD41" i="164"/>
  <c r="AD33" i="164"/>
  <c r="AD21" i="164"/>
  <c r="AD13" i="164"/>
  <c r="AD82" i="164"/>
  <c r="AD62" i="164"/>
  <c r="AD85" i="164"/>
  <c r="AD77" i="164"/>
  <c r="AD69" i="164"/>
  <c r="AD61" i="164"/>
  <c r="AD53" i="164"/>
  <c r="AD45" i="164"/>
  <c r="AD37" i="164"/>
  <c r="AD29" i="164"/>
  <c r="AD25" i="164"/>
  <c r="AD17" i="164"/>
  <c r="AD78" i="164"/>
  <c r="AD84" i="164"/>
  <c r="AD76" i="164"/>
  <c r="AD68" i="164"/>
  <c r="AD60" i="164"/>
  <c r="AD52" i="164"/>
  <c r="AD48" i="164"/>
  <c r="AD40" i="164"/>
  <c r="AD28" i="164"/>
  <c r="AD24" i="164"/>
  <c r="AD20" i="164"/>
  <c r="AD12" i="164"/>
  <c r="AD90" i="164"/>
  <c r="AD88" i="164"/>
  <c r="AD80" i="164"/>
  <c r="AD72" i="164"/>
  <c r="AD64" i="164"/>
  <c r="AD56" i="164"/>
  <c r="AD44" i="164"/>
  <c r="AD36" i="164"/>
  <c r="AD32" i="164"/>
  <c r="AD16" i="164"/>
  <c r="AD74" i="164"/>
  <c r="AD83" i="164"/>
  <c r="AD75" i="164"/>
  <c r="AD67" i="164"/>
  <c r="AD59" i="164"/>
  <c r="AD51" i="164"/>
  <c r="AD43" i="164"/>
  <c r="AD35" i="164"/>
  <c r="AD27" i="164"/>
  <c r="AD19" i="164"/>
  <c r="AD11" i="164"/>
  <c r="D45" i="164"/>
  <c r="E45" i="164"/>
  <c r="F45" i="164"/>
  <c r="G45" i="164"/>
  <c r="H45" i="164"/>
  <c r="I45" i="164"/>
  <c r="D46" i="164"/>
  <c r="E46" i="164"/>
  <c r="F46" i="164"/>
  <c r="G46" i="164"/>
  <c r="H46" i="164"/>
  <c r="I46" i="164"/>
  <c r="D47" i="164"/>
  <c r="E47" i="164"/>
  <c r="F47" i="164"/>
  <c r="G47" i="164"/>
  <c r="H47" i="164"/>
  <c r="I47" i="164"/>
  <c r="D48" i="164"/>
  <c r="E48" i="164"/>
  <c r="F48" i="164"/>
  <c r="G48" i="164"/>
  <c r="H48" i="164"/>
  <c r="I48" i="164"/>
  <c r="D49" i="164"/>
  <c r="E49" i="164"/>
  <c r="F49" i="164"/>
  <c r="G49" i="164"/>
  <c r="H49" i="164"/>
  <c r="I49" i="164"/>
  <c r="D50" i="164"/>
  <c r="E50" i="164"/>
  <c r="F50" i="164"/>
  <c r="G50" i="164"/>
  <c r="H50" i="164"/>
  <c r="I50" i="164"/>
  <c r="D51" i="164"/>
  <c r="E51" i="164"/>
  <c r="F51" i="164"/>
  <c r="G51" i="164"/>
  <c r="H51" i="164"/>
  <c r="I51" i="164"/>
  <c r="D33" i="164"/>
  <c r="E33" i="164"/>
  <c r="F33" i="164"/>
  <c r="G33" i="164"/>
  <c r="H33" i="164"/>
  <c r="I33" i="164"/>
  <c r="D34" i="164"/>
  <c r="E34" i="164"/>
  <c r="F34" i="164"/>
  <c r="G34" i="164"/>
  <c r="H34" i="164"/>
  <c r="I34" i="164"/>
  <c r="D35" i="164"/>
  <c r="E35" i="164"/>
  <c r="F35" i="164"/>
  <c r="G35" i="164"/>
  <c r="H35" i="164"/>
  <c r="I35" i="164"/>
  <c r="D36" i="164"/>
  <c r="E36" i="164"/>
  <c r="F36" i="164"/>
  <c r="G36" i="164"/>
  <c r="H36" i="164"/>
  <c r="I36" i="164"/>
  <c r="D37" i="164"/>
  <c r="E37" i="164"/>
  <c r="F37" i="164"/>
  <c r="G37" i="164"/>
  <c r="H37" i="164"/>
  <c r="I37" i="164"/>
  <c r="D38" i="164"/>
  <c r="E38" i="164"/>
  <c r="F38" i="164"/>
  <c r="G38" i="164"/>
  <c r="H38" i="164"/>
  <c r="I38" i="164"/>
  <c r="D39" i="164"/>
  <c r="E39" i="164"/>
  <c r="F39" i="164"/>
  <c r="G39" i="164"/>
  <c r="H39" i="164"/>
  <c r="I39" i="164"/>
  <c r="D40" i="164"/>
  <c r="E40" i="164"/>
  <c r="F40" i="164"/>
  <c r="G40" i="164"/>
  <c r="H40" i="164"/>
  <c r="I40" i="164"/>
  <c r="D41" i="164"/>
  <c r="E41" i="164"/>
  <c r="F41" i="164"/>
  <c r="G41" i="164"/>
  <c r="H41" i="164"/>
  <c r="I41" i="164"/>
  <c r="D42" i="164"/>
  <c r="E42" i="164"/>
  <c r="F42" i="164"/>
  <c r="G42" i="164"/>
  <c r="H42" i="164"/>
  <c r="I42" i="164"/>
  <c r="D43" i="164"/>
  <c r="E43" i="164"/>
  <c r="F43" i="164"/>
  <c r="G43" i="164"/>
  <c r="H43" i="164"/>
  <c r="I43" i="164"/>
  <c r="D44" i="164"/>
  <c r="E44" i="164"/>
  <c r="F44" i="164"/>
  <c r="G44" i="164"/>
  <c r="H44" i="164"/>
  <c r="I44" i="164"/>
  <c r="F11" i="164"/>
  <c r="G11" i="164"/>
  <c r="H11" i="164"/>
  <c r="I11" i="164"/>
  <c r="F12" i="164"/>
  <c r="G12" i="164"/>
  <c r="H12" i="164"/>
  <c r="I12" i="164"/>
  <c r="F13" i="164"/>
  <c r="G13" i="164"/>
  <c r="H13" i="164"/>
  <c r="I13" i="164"/>
  <c r="F14" i="164"/>
  <c r="G14" i="164"/>
  <c r="H14" i="164"/>
  <c r="I14" i="164"/>
  <c r="D15" i="164"/>
  <c r="E15" i="164"/>
  <c r="F15" i="164"/>
  <c r="G15" i="164"/>
  <c r="H15" i="164"/>
  <c r="I15" i="164"/>
  <c r="D16" i="164"/>
  <c r="E16" i="164"/>
  <c r="F16" i="164"/>
  <c r="G16" i="164"/>
  <c r="H16" i="164"/>
  <c r="I16" i="164"/>
  <c r="D17" i="164"/>
  <c r="E17" i="164"/>
  <c r="F17" i="164"/>
  <c r="G17" i="164"/>
  <c r="H17" i="164"/>
  <c r="I17" i="164"/>
  <c r="D18" i="164"/>
  <c r="E18" i="164"/>
  <c r="F18" i="164"/>
  <c r="G18" i="164"/>
  <c r="H18" i="164"/>
  <c r="I18" i="164"/>
  <c r="D19" i="164"/>
  <c r="E19" i="164"/>
  <c r="F19" i="164"/>
  <c r="G19" i="164"/>
  <c r="H19" i="164"/>
  <c r="I19" i="164"/>
  <c r="D20" i="164"/>
  <c r="E20" i="164"/>
  <c r="F20" i="164"/>
  <c r="G20" i="164"/>
  <c r="H20" i="164"/>
  <c r="I20" i="164"/>
  <c r="D21" i="164"/>
  <c r="E21" i="164"/>
  <c r="F21" i="164"/>
  <c r="G21" i="164"/>
  <c r="H21" i="164"/>
  <c r="I21" i="164"/>
  <c r="D22" i="164"/>
  <c r="E22" i="164"/>
  <c r="F22" i="164"/>
  <c r="G22" i="164"/>
  <c r="H22" i="164"/>
  <c r="I22" i="164"/>
  <c r="D23" i="164"/>
  <c r="E23" i="164"/>
  <c r="F23" i="164"/>
  <c r="G23" i="164"/>
  <c r="H23" i="164"/>
  <c r="I23" i="164"/>
  <c r="D24" i="164"/>
  <c r="L30" i="164" s="1"/>
  <c r="F24" i="164"/>
  <c r="G24" i="164"/>
  <c r="H24" i="164"/>
  <c r="I24" i="164"/>
  <c r="D25" i="164"/>
  <c r="F25" i="164"/>
  <c r="G25" i="164"/>
  <c r="H25" i="164"/>
  <c r="I25" i="164"/>
  <c r="D26" i="164"/>
  <c r="F26" i="164"/>
  <c r="G26" i="164"/>
  <c r="H26" i="164"/>
  <c r="I26" i="164"/>
  <c r="D27" i="164"/>
  <c r="F27" i="164"/>
  <c r="G27" i="164"/>
  <c r="H27" i="164"/>
  <c r="I27" i="164"/>
  <c r="D28" i="164"/>
  <c r="F28" i="164"/>
  <c r="G28" i="164"/>
  <c r="H28" i="164"/>
  <c r="I28" i="164"/>
  <c r="D29" i="164"/>
  <c r="F29" i="164"/>
  <c r="G29" i="164"/>
  <c r="H29" i="164"/>
  <c r="D30" i="164"/>
  <c r="F30" i="164"/>
  <c r="G30" i="164"/>
  <c r="H30" i="164"/>
  <c r="I30" i="164"/>
  <c r="D31" i="164"/>
  <c r="E31" i="164"/>
  <c r="F31" i="164"/>
  <c r="G31" i="164"/>
  <c r="H31" i="164"/>
  <c r="I31" i="164"/>
  <c r="D32" i="164"/>
  <c r="E32" i="164"/>
  <c r="F32" i="164"/>
  <c r="G32" i="164"/>
  <c r="H32" i="164"/>
  <c r="I32" i="164"/>
  <c r="A87" i="170"/>
  <c r="A81" i="170"/>
  <c r="A80" i="170"/>
  <c r="A79" i="170"/>
  <c r="A78" i="170"/>
  <c r="A77" i="170"/>
  <c r="A76" i="170"/>
  <c r="A75" i="170"/>
  <c r="A74" i="170"/>
  <c r="A73" i="170"/>
  <c r="A72" i="170"/>
  <c r="A71" i="170"/>
  <c r="A70" i="170"/>
  <c r="A69" i="170"/>
  <c r="A68" i="170"/>
  <c r="A67" i="170"/>
  <c r="A66" i="170"/>
  <c r="A65" i="170"/>
  <c r="A64" i="170"/>
  <c r="A63" i="170"/>
  <c r="A62" i="170"/>
  <c r="A61" i="170"/>
  <c r="A60" i="170"/>
  <c r="A59" i="170"/>
  <c r="A58" i="170"/>
  <c r="A57" i="170"/>
  <c r="A56" i="170"/>
  <c r="A55" i="170"/>
  <c r="A54" i="170"/>
  <c r="A53" i="170"/>
  <c r="A52" i="170"/>
  <c r="A51" i="170"/>
  <c r="A50" i="170"/>
  <c r="A49" i="170"/>
  <c r="A48" i="170"/>
  <c r="A47" i="170"/>
  <c r="A46" i="170"/>
  <c r="A45" i="170"/>
  <c r="A44" i="170"/>
  <c r="A43" i="170"/>
  <c r="A42" i="170"/>
  <c r="A41" i="170"/>
  <c r="A40" i="170"/>
  <c r="A39" i="170"/>
  <c r="A37" i="170"/>
  <c r="A36" i="170"/>
  <c r="A35" i="170"/>
  <c r="A34" i="170"/>
  <c r="A33" i="170"/>
  <c r="A32" i="170"/>
  <c r="A31" i="170"/>
  <c r="A30" i="170"/>
  <c r="A29" i="170"/>
  <c r="A28" i="170"/>
  <c r="A27" i="170"/>
  <c r="A26" i="170"/>
  <c r="A25" i="170"/>
  <c r="A24" i="170"/>
  <c r="A23" i="170"/>
  <c r="A22" i="170"/>
  <c r="A21" i="170"/>
  <c r="A20" i="170"/>
  <c r="A19" i="170"/>
  <c r="A18" i="170"/>
  <c r="A17" i="170"/>
  <c r="A16" i="170"/>
  <c r="A15" i="170"/>
  <c r="A14" i="170"/>
  <c r="A13" i="170"/>
  <c r="A12" i="170"/>
  <c r="A11" i="170"/>
  <c r="A10" i="170"/>
  <c r="A9" i="170"/>
  <c r="A8" i="170"/>
  <c r="A7" i="170"/>
  <c r="A5" i="170"/>
  <c r="A4" i="170"/>
  <c r="A3" i="170"/>
  <c r="A2" i="170"/>
  <c r="L16" i="164" l="1"/>
  <c r="I57" i="164"/>
  <c r="CB52" i="15" l="1"/>
  <c r="CA52" i="15"/>
  <c r="BZ52" i="15"/>
  <c r="BY52" i="15"/>
  <c r="V23" i="164"/>
  <c r="V16" i="164"/>
  <c r="X44" i="164"/>
  <c r="W44" i="164"/>
  <c r="V44" i="164"/>
  <c r="G52" i="15"/>
  <c r="CZ52" i="15"/>
  <c r="CY52" i="15"/>
  <c r="CX52" i="15"/>
  <c r="CW52" i="15"/>
  <c r="CR52" i="15"/>
  <c r="CQ52" i="15"/>
  <c r="CP52" i="15"/>
  <c r="CO52" i="15"/>
  <c r="CJ52" i="15"/>
  <c r="CI52" i="15"/>
  <c r="CH52" i="15"/>
  <c r="CG52" i="15"/>
  <c r="BT52" i="15"/>
  <c r="BS52" i="15"/>
  <c r="BR52" i="15"/>
  <c r="BQ52" i="15"/>
  <c r="BL52" i="15"/>
  <c r="BK52" i="15"/>
  <c r="BJ52" i="15"/>
  <c r="BI52" i="15"/>
  <c r="BD52" i="15"/>
  <c r="BC52" i="15"/>
  <c r="BB52" i="15"/>
  <c r="BA52" i="15"/>
  <c r="AV52" i="15"/>
  <c r="AU52" i="15"/>
  <c r="AT52" i="15"/>
  <c r="AS52" i="15"/>
  <c r="AN52" i="15"/>
  <c r="AM52" i="15"/>
  <c r="AL52" i="15"/>
  <c r="AK52" i="15"/>
  <c r="AF52" i="15"/>
  <c r="AE52" i="15"/>
  <c r="AD52" i="15"/>
  <c r="AC52" i="15"/>
  <c r="X52" i="15"/>
  <c r="W52" i="15"/>
  <c r="V52" i="15"/>
  <c r="U52" i="15"/>
  <c r="P52" i="15"/>
  <c r="O52" i="15"/>
  <c r="N52" i="15"/>
  <c r="M52" i="15"/>
  <c r="F52" i="15"/>
  <c r="H52" i="15"/>
  <c r="E52" i="15"/>
  <c r="B10" i="4"/>
  <c r="B11" i="4" s="1"/>
  <c r="B12" i="4" s="1"/>
  <c r="B13" i="4" s="1"/>
  <c r="B14" i="4" s="1"/>
  <c r="B15" i="4" s="1"/>
  <c r="B16" i="4" s="1"/>
  <c r="B17" i="4" s="1"/>
  <c r="B18" i="4" s="1"/>
  <c r="B19" i="4" s="1"/>
  <c r="B20" i="4" s="1"/>
  <c r="B21" i="4" s="1"/>
  <c r="B22" i="4" s="1"/>
  <c r="B23" i="4" s="1"/>
  <c r="B24" i="4" s="1"/>
  <c r="B25" i="4" s="1"/>
  <c r="B26" i="4" s="1"/>
  <c r="B27" i="4" s="1"/>
  <c r="B28" i="4" s="1"/>
  <c r="B29" i="4" s="1"/>
  <c r="B30" i="4" s="1"/>
  <c r="B31" i="4" s="1"/>
  <c r="B32" i="4" s="1"/>
  <c r="B33" i="4" s="1"/>
  <c r="B34" i="4" s="1"/>
  <c r="B35" i="4" s="1"/>
  <c r="B36" i="4" s="1"/>
  <c r="B37" i="4" s="1"/>
  <c r="B38" i="4" s="1"/>
  <c r="B39" i="4" s="1"/>
  <c r="B40" i="4" s="1"/>
  <c r="B41" i="4" s="1"/>
  <c r="B42" i="4" s="1"/>
  <c r="B43" i="4" s="1"/>
  <c r="B44" i="4" s="1"/>
  <c r="B45" i="4" s="1"/>
  <c r="B46" i="4" s="1"/>
  <c r="B47" i="4" s="1"/>
  <c r="B48" i="4" s="1"/>
  <c r="B49" i="4" s="1"/>
  <c r="B50" i="4" s="1"/>
  <c r="C52" i="4" l="1"/>
  <c r="A10" i="15" l="1"/>
  <c r="B10" i="15"/>
  <c r="A24" i="15" l="1"/>
  <c r="F10" i="164" l="1"/>
  <c r="G10" i="164"/>
  <c r="H10" i="164"/>
  <c r="D5" i="164"/>
  <c r="Y53" i="164"/>
  <c r="U53" i="164"/>
  <c r="R53" i="164"/>
  <c r="O53" i="164"/>
  <c r="K47" i="164"/>
  <c r="K46" i="164"/>
  <c r="K45" i="164"/>
  <c r="A45" i="164"/>
  <c r="K44" i="164"/>
  <c r="J44" i="164"/>
  <c r="J45" i="164" s="1"/>
  <c r="J46" i="164" s="1"/>
  <c r="J47" i="164" s="1"/>
  <c r="J39" i="164"/>
  <c r="J38" i="164"/>
  <c r="A38" i="164"/>
  <c r="X37" i="164"/>
  <c r="W37" i="164"/>
  <c r="V37" i="164"/>
  <c r="J37" i="164"/>
  <c r="C37" i="164"/>
  <c r="J36" i="164"/>
  <c r="J35" i="164"/>
  <c r="J34" i="164"/>
  <c r="J33" i="164"/>
  <c r="J32" i="164"/>
  <c r="J31" i="164"/>
  <c r="A31" i="164"/>
  <c r="X30" i="164"/>
  <c r="W30" i="164"/>
  <c r="V30" i="164"/>
  <c r="J30" i="164"/>
  <c r="C30" i="164"/>
  <c r="N30" i="164" s="1"/>
  <c r="P30" i="164" s="1"/>
  <c r="J29" i="164"/>
  <c r="J28" i="164"/>
  <c r="J27" i="164"/>
  <c r="J26" i="164"/>
  <c r="J25" i="164"/>
  <c r="J24" i="164"/>
  <c r="A24" i="164"/>
  <c r="X23" i="164"/>
  <c r="W23" i="164"/>
  <c r="J23" i="164"/>
  <c r="C23" i="164"/>
  <c r="J22" i="164"/>
  <c r="J21" i="164"/>
  <c r="J20" i="164"/>
  <c r="J19" i="164"/>
  <c r="J18" i="164"/>
  <c r="J17" i="164"/>
  <c r="A17" i="164"/>
  <c r="X16" i="164"/>
  <c r="W16" i="164"/>
  <c r="J16" i="164"/>
  <c r="C16" i="164"/>
  <c r="J15" i="164"/>
  <c r="J14" i="164"/>
  <c r="J13" i="164"/>
  <c r="J12" i="164"/>
  <c r="J11" i="164"/>
  <c r="J10" i="164"/>
  <c r="B10" i="164"/>
  <c r="B11" i="164" s="1"/>
  <c r="B12" i="164" s="1"/>
  <c r="B13" i="164" s="1"/>
  <c r="B14" i="164" s="1"/>
  <c r="B15" i="164" s="1"/>
  <c r="B16" i="164" s="1"/>
  <c r="B17" i="164" s="1"/>
  <c r="B18" i="164" s="1"/>
  <c r="B19" i="164" s="1"/>
  <c r="B20" i="164" s="1"/>
  <c r="B21" i="164" s="1"/>
  <c r="B22" i="164" s="1"/>
  <c r="B23" i="164" s="1"/>
  <c r="B24" i="164" s="1"/>
  <c r="B25" i="164" s="1"/>
  <c r="B26" i="164" s="1"/>
  <c r="B27" i="164" s="1"/>
  <c r="B28" i="164" s="1"/>
  <c r="B29" i="164" s="1"/>
  <c r="B30" i="164" s="1"/>
  <c r="B31" i="164" s="1"/>
  <c r="B32" i="164" s="1"/>
  <c r="B33" i="164" s="1"/>
  <c r="B34" i="164" s="1"/>
  <c r="B35" i="164" s="1"/>
  <c r="B36" i="164" s="1"/>
  <c r="B37" i="164" s="1"/>
  <c r="B38" i="164" s="1"/>
  <c r="B39" i="164" s="1"/>
  <c r="B40" i="164" s="1"/>
  <c r="B41" i="164" s="1"/>
  <c r="B42" i="164" s="1"/>
  <c r="B43" i="164" s="1"/>
  <c r="B44" i="164" s="1"/>
  <c r="B45" i="164" s="1"/>
  <c r="B46" i="164" s="1"/>
  <c r="B47" i="164" s="1"/>
  <c r="B48" i="164" s="1"/>
  <c r="B49" i="164" s="1"/>
  <c r="B50" i="164" s="1"/>
  <c r="B51" i="164" s="1"/>
  <c r="A10" i="164"/>
  <c r="D3" i="164"/>
  <c r="M16" i="164" l="1"/>
  <c r="N16" i="164"/>
  <c r="P16" i="164" s="1"/>
  <c r="V53" i="164"/>
  <c r="AC67" i="164"/>
  <c r="AC52" i="164"/>
  <c r="AC37" i="164"/>
  <c r="AC22" i="164"/>
  <c r="AC86" i="164"/>
  <c r="AC71" i="164"/>
  <c r="AC56" i="164"/>
  <c r="AC41" i="164"/>
  <c r="AC26" i="164"/>
  <c r="AC11" i="164"/>
  <c r="AC75" i="164"/>
  <c r="AC60" i="164"/>
  <c r="AC45" i="164"/>
  <c r="AC30" i="164"/>
  <c r="AC15" i="164"/>
  <c r="AC79" i="164"/>
  <c r="AC64" i="164"/>
  <c r="AC49" i="164"/>
  <c r="AC34" i="164"/>
  <c r="AC19" i="164"/>
  <c r="AC83" i="164"/>
  <c r="AC68" i="164"/>
  <c r="AC53" i="164"/>
  <c r="AC38" i="164"/>
  <c r="AC23" i="164"/>
  <c r="AC87" i="164"/>
  <c r="AC72" i="164"/>
  <c r="AC57" i="164"/>
  <c r="AC42" i="164"/>
  <c r="AC27" i="164"/>
  <c r="AC12" i="164"/>
  <c r="AC76" i="164"/>
  <c r="AC61" i="164"/>
  <c r="AC46" i="164"/>
  <c r="AC31" i="164"/>
  <c r="AC16" i="164"/>
  <c r="AC80" i="164"/>
  <c r="AC65" i="164"/>
  <c r="AC50" i="164"/>
  <c r="AC35" i="164"/>
  <c r="AC20" i="164"/>
  <c r="AC84" i="164"/>
  <c r="AC69" i="164"/>
  <c r="AC54" i="164"/>
  <c r="AC39" i="164"/>
  <c r="AC24" i="164"/>
  <c r="AC88" i="164"/>
  <c r="AC73" i="164"/>
  <c r="AC58" i="164"/>
  <c r="AC43" i="164"/>
  <c r="AC28" i="164"/>
  <c r="AC13" i="164"/>
  <c r="AC77" i="164"/>
  <c r="AC62" i="164"/>
  <c r="AC47" i="164"/>
  <c r="AC32" i="164"/>
  <c r="AC17" i="164"/>
  <c r="AC81" i="164"/>
  <c r="AC66" i="164"/>
  <c r="AC51" i="164"/>
  <c r="AC36" i="164"/>
  <c r="AC21" i="164"/>
  <c r="AC85" i="164"/>
  <c r="AC70" i="164"/>
  <c r="AC55" i="164"/>
  <c r="AC40" i="164"/>
  <c r="AC25" i="164"/>
  <c r="AC89" i="164"/>
  <c r="AC74" i="164"/>
  <c r="AC59" i="164"/>
  <c r="AC44" i="164"/>
  <c r="AC29" i="164"/>
  <c r="AC14" i="164"/>
  <c r="AC78" i="164"/>
  <c r="AC63" i="164"/>
  <c r="AC48" i="164"/>
  <c r="AC33" i="164"/>
  <c r="AC18" i="164"/>
  <c r="AC82" i="164"/>
  <c r="AC10" i="164"/>
  <c r="G53" i="164"/>
  <c r="E53" i="164"/>
  <c r="D53" i="164"/>
  <c r="F53" i="164"/>
  <c r="L44" i="164"/>
  <c r="Z44" i="164"/>
  <c r="W53" i="164"/>
  <c r="X53" i="164"/>
  <c r="Z30" i="164"/>
  <c r="Z37" i="164"/>
  <c r="L23" i="164"/>
  <c r="M23" i="164" s="1"/>
  <c r="L37" i="164"/>
  <c r="M37" i="164" s="1"/>
  <c r="Z23" i="164"/>
  <c r="Z16" i="164"/>
  <c r="N44" i="164" l="1"/>
  <c r="M44" i="164"/>
  <c r="N37" i="164"/>
  <c r="P37" i="164" s="1"/>
  <c r="Z53" i="164"/>
  <c r="L52" i="164"/>
  <c r="N23" i="164"/>
  <c r="T23" i="164" s="1"/>
  <c r="M30" i="164"/>
  <c r="Q37" i="164" l="1"/>
  <c r="T44" i="164"/>
  <c r="P44" i="164"/>
  <c r="Q44" i="164"/>
  <c r="S44" i="164" s="1"/>
  <c r="Q30" i="164"/>
  <c r="T30" i="164"/>
  <c r="T37" i="164"/>
  <c r="P23" i="164"/>
  <c r="M53" i="164"/>
  <c r="N53" i="164"/>
  <c r="Q16" i="164"/>
  <c r="Q23" i="164"/>
  <c r="S23" i="164" s="1"/>
  <c r="S37" i="164" l="1"/>
  <c r="S16" i="164"/>
  <c r="S30" i="164"/>
  <c r="T53" i="164"/>
  <c r="P53" i="164"/>
  <c r="Q53" i="164"/>
  <c r="AE33" i="164" l="1"/>
  <c r="AE41" i="164"/>
  <c r="AE49" i="164"/>
  <c r="AE64" i="164"/>
  <c r="AE88" i="164"/>
  <c r="AE34" i="164"/>
  <c r="AE58" i="164"/>
  <c r="AE73" i="164"/>
  <c r="AE27" i="164"/>
  <c r="AE51" i="164"/>
  <c r="AE74" i="164"/>
  <c r="S53" i="164"/>
  <c r="AE20" i="164"/>
  <c r="AE36" i="164"/>
  <c r="AE52" i="164"/>
  <c r="AE59" i="164"/>
  <c r="AE75" i="164"/>
  <c r="AE83" i="164"/>
  <c r="AE84" i="164"/>
  <c r="AE14" i="164"/>
  <c r="AE29" i="164"/>
  <c r="AE37" i="164"/>
  <c r="AE60" i="164"/>
  <c r="AE68" i="164"/>
  <c r="AE76" i="164"/>
  <c r="AE15" i="164"/>
  <c r="AE22" i="164"/>
  <c r="AE30" i="164"/>
  <c r="AE38" i="164"/>
  <c r="AE46" i="164"/>
  <c r="AE54" i="164"/>
  <c r="AE61" i="164"/>
  <c r="AE24" i="164"/>
  <c r="AE31" i="164"/>
  <c r="AE39" i="164"/>
  <c r="AE47" i="164"/>
  <c r="AE55" i="164"/>
  <c r="AE62" i="164"/>
  <c r="AE70" i="164"/>
  <c r="AE80" i="164"/>
  <c r="AE16" i="164"/>
  <c r="AE25" i="164"/>
  <c r="AE32" i="164"/>
  <c r="AE40" i="164"/>
  <c r="AE56" i="164"/>
  <c r="AE63" i="164"/>
  <c r="AE71" i="164"/>
  <c r="AE79" i="164"/>
  <c r="AE87" i="164"/>
  <c r="AE89" i="164"/>
  <c r="AE67" i="164"/>
  <c r="AE44" i="164"/>
  <c r="AE13" i="164"/>
  <c r="AE21" i="164"/>
  <c r="AE53" i="164"/>
  <c r="AE77" i="164"/>
  <c r="AE85" i="164"/>
  <c r="AE57" i="164"/>
  <c r="AE26" i="164"/>
  <c r="AE50" i="164"/>
  <c r="AE66" i="164"/>
  <c r="AE82" i="164"/>
  <c r="AE90" i="164"/>
  <c r="AE81" i="164"/>
  <c r="AE17" i="164"/>
  <c r="AE45" i="164"/>
  <c r="AE18" i="164"/>
  <c r="AE19" i="164"/>
  <c r="AE10" i="164"/>
  <c r="AE65" i="164"/>
  <c r="AE48" i="164"/>
  <c r="AE43" i="164"/>
  <c r="AE35" i="164"/>
  <c r="AE23" i="164"/>
  <c r="AE11" i="164"/>
  <c r="AE86" i="164"/>
  <c r="AE69" i="164"/>
  <c r="AE28" i="164"/>
  <c r="AE42" i="164"/>
  <c r="AE78" i="164"/>
  <c r="AE12" i="164"/>
  <c r="AE72" i="164"/>
  <c r="A45" i="15"/>
  <c r="E2" i="15" l="1"/>
  <c r="C37" i="15" l="1"/>
  <c r="C30" i="15"/>
  <c r="C23" i="15"/>
  <c r="C16" i="15"/>
  <c r="A38" i="15" l="1"/>
  <c r="A31" i="15"/>
  <c r="A17" i="15"/>
  <c r="B11" i="15" l="1"/>
  <c r="B12" i="15" s="1"/>
  <c r="B13" i="15" s="1"/>
  <c r="B14" i="15" l="1"/>
  <c r="B15" i="15" s="1"/>
  <c r="B16" i="15" s="1"/>
  <c r="B17" i="15" s="1"/>
  <c r="B18" i="15" s="1"/>
  <c r="B19" i="15" s="1"/>
  <c r="B20" i="15" s="1"/>
  <c r="B21" i="15" s="1"/>
  <c r="B22" i="15" s="1"/>
  <c r="B23" i="15" s="1"/>
  <c r="B24" i="15" l="1"/>
  <c r="B25" i="15" s="1"/>
  <c r="B26" i="15" s="1"/>
  <c r="B27" i="15" s="1"/>
  <c r="B28" i="15" s="1"/>
  <c r="B29" i="15" s="1"/>
  <c r="B30" i="15" s="1"/>
  <c r="B31" i="15" s="1"/>
  <c r="B32" i="15" s="1"/>
  <c r="B33" i="15" s="1"/>
  <c r="B34" i="15" s="1"/>
  <c r="B35" i="15" s="1"/>
  <c r="B36" i="15" s="1"/>
  <c r="B37" i="15" s="1"/>
  <c r="B38" i="15" s="1"/>
  <c r="B39" i="15" s="1"/>
  <c r="B40" i="15" s="1"/>
  <c r="B41" i="15" s="1"/>
  <c r="B42" i="15" s="1"/>
  <c r="B43" i="15" s="1"/>
  <c r="B44" i="15" s="1"/>
  <c r="B45" i="15" s="1"/>
  <c r="B46" i="15" s="1"/>
  <c r="B47" i="15" s="1"/>
  <c r="B48" i="15" s="1"/>
  <c r="B49" i="15" s="1"/>
  <c r="B50" i="15" s="1"/>
  <c r="AE91" i="164" l="1"/>
  <c r="AF10" i="164" s="1"/>
  <c r="AH10" i="164" s="1"/>
  <c r="AF90" i="164" l="1"/>
  <c r="AH90" i="164" s="1"/>
  <c r="AF70" i="164"/>
  <c r="AG70" i="164" s="1"/>
  <c r="AF73" i="164"/>
  <c r="AH73" i="164" s="1"/>
  <c r="AF56" i="164"/>
  <c r="AG56" i="164" s="1"/>
  <c r="AF57" i="164"/>
  <c r="AH57" i="164" s="1"/>
  <c r="AF87" i="164"/>
  <c r="AH87" i="164" s="1"/>
  <c r="AF48" i="164"/>
  <c r="AH48" i="164" s="1"/>
  <c r="AF42" i="164"/>
  <c r="AH42" i="164" s="1"/>
  <c r="AF45" i="164"/>
  <c r="AG45" i="164" s="1"/>
  <c r="AF19" i="164"/>
  <c r="AG19" i="164" s="1"/>
  <c r="AF51" i="164"/>
  <c r="AG51" i="164" s="1"/>
  <c r="AF21" i="164"/>
  <c r="AG21" i="164" s="1"/>
  <c r="AF30" i="164"/>
  <c r="AH30" i="164" s="1"/>
  <c r="AF64" i="164"/>
  <c r="AG64" i="164" s="1"/>
  <c r="AF13" i="164"/>
  <c r="AH13" i="164" s="1"/>
  <c r="AF36" i="164"/>
  <c r="AG36" i="164" s="1"/>
  <c r="AF12" i="164"/>
  <c r="AH12" i="164" s="1"/>
  <c r="AF65" i="164"/>
  <c r="AH65" i="164" s="1"/>
  <c r="AF26" i="164"/>
  <c r="AG26" i="164" s="1"/>
  <c r="AF29" i="164"/>
  <c r="AH29" i="164" s="1"/>
  <c r="AF47" i="164"/>
  <c r="AH47" i="164" s="1"/>
  <c r="AF83" i="164"/>
  <c r="AH83" i="164" s="1"/>
  <c r="AF61" i="164"/>
  <c r="AG61" i="164" s="1"/>
  <c r="AF86" i="164"/>
  <c r="AG86" i="164" s="1"/>
  <c r="AF35" i="164"/>
  <c r="AG35" i="164" s="1"/>
  <c r="AF52" i="164"/>
  <c r="AG52" i="164" s="1"/>
  <c r="AF34" i="164"/>
  <c r="AG34" i="164" s="1"/>
  <c r="AF84" i="164"/>
  <c r="AG84" i="164" s="1"/>
  <c r="AF85" i="164"/>
  <c r="AH85" i="164" s="1"/>
  <c r="AF77" i="164"/>
  <c r="AG77" i="164" s="1"/>
  <c r="AF28" i="164"/>
  <c r="AG28" i="164" s="1"/>
  <c r="AF68" i="164"/>
  <c r="AG68" i="164" s="1"/>
  <c r="AF59" i="164"/>
  <c r="AH59" i="164" s="1"/>
  <c r="AF78" i="164"/>
  <c r="AG78" i="164" s="1"/>
  <c r="AF76" i="164"/>
  <c r="AG76" i="164" s="1"/>
  <c r="AF54" i="164"/>
  <c r="AH54" i="164" s="1"/>
  <c r="AF43" i="164"/>
  <c r="AG43" i="164" s="1"/>
  <c r="AF33" i="164"/>
  <c r="AH33" i="164" s="1"/>
  <c r="AF60" i="164"/>
  <c r="AG60" i="164" s="1"/>
  <c r="AF41" i="164"/>
  <c r="AH41" i="164" s="1"/>
  <c r="AF50" i="164"/>
  <c r="AH50" i="164" s="1"/>
  <c r="AF46" i="164"/>
  <c r="AH46" i="164" s="1"/>
  <c r="AF15" i="164"/>
  <c r="AH15" i="164" s="1"/>
  <c r="AF17" i="164"/>
  <c r="AG17" i="164" s="1"/>
  <c r="AF32" i="164"/>
  <c r="AG32" i="164" s="1"/>
  <c r="AF20" i="164"/>
  <c r="AG20" i="164" s="1"/>
  <c r="AF11" i="164"/>
  <c r="AH11" i="164" s="1"/>
  <c r="AF16" i="164"/>
  <c r="AH16" i="164" s="1"/>
  <c r="AF71" i="164"/>
  <c r="AG71" i="164" s="1"/>
  <c r="AF80" i="164"/>
  <c r="AG80" i="164" s="1"/>
  <c r="AG10" i="164"/>
  <c r="AF69" i="164"/>
  <c r="AH69" i="164" s="1"/>
  <c r="AF88" i="164"/>
  <c r="AG88" i="164" s="1"/>
  <c r="AF14" i="164"/>
  <c r="AG14" i="164" s="1"/>
  <c r="AF75" i="164"/>
  <c r="AH75" i="164" s="1"/>
  <c r="AF40" i="164"/>
  <c r="AG40" i="164" s="1"/>
  <c r="AF37" i="164"/>
  <c r="AG37" i="164" s="1"/>
  <c r="AF79" i="164"/>
  <c r="AG79" i="164" s="1"/>
  <c r="AF55" i="164"/>
  <c r="AH55" i="164" s="1"/>
  <c r="AF38" i="164"/>
  <c r="AG38" i="164" s="1"/>
  <c r="AF72" i="164"/>
  <c r="AH72" i="164" s="1"/>
  <c r="AF58" i="164"/>
  <c r="AG58" i="164" s="1"/>
  <c r="AF44" i="164"/>
  <c r="AG44" i="164" s="1"/>
  <c r="AF39" i="164"/>
  <c r="AH39" i="164" s="1"/>
  <c r="AF18" i="164"/>
  <c r="AH18" i="164" s="1"/>
  <c r="AF31" i="164"/>
  <c r="AH31" i="164" s="1"/>
  <c r="AF67" i="164"/>
  <c r="AH67" i="164" s="1"/>
  <c r="AF62" i="164"/>
  <c r="AG62" i="164" s="1"/>
  <c r="AF49" i="164"/>
  <c r="AG49" i="164" s="1"/>
  <c r="AF82" i="164"/>
  <c r="AH82" i="164" s="1"/>
  <c r="AF63" i="164"/>
  <c r="AG63" i="164" s="1"/>
  <c r="AF81" i="164"/>
  <c r="AH81" i="164" s="1"/>
  <c r="AF66" i="164"/>
  <c r="AH66" i="164" s="1"/>
  <c r="AF53" i="164"/>
  <c r="AG53" i="164" s="1"/>
  <c r="AF89" i="164"/>
  <c r="AH89" i="164" s="1"/>
  <c r="AF23" i="164"/>
  <c r="AG23" i="164" s="1"/>
  <c r="AF22" i="164"/>
  <c r="AH22" i="164" s="1"/>
  <c r="AF24" i="164"/>
  <c r="AG24" i="164" s="1"/>
  <c r="AF27" i="164"/>
  <c r="AG27" i="164" s="1"/>
  <c r="AF25" i="164"/>
  <c r="AH25" i="164" s="1"/>
  <c r="AF74" i="164"/>
  <c r="AH74" i="164" s="1"/>
  <c r="AG54" i="164" l="1"/>
  <c r="AH84" i="164"/>
  <c r="AH62" i="164"/>
  <c r="AH21" i="164"/>
  <c r="AG87" i="164"/>
  <c r="AG33" i="164"/>
  <c r="AH34" i="164"/>
  <c r="AH23" i="164"/>
  <c r="AG85" i="164"/>
  <c r="AH64" i="164"/>
  <c r="AH17" i="164"/>
  <c r="AG29" i="164"/>
  <c r="AH56" i="164"/>
  <c r="AG69" i="164"/>
  <c r="AH38" i="164"/>
  <c r="AH14" i="164"/>
  <c r="AH20" i="164"/>
  <c r="AG82" i="164"/>
  <c r="AH77" i="164"/>
  <c r="AH58" i="164"/>
  <c r="AH61" i="164"/>
  <c r="AG55" i="164"/>
  <c r="AH88" i="164"/>
  <c r="AH49" i="164"/>
  <c r="AH37" i="164"/>
  <c r="AG74" i="164"/>
  <c r="AG59" i="164"/>
  <c r="AG72" i="164"/>
  <c r="AG47" i="164"/>
  <c r="AH44" i="164"/>
  <c r="AG73" i="164"/>
  <c r="AH76" i="164"/>
  <c r="AG15" i="164"/>
  <c r="AH26" i="164"/>
  <c r="AG67" i="164"/>
  <c r="AH51" i="164"/>
  <c r="AG48" i="164"/>
  <c r="AG89" i="164"/>
  <c r="AH32" i="164"/>
  <c r="AG25" i="164"/>
  <c r="AH24" i="164"/>
  <c r="AH63" i="164"/>
  <c r="AG13" i="164"/>
  <c r="AG66" i="164"/>
  <c r="AG83" i="164"/>
  <c r="AH71" i="164"/>
  <c r="AG50" i="164"/>
  <c r="AG12" i="164"/>
  <c r="AH27" i="164"/>
  <c r="AG65" i="164"/>
  <c r="AG90" i="164"/>
  <c r="AH52" i="164"/>
  <c r="AG57" i="164"/>
  <c r="AH35" i="164"/>
  <c r="AH78" i="164"/>
  <c r="AH79" i="164"/>
  <c r="AH70" i="164"/>
  <c r="AG30" i="164"/>
  <c r="AH53" i="164"/>
  <c r="AH19" i="164"/>
  <c r="AH80" i="164"/>
  <c r="AG31" i="164"/>
  <c r="AH28" i="164"/>
  <c r="AG11" i="164"/>
  <c r="AG46" i="164"/>
  <c r="AH45" i="164"/>
  <c r="AG18" i="164"/>
  <c r="AG22" i="164"/>
  <c r="AH43" i="164"/>
  <c r="AF91" i="164"/>
  <c r="AH86" i="164"/>
  <c r="AG42" i="164"/>
  <c r="AG16" i="164"/>
  <c r="AH40" i="164"/>
  <c r="AH68" i="164"/>
  <c r="AH60" i="164"/>
  <c r="AG39" i="164"/>
  <c r="AG75" i="164"/>
  <c r="AG81" i="164"/>
  <c r="AG41" i="164"/>
  <c r="AH36" i="164"/>
  <c r="AH91" i="164" l="1"/>
  <c r="AG91" i="164"/>
</calcChain>
</file>

<file path=xl/comments1.xml><?xml version="1.0" encoding="utf-8"?>
<comments xmlns="http://schemas.openxmlformats.org/spreadsheetml/2006/main">
  <authors>
    <author>dessin</author>
  </authors>
  <commentList>
    <comment ref="AD10" authorId="0">
      <text>
        <r>
          <rPr>
            <sz val="14"/>
            <color indexed="81"/>
            <rFont val="Tahoma"/>
            <family val="2"/>
          </rPr>
          <t xml:space="preserve">Moi:
dans cette colonne, je souhaite que si dans la colonne I on retrouve le numéro de chantier qui est dans la colone AB, alors il faut la somme de (($S$15+$S$22+$S$29+$S$36+$S$43)*0.25+($T$15+$T$22+$T$29+$T$36+$V$15+$V$22+$V$29+$V$36+$V$43+$T$43)*0.5+($W$15+$W$22+$W$29+$W$36+$W$43)*0.75+$X$15+$Z$15+$X$22+$Z$22+$X$29+$Z$29+$X$36+$Z$36+$X$43+$Z$43))
mais je ne comprend pas pourquoi cela ne marche pas.
</t>
        </r>
      </text>
    </comment>
  </commentList>
</comments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<sst xmlns="http://schemas.openxmlformats.org/spreadsheetml/2006/main" count="766" uniqueCount="191">
  <si>
    <t>Pointages SEPTEMBRE 2021</t>
  </si>
  <si>
    <t>S.34</t>
  </si>
  <si>
    <t>S.35</t>
  </si>
  <si>
    <t>S.36</t>
  </si>
  <si>
    <t>S.37</t>
  </si>
  <si>
    <t>S.38</t>
  </si>
  <si>
    <t>S.39</t>
  </si>
  <si>
    <t>TOTAUX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</si>
  <si>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</si>
  <si>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Service Remaniement - ETAM</t>
  </si>
  <si>
    <t>Durée maximale quotidienne : 10 heures / Durée maximale hebdomadaire : 48 heures</t>
  </si>
  <si>
    <t>Durée moyenne hebdomadaire de travail calculée sur une période quelconque de 12 semaines consécutives : 45 heures</t>
  </si>
  <si>
    <t>Durée moyenne hebdomadaire de travail calculée sur le semestre civil : 44 heures</t>
  </si>
  <si>
    <r>
      <t>AKERMANN Jacques</t>
    </r>
    <r>
      <rPr>
        <sz val="14"/>
        <rFont val="Calibri"/>
        <family val="2"/>
        <scheme val="minor"/>
      </rPr>
      <t xml:space="preserve"> - AURIAC SUR VENDINELLE (31)</t>
    </r>
  </si>
  <si>
    <r>
      <t>ALFRED Gérard</t>
    </r>
    <r>
      <rPr>
        <sz val="14"/>
        <rFont val="Calibri"/>
        <family val="2"/>
        <scheme val="minor"/>
      </rPr>
      <t xml:space="preserve"> - CLICHY-SOUS-BOIS (93)</t>
    </r>
  </si>
  <si>
    <r>
      <t>ARTHUR Quentin</t>
    </r>
    <r>
      <rPr>
        <sz val="14"/>
        <rFont val="Calibri"/>
        <family val="2"/>
        <scheme val="minor"/>
      </rPr>
      <t xml:space="preserve"> - STE GENEVIEVE DES BOIS (91)</t>
    </r>
  </si>
  <si>
    <r>
      <t>CAMBOULIVES Serge -</t>
    </r>
    <r>
      <rPr>
        <sz val="14"/>
        <rFont val="Calibri"/>
        <family val="2"/>
        <scheme val="minor"/>
      </rPr>
      <t xml:space="preserve"> ST SAUVEUR (31)</t>
    </r>
  </si>
  <si>
    <r>
      <t>ERIAT Florian</t>
    </r>
    <r>
      <rPr>
        <sz val="14"/>
        <rFont val="Calibri"/>
        <family val="2"/>
        <scheme val="minor"/>
      </rPr>
      <t xml:space="preserve"> - GUECELARD (72)</t>
    </r>
  </si>
  <si>
    <r>
      <t xml:space="preserve">HADJALI Zinellabedine - </t>
    </r>
    <r>
      <rPr>
        <sz val="14"/>
        <rFont val="Calibri"/>
        <family val="2"/>
        <scheme val="minor"/>
      </rPr>
      <t>LE MESNIL LE ROI (78)</t>
    </r>
  </si>
  <si>
    <r>
      <t xml:space="preserve">KEIFF Frédéric - </t>
    </r>
    <r>
      <rPr>
        <sz val="14"/>
        <rFont val="Calibri"/>
        <family val="2"/>
        <scheme val="minor"/>
      </rPr>
      <t>OGY MONTOY-FLANVILLE (57)</t>
    </r>
  </si>
  <si>
    <r>
      <t>LAUVERGEAT Eddy -</t>
    </r>
    <r>
      <rPr>
        <sz val="14"/>
        <rFont val="Calibri"/>
        <family val="2"/>
        <scheme val="minor"/>
      </rPr>
      <t xml:space="preserve"> CHABRIS (36)</t>
    </r>
  </si>
  <si>
    <r>
      <t>LOUCHEZ Anthony -</t>
    </r>
    <r>
      <rPr>
        <sz val="14"/>
        <rFont val="Calibri"/>
        <family val="2"/>
        <scheme val="minor"/>
      </rPr>
      <t xml:space="preserve"> GUEMPS (62)</t>
    </r>
  </si>
  <si>
    <r>
      <t>MOLINA Romain -</t>
    </r>
    <r>
      <rPr>
        <sz val="14"/>
        <rFont val="Calibri"/>
        <family val="2"/>
        <scheme val="minor"/>
      </rPr>
      <t xml:space="preserve"> BOULAZAC (24)</t>
    </r>
  </si>
  <si>
    <r>
      <t xml:space="preserve">SHESHUNNIKOV Roman - </t>
    </r>
    <r>
      <rPr>
        <sz val="14"/>
        <rFont val="Calibri"/>
        <family val="2"/>
        <scheme val="minor"/>
      </rPr>
      <t xml:space="preserve">ST SULPICE ET CAMEYRAC (33)  </t>
    </r>
  </si>
  <si>
    <r>
      <t xml:space="preserve">SHESHUNNIKOV Yevgeniy - </t>
    </r>
    <r>
      <rPr>
        <sz val="14"/>
        <rFont val="Calibri"/>
        <family val="2"/>
        <scheme val="minor"/>
      </rPr>
      <t xml:space="preserve">ST SULPICE ET CAMEYRAC (33)  </t>
    </r>
  </si>
  <si>
    <t>Détail</t>
  </si>
  <si>
    <t>Chantier</t>
  </si>
  <si>
    <t>Observation</t>
  </si>
  <si>
    <t>J</t>
  </si>
  <si>
    <t>N</t>
  </si>
  <si>
    <t>ID</t>
  </si>
  <si>
    <t>HR</t>
  </si>
  <si>
    <t>Nom</t>
  </si>
  <si>
    <t>N°</t>
  </si>
  <si>
    <t>CAT21033</t>
  </si>
  <si>
    <t>TALENCE</t>
  </si>
  <si>
    <t>CAT-21049</t>
  </si>
  <si>
    <t>DEPOT VSG</t>
  </si>
  <si>
    <t>CAT-21005</t>
  </si>
  <si>
    <t>CAT21005-02</t>
  </si>
  <si>
    <t>GRADIGNAN</t>
  </si>
  <si>
    <t>CAT21005</t>
  </si>
  <si>
    <t xml:space="preserve">CONTOURNEMENT TOURS </t>
  </si>
  <si>
    <t xml:space="preserve">CAT-21026 </t>
  </si>
  <si>
    <t>VM</t>
  </si>
  <si>
    <t>CAT-21026</t>
  </si>
  <si>
    <t>MONTREUIL</t>
  </si>
  <si>
    <t>CONTOURNEMENT TOURS</t>
  </si>
  <si>
    <t>CAT21026</t>
  </si>
  <si>
    <t>ANGERS</t>
  </si>
  <si>
    <t>CAT-21018</t>
  </si>
  <si>
    <t>GC GUILLERVAL</t>
  </si>
  <si>
    <t>CAT21035</t>
  </si>
  <si>
    <t xml:space="preserve">UP SUD </t>
  </si>
  <si>
    <t>HERSE VILLENEUVE ST GEORGES</t>
  </si>
  <si>
    <t>CAT21006-02</t>
  </si>
  <si>
    <t>BRAM</t>
  </si>
  <si>
    <t>CAT21024</t>
  </si>
  <si>
    <t>UP Nord</t>
  </si>
  <si>
    <t>CAT21005-01</t>
  </si>
  <si>
    <t>LA ROCHELLE</t>
  </si>
  <si>
    <t>CAT-21037</t>
  </si>
  <si>
    <t xml:space="preserve">UP NORD VITRY SUR SEINE </t>
  </si>
  <si>
    <t>TOULOUSE</t>
  </si>
  <si>
    <t xml:space="preserve">IPSE PARIS </t>
  </si>
  <si>
    <t xml:space="preserve">CAT-21006 </t>
  </si>
  <si>
    <t>CAT-21006</t>
  </si>
  <si>
    <t>VILLENEUVE</t>
  </si>
  <si>
    <t>TRAM MARSEILLE</t>
  </si>
  <si>
    <t>CAT21050</t>
  </si>
  <si>
    <t xml:space="preserve">IPSO PARIS </t>
  </si>
  <si>
    <t xml:space="preserve">GARE BLANCARD MARSEILLE </t>
  </si>
  <si>
    <t>CHARTRES</t>
  </si>
  <si>
    <t>UP MIXTE MONTREUIL</t>
  </si>
  <si>
    <t>CAT-21053</t>
  </si>
  <si>
    <t>CAT21005-03</t>
  </si>
  <si>
    <t>MARSEILLE</t>
  </si>
  <si>
    <t>CDI au 20/09/2021</t>
  </si>
  <si>
    <t>CAT-21050</t>
  </si>
  <si>
    <t>RAV CARNOULES</t>
  </si>
  <si>
    <t>CAT21047</t>
  </si>
  <si>
    <t>UP SES SUD</t>
  </si>
  <si>
    <t>CAT-21057</t>
  </si>
  <si>
    <t>UP SUD ORLY</t>
  </si>
  <si>
    <t xml:space="preserve">PUYOO - DAX </t>
  </si>
  <si>
    <t>CAT-21016</t>
  </si>
  <si>
    <t>CAT-21005-02</t>
  </si>
  <si>
    <t>TOTAL</t>
  </si>
  <si>
    <t>Heures</t>
  </si>
  <si>
    <t>Hres Suppl</t>
  </si>
  <si>
    <t>Majoration                      Nuit</t>
  </si>
  <si>
    <t xml:space="preserve">Majo                      WE </t>
  </si>
  <si>
    <t>J+N</t>
  </si>
  <si>
    <t>Abs</t>
  </si>
  <si>
    <t>Supp</t>
  </si>
  <si>
    <t xml:space="preserve">Rappel </t>
  </si>
  <si>
    <t>Totaux</t>
  </si>
  <si>
    <t>Tunnel CIMIEZ (NICE)</t>
  </si>
  <si>
    <t>Congé payé</t>
  </si>
  <si>
    <t>Gradignan</t>
  </si>
  <si>
    <t>Récup s/cpteur HS</t>
  </si>
  <si>
    <r>
      <t>LAPEYRE Rénald -</t>
    </r>
    <r>
      <rPr>
        <sz val="14"/>
        <rFont val="Calibri"/>
        <family val="2"/>
        <scheme val="minor"/>
      </rPr>
      <t xml:space="preserve"> HOURTIN (33)</t>
    </r>
  </si>
  <si>
    <t>Accident du travail</t>
  </si>
  <si>
    <t>MUTATION</t>
  </si>
  <si>
    <t>107 km</t>
  </si>
  <si>
    <t>101 km</t>
  </si>
  <si>
    <t>52 KM</t>
  </si>
  <si>
    <t>46 KM</t>
  </si>
  <si>
    <t>20 KM</t>
  </si>
  <si>
    <t>23 KM</t>
  </si>
  <si>
    <t>BREUIL</t>
  </si>
  <si>
    <t>Chantiers</t>
  </si>
  <si>
    <t>Total</t>
  </si>
  <si>
    <t>Répartition</t>
  </si>
  <si>
    <t xml:space="preserve">Coût Total </t>
  </si>
  <si>
    <t>Nombre d'heure payés</t>
  </si>
  <si>
    <t>Coût €</t>
  </si>
  <si>
    <t>Nb heures</t>
  </si>
  <si>
    <t xml:space="preserve">Castanet </t>
  </si>
  <si>
    <t xml:space="preserve">Breuil </t>
  </si>
  <si>
    <t>Dépôt</t>
  </si>
  <si>
    <t>Maladie</t>
  </si>
  <si>
    <t>CAT21004</t>
  </si>
  <si>
    <t>CAT21001</t>
  </si>
  <si>
    <t>CAT21002</t>
  </si>
  <si>
    <t>CAT21003</t>
  </si>
  <si>
    <t>CAT21005-04</t>
  </si>
  <si>
    <t>CAT21006</t>
  </si>
  <si>
    <t>CAT21006-01</t>
  </si>
  <si>
    <t>CAT21006-03</t>
  </si>
  <si>
    <t>CAT21006-04</t>
  </si>
  <si>
    <t>CAT21006-05</t>
  </si>
  <si>
    <t>CAT21007</t>
  </si>
  <si>
    <t>CAT21007-01</t>
  </si>
  <si>
    <t>CAT21008</t>
  </si>
  <si>
    <t>CAT21008-01</t>
  </si>
  <si>
    <t>CAT21009</t>
  </si>
  <si>
    <t>CAT21010</t>
  </si>
  <si>
    <t>CAT21011</t>
  </si>
  <si>
    <t>CAT21012</t>
  </si>
  <si>
    <t>CAT21013</t>
  </si>
  <si>
    <t>CAT21014</t>
  </si>
  <si>
    <t>CAT21015</t>
  </si>
  <si>
    <t>CAT21016</t>
  </si>
  <si>
    <t>CAT21017</t>
  </si>
  <si>
    <t>CAT21018</t>
  </si>
  <si>
    <t>CAT21019</t>
  </si>
  <si>
    <t>CAT21020</t>
  </si>
  <si>
    <t>CAT21021</t>
  </si>
  <si>
    <t>CAT21022</t>
  </si>
  <si>
    <t>CAT21023</t>
  </si>
  <si>
    <t>CAT21025</t>
  </si>
  <si>
    <t>CAT21027</t>
  </si>
  <si>
    <t>CAT21028</t>
  </si>
  <si>
    <t>CAT21028-01</t>
  </si>
  <si>
    <t>CAT21028-02</t>
  </si>
  <si>
    <t>CAT21029</t>
  </si>
  <si>
    <t>CAT21030</t>
  </si>
  <si>
    <t>CAT21031</t>
  </si>
  <si>
    <t>CAT21032</t>
  </si>
  <si>
    <t>CAT21034</t>
  </si>
  <si>
    <t>CAT21036</t>
  </si>
  <si>
    <t>CAT21037</t>
  </si>
  <si>
    <t>CAT21038</t>
  </si>
  <si>
    <t>CAT21039</t>
  </si>
  <si>
    <t>CAT21040</t>
  </si>
  <si>
    <t>CAT21041</t>
  </si>
  <si>
    <t>CAT21042</t>
  </si>
  <si>
    <t>CAT21043</t>
  </si>
  <si>
    <t>CAT21044</t>
  </si>
  <si>
    <t>CAT21045</t>
  </si>
  <si>
    <t>CAT21048</t>
  </si>
  <si>
    <t>CAT21049</t>
  </si>
  <si>
    <t>CAT21051</t>
  </si>
  <si>
    <t>CAT21052</t>
  </si>
  <si>
    <t>CAT21053</t>
  </si>
  <si>
    <t>CAT21054</t>
  </si>
  <si>
    <t>CAT21055</t>
  </si>
  <si>
    <t>CAT21056</t>
  </si>
  <si>
    <t>CAT21057</t>
  </si>
  <si>
    <t>CAT21058</t>
  </si>
  <si>
    <t>CAT21059</t>
  </si>
  <si>
    <t>CAT21060</t>
  </si>
  <si>
    <t>CAT21061</t>
  </si>
  <si>
    <t>CAT21062</t>
  </si>
  <si>
    <t>CAT21063</t>
  </si>
  <si>
    <t>CAT21064</t>
  </si>
  <si>
    <t>CAT-21065</t>
  </si>
  <si>
    <t>CAT-21066</t>
  </si>
  <si>
    <t>CAT-21067</t>
  </si>
  <si>
    <t>heures Majorées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</si>
</sst>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[$-40C]ddd\ d/mm/yy"/>
    <numFmt numFmtId="165" formatCode="#,##0.0\ &quot;€&quot;"/>
    <numFmt numFmtId="166" formatCode="0.00;0.00;;@"/>
  </numFmts>
  <fonts count="4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indexed="9"/>
      <name val="Calibri"/>
      <family val="2"/>
    </font>
    <font>
      <b/>
      <sz val="9"/>
      <color theme="1"/>
      <name val="Arial Narrow"/>
      <family val="2"/>
    </font>
    <font>
      <b/>
      <sz val="6"/>
      <color theme="1"/>
      <name val="Arial Narrow"/>
      <family val="2"/>
    </font>
    <font>
      <sz val="9"/>
      <name val="Arial Narrow"/>
      <family val="2"/>
    </font>
    <font>
      <b/>
      <sz val="9"/>
      <name val="Arial Narrow"/>
      <family val="2"/>
    </font>
    <font>
      <sz val="9"/>
      <color indexed="8"/>
      <name val="Calibri"/>
      <family val="2"/>
      <scheme val="minor"/>
    </font>
    <font>
      <sz val="9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6"/>
      <color theme="0"/>
      <name val="Arial Narrow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indexed="8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b/>
      <sz val="11"/>
      <color indexed="9"/>
      <name val="Calibri"/>
      <family val="2"/>
      <scheme val="minor"/>
    </font>
    <font>
      <sz val="11"/>
      <color indexed="8"/>
      <name val="Calibri"/>
      <family val="2"/>
      <scheme val="minor"/>
    </font>
    <font>
      <sz val="8"/>
      <name val="Calibri"/>
      <family val="2"/>
      <scheme val="minor"/>
    </font>
    <font>
      <b/>
      <sz val="22"/>
      <color theme="0"/>
      <name val="Calibri"/>
      <family val="2"/>
      <scheme val="minor"/>
    </font>
    <font>
      <b/>
      <sz val="20"/>
      <color indexed="9"/>
      <name val="Calibri"/>
      <family val="2"/>
      <scheme val="minor"/>
    </font>
    <font>
      <b/>
      <sz val="16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indexed="9"/>
      <name val="Calibri"/>
      <family val="2"/>
      <scheme val="minor"/>
    </font>
    <font>
      <b/>
      <sz val="12"/>
      <color theme="4" tint="-0.499984740745262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30"/>
      <color rgb="FF0070C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20"/>
      <color rgb="FFFF9966"/>
      <name val="Calibri"/>
      <family val="2"/>
      <scheme val="minor"/>
    </font>
    <font>
      <b/>
      <sz val="18"/>
      <color rgb="FFFFC00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4"/>
      <color indexed="81"/>
      <name val="Tahoma"/>
      <family val="2"/>
    </font>
  </fonts>
  <fills count="24">
    <fill>
      <patternFill patternType="none"/>
    </fill>
    <fill>
      <patternFill patternType="gray125"/>
    </fill>
    <fill>
      <patternFill patternType="solid">
        <fgColor indexed="6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3333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2E62AE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E266"/>
        <bgColor indexed="64"/>
      </patternFill>
    </fill>
  </fills>
  <borders count="2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ashed">
        <color indexed="64"/>
      </top>
      <bottom style="dashed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ashed">
        <color auto="1"/>
      </bottom>
      <diagonal/>
    </border>
    <border>
      <left/>
      <right/>
      <top/>
      <bottom style="dashed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dashed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hair">
        <color indexed="64"/>
      </right>
      <top style="medium">
        <color auto="1"/>
      </top>
      <bottom style="medium">
        <color auto="1"/>
      </bottom>
      <diagonal/>
    </border>
    <border>
      <left style="hair">
        <color indexed="64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hair">
        <color indexed="64"/>
      </left>
      <right style="hair">
        <color indexed="64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3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21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5" borderId="0" xfId="0" applyFont="1" applyFill="1"/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165" fontId="7" fillId="0" borderId="0" xfId="0" applyNumberFormat="1" applyFont="1" applyAlignment="1">
      <alignment horizontal="center"/>
    </xf>
    <xf numFmtId="164" fontId="2" fillId="2" borderId="8" xfId="0" applyNumberFormat="1" applyFont="1" applyFill="1" applyBorder="1" applyAlignment="1">
      <alignment horizontal="center"/>
    </xf>
    <xf numFmtId="164" fontId="9" fillId="6" borderId="9" xfId="0" applyNumberFormat="1" applyFont="1" applyFill="1" applyBorder="1" applyAlignment="1">
      <alignment horizontal="center" vertical="center"/>
    </xf>
    <xf numFmtId="0" fontId="10" fillId="6" borderId="10" xfId="0" applyFont="1" applyFill="1" applyBorder="1"/>
    <xf numFmtId="0" fontId="1" fillId="6" borderId="0" xfId="0" applyFont="1" applyFill="1"/>
    <xf numFmtId="0" fontId="4" fillId="8" borderId="10" xfId="0" applyFont="1" applyFill="1" applyBorder="1" applyAlignment="1">
      <alignment horizontal="center"/>
    </xf>
    <xf numFmtId="164" fontId="11" fillId="9" borderId="1" xfId="0" applyNumberFormat="1" applyFont="1" applyFill="1" applyBorder="1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1" fillId="9" borderId="1" xfId="1" applyNumberFormat="1" applyFont="1" applyFill="1" applyBorder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11" fillId="9" borderId="1" xfId="1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164" fontId="1" fillId="13" borderId="7" xfId="0" applyNumberFormat="1" applyFont="1" applyFill="1" applyBorder="1" applyAlignment="1">
      <alignment horizontal="right" vertical="center" indent="1"/>
    </xf>
    <xf numFmtId="164" fontId="1" fillId="0" borderId="7" xfId="0" applyNumberFormat="1" applyFont="1" applyBorder="1" applyAlignment="1">
      <alignment horizontal="right" vertical="center" indent="1"/>
    </xf>
    <xf numFmtId="0" fontId="20" fillId="0" borderId="0" xfId="0" applyFont="1" applyAlignment="1">
      <alignment horizontal="center" vertical="center" wrapText="1"/>
    </xf>
    <xf numFmtId="0" fontId="16" fillId="0" borderId="13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4" borderId="6" xfId="0" applyFont="1" applyFill="1" applyBorder="1" applyAlignment="1">
      <alignment horizontal="center" vertical="center"/>
    </xf>
    <xf numFmtId="0" fontId="14" fillId="18" borderId="6" xfId="0" applyFont="1" applyFill="1" applyBorder="1" applyAlignment="1">
      <alignment horizontal="center" vertical="center"/>
    </xf>
    <xf numFmtId="0" fontId="16" fillId="11" borderId="1" xfId="0" applyFont="1" applyFill="1" applyBorder="1" applyAlignment="1">
      <alignment horizontal="center" vertical="center"/>
    </xf>
    <xf numFmtId="0" fontId="16" fillId="10" borderId="1" xfId="0" applyFont="1" applyFill="1" applyBorder="1" applyAlignment="1">
      <alignment horizontal="center" vertical="center"/>
    </xf>
    <xf numFmtId="0" fontId="16" fillId="12" borderId="1" xfId="0" applyFont="1" applyFill="1" applyBorder="1" applyAlignment="1">
      <alignment horizontal="center" vertical="center"/>
    </xf>
    <xf numFmtId="9" fontId="12" fillId="12" borderId="1" xfId="0" applyNumberFormat="1" applyFont="1" applyFill="1" applyBorder="1" applyAlignment="1">
      <alignment vertical="center"/>
    </xf>
    <xf numFmtId="9" fontId="16" fillId="4" borderId="7" xfId="0" applyNumberFormat="1" applyFont="1" applyFill="1" applyBorder="1" applyAlignment="1">
      <alignment vertical="center"/>
    </xf>
    <xf numFmtId="9" fontId="16" fillId="3" borderId="7" xfId="0" applyNumberFormat="1" applyFont="1" applyFill="1" applyBorder="1" applyAlignment="1">
      <alignment vertical="center"/>
    </xf>
    <xf numFmtId="9" fontId="16" fillId="3" borderId="7" xfId="0" applyNumberFormat="1" applyFont="1" applyFill="1" applyBorder="1" applyAlignment="1">
      <alignment horizontal="center" vertical="center"/>
    </xf>
    <xf numFmtId="9" fontId="12" fillId="16" borderId="1" xfId="0" applyNumberFormat="1" applyFont="1" applyFill="1" applyBorder="1" applyAlignment="1">
      <alignment vertical="center"/>
    </xf>
    <xf numFmtId="0" fontId="16" fillId="0" borderId="11" xfId="0" applyFont="1" applyBorder="1" applyAlignment="1">
      <alignment horizontal="center" vertical="center"/>
    </xf>
    <xf numFmtId="9" fontId="12" fillId="0" borderId="11" xfId="0" applyNumberFormat="1" applyFont="1" applyBorder="1" applyAlignment="1">
      <alignment vertical="center"/>
    </xf>
    <xf numFmtId="9" fontId="16" fillId="0" borderId="0" xfId="0" applyNumberFormat="1" applyFont="1" applyAlignment="1">
      <alignment vertical="center"/>
    </xf>
    <xf numFmtId="9" fontId="14" fillId="0" borderId="0" xfId="0" applyNumberFormat="1" applyFont="1" applyAlignment="1">
      <alignment vertical="center"/>
    </xf>
    <xf numFmtId="9" fontId="14" fillId="0" borderId="0" xfId="0" applyNumberFormat="1" applyFont="1" applyAlignment="1">
      <alignment horizontal="center" vertical="center"/>
    </xf>
    <xf numFmtId="164" fontId="11" fillId="6" borderId="9" xfId="0" applyNumberFormat="1" applyFont="1" applyFill="1" applyBorder="1" applyAlignment="1">
      <alignment horizontal="center" vertical="center"/>
    </xf>
    <xf numFmtId="2" fontId="18" fillId="6" borderId="9" xfId="0" applyNumberFormat="1" applyFont="1" applyFill="1" applyBorder="1" applyAlignment="1">
      <alignment vertical="center"/>
    </xf>
    <xf numFmtId="0" fontId="18" fillId="6" borderId="9" xfId="0" applyFont="1" applyFill="1" applyBorder="1" applyAlignment="1">
      <alignment vertical="center"/>
    </xf>
    <xf numFmtId="164" fontId="0" fillId="13" borderId="1" xfId="0" applyNumberFormat="1" applyFill="1" applyBorder="1" applyAlignment="1">
      <alignment horizontal="center" vertical="center"/>
    </xf>
    <xf numFmtId="43" fontId="0" fillId="13" borderId="1" xfId="0" applyNumberFormat="1" applyFill="1" applyBorder="1" applyAlignment="1">
      <alignment vertical="center"/>
    </xf>
    <xf numFmtId="43" fontId="0" fillId="0" borderId="1" xfId="0" applyNumberFormat="1" applyBorder="1" applyAlignment="1">
      <alignment vertical="center"/>
    </xf>
    <xf numFmtId="43" fontId="14" fillId="13" borderId="1" xfId="0" applyNumberFormat="1" applyFont="1" applyFill="1" applyBorder="1" applyAlignment="1">
      <alignment vertical="center"/>
    </xf>
    <xf numFmtId="0" fontId="14" fillId="0" borderId="0" xfId="0" applyFont="1" applyAlignment="1">
      <alignment vertical="center"/>
    </xf>
    <xf numFmtId="0" fontId="17" fillId="0" borderId="5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2" fillId="0" borderId="5" xfId="0" applyFont="1" applyBorder="1" applyAlignment="1">
      <alignment vertical="center"/>
    </xf>
    <xf numFmtId="0" fontId="12" fillId="0" borderId="0" xfId="0" applyFont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/>
    </xf>
    <xf numFmtId="164" fontId="14" fillId="0" borderId="7" xfId="0" applyNumberFormat="1" applyFont="1" applyBorder="1" applyAlignment="1">
      <alignment horizontal="center" vertical="center"/>
    </xf>
    <xf numFmtId="43" fontId="14" fillId="0" borderId="1" xfId="0" applyNumberFormat="1" applyFont="1" applyBorder="1" applyAlignment="1">
      <alignment vertical="center"/>
    </xf>
    <xf numFmtId="164" fontId="12" fillId="0" borderId="0" xfId="0" applyNumberFormat="1" applyFont="1" applyAlignment="1">
      <alignment horizontal="center" vertical="center"/>
    </xf>
    <xf numFmtId="0" fontId="27" fillId="0" borderId="0" xfId="0" applyFont="1" applyAlignment="1">
      <alignment vertical="center"/>
    </xf>
    <xf numFmtId="0" fontId="30" fillId="0" borderId="0" xfId="0" applyFont="1" applyAlignment="1">
      <alignment horizontal="center" vertical="center" textRotation="90"/>
    </xf>
    <xf numFmtId="0" fontId="30" fillId="0" borderId="0" xfId="0" applyFont="1" applyAlignment="1">
      <alignment horizontal="center" vertical="center" textRotation="90" wrapText="1"/>
    </xf>
    <xf numFmtId="0" fontId="21" fillId="0" borderId="0" xfId="0" applyFont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14" fillId="13" borderId="1" xfId="0" applyFont="1" applyFill="1" applyBorder="1" applyAlignment="1">
      <alignment horizontal="center" vertical="center"/>
    </xf>
    <xf numFmtId="0" fontId="14" fillId="13" borderId="1" xfId="0" applyFont="1" applyFill="1" applyBorder="1" applyAlignment="1">
      <alignment vertical="center"/>
    </xf>
    <xf numFmtId="0" fontId="12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1" fillId="6" borderId="10" xfId="0" applyFont="1" applyFill="1" applyBorder="1" applyAlignment="1">
      <alignment vertical="center"/>
    </xf>
    <xf numFmtId="2" fontId="0" fillId="0" borderId="9" xfId="0" applyNumberFormat="1" applyBorder="1" applyAlignment="1">
      <alignment vertical="center"/>
    </xf>
    <xf numFmtId="2" fontId="14" fillId="0" borderId="9" xfId="0" applyNumberFormat="1" applyFont="1" applyBorder="1" applyAlignment="1">
      <alignment vertical="center"/>
    </xf>
    <xf numFmtId="0" fontId="12" fillId="0" borderId="0" xfId="0" applyFont="1" applyAlignment="1">
      <alignment horizontal="center" vertical="center"/>
    </xf>
    <xf numFmtId="2" fontId="0" fillId="0" borderId="0" xfId="0" applyNumberFormat="1" applyAlignment="1">
      <alignment vertical="center"/>
    </xf>
    <xf numFmtId="2" fontId="14" fillId="0" borderId="0" xfId="0" applyNumberFormat="1" applyFont="1" applyAlignment="1">
      <alignment vertical="center"/>
    </xf>
    <xf numFmtId="0" fontId="12" fillId="13" borderId="0" xfId="0" applyFont="1" applyFill="1" applyAlignment="1">
      <alignment horizontal="center" vertical="center"/>
    </xf>
    <xf numFmtId="2" fontId="14" fillId="4" borderId="1" xfId="0" applyNumberFormat="1" applyFont="1" applyFill="1" applyBorder="1" applyAlignment="1">
      <alignment vertical="center"/>
    </xf>
    <xf numFmtId="2" fontId="14" fillId="3" borderId="1" xfId="0" applyNumberFormat="1" applyFont="1" applyFill="1" applyBorder="1" applyAlignment="1">
      <alignment vertical="center"/>
    </xf>
    <xf numFmtId="2" fontId="14" fillId="16" borderId="1" xfId="0" applyNumberFormat="1" applyFont="1" applyFill="1" applyBorder="1" applyAlignment="1">
      <alignment vertical="center"/>
    </xf>
    <xf numFmtId="164" fontId="24" fillId="2" borderId="1" xfId="0" applyNumberFormat="1" applyFont="1" applyFill="1" applyBorder="1" applyAlignment="1">
      <alignment horizontal="center" vertical="center"/>
    </xf>
    <xf numFmtId="0" fontId="0" fillId="6" borderId="1" xfId="0" applyFill="1" applyBorder="1" applyAlignment="1">
      <alignment vertical="center"/>
    </xf>
    <xf numFmtId="2" fontId="24" fillId="2" borderId="1" xfId="0" applyNumberFormat="1" applyFont="1" applyFill="1" applyBorder="1" applyAlignment="1">
      <alignment vertical="center"/>
    </xf>
    <xf numFmtId="2" fontId="11" fillId="6" borderId="16" xfId="0" applyNumberFormat="1" applyFont="1" applyFill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4" fontId="14" fillId="0" borderId="0" xfId="0" applyNumberFormat="1" applyFont="1" applyAlignment="1">
      <alignment vertical="center"/>
    </xf>
    <xf numFmtId="4" fontId="0" fillId="0" borderId="0" xfId="0" applyNumberFormat="1" applyAlignment="1">
      <alignment vertical="center"/>
    </xf>
    <xf numFmtId="2" fontId="0" fillId="11" borderId="6" xfId="0" applyNumberFormat="1" applyFill="1" applyBorder="1" applyAlignment="1">
      <alignment vertical="center"/>
    </xf>
    <xf numFmtId="2" fontId="32" fillId="2" borderId="1" xfId="0" applyNumberFormat="1" applyFont="1" applyFill="1" applyBorder="1" applyAlignment="1">
      <alignment horizontal="center" vertical="center"/>
    </xf>
    <xf numFmtId="2" fontId="33" fillId="14" borderId="18" xfId="0" applyNumberFormat="1" applyFont="1" applyFill="1" applyBorder="1" applyAlignment="1">
      <alignment vertical="center"/>
    </xf>
    <xf numFmtId="2" fontId="33" fillId="10" borderId="20" xfId="0" applyNumberFormat="1" applyFont="1" applyFill="1" applyBorder="1" applyAlignment="1">
      <alignment vertical="center"/>
    </xf>
    <xf numFmtId="2" fontId="33" fillId="12" borderId="19" xfId="0" applyNumberFormat="1" applyFont="1" applyFill="1" applyBorder="1" applyAlignment="1">
      <alignment vertical="center"/>
    </xf>
    <xf numFmtId="0" fontId="33" fillId="0" borderId="0" xfId="0" applyFont="1" applyAlignment="1">
      <alignment vertical="center"/>
    </xf>
    <xf numFmtId="2" fontId="33" fillId="12" borderId="18" xfId="0" applyNumberFormat="1" applyFont="1" applyFill="1" applyBorder="1" applyAlignment="1">
      <alignment vertical="center"/>
    </xf>
    <xf numFmtId="2" fontId="33" fillId="4" borderId="18" xfId="0" applyNumberFormat="1" applyFont="1" applyFill="1" applyBorder="1" applyAlignment="1">
      <alignment vertical="center"/>
    </xf>
    <xf numFmtId="2" fontId="33" fillId="4" borderId="19" xfId="0" applyNumberFormat="1" applyFont="1" applyFill="1" applyBorder="1" applyAlignment="1">
      <alignment vertical="center"/>
    </xf>
    <xf numFmtId="2" fontId="33" fillId="3" borderId="18" xfId="0" applyNumberFormat="1" applyFont="1" applyFill="1" applyBorder="1" applyAlignment="1">
      <alignment vertical="center"/>
    </xf>
    <xf numFmtId="2" fontId="33" fillId="3" borderId="20" xfId="0" applyNumberFormat="1" applyFont="1" applyFill="1" applyBorder="1" applyAlignment="1">
      <alignment vertical="center"/>
    </xf>
    <xf numFmtId="2" fontId="33" fillId="3" borderId="19" xfId="0" applyNumberFormat="1" applyFont="1" applyFill="1" applyBorder="1" applyAlignment="1">
      <alignment vertical="center"/>
    </xf>
    <xf numFmtId="2" fontId="33" fillId="16" borderId="17" xfId="0" applyNumberFormat="1" applyFont="1" applyFill="1" applyBorder="1" applyAlignment="1">
      <alignment vertical="center"/>
    </xf>
    <xf numFmtId="164" fontId="0" fillId="13" borderId="7" xfId="0" applyNumberFormat="1" applyFill="1" applyBorder="1" applyAlignment="1">
      <alignment horizontal="right" vertical="center"/>
    </xf>
    <xf numFmtId="164" fontId="0" fillId="0" borderId="7" xfId="0" applyNumberFormat="1" applyBorder="1" applyAlignment="1">
      <alignment horizontal="right" vertical="center"/>
    </xf>
    <xf numFmtId="0" fontId="0" fillId="0" borderId="0" xfId="0" applyAlignment="1">
      <alignment horizontal="left" vertical="center" indent="1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vertical="center"/>
    </xf>
    <xf numFmtId="0" fontId="14" fillId="17" borderId="1" xfId="0" applyFont="1" applyFill="1" applyBorder="1" applyAlignment="1">
      <alignment horizontal="center" vertical="center"/>
    </xf>
    <xf numFmtId="0" fontId="14" fillId="17" borderId="1" xfId="0" applyFont="1" applyFill="1" applyBorder="1" applyAlignment="1">
      <alignment vertical="center"/>
    </xf>
    <xf numFmtId="164" fontId="25" fillId="0" borderId="1" xfId="0" applyNumberFormat="1" applyFont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3" fillId="18" borderId="6" xfId="0" applyFont="1" applyFill="1" applyBorder="1" applyAlignment="1">
      <alignment horizontal="center" vertical="center"/>
    </xf>
    <xf numFmtId="2" fontId="0" fillId="11" borderId="1" xfId="0" applyNumberFormat="1" applyFill="1" applyBorder="1" applyAlignment="1">
      <alignment vertical="center"/>
    </xf>
    <xf numFmtId="2" fontId="0" fillId="10" borderId="1" xfId="0" applyNumberFormat="1" applyFill="1" applyBorder="1" applyAlignment="1">
      <alignment vertical="center"/>
    </xf>
    <xf numFmtId="2" fontId="0" fillId="12" borderId="1" xfId="0" applyNumberFormat="1" applyFill="1" applyBorder="1" applyAlignment="1">
      <alignment vertical="center"/>
    </xf>
    <xf numFmtId="0" fontId="34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0" fontId="35" fillId="0" borderId="0" xfId="0" applyFont="1" applyAlignment="1">
      <alignment vertical="center"/>
    </xf>
    <xf numFmtId="0" fontId="36" fillId="0" borderId="0" xfId="0" applyFont="1" applyAlignment="1">
      <alignment vertical="center"/>
    </xf>
    <xf numFmtId="164" fontId="0" fillId="14" borderId="7" xfId="0" applyNumberFormat="1" applyFill="1" applyBorder="1" applyAlignment="1">
      <alignment horizontal="right" vertical="center"/>
    </xf>
    <xf numFmtId="0" fontId="14" fillId="14" borderId="1" xfId="0" applyFont="1" applyFill="1" applyBorder="1" applyAlignment="1">
      <alignment horizontal="center" vertical="center"/>
    </xf>
    <xf numFmtId="0" fontId="14" fillId="14" borderId="1" xfId="0" applyFont="1" applyFill="1" applyBorder="1" applyAlignment="1">
      <alignment vertical="center"/>
    </xf>
    <xf numFmtId="164" fontId="1" fillId="14" borderId="7" xfId="0" applyNumberFormat="1" applyFont="1" applyFill="1" applyBorder="1" applyAlignment="1">
      <alignment horizontal="right" vertical="center" indent="1"/>
    </xf>
    <xf numFmtId="49" fontId="31" fillId="20" borderId="0" xfId="0" applyNumberFormat="1" applyFont="1" applyFill="1" applyAlignment="1">
      <alignment vertical="center"/>
    </xf>
    <xf numFmtId="0" fontId="36" fillId="0" borderId="0" xfId="0" applyFont="1" applyAlignment="1">
      <alignment horizontal="center" vertical="center"/>
    </xf>
    <xf numFmtId="164" fontId="0" fillId="14" borderId="1" xfId="0" applyNumberFormat="1" applyFill="1" applyBorder="1" applyAlignment="1">
      <alignment horizontal="center" vertical="center"/>
    </xf>
    <xf numFmtId="0" fontId="12" fillId="14" borderId="0" xfId="0" applyFont="1" applyFill="1" applyAlignment="1">
      <alignment horizontal="center" vertical="center"/>
    </xf>
    <xf numFmtId="0" fontId="0" fillId="14" borderId="0" xfId="0" applyFill="1" applyAlignment="1">
      <alignment vertical="center"/>
    </xf>
    <xf numFmtId="4" fontId="0" fillId="14" borderId="0" xfId="0" applyNumberFormat="1" applyFill="1" applyAlignment="1">
      <alignment vertical="center"/>
    </xf>
    <xf numFmtId="2" fontId="0" fillId="14" borderId="0" xfId="0" applyNumberFormat="1" applyFill="1" applyAlignment="1">
      <alignment vertical="center"/>
    </xf>
    <xf numFmtId="2" fontId="14" fillId="14" borderId="0" xfId="0" applyNumberFormat="1" applyFont="1" applyFill="1" applyAlignment="1">
      <alignment vertical="center"/>
    </xf>
    <xf numFmtId="4" fontId="14" fillId="14" borderId="0" xfId="0" applyNumberFormat="1" applyFont="1" applyFill="1" applyAlignment="1">
      <alignment vertical="center"/>
    </xf>
    <xf numFmtId="0" fontId="0" fillId="0" borderId="15" xfId="0" applyBorder="1" applyAlignment="1">
      <alignment horizontal="center" vertical="center" wrapText="1"/>
    </xf>
    <xf numFmtId="0" fontId="40" fillId="0" borderId="0" xfId="0" applyFont="1"/>
    <xf numFmtId="164" fontId="0" fillId="14" borderId="0" xfId="0" applyNumberFormat="1" applyFill="1" applyAlignment="1">
      <alignment horizontal="center" vertical="center"/>
    </xf>
    <xf numFmtId="164" fontId="39" fillId="21" borderId="7" xfId="0" applyNumberFormat="1" applyFont="1" applyFill="1" applyBorder="1" applyAlignment="1">
      <alignment horizontal="right" vertical="center" indent="1"/>
    </xf>
    <xf numFmtId="0" fontId="41" fillId="0" borderId="0" xfId="0" applyFont="1" applyAlignment="1">
      <alignment vertical="center"/>
    </xf>
    <xf numFmtId="0" fontId="14" fillId="0" borderId="1" xfId="0" applyFont="1" applyBorder="1" applyAlignment="1">
      <alignment horizontal="left" vertical="center"/>
    </xf>
    <xf numFmtId="0" fontId="14" fillId="13" borderId="1" xfId="0" applyFont="1" applyFill="1" applyBorder="1" applyAlignment="1">
      <alignment horizontal="left" vertical="center"/>
    </xf>
    <xf numFmtId="0" fontId="14" fillId="17" borderId="1" xfId="0" applyFont="1" applyFill="1" applyBorder="1" applyAlignment="1">
      <alignment horizontal="left" vertical="center"/>
    </xf>
    <xf numFmtId="0" fontId="14" fillId="14" borderId="1" xfId="0" applyFont="1" applyFill="1" applyBorder="1" applyAlignment="1">
      <alignment horizontal="left" vertical="center"/>
    </xf>
    <xf numFmtId="0" fontId="42" fillId="14" borderId="1" xfId="0" applyFont="1" applyFill="1" applyBorder="1" applyAlignment="1">
      <alignment horizontal="left" vertical="center"/>
    </xf>
    <xf numFmtId="0" fontId="0" fillId="0" borderId="0" xfId="0" applyAlignment="1">
      <alignment horizontal="left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left" vertical="center"/>
    </xf>
    <xf numFmtId="0" fontId="14" fillId="22" borderId="1" xfId="0" applyFont="1" applyFill="1" applyBorder="1" applyAlignment="1">
      <alignment horizontal="left" vertical="center"/>
    </xf>
    <xf numFmtId="0" fontId="14" fillId="22" borderId="1" xfId="0" applyFont="1" applyFill="1" applyBorder="1" applyAlignment="1">
      <alignment horizontal="center" vertical="center"/>
    </xf>
    <xf numFmtId="2" fontId="0" fillId="0" borderId="25" xfId="0" applyNumberFormat="1" applyBorder="1" applyAlignment="1">
      <alignment vertical="center"/>
    </xf>
    <xf numFmtId="9" fontId="0" fillId="0" borderId="25" xfId="2" applyFont="1" applyBorder="1" applyAlignment="1">
      <alignment vertical="center"/>
    </xf>
    <xf numFmtId="9" fontId="1" fillId="0" borderId="25" xfId="2" applyFont="1" applyBorder="1" applyAlignment="1">
      <alignment vertical="center"/>
    </xf>
    <xf numFmtId="2" fontId="12" fillId="0" borderId="25" xfId="0" applyNumberFormat="1" applyFont="1" applyBorder="1" applyAlignment="1">
      <alignment horizontal="left" vertical="center"/>
    </xf>
    <xf numFmtId="9" fontId="1" fillId="0" borderId="0" xfId="2" applyFont="1" applyAlignment="1">
      <alignment vertical="center"/>
    </xf>
    <xf numFmtId="9" fontId="1" fillId="0" borderId="0" xfId="2" applyFont="1" applyAlignment="1">
      <alignment horizontal="center" vertical="center" wrapText="1"/>
    </xf>
    <xf numFmtId="9" fontId="0" fillId="0" borderId="0" xfId="2" applyFont="1" applyAlignment="1">
      <alignment horizontal="center" vertical="center" wrapText="1"/>
    </xf>
    <xf numFmtId="9" fontId="0" fillId="0" borderId="0" xfId="2" applyFont="1" applyAlignment="1">
      <alignment vertical="center"/>
    </xf>
    <xf numFmtId="166" fontId="0" fillId="0" borderId="25" xfId="0" applyNumberFormat="1" applyBorder="1" applyAlignment="1">
      <alignment vertical="center"/>
    </xf>
    <xf numFmtId="166" fontId="14" fillId="0" borderId="25" xfId="0" applyNumberFormat="1" applyFont="1" applyBorder="1" applyAlignment="1">
      <alignment vertical="center"/>
    </xf>
    <xf numFmtId="166" fontId="8" fillId="0" borderId="25" xfId="0" applyNumberFormat="1" applyFont="1" applyBorder="1" applyAlignment="1">
      <alignment vertical="center"/>
    </xf>
    <xf numFmtId="166" fontId="1" fillId="0" borderId="25" xfId="0" applyNumberFormat="1" applyFont="1" applyBorder="1" applyAlignment="1">
      <alignment vertical="center"/>
    </xf>
    <xf numFmtId="43" fontId="0" fillId="13" borderId="1" xfId="0" applyNumberFormat="1" applyFill="1" applyBorder="1" applyAlignment="1">
      <alignment vertical="center"/>
    </xf>
    <xf numFmtId="43" fontId="0" fillId="0" borderId="1" xfId="0" applyNumberFormat="1" applyBorder="1" applyAlignment="1">
      <alignment vertical="center"/>
    </xf>
    <xf numFmtId="2" fontId="0" fillId="0" borderId="26" xfId="0" applyNumberFormat="1" applyFill="1" applyBorder="1" applyAlignment="1">
      <alignment vertical="center"/>
    </xf>
    <xf numFmtId="43" fontId="0" fillId="0" borderId="0" xfId="0" applyNumberFormat="1" applyAlignment="1">
      <alignment vertical="center"/>
    </xf>
    <xf numFmtId="166" fontId="0" fillId="23" borderId="25" xfId="0" applyNumberFormat="1" applyFill="1" applyBorder="1" applyAlignment="1">
      <alignment vertical="center"/>
    </xf>
    <xf numFmtId="9" fontId="0" fillId="23" borderId="25" xfId="2" applyFont="1" applyFill="1" applyBorder="1" applyAlignment="1">
      <alignment vertical="center"/>
    </xf>
    <xf numFmtId="0" fontId="29" fillId="14" borderId="6" xfId="0" applyFont="1" applyFill="1" applyBorder="1" applyAlignment="1">
      <alignment horizontal="center" vertical="center" textRotation="90"/>
    </xf>
    <xf numFmtId="0" fontId="29" fillId="14" borderId="5" xfId="0" applyFont="1" applyFill="1" applyBorder="1" applyAlignment="1">
      <alignment horizontal="center" vertical="center" textRotation="90"/>
    </xf>
    <xf numFmtId="0" fontId="29" fillId="14" borderId="7" xfId="0" applyFont="1" applyFill="1" applyBorder="1" applyAlignment="1">
      <alignment horizontal="center" vertical="center" textRotation="90"/>
    </xf>
    <xf numFmtId="0" fontId="29" fillId="0" borderId="6" xfId="0" applyFont="1" applyBorder="1" applyAlignment="1">
      <alignment horizontal="center" vertical="center" textRotation="90"/>
    </xf>
    <xf numFmtId="0" fontId="29" fillId="0" borderId="5" xfId="0" applyFont="1" applyBorder="1" applyAlignment="1">
      <alignment horizontal="center" vertical="center" textRotation="90"/>
    </xf>
    <xf numFmtId="0" fontId="29" fillId="0" borderId="7" xfId="0" applyFont="1" applyBorder="1" applyAlignment="1">
      <alignment horizontal="center" vertical="center" textRotation="90"/>
    </xf>
    <xf numFmtId="0" fontId="22" fillId="15" borderId="2" xfId="0" applyFont="1" applyFill="1" applyBorder="1" applyAlignment="1">
      <alignment horizontal="center" vertical="center" wrapText="1"/>
    </xf>
    <xf numFmtId="0" fontId="22" fillId="15" borderId="3" xfId="0" applyFont="1" applyFill="1" applyBorder="1" applyAlignment="1">
      <alignment horizontal="center" vertical="center" wrapText="1"/>
    </xf>
    <xf numFmtId="0" fontId="22" fillId="15" borderId="4" xfId="0" applyFont="1" applyFill="1" applyBorder="1" applyAlignment="1">
      <alignment horizontal="center" vertical="center" wrapText="1"/>
    </xf>
    <xf numFmtId="0" fontId="13" fillId="4" borderId="2" xfId="0" applyFont="1" applyFill="1" applyBorder="1" applyAlignment="1">
      <alignment horizontal="center" vertical="center"/>
    </xf>
    <xf numFmtId="0" fontId="13" fillId="4" borderId="3" xfId="0" applyFont="1" applyFill="1" applyBorder="1" applyAlignment="1">
      <alignment horizontal="center" vertical="center"/>
    </xf>
    <xf numFmtId="0" fontId="13" fillId="4" borderId="4" xfId="0" applyFont="1" applyFill="1" applyBorder="1" applyAlignment="1">
      <alignment horizontal="center" vertical="center"/>
    </xf>
    <xf numFmtId="0" fontId="13" fillId="18" borderId="2" xfId="0" applyFont="1" applyFill="1" applyBorder="1" applyAlignment="1">
      <alignment horizontal="center" vertical="center"/>
    </xf>
    <xf numFmtId="0" fontId="13" fillId="18" borderId="4" xfId="0" applyFont="1" applyFill="1" applyBorder="1" applyAlignment="1">
      <alignment horizontal="center" vertical="center"/>
    </xf>
    <xf numFmtId="0" fontId="13" fillId="19" borderId="6" xfId="0" applyFont="1" applyFill="1" applyBorder="1" applyAlignment="1">
      <alignment horizontal="center" vertical="center"/>
    </xf>
    <xf numFmtId="0" fontId="13" fillId="19" borderId="7" xfId="0" applyFont="1" applyFill="1" applyBorder="1" applyAlignment="1">
      <alignment horizontal="center" vertical="center"/>
    </xf>
    <xf numFmtId="49" fontId="37" fillId="14" borderId="0" xfId="0" applyNumberFormat="1" applyFont="1" applyFill="1" applyAlignment="1">
      <alignment horizontal="center" vertical="center"/>
    </xf>
    <xf numFmtId="49" fontId="38" fillId="0" borderId="21" xfId="0" applyNumberFormat="1" applyFont="1" applyBorder="1" applyAlignment="1">
      <alignment horizontal="center" vertical="center"/>
    </xf>
    <xf numFmtId="49" fontId="38" fillId="0" borderId="22" xfId="0" applyNumberFormat="1" applyFont="1" applyBorder="1" applyAlignment="1">
      <alignment horizontal="center" vertical="center"/>
    </xf>
    <xf numFmtId="49" fontId="38" fillId="0" borderId="23" xfId="0" applyNumberFormat="1" applyFont="1" applyBorder="1" applyAlignment="1">
      <alignment horizontal="center" vertical="center"/>
    </xf>
    <xf numFmtId="0" fontId="29" fillId="14" borderId="24" xfId="0" applyFont="1" applyFill="1" applyBorder="1" applyAlignment="1">
      <alignment horizontal="center" vertical="center" textRotation="90"/>
    </xf>
    <xf numFmtId="0" fontId="29" fillId="14" borderId="14" xfId="0" applyFont="1" applyFill="1" applyBorder="1" applyAlignment="1">
      <alignment horizontal="center" vertical="center" textRotation="90"/>
    </xf>
    <xf numFmtId="0" fontId="16" fillId="0" borderId="2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4" fillId="4" borderId="2" xfId="0" applyFont="1" applyFill="1" applyBorder="1" applyAlignment="1">
      <alignment horizontal="center" vertical="center"/>
    </xf>
    <xf numFmtId="0" fontId="14" fillId="4" borderId="3" xfId="0" applyFont="1" applyFill="1" applyBorder="1" applyAlignment="1">
      <alignment horizontal="center" vertical="center"/>
    </xf>
    <xf numFmtId="0" fontId="14" fillId="4" borderId="4" xfId="0" applyFont="1" applyFill="1" applyBorder="1" applyAlignment="1">
      <alignment horizontal="center" vertical="center"/>
    </xf>
    <xf numFmtId="0" fontId="14" fillId="18" borderId="2" xfId="0" applyFont="1" applyFill="1" applyBorder="1" applyAlignment="1">
      <alignment horizontal="center" vertical="center"/>
    </xf>
    <xf numFmtId="0" fontId="14" fillId="18" borderId="4" xfId="0" applyFont="1" applyFill="1" applyBorder="1" applyAlignment="1">
      <alignment horizontal="center" vertical="center"/>
    </xf>
    <xf numFmtId="0" fontId="14" fillId="19" borderId="6" xfId="0" applyFont="1" applyFill="1" applyBorder="1" applyAlignment="1">
      <alignment horizontal="center" vertical="center"/>
    </xf>
    <xf numFmtId="0" fontId="14" fillId="19" borderId="7" xfId="0" applyFont="1" applyFill="1" applyBorder="1" applyAlignment="1">
      <alignment horizontal="center" vertical="center"/>
    </xf>
    <xf numFmtId="0" fontId="30" fillId="7" borderId="1" xfId="0" applyFont="1" applyFill="1" applyBorder="1" applyAlignment="1">
      <alignment horizontal="center" vertical="center" textRotation="90"/>
    </xf>
    <xf numFmtId="0" fontId="30" fillId="14" borderId="1" xfId="0" applyFont="1" applyFill="1" applyBorder="1" applyAlignment="1">
      <alignment horizontal="center" vertical="center" textRotation="90"/>
    </xf>
    <xf numFmtId="17" fontId="28" fillId="2" borderId="0" xfId="0" applyNumberFormat="1" applyFont="1" applyFill="1" applyAlignment="1">
      <alignment horizontal="center" vertical="center"/>
    </xf>
    <xf numFmtId="0" fontId="19" fillId="15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</cellXfs>
  <cellStyles count="3">
    <cellStyle name="Milliers" xfId="1" builtinId="3"/>
    <cellStyle name="Normal" xfId="0" builtinId="0"/>
    <cellStyle name="Pourcentage" xfId="2" builtinId="5"/>
  </cellStyles>
  <dxfs count="7"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F2F2F2"/>
        </patternFill>
      </fill>
    </dxf>
    <dxf>
      <fill>
        <patternFill>
          <bgColor rgb="FFFFFFFF"/>
        </patternFill>
      </fill>
    </dxf>
    <dxf>
      <font>
        <b/>
        <i val="0"/>
        <color rgb="FF000000"/>
      </font>
      <fill>
        <gradientFill degree="90">
          <stop position="0">
            <color theme="0"/>
          </stop>
          <stop position="0">
            <color theme="0"/>
          </stop>
          <stop position="1">
            <color theme="0"/>
          </stop>
          <stop position="1">
            <color theme="0" tint="-0.1489913632618183"/>
          </stop>
        </gradientFill>
      </fill>
    </dxf>
    <dxf>
      <font>
        <b/>
        <i val="0"/>
        <color rgb="FF000000"/>
      </font>
      <fill>
        <gradientFill degree="90">
          <stop position="0">
            <color theme="0"/>
          </stop>
          <stop position="0">
            <color theme="0"/>
          </stop>
          <stop position="1">
            <color theme="0"/>
          </stop>
          <stop position="1">
            <color theme="0" tint="-0.1489913632618183"/>
          </stop>
        </gradientFill>
      </fill>
    </dxf>
    <dxf>
      <border>
        <left style="thin">
          <color rgb="FFB3B3B3"/>
        </left>
        <right style="thin">
          <color rgb="FFB3B3B3"/>
        </right>
        <top style="thin">
          <color rgb="FFB3B3B3"/>
        </top>
        <bottom style="thin">
          <color rgb="FFB3B3B3"/>
        </bottom>
      </border>
    </dxf>
  </dxfs>
  <tableStyles count="1" defaultTableStyle="TableStyleMedium2" defaultPivotStyle="PivotStyleLight16">
    <tableStyle name="Sage Pivot Table Style" count="5">
      <tableStyleElement type="wholeTable" dxfId="6"/>
      <tableStyleElement type="headerRow" dxfId="5"/>
      <tableStyleElement type="totalRow" dxfId="4"/>
      <tableStyleElement type="firstRowStripe" dxfId="3"/>
      <tableStyleElement type="secondRowStripe" dxfId="2"/>
    </tableStyle>
  </tableStyles>
  <colors>
    <mruColors>
      <color rgb="FF00E266"/>
      <color rgb="FFFF99FF"/>
      <color rgb="FFFF9966"/>
      <color rgb="FFCC99FF"/>
      <color rgb="FFFFFF99"/>
      <color rgb="FFFFCC99"/>
      <color rgb="FFCC0000"/>
      <color rgb="FF99FFCC"/>
      <color rgb="FFDF2DBD"/>
      <color rgb="FFE44EC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10611</xdr:rowOff>
    </xdr:from>
    <xdr:to>
      <xdr:col>2</xdr:col>
      <xdr:colOff>142874</xdr:colOff>
      <xdr:row>4</xdr:row>
      <xdr:rowOff>105594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17231" y="164476"/>
          <a:ext cx="1058739" cy="866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31750</xdr:colOff>
      <xdr:row>0</xdr:row>
      <xdr:rowOff>71438</xdr:rowOff>
    </xdr:from>
    <xdr:to>
      <xdr:col>1</xdr:col>
      <xdr:colOff>1125991</xdr:colOff>
      <xdr:row>3</xdr:row>
      <xdr:rowOff>217840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1750" y="71438"/>
          <a:ext cx="1099533" cy="1012043"/>
        </a:xfrm>
        <a:prstGeom prst="rect">
          <a:avLst/>
        </a:prstGeom>
      </xdr:spPr>
    </xdr:pic>
    <xdr:clientData/>
  </xdr:twoCellAnchor>
  <xdr:twoCellAnchor>
    <xdr:from>
      <xdr:col>14</xdr:col>
      <xdr:colOff>0</xdr:colOff>
      <xdr:row>1</xdr:row>
      <xdr:rowOff>22225</xdr:rowOff>
    </xdr:from>
    <xdr:to>
      <xdr:col>16</xdr:col>
      <xdr:colOff>920750</xdr:colOff>
      <xdr:row>2</xdr:row>
      <xdr:rowOff>149225</xdr:rowOff>
    </xdr:to>
    <xdr:sp macro="[0]!DeProtegeFeuilles" textlink="">
      <xdr:nvSpPr>
        <xdr:cNvPr id="3" name="Ellipse 2" descr="Déverrouiller">
          <a:extLst>
            <a:ext uri="{FF2B5EF4-FFF2-40B4-BE49-F238E27FC236}">
              <a16:creationId xmlns:a16="http://schemas.microsoft.com/office/drawing/2014/main" xmlns="" id="{807DD31E-8E44-48FD-B477-3382504A38E8}"/>
            </a:ext>
          </a:extLst>
        </xdr:cNvPr>
        <xdr:cNvSpPr/>
      </xdr:nvSpPr>
      <xdr:spPr>
        <a:xfrm>
          <a:off x="9794875" y="212725"/>
          <a:ext cx="1936750" cy="635000"/>
        </a:xfrm>
        <a:prstGeom prst="ellipse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ysClr val="windowText" lastClr="000000"/>
              </a:solidFill>
            </a:rPr>
            <a:t>Deverrouiller</a:t>
          </a:r>
        </a:p>
      </xdr:txBody>
    </xdr:sp>
    <xdr:clientData/>
  </xdr:twoCellAnchor>
  <xdr:twoCellAnchor>
    <xdr:from>
      <xdr:col>16</xdr:col>
      <xdr:colOff>1406525</xdr:colOff>
      <xdr:row>1</xdr:row>
      <xdr:rowOff>0</xdr:rowOff>
    </xdr:from>
    <xdr:to>
      <xdr:col>18</xdr:col>
      <xdr:colOff>374650</xdr:colOff>
      <xdr:row>2</xdr:row>
      <xdr:rowOff>127000</xdr:rowOff>
    </xdr:to>
    <xdr:sp macro="[0]!ProtegeFeuilles" textlink="">
      <xdr:nvSpPr>
        <xdr:cNvPr id="4" name="Ellipse 3" descr="Déverrouiller">
          <a:extLst>
            <a:ext uri="{FF2B5EF4-FFF2-40B4-BE49-F238E27FC236}">
              <a16:creationId xmlns:a16="http://schemas.microsoft.com/office/drawing/2014/main" xmlns="" id="{485ABA84-7B25-45A6-B481-CB504032F1CE}"/>
            </a:ext>
          </a:extLst>
        </xdr:cNvPr>
        <xdr:cNvSpPr/>
      </xdr:nvSpPr>
      <xdr:spPr>
        <a:xfrm>
          <a:off x="12217400" y="190500"/>
          <a:ext cx="1936750" cy="635000"/>
        </a:xfrm>
        <a:prstGeom prst="ellipse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ysClr val="windowText" lastClr="000000"/>
              </a:solidFill>
            </a:rPr>
            <a:t>Verrouiller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31751</xdr:colOff>
      <xdr:row>1</xdr:row>
      <xdr:rowOff>0</xdr:rowOff>
    </xdr:from>
    <xdr:to>
      <xdr:col>1</xdr:col>
      <xdr:colOff>694675</xdr:colOff>
      <xdr:row>4</xdr:row>
      <xdr:rowOff>363008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6777D6EA-5A1F-423B-9815-307D8BBAF9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1751" y="0"/>
          <a:ext cx="1088374" cy="109452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88"/>
  <sheetViews>
    <sheetView workbookViewId="0">
      <selection sqref="A1:A87"/>
    </sheetView>
  </sheetViews>
  <sheetFormatPr baseColWidth="10" defaultRowHeight="15" x14ac:dyDescent="0.25"/>
  <cols>
    <col min="1" max="1" width="16.7109375" bestFit="1" customWidth="1"/>
  </cols>
  <sheetData>
    <row r="1" spans="1:1" x14ac:dyDescent="0.25">
      <c r="A1" s="157" t="s">
        <v>111</v>
      </c>
    </row>
    <row r="2" spans="1:1" x14ac:dyDescent="0.25">
      <c r="A2" s="154" t="str">
        <f>"CAT-21001"</f>
        <v>CAT-21001</v>
      </c>
    </row>
    <row r="3" spans="1:1" x14ac:dyDescent="0.25">
      <c r="A3" s="154" t="str">
        <f>"CAT-21002"</f>
        <v>CAT-21002</v>
      </c>
    </row>
    <row r="4" spans="1:1" x14ac:dyDescent="0.25">
      <c r="A4" s="154" t="str">
        <f>"CAT-21003"</f>
        <v>CAT-21003</v>
      </c>
    </row>
    <row r="5" spans="1:1" x14ac:dyDescent="0.25">
      <c r="A5" s="154" t="str">
        <f>"CAT-21004"</f>
        <v>CAT-21004</v>
      </c>
    </row>
    <row r="6" spans="1:1" x14ac:dyDescent="0.25">
      <c r="A6" s="154" t="s">
        <v>38</v>
      </c>
    </row>
    <row r="7" spans="1:1" x14ac:dyDescent="0.25">
      <c r="A7" s="154" t="str">
        <f>"CAT-21005-01"</f>
        <v>CAT-21005-01</v>
      </c>
    </row>
    <row r="8" spans="1:1" x14ac:dyDescent="0.25">
      <c r="A8" s="154" t="str">
        <f>"CAT-21005-02"</f>
        <v>CAT-21005-02</v>
      </c>
    </row>
    <row r="9" spans="1:1" x14ac:dyDescent="0.25">
      <c r="A9" s="154" t="str">
        <f>"CAT-21005-03"</f>
        <v>CAT-21005-03</v>
      </c>
    </row>
    <row r="10" spans="1:1" x14ac:dyDescent="0.25">
      <c r="A10" s="154" t="str">
        <f>"CAT-21005-04"</f>
        <v>CAT-21005-04</v>
      </c>
    </row>
    <row r="11" spans="1:1" x14ac:dyDescent="0.25">
      <c r="A11" s="154" t="str">
        <f>"CAT-21006"</f>
        <v>CAT-21006</v>
      </c>
    </row>
    <row r="12" spans="1:1" x14ac:dyDescent="0.25">
      <c r="A12" s="154" t="str">
        <f>"CAT-21006-01"</f>
        <v>CAT-21006-01</v>
      </c>
    </row>
    <row r="13" spans="1:1" x14ac:dyDescent="0.25">
      <c r="A13" s="154" t="str">
        <f>"CAT-21006-02"</f>
        <v>CAT-21006-02</v>
      </c>
    </row>
    <row r="14" spans="1:1" x14ac:dyDescent="0.25">
      <c r="A14" s="154" t="str">
        <f>"CAT-21006-03"</f>
        <v>CAT-21006-03</v>
      </c>
    </row>
    <row r="15" spans="1:1" x14ac:dyDescent="0.25">
      <c r="A15" s="154" t="str">
        <f>"CAT-21006-04"</f>
        <v>CAT-21006-04</v>
      </c>
    </row>
    <row r="16" spans="1:1" x14ac:dyDescent="0.25">
      <c r="A16" s="154" t="str">
        <f>"CAT-21006-05"</f>
        <v>CAT-21006-05</v>
      </c>
    </row>
    <row r="17" spans="1:1" x14ac:dyDescent="0.25">
      <c r="A17" s="154" t="str">
        <f>"CAT-21007"</f>
        <v>CAT-21007</v>
      </c>
    </row>
    <row r="18" spans="1:1" x14ac:dyDescent="0.25">
      <c r="A18" s="154" t="str">
        <f>"CAT-21007-01"</f>
        <v>CAT-21007-01</v>
      </c>
    </row>
    <row r="19" spans="1:1" x14ac:dyDescent="0.25">
      <c r="A19" s="154" t="str">
        <f>"CAT-21008"</f>
        <v>CAT-21008</v>
      </c>
    </row>
    <row r="20" spans="1:1" x14ac:dyDescent="0.25">
      <c r="A20" s="154" t="str">
        <f>"CAT-21008-01"</f>
        <v>CAT-21008-01</v>
      </c>
    </row>
    <row r="21" spans="1:1" x14ac:dyDescent="0.25">
      <c r="A21" s="154" t="str">
        <f>"CAT-21009"</f>
        <v>CAT-21009</v>
      </c>
    </row>
    <row r="22" spans="1:1" x14ac:dyDescent="0.25">
      <c r="A22" s="154" t="str">
        <f>"CAT-21010"</f>
        <v>CAT-21010</v>
      </c>
    </row>
    <row r="23" spans="1:1" x14ac:dyDescent="0.25">
      <c r="A23" s="154" t="str">
        <f>"CAT-21011"</f>
        <v>CAT-21011</v>
      </c>
    </row>
    <row r="24" spans="1:1" x14ac:dyDescent="0.25">
      <c r="A24" s="154" t="str">
        <f>"CAT-21012"</f>
        <v>CAT-21012</v>
      </c>
    </row>
    <row r="25" spans="1:1" x14ac:dyDescent="0.25">
      <c r="A25" s="154" t="str">
        <f>"CAT-21013"</f>
        <v>CAT-21013</v>
      </c>
    </row>
    <row r="26" spans="1:1" x14ac:dyDescent="0.25">
      <c r="A26" s="154" t="str">
        <f>"CAT-21014"</f>
        <v>CAT-21014</v>
      </c>
    </row>
    <row r="27" spans="1:1" x14ac:dyDescent="0.25">
      <c r="A27" s="154" t="str">
        <f>"CAT-21015"</f>
        <v>CAT-21015</v>
      </c>
    </row>
    <row r="28" spans="1:1" x14ac:dyDescent="0.25">
      <c r="A28" s="154" t="str">
        <f>"CAT-21016"</f>
        <v>CAT-21016</v>
      </c>
    </row>
    <row r="29" spans="1:1" x14ac:dyDescent="0.25">
      <c r="A29" s="154" t="str">
        <f>"CAT-21017"</f>
        <v>CAT-21017</v>
      </c>
    </row>
    <row r="30" spans="1:1" x14ac:dyDescent="0.25">
      <c r="A30" s="154" t="str">
        <f>"CAT-21018"</f>
        <v>CAT-21018</v>
      </c>
    </row>
    <row r="31" spans="1:1" x14ac:dyDescent="0.25">
      <c r="A31" s="154" t="str">
        <f>"CAT-21019"</f>
        <v>CAT-21019</v>
      </c>
    </row>
    <row r="32" spans="1:1" x14ac:dyDescent="0.25">
      <c r="A32" s="154" t="str">
        <f>"CAT-21020"</f>
        <v>CAT-21020</v>
      </c>
    </row>
    <row r="33" spans="1:1" x14ac:dyDescent="0.25">
      <c r="A33" s="154" t="str">
        <f>"CAT-21021"</f>
        <v>CAT-21021</v>
      </c>
    </row>
    <row r="34" spans="1:1" x14ac:dyDescent="0.25">
      <c r="A34" s="154" t="str">
        <f>"CAT-21022"</f>
        <v>CAT-21022</v>
      </c>
    </row>
    <row r="35" spans="1:1" x14ac:dyDescent="0.25">
      <c r="A35" s="154" t="str">
        <f>"CAT-21023"</f>
        <v>CAT-21023</v>
      </c>
    </row>
    <row r="36" spans="1:1" x14ac:dyDescent="0.25">
      <c r="A36" s="154" t="str">
        <f>"CAT-21024"</f>
        <v>CAT-21024</v>
      </c>
    </row>
    <row r="37" spans="1:1" x14ac:dyDescent="0.25">
      <c r="A37" s="154" t="str">
        <f>"CAT-21025"</f>
        <v>CAT-21025</v>
      </c>
    </row>
    <row r="38" spans="1:1" x14ac:dyDescent="0.25">
      <c r="A38" s="154" t="s">
        <v>45</v>
      </c>
    </row>
    <row r="39" spans="1:1" x14ac:dyDescent="0.25">
      <c r="A39" s="154" t="str">
        <f>"CAT-21027"</f>
        <v>CAT-21027</v>
      </c>
    </row>
    <row r="40" spans="1:1" x14ac:dyDescent="0.25">
      <c r="A40" s="154" t="str">
        <f>"CAT-21028"</f>
        <v>CAT-21028</v>
      </c>
    </row>
    <row r="41" spans="1:1" x14ac:dyDescent="0.25">
      <c r="A41" s="154" t="str">
        <f>"CAT-21028-01"</f>
        <v>CAT-21028-01</v>
      </c>
    </row>
    <row r="42" spans="1:1" x14ac:dyDescent="0.25">
      <c r="A42" s="154" t="str">
        <f>"CAT-21028-02"</f>
        <v>CAT-21028-02</v>
      </c>
    </row>
    <row r="43" spans="1:1" x14ac:dyDescent="0.25">
      <c r="A43" s="154" t="str">
        <f>"CAT-21029"</f>
        <v>CAT-21029</v>
      </c>
    </row>
    <row r="44" spans="1:1" x14ac:dyDescent="0.25">
      <c r="A44" s="154" t="str">
        <f>"CAT-21030"</f>
        <v>CAT-21030</v>
      </c>
    </row>
    <row r="45" spans="1:1" x14ac:dyDescent="0.25">
      <c r="A45" s="154" t="str">
        <f>"CAT-21031"</f>
        <v>CAT-21031</v>
      </c>
    </row>
    <row r="46" spans="1:1" x14ac:dyDescent="0.25">
      <c r="A46" s="154" t="str">
        <f>"CAT-21032"</f>
        <v>CAT-21032</v>
      </c>
    </row>
    <row r="47" spans="1:1" x14ac:dyDescent="0.25">
      <c r="A47" s="154" t="str">
        <f>"CAT-21033"</f>
        <v>CAT-21033</v>
      </c>
    </row>
    <row r="48" spans="1:1" x14ac:dyDescent="0.25">
      <c r="A48" s="154" t="str">
        <f>"CAT-21034"</f>
        <v>CAT-21034</v>
      </c>
    </row>
    <row r="49" spans="1:1" x14ac:dyDescent="0.25">
      <c r="A49" s="154" t="str">
        <f>"CAT-21035"</f>
        <v>CAT-21035</v>
      </c>
    </row>
    <row r="50" spans="1:1" x14ac:dyDescent="0.25">
      <c r="A50" s="154" t="str">
        <f>"CAT-21036"</f>
        <v>CAT-21036</v>
      </c>
    </row>
    <row r="51" spans="1:1" x14ac:dyDescent="0.25">
      <c r="A51" s="154" t="str">
        <f>"CAT-21037"</f>
        <v>CAT-21037</v>
      </c>
    </row>
    <row r="52" spans="1:1" x14ac:dyDescent="0.25">
      <c r="A52" s="154" t="str">
        <f>"CAT-21038"</f>
        <v>CAT-21038</v>
      </c>
    </row>
    <row r="53" spans="1:1" x14ac:dyDescent="0.25">
      <c r="A53" s="154" t="str">
        <f>"CAT-21039"</f>
        <v>CAT-21039</v>
      </c>
    </row>
    <row r="54" spans="1:1" x14ac:dyDescent="0.25">
      <c r="A54" s="154" t="str">
        <f>"CAT-21040"</f>
        <v>CAT-21040</v>
      </c>
    </row>
    <row r="55" spans="1:1" x14ac:dyDescent="0.25">
      <c r="A55" s="154" t="str">
        <f>"CAT-21041"</f>
        <v>CAT-21041</v>
      </c>
    </row>
    <row r="56" spans="1:1" x14ac:dyDescent="0.25">
      <c r="A56" s="154" t="str">
        <f>"CAT-21042"</f>
        <v>CAT-21042</v>
      </c>
    </row>
    <row r="57" spans="1:1" x14ac:dyDescent="0.25">
      <c r="A57" s="154" t="str">
        <f>"CAT21043"</f>
        <v>CAT21043</v>
      </c>
    </row>
    <row r="58" spans="1:1" x14ac:dyDescent="0.25">
      <c r="A58" s="154" t="str">
        <f>"CAT-21044"</f>
        <v>CAT-21044</v>
      </c>
    </row>
    <row r="59" spans="1:1" x14ac:dyDescent="0.25">
      <c r="A59" s="154" t="str">
        <f>"CAT-21045"</f>
        <v>CAT-21045</v>
      </c>
    </row>
    <row r="60" spans="1:1" x14ac:dyDescent="0.25">
      <c r="A60" s="154" t="str">
        <f>"CAT-21045"</f>
        <v>CAT-21045</v>
      </c>
    </row>
    <row r="61" spans="1:1" x14ac:dyDescent="0.25">
      <c r="A61" s="154" t="str">
        <f>"CAT-21047"</f>
        <v>CAT-21047</v>
      </c>
    </row>
    <row r="62" spans="1:1" x14ac:dyDescent="0.25">
      <c r="A62" s="154" t="str">
        <f>"CAT-21048"</f>
        <v>CAT-21048</v>
      </c>
    </row>
    <row r="63" spans="1:1" x14ac:dyDescent="0.25">
      <c r="A63" s="154" t="str">
        <f>"CAT-21049"</f>
        <v>CAT-21049</v>
      </c>
    </row>
    <row r="64" spans="1:1" x14ac:dyDescent="0.25">
      <c r="A64" s="154" t="str">
        <f>"CAT-21050"</f>
        <v>CAT-21050</v>
      </c>
    </row>
    <row r="65" spans="1:1" x14ac:dyDescent="0.25">
      <c r="A65" s="154" t="str">
        <f>"CAT-21051"</f>
        <v>CAT-21051</v>
      </c>
    </row>
    <row r="66" spans="1:1" x14ac:dyDescent="0.25">
      <c r="A66" s="154" t="str">
        <f>"CAT-21052"</f>
        <v>CAT-21052</v>
      </c>
    </row>
    <row r="67" spans="1:1" x14ac:dyDescent="0.25">
      <c r="A67" s="154" t="str">
        <f>"CAT-21053"</f>
        <v>CAT-21053</v>
      </c>
    </row>
    <row r="68" spans="1:1" x14ac:dyDescent="0.25">
      <c r="A68" s="154" t="str">
        <f>"CAT-21054"</f>
        <v>CAT-21054</v>
      </c>
    </row>
    <row r="69" spans="1:1" x14ac:dyDescent="0.25">
      <c r="A69" s="154" t="str">
        <f>"CAT-21055"</f>
        <v>CAT-21055</v>
      </c>
    </row>
    <row r="70" spans="1:1" x14ac:dyDescent="0.25">
      <c r="A70" s="154" t="str">
        <f>"CAT-21056"</f>
        <v>CAT-21056</v>
      </c>
    </row>
    <row r="71" spans="1:1" x14ac:dyDescent="0.25">
      <c r="A71" s="154" t="str">
        <f>"CAT-21057"</f>
        <v>CAT-21057</v>
      </c>
    </row>
    <row r="72" spans="1:1" x14ac:dyDescent="0.25">
      <c r="A72" s="154" t="str">
        <f>"CAT-21058"</f>
        <v>CAT-21058</v>
      </c>
    </row>
    <row r="73" spans="1:1" x14ac:dyDescent="0.25">
      <c r="A73" s="154" t="str">
        <f>"CAT-21059"</f>
        <v>CAT-21059</v>
      </c>
    </row>
    <row r="74" spans="1:1" x14ac:dyDescent="0.25">
      <c r="A74" s="154" t="str">
        <f>"CAT-21060"</f>
        <v>CAT-21060</v>
      </c>
    </row>
    <row r="75" spans="1:1" x14ac:dyDescent="0.25">
      <c r="A75" s="154" t="str">
        <f>"CAT-21061"</f>
        <v>CAT-21061</v>
      </c>
    </row>
    <row r="76" spans="1:1" x14ac:dyDescent="0.25">
      <c r="A76" s="154" t="str">
        <f>"CAT-21062"</f>
        <v>CAT-21062</v>
      </c>
    </row>
    <row r="77" spans="1:1" x14ac:dyDescent="0.25">
      <c r="A77" s="154" t="str">
        <f>"CAT-21063"</f>
        <v>CAT-21063</v>
      </c>
    </row>
    <row r="78" spans="1:1" x14ac:dyDescent="0.25">
      <c r="A78" s="154" t="str">
        <f>"CAT-21064"</f>
        <v>CAT-21064</v>
      </c>
    </row>
    <row r="79" spans="1:1" x14ac:dyDescent="0.25">
      <c r="A79" s="154" t="str">
        <f>"CAT-21065"</f>
        <v>CAT-21065</v>
      </c>
    </row>
    <row r="80" spans="1:1" x14ac:dyDescent="0.25">
      <c r="A80" s="154" t="str">
        <f>"CAT-21066"</f>
        <v>CAT-21066</v>
      </c>
    </row>
    <row r="81" spans="1:1" x14ac:dyDescent="0.25">
      <c r="A81" s="154" t="str">
        <f>"CAT-21067"</f>
        <v>CAT-21067</v>
      </c>
    </row>
    <row r="82" spans="1:1" x14ac:dyDescent="0.25">
      <c r="A82" s="154" t="s">
        <v>118</v>
      </c>
    </row>
    <row r="83" spans="1:1" x14ac:dyDescent="0.25">
      <c r="A83" s="154" t="s">
        <v>119</v>
      </c>
    </row>
    <row r="84" spans="1:1" x14ac:dyDescent="0.25">
      <c r="A84" s="154" t="s">
        <v>120</v>
      </c>
    </row>
    <row r="85" spans="1:1" x14ac:dyDescent="0.25">
      <c r="A85" s="154" t="s">
        <v>100</v>
      </c>
    </row>
    <row r="86" spans="1:1" x14ac:dyDescent="0.25">
      <c r="A86" s="154" t="s">
        <v>121</v>
      </c>
    </row>
    <row r="87" spans="1:1" x14ac:dyDescent="0.25">
      <c r="A87" s="154" t="str">
        <f>"Accident de travail"</f>
        <v>Accident de travail</v>
      </c>
    </row>
    <row r="88" spans="1:1" x14ac:dyDescent="0.25">
      <c r="A88" s="16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  <pageSetUpPr fitToPage="1"/>
  </sheetPr>
  <dimension ref="A2:F57"/>
  <sheetViews>
    <sheetView showGridLines="0" zoomScale="80" zoomScaleNormal="80" workbookViewId="0">
      <pane ySplit="5" topLeftCell="A6" activePane="bottomLeft" state="frozenSplit"/>
      <selection sqref="A1:A87"/>
      <selection pane="bottomLeft" sqref="A1:A87"/>
    </sheetView>
  </sheetViews>
  <sheetFormatPr baseColWidth="10" defaultColWidth="9.140625" defaultRowHeight="12" x14ac:dyDescent="0.2"/>
  <cols>
    <col min="1" max="1" width="3.85546875" style="1" customWidth="1"/>
    <col min="2" max="2" width="13.5703125" style="7" bestFit="1" customWidth="1"/>
    <col min="3" max="3" width="3.42578125" style="1" customWidth="1"/>
    <col min="4" max="4" width="27.42578125" style="1" bestFit="1" customWidth="1"/>
    <col min="5" max="5" width="5.42578125" style="1" customWidth="1"/>
    <col min="6" max="6" width="10.42578125" style="7" customWidth="1"/>
    <col min="7" max="16384" width="9.140625" style="1"/>
  </cols>
  <sheetData>
    <row r="2" spans="1:6" ht="15.75" x14ac:dyDescent="0.2">
      <c r="D2" s="126" t="s">
        <v>0</v>
      </c>
    </row>
    <row r="4" spans="1:6" s="2" customFormat="1" ht="33" customHeight="1" x14ac:dyDescent="0.25"/>
    <row r="5" spans="1:6" ht="20.100000000000001" customHeight="1" x14ac:dyDescent="0.2">
      <c r="B5" s="3"/>
      <c r="F5" s="1"/>
    </row>
    <row r="6" spans="1:6" ht="5.0999999999999996" customHeight="1" x14ac:dyDescent="0.2">
      <c r="B6" s="3"/>
      <c r="F6" s="1"/>
    </row>
    <row r="7" spans="1:6" ht="19.5" customHeight="1" x14ac:dyDescent="0.2">
      <c r="F7" s="1"/>
    </row>
    <row r="8" spans="1:6" ht="19.5" customHeight="1" x14ac:dyDescent="0.2">
      <c r="A8" s="4"/>
      <c r="B8" s="10"/>
      <c r="C8" s="11"/>
      <c r="F8" s="1"/>
    </row>
    <row r="9" spans="1:6" ht="19.5" customHeight="1" x14ac:dyDescent="0.2">
      <c r="A9" s="175" t="s">
        <v>1</v>
      </c>
      <c r="B9" s="23">
        <v>44431</v>
      </c>
      <c r="C9" s="5"/>
      <c r="F9" s="1"/>
    </row>
    <row r="10" spans="1:6" ht="19.5" customHeight="1" x14ac:dyDescent="0.2">
      <c r="A10" s="176"/>
      <c r="B10" s="23">
        <f>B9+1</f>
        <v>44432</v>
      </c>
      <c r="C10" s="5"/>
      <c r="F10" s="1"/>
    </row>
    <row r="11" spans="1:6" ht="19.5" customHeight="1" x14ac:dyDescent="0.2">
      <c r="A11" s="176"/>
      <c r="B11" s="23">
        <f t="shared" ref="B11:B50" si="0">B10+1</f>
        <v>44433</v>
      </c>
      <c r="F11" s="1"/>
    </row>
    <row r="12" spans="1:6" ht="19.5" customHeight="1" x14ac:dyDescent="0.2">
      <c r="A12" s="176"/>
      <c r="B12" s="23">
        <f t="shared" si="0"/>
        <v>44434</v>
      </c>
      <c r="F12" s="1"/>
    </row>
    <row r="13" spans="1:6" ht="19.5" customHeight="1" x14ac:dyDescent="0.2">
      <c r="A13" s="176"/>
      <c r="B13" s="23">
        <f t="shared" si="0"/>
        <v>44435</v>
      </c>
      <c r="F13" s="1"/>
    </row>
    <row r="14" spans="1:6" ht="19.5" customHeight="1" x14ac:dyDescent="0.2">
      <c r="A14" s="176"/>
      <c r="B14" s="22">
        <f t="shared" si="0"/>
        <v>44436</v>
      </c>
      <c r="F14" s="1"/>
    </row>
    <row r="15" spans="1:6" ht="19.5" customHeight="1" x14ac:dyDescent="0.2">
      <c r="A15" s="177"/>
      <c r="B15" s="22">
        <f t="shared" si="0"/>
        <v>44437</v>
      </c>
      <c r="C15" s="13">
        <v>35</v>
      </c>
      <c r="F15" s="1"/>
    </row>
    <row r="16" spans="1:6" ht="19.5" customHeight="1" x14ac:dyDescent="0.2">
      <c r="A16" s="175" t="s">
        <v>2</v>
      </c>
      <c r="B16" s="23">
        <f t="shared" si="0"/>
        <v>44438</v>
      </c>
      <c r="F16" s="1"/>
    </row>
    <row r="17" spans="1:6" ht="19.5" customHeight="1" x14ac:dyDescent="0.2">
      <c r="A17" s="176"/>
      <c r="B17" s="23">
        <f t="shared" si="0"/>
        <v>44439</v>
      </c>
      <c r="F17" s="1"/>
    </row>
    <row r="18" spans="1:6" ht="19.5" customHeight="1" x14ac:dyDescent="0.2">
      <c r="A18" s="176"/>
      <c r="B18" s="23">
        <f t="shared" si="0"/>
        <v>44440</v>
      </c>
      <c r="C18" s="5"/>
      <c r="F18" s="1"/>
    </row>
    <row r="19" spans="1:6" ht="19.5" customHeight="1" x14ac:dyDescent="0.2">
      <c r="A19" s="176"/>
      <c r="B19" s="23">
        <f t="shared" si="0"/>
        <v>44441</v>
      </c>
      <c r="C19" s="5"/>
      <c r="F19" s="1"/>
    </row>
    <row r="20" spans="1:6" ht="19.5" customHeight="1" x14ac:dyDescent="0.2">
      <c r="A20" s="176"/>
      <c r="B20" s="23">
        <f t="shared" si="0"/>
        <v>44442</v>
      </c>
      <c r="C20" s="5"/>
      <c r="F20" s="1"/>
    </row>
    <row r="21" spans="1:6" ht="19.5" customHeight="1" x14ac:dyDescent="0.2">
      <c r="A21" s="176"/>
      <c r="B21" s="22">
        <f t="shared" si="0"/>
        <v>44443</v>
      </c>
      <c r="C21" s="5"/>
      <c r="D21" s="5"/>
      <c r="F21" s="1"/>
    </row>
    <row r="22" spans="1:6" ht="19.5" customHeight="1" x14ac:dyDescent="0.2">
      <c r="A22" s="177"/>
      <c r="B22" s="22">
        <f t="shared" si="0"/>
        <v>44444</v>
      </c>
      <c r="C22" s="13">
        <v>35</v>
      </c>
      <c r="F22" s="1"/>
    </row>
    <row r="23" spans="1:6" ht="19.5" customHeight="1" x14ac:dyDescent="0.2">
      <c r="A23" s="175" t="s">
        <v>3</v>
      </c>
      <c r="B23" s="23">
        <f t="shared" si="0"/>
        <v>44445</v>
      </c>
      <c r="C23" s="5"/>
      <c r="F23" s="1"/>
    </row>
    <row r="24" spans="1:6" ht="19.5" customHeight="1" x14ac:dyDescent="0.2">
      <c r="A24" s="176"/>
      <c r="B24" s="23">
        <f t="shared" si="0"/>
        <v>44446</v>
      </c>
      <c r="F24" s="1"/>
    </row>
    <row r="25" spans="1:6" ht="19.5" customHeight="1" x14ac:dyDescent="0.2">
      <c r="A25" s="176"/>
      <c r="B25" s="23">
        <f t="shared" si="0"/>
        <v>44447</v>
      </c>
      <c r="C25" s="5"/>
      <c r="F25" s="1"/>
    </row>
    <row r="26" spans="1:6" ht="19.5" customHeight="1" x14ac:dyDescent="0.2">
      <c r="A26" s="176"/>
      <c r="B26" s="23">
        <f t="shared" si="0"/>
        <v>44448</v>
      </c>
      <c r="C26" s="5"/>
      <c r="F26" s="1"/>
    </row>
    <row r="27" spans="1:6" ht="19.5" customHeight="1" x14ac:dyDescent="0.2">
      <c r="A27" s="176"/>
      <c r="B27" s="23">
        <f t="shared" si="0"/>
        <v>44449</v>
      </c>
      <c r="C27" s="5"/>
      <c r="F27" s="1"/>
    </row>
    <row r="28" spans="1:6" ht="19.5" customHeight="1" x14ac:dyDescent="0.2">
      <c r="A28" s="176"/>
      <c r="B28" s="22">
        <f t="shared" si="0"/>
        <v>44450</v>
      </c>
      <c r="C28" s="5"/>
      <c r="F28" s="1"/>
    </row>
    <row r="29" spans="1:6" ht="19.5" customHeight="1" x14ac:dyDescent="0.2">
      <c r="A29" s="177"/>
      <c r="B29" s="138">
        <f t="shared" si="0"/>
        <v>44451</v>
      </c>
      <c r="C29" s="13">
        <v>35</v>
      </c>
      <c r="F29" s="1"/>
    </row>
    <row r="30" spans="1:6" ht="19.5" customHeight="1" x14ac:dyDescent="0.2">
      <c r="A30" s="175" t="s">
        <v>4</v>
      </c>
      <c r="B30" s="23">
        <f t="shared" si="0"/>
        <v>44452</v>
      </c>
      <c r="C30" s="5"/>
      <c r="F30" s="1"/>
    </row>
    <row r="31" spans="1:6" ht="19.5" customHeight="1" x14ac:dyDescent="0.2">
      <c r="A31" s="176"/>
      <c r="B31" s="23">
        <f t="shared" si="0"/>
        <v>44453</v>
      </c>
      <c r="F31" s="1"/>
    </row>
    <row r="32" spans="1:6" ht="19.5" customHeight="1" x14ac:dyDescent="0.2">
      <c r="A32" s="176"/>
      <c r="B32" s="23">
        <f t="shared" si="0"/>
        <v>44454</v>
      </c>
      <c r="C32" s="5"/>
      <c r="F32" s="1"/>
    </row>
    <row r="33" spans="1:6" ht="19.5" customHeight="1" x14ac:dyDescent="0.2">
      <c r="A33" s="176"/>
      <c r="B33" s="23">
        <f t="shared" si="0"/>
        <v>44455</v>
      </c>
      <c r="C33" s="5"/>
      <c r="F33" s="1"/>
    </row>
    <row r="34" spans="1:6" ht="19.5" customHeight="1" x14ac:dyDescent="0.2">
      <c r="A34" s="176"/>
      <c r="B34" s="23">
        <f t="shared" si="0"/>
        <v>44456</v>
      </c>
      <c r="C34" s="5"/>
      <c r="F34" s="1"/>
    </row>
    <row r="35" spans="1:6" ht="19.5" customHeight="1" x14ac:dyDescent="0.2">
      <c r="A35" s="176"/>
      <c r="B35" s="22">
        <f t="shared" si="0"/>
        <v>44457</v>
      </c>
      <c r="C35" s="5"/>
      <c r="F35" s="1"/>
    </row>
    <row r="36" spans="1:6" ht="19.5" customHeight="1" x14ac:dyDescent="0.2">
      <c r="A36" s="177"/>
      <c r="B36" s="22">
        <f t="shared" si="0"/>
        <v>44458</v>
      </c>
      <c r="C36" s="13">
        <v>35</v>
      </c>
      <c r="F36" s="1"/>
    </row>
    <row r="37" spans="1:6" ht="19.5" customHeight="1" x14ac:dyDescent="0.2">
      <c r="A37" s="175" t="s">
        <v>5</v>
      </c>
      <c r="B37" s="23">
        <f t="shared" si="0"/>
        <v>44459</v>
      </c>
      <c r="C37" s="5"/>
      <c r="F37" s="1"/>
    </row>
    <row r="38" spans="1:6" ht="19.5" customHeight="1" x14ac:dyDescent="0.2">
      <c r="A38" s="176"/>
      <c r="B38" s="23">
        <f t="shared" si="0"/>
        <v>44460</v>
      </c>
      <c r="F38" s="1"/>
    </row>
    <row r="39" spans="1:6" ht="19.5" customHeight="1" x14ac:dyDescent="0.2">
      <c r="A39" s="176"/>
      <c r="B39" s="23">
        <f t="shared" si="0"/>
        <v>44461</v>
      </c>
      <c r="C39" s="5"/>
      <c r="F39" s="1"/>
    </row>
    <row r="40" spans="1:6" ht="19.5" customHeight="1" x14ac:dyDescent="0.2">
      <c r="A40" s="176"/>
      <c r="B40" s="23">
        <f t="shared" si="0"/>
        <v>44462</v>
      </c>
      <c r="C40" s="5"/>
      <c r="F40" s="1"/>
    </row>
    <row r="41" spans="1:6" ht="19.5" customHeight="1" x14ac:dyDescent="0.2">
      <c r="A41" s="176"/>
      <c r="B41" s="23">
        <f t="shared" si="0"/>
        <v>44463</v>
      </c>
      <c r="C41" s="5"/>
      <c r="F41" s="1"/>
    </row>
    <row r="42" spans="1:6" ht="19.5" customHeight="1" x14ac:dyDescent="0.2">
      <c r="A42" s="176"/>
      <c r="B42" s="22">
        <f t="shared" si="0"/>
        <v>44464</v>
      </c>
      <c r="C42" s="5"/>
      <c r="F42" s="1"/>
    </row>
    <row r="43" spans="1:6" ht="19.5" customHeight="1" x14ac:dyDescent="0.2">
      <c r="A43" s="177"/>
      <c r="B43" s="22">
        <f t="shared" si="0"/>
        <v>44465</v>
      </c>
      <c r="C43" s="13">
        <v>35</v>
      </c>
      <c r="F43" s="1"/>
    </row>
    <row r="44" spans="1:6" ht="19.5" customHeight="1" x14ac:dyDescent="0.2">
      <c r="A44" s="172" t="s">
        <v>6</v>
      </c>
      <c r="B44" s="125">
        <f t="shared" si="0"/>
        <v>44466</v>
      </c>
      <c r="F44" s="1"/>
    </row>
    <row r="45" spans="1:6" ht="19.5" customHeight="1" x14ac:dyDescent="0.2">
      <c r="A45" s="173"/>
      <c r="B45" s="125">
        <f t="shared" si="0"/>
        <v>44467</v>
      </c>
      <c r="F45" s="1"/>
    </row>
    <row r="46" spans="1:6" ht="19.5" customHeight="1" x14ac:dyDescent="0.2">
      <c r="A46" s="173"/>
      <c r="B46" s="125">
        <f t="shared" si="0"/>
        <v>44468</v>
      </c>
      <c r="F46" s="1"/>
    </row>
    <row r="47" spans="1:6" ht="19.5" customHeight="1" x14ac:dyDescent="0.2">
      <c r="A47" s="173"/>
      <c r="B47" s="125">
        <f t="shared" si="0"/>
        <v>44469</v>
      </c>
      <c r="F47" s="1"/>
    </row>
    <row r="48" spans="1:6" ht="19.5" customHeight="1" x14ac:dyDescent="0.2">
      <c r="A48" s="173"/>
      <c r="B48" s="125">
        <f t="shared" si="0"/>
        <v>44470</v>
      </c>
      <c r="F48" s="1"/>
    </row>
    <row r="49" spans="1:6" ht="19.5" customHeight="1" x14ac:dyDescent="0.2">
      <c r="A49" s="173"/>
      <c r="B49" s="125">
        <f t="shared" si="0"/>
        <v>44471</v>
      </c>
      <c r="F49" s="1"/>
    </row>
    <row r="50" spans="1:6" ht="19.5" customHeight="1" x14ac:dyDescent="0.2">
      <c r="A50" s="174"/>
      <c r="B50" s="125">
        <f t="shared" si="0"/>
        <v>44472</v>
      </c>
      <c r="F50" s="1"/>
    </row>
    <row r="51" spans="1:6" ht="20.100000000000001" customHeight="1" x14ac:dyDescent="0.2">
      <c r="F51" s="1"/>
    </row>
    <row r="52" spans="1:6" ht="19.5" customHeight="1" x14ac:dyDescent="0.2">
      <c r="B52" s="9" t="s">
        <v>7</v>
      </c>
      <c r="C52" s="12">
        <f>+SUM(C15:C43)</f>
        <v>175</v>
      </c>
      <c r="F52" s="1"/>
    </row>
    <row r="53" spans="1:6" ht="20.100000000000001" customHeight="1" x14ac:dyDescent="0.2">
      <c r="F53" s="1"/>
    </row>
    <row r="54" spans="1:6" x14ac:dyDescent="0.2">
      <c r="B54" s="1"/>
      <c r="F54" s="1"/>
    </row>
    <row r="55" spans="1:6" x14ac:dyDescent="0.2">
      <c r="B55" s="1"/>
      <c r="D55" s="6"/>
      <c r="E55" s="6"/>
      <c r="F55" s="8"/>
    </row>
    <row r="56" spans="1:6" x14ac:dyDescent="0.2">
      <c r="B56" s="1"/>
    </row>
    <row r="57" spans="1:6" x14ac:dyDescent="0.2">
      <c r="B57" s="1"/>
    </row>
  </sheetData>
  <mergeCells count="6">
    <mergeCell ref="A44:A50"/>
    <mergeCell ref="A37:A43"/>
    <mergeCell ref="A9:A15"/>
    <mergeCell ref="A16:A22"/>
    <mergeCell ref="A23:A29"/>
    <mergeCell ref="A30:A36"/>
  </mergeCells>
  <phoneticPr fontId="26" type="noConversion"/>
  <printOptions horizontalCentered="1" verticalCentered="1"/>
  <pageMargins left="0.19685039370078741" right="0.19685039370078741" top="0.19685039370078741" bottom="0.19685039370078741" header="0.31496062992125984" footer="0.31496062992125984"/>
  <pageSetup paperSize="9" scale="9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A1:DC52"/>
  <sheetViews>
    <sheetView showGridLines="0" topLeftCell="A19" zoomScale="115" zoomScaleNormal="115" workbookViewId="0">
      <pane xSplit="2" topLeftCell="BL1" activePane="topRight" state="frozen"/>
      <selection sqref="A1:A87"/>
      <selection pane="topRight" sqref="A1:A87"/>
    </sheetView>
  </sheetViews>
  <sheetFormatPr baseColWidth="10" defaultColWidth="9.140625" defaultRowHeight="15" x14ac:dyDescent="0.25"/>
  <cols>
    <col min="1" max="1" width="4.85546875" style="19" customWidth="1"/>
    <col min="2" max="2" width="17" style="19" customWidth="1"/>
    <col min="3" max="3" width="3.42578125" style="19" customWidth="1"/>
    <col min="4" max="4" width="2.140625" style="19" customWidth="1"/>
    <col min="5" max="8" width="7.5703125" style="19" customWidth="1"/>
    <col min="9" max="9" width="30.5703125" style="19" customWidth="1"/>
    <col min="10" max="10" width="13.5703125" style="19" customWidth="1"/>
    <col min="11" max="11" width="25.5703125" style="19" customWidth="1"/>
    <col min="12" max="12" width="3.5703125" style="19" customWidth="1"/>
    <col min="13" max="16" width="7.5703125" style="19" customWidth="1"/>
    <col min="17" max="17" width="30.5703125" style="19" customWidth="1"/>
    <col min="18" max="18" width="13.5703125" style="19" customWidth="1"/>
    <col min="19" max="19" width="25.5703125" style="19" customWidth="1"/>
    <col min="20" max="20" width="3.5703125" style="19" customWidth="1"/>
    <col min="21" max="24" width="7.5703125" style="16" customWidth="1"/>
    <col min="25" max="25" width="30.5703125" style="16" customWidth="1"/>
    <col min="26" max="26" width="15.5703125" style="16" customWidth="1"/>
    <col min="27" max="27" width="25.5703125" style="19" customWidth="1"/>
    <col min="28" max="28" width="3.5703125" style="19" customWidth="1"/>
    <col min="29" max="32" width="7.5703125" style="19" customWidth="1"/>
    <col min="33" max="33" width="30.5703125" style="19" customWidth="1"/>
    <col min="34" max="34" width="13.5703125" style="19" customWidth="1"/>
    <col min="35" max="35" width="25.5703125" style="19" customWidth="1"/>
    <col min="36" max="36" width="3.5703125" style="19" customWidth="1"/>
    <col min="37" max="40" width="7.5703125" style="16" customWidth="1"/>
    <col min="41" max="41" width="30.5703125" style="16" customWidth="1"/>
    <col min="42" max="42" width="13.5703125" style="16" customWidth="1"/>
    <col min="43" max="43" width="25.5703125" style="19" customWidth="1"/>
    <col min="44" max="44" width="3.5703125" style="19" customWidth="1"/>
    <col min="45" max="48" width="7.5703125" style="19" customWidth="1"/>
    <col min="49" max="49" width="30.5703125" style="19" customWidth="1"/>
    <col min="50" max="50" width="13.5703125" style="19" customWidth="1"/>
    <col min="51" max="51" width="25.5703125" style="19" customWidth="1"/>
    <col min="52" max="52" width="3.5703125" style="19" customWidth="1"/>
    <col min="53" max="56" width="7.5703125" style="19" customWidth="1"/>
    <col min="57" max="57" width="30.5703125" style="19" customWidth="1"/>
    <col min="58" max="58" width="13.5703125" style="19" customWidth="1"/>
    <col min="59" max="59" width="25.5703125" style="19" customWidth="1"/>
    <col min="60" max="60" width="3.5703125" style="19" customWidth="1"/>
    <col min="61" max="64" width="7.5703125" style="19" customWidth="1"/>
    <col min="65" max="65" width="30.5703125" style="19" customWidth="1"/>
    <col min="66" max="66" width="13.5703125" style="19" customWidth="1"/>
    <col min="67" max="67" width="25.5703125" style="19" customWidth="1"/>
    <col min="68" max="68" width="3.5703125" style="19" customWidth="1"/>
    <col min="69" max="72" width="7.5703125" style="19" customWidth="1"/>
    <col min="73" max="73" width="30.5703125" style="19" customWidth="1"/>
    <col min="74" max="74" width="13.5703125" style="19" customWidth="1"/>
    <col min="75" max="75" width="25.5703125" style="19" customWidth="1"/>
    <col min="76" max="76" width="3.5703125" style="19" customWidth="1"/>
    <col min="77" max="80" width="7.5703125" style="19" customWidth="1"/>
    <col min="81" max="81" width="30.5703125" style="19" customWidth="1"/>
    <col min="82" max="82" width="13.5703125" style="19" customWidth="1"/>
    <col min="83" max="83" width="25.5703125" style="19" customWidth="1"/>
    <col min="84" max="84" width="3.5703125" style="19" customWidth="1"/>
    <col min="85" max="88" width="7.5703125" style="19" customWidth="1"/>
    <col min="89" max="89" width="30.5703125" style="19" customWidth="1"/>
    <col min="90" max="90" width="13.5703125" style="19" customWidth="1"/>
    <col min="91" max="91" width="25.5703125" style="19" customWidth="1"/>
    <col min="92" max="92" width="3.5703125" style="19" customWidth="1"/>
    <col min="93" max="96" width="7.5703125" style="19" customWidth="1"/>
    <col min="97" max="97" width="30.5703125" style="19" customWidth="1"/>
    <col min="98" max="98" width="13.5703125" style="19" customWidth="1"/>
    <col min="99" max="99" width="25.5703125" style="19" customWidth="1"/>
    <col min="100" max="100" width="3.5703125" style="19" customWidth="1"/>
    <col min="101" max="104" width="7.5703125" style="19" customWidth="1"/>
    <col min="105" max="105" width="30.5703125" style="19" customWidth="1"/>
    <col min="106" max="106" width="13.5703125" style="19" customWidth="1"/>
    <col min="107" max="107" width="25.5703125" style="19" customWidth="1"/>
    <col min="108" max="16384" width="9.140625" style="19"/>
  </cols>
  <sheetData>
    <row r="1" spans="1:107" ht="15" customHeight="1" x14ac:dyDescent="0.25">
      <c r="C1" s="19" t="s">
        <v>8</v>
      </c>
    </row>
    <row r="2" spans="1:107" ht="40.35" customHeight="1" x14ac:dyDescent="0.25">
      <c r="E2" s="188" t="str">
        <f>Base!D2</f>
        <v>Pointages SEPTEMBRE 2021</v>
      </c>
      <c r="F2" s="188"/>
      <c r="G2" s="188"/>
      <c r="H2" s="188"/>
      <c r="I2" s="188"/>
      <c r="J2" s="188"/>
      <c r="K2" s="188"/>
      <c r="M2" s="107"/>
    </row>
    <row r="3" spans="1:107" ht="15" customHeight="1" thickBot="1" x14ac:dyDescent="0.3"/>
    <row r="4" spans="1:107" ht="40.35" customHeight="1" thickBot="1" x14ac:dyDescent="0.3">
      <c r="E4" s="189" t="s">
        <v>9</v>
      </c>
      <c r="F4" s="190"/>
      <c r="G4" s="190"/>
      <c r="H4" s="190"/>
      <c r="I4" s="190"/>
      <c r="J4" s="190"/>
      <c r="K4" s="191"/>
      <c r="M4" s="107" t="s">
        <v>10</v>
      </c>
      <c r="S4" s="62"/>
      <c r="T4" s="62"/>
      <c r="U4" s="19"/>
      <c r="V4" s="19"/>
      <c r="W4" s="19"/>
      <c r="X4" s="19"/>
      <c r="Y4" s="19"/>
      <c r="Z4" s="19"/>
      <c r="AB4" s="62"/>
      <c r="AJ4" s="62"/>
      <c r="AK4" s="19"/>
      <c r="AL4" s="19"/>
      <c r="AM4" s="19"/>
      <c r="AN4" s="19"/>
      <c r="AO4" s="19"/>
      <c r="AP4" s="19"/>
      <c r="AR4" s="62"/>
    </row>
    <row r="5" spans="1:107" s="118" customFormat="1" ht="40.35" customHeight="1" x14ac:dyDescent="0.4">
      <c r="E5" s="136"/>
      <c r="M5" s="107" t="s">
        <v>11</v>
      </c>
      <c r="S5" s="120"/>
      <c r="U5" s="19"/>
      <c r="V5" s="19"/>
      <c r="W5" s="19"/>
      <c r="X5" s="19"/>
      <c r="Y5" s="19"/>
      <c r="Z5" s="19"/>
      <c r="AA5" s="19"/>
      <c r="AP5" s="119"/>
    </row>
    <row r="6" spans="1:107" s="121" customFormat="1" ht="40.35" customHeight="1" x14ac:dyDescent="0.4">
      <c r="E6" s="136"/>
      <c r="F6" s="118"/>
      <c r="G6" s="118"/>
      <c r="H6" s="118"/>
      <c r="I6" s="118"/>
      <c r="J6" s="118"/>
      <c r="K6" s="118"/>
      <c r="M6" s="107" t="s">
        <v>12</v>
      </c>
      <c r="S6" s="120"/>
      <c r="U6" s="19"/>
      <c r="V6" s="19"/>
      <c r="W6" s="19"/>
      <c r="X6" s="19"/>
      <c r="Y6" s="19"/>
      <c r="Z6" s="19"/>
      <c r="AA6" s="19"/>
      <c r="AC6" s="139"/>
      <c r="AP6" s="127"/>
      <c r="CG6" s="139"/>
    </row>
    <row r="7" spans="1:107" s="24" customFormat="1" ht="36" customHeight="1" x14ac:dyDescent="0.25">
      <c r="D7" s="19"/>
      <c r="E7" s="178" t="s">
        <v>13</v>
      </c>
      <c r="F7" s="179"/>
      <c r="G7" s="179"/>
      <c r="H7" s="179"/>
      <c r="I7" s="179"/>
      <c r="J7" s="179"/>
      <c r="K7" s="180"/>
      <c r="L7" s="19"/>
      <c r="M7" s="178" t="s">
        <v>14</v>
      </c>
      <c r="N7" s="179"/>
      <c r="O7" s="179"/>
      <c r="P7" s="179"/>
      <c r="Q7" s="179"/>
      <c r="R7" s="179"/>
      <c r="S7" s="180"/>
      <c r="T7" s="65"/>
      <c r="U7" s="178" t="s">
        <v>15</v>
      </c>
      <c r="V7" s="179"/>
      <c r="W7" s="179"/>
      <c r="X7" s="179"/>
      <c r="Y7" s="179"/>
      <c r="Z7" s="179"/>
      <c r="AA7" s="180"/>
      <c r="AB7" s="54"/>
      <c r="AC7" s="178" t="s">
        <v>16</v>
      </c>
      <c r="AD7" s="179"/>
      <c r="AE7" s="179"/>
      <c r="AF7" s="179"/>
      <c r="AG7" s="179"/>
      <c r="AH7" s="179"/>
      <c r="AI7" s="180"/>
      <c r="AK7" s="178" t="s">
        <v>17</v>
      </c>
      <c r="AL7" s="179"/>
      <c r="AM7" s="179"/>
      <c r="AN7" s="179"/>
      <c r="AO7" s="179"/>
      <c r="AP7" s="179"/>
      <c r="AQ7" s="180"/>
      <c r="AS7" s="178" t="s">
        <v>18</v>
      </c>
      <c r="AT7" s="179"/>
      <c r="AU7" s="179"/>
      <c r="AV7" s="179"/>
      <c r="AW7" s="179"/>
      <c r="AX7" s="179"/>
      <c r="AY7" s="180"/>
      <c r="BA7" s="178" t="s">
        <v>19</v>
      </c>
      <c r="BB7" s="179"/>
      <c r="BC7" s="179"/>
      <c r="BD7" s="179"/>
      <c r="BE7" s="179"/>
      <c r="BF7" s="179"/>
      <c r="BG7" s="180"/>
      <c r="BI7" s="178" t="s">
        <v>101</v>
      </c>
      <c r="BJ7" s="179"/>
      <c r="BK7" s="179"/>
      <c r="BL7" s="179"/>
      <c r="BM7" s="179"/>
      <c r="BN7" s="179"/>
      <c r="BO7" s="180"/>
      <c r="BQ7" s="178" t="s">
        <v>20</v>
      </c>
      <c r="BR7" s="179"/>
      <c r="BS7" s="179"/>
      <c r="BT7" s="179"/>
      <c r="BU7" s="179"/>
      <c r="BV7" s="179"/>
      <c r="BW7" s="180"/>
      <c r="BY7" s="178" t="s">
        <v>21</v>
      </c>
      <c r="BZ7" s="179"/>
      <c r="CA7" s="179"/>
      <c r="CB7" s="179"/>
      <c r="CC7" s="179"/>
      <c r="CD7" s="179"/>
      <c r="CE7" s="180"/>
      <c r="CG7" s="178" t="s">
        <v>22</v>
      </c>
      <c r="CH7" s="179"/>
      <c r="CI7" s="179"/>
      <c r="CJ7" s="179"/>
      <c r="CK7" s="179"/>
      <c r="CL7" s="179"/>
      <c r="CM7" s="180"/>
      <c r="CO7" s="178" t="s">
        <v>23</v>
      </c>
      <c r="CP7" s="179"/>
      <c r="CQ7" s="179"/>
      <c r="CR7" s="179"/>
      <c r="CS7" s="179"/>
      <c r="CT7" s="179"/>
      <c r="CU7" s="180"/>
      <c r="CW7" s="178" t="s">
        <v>24</v>
      </c>
      <c r="CX7" s="179"/>
      <c r="CY7" s="179"/>
      <c r="CZ7" s="179"/>
      <c r="DA7" s="179"/>
      <c r="DB7" s="179"/>
      <c r="DC7" s="180"/>
    </row>
    <row r="8" spans="1:107" s="15" customFormat="1" ht="20.100000000000001" customHeight="1" x14ac:dyDescent="0.25">
      <c r="D8" s="19"/>
      <c r="E8" s="181" t="s">
        <v>25</v>
      </c>
      <c r="F8" s="182"/>
      <c r="G8" s="182"/>
      <c r="H8" s="183"/>
      <c r="I8" s="184" t="s">
        <v>26</v>
      </c>
      <c r="J8" s="185"/>
      <c r="K8" s="186" t="s">
        <v>27</v>
      </c>
      <c r="L8" s="19"/>
      <c r="M8" s="181" t="s">
        <v>25</v>
      </c>
      <c r="N8" s="182"/>
      <c r="O8" s="182"/>
      <c r="P8" s="183"/>
      <c r="Q8" s="184" t="s">
        <v>26</v>
      </c>
      <c r="R8" s="185"/>
      <c r="S8" s="186" t="s">
        <v>27</v>
      </c>
      <c r="T8" s="66"/>
      <c r="U8" s="181" t="s">
        <v>25</v>
      </c>
      <c r="V8" s="182"/>
      <c r="W8" s="182"/>
      <c r="X8" s="183"/>
      <c r="Y8" s="184" t="s">
        <v>26</v>
      </c>
      <c r="Z8" s="185"/>
      <c r="AA8" s="186" t="s">
        <v>27</v>
      </c>
      <c r="AB8" s="55"/>
      <c r="AC8" s="181" t="s">
        <v>25</v>
      </c>
      <c r="AD8" s="182"/>
      <c r="AE8" s="182"/>
      <c r="AF8" s="183"/>
      <c r="AG8" s="184" t="s">
        <v>26</v>
      </c>
      <c r="AH8" s="185"/>
      <c r="AI8" s="186" t="s">
        <v>27</v>
      </c>
      <c r="AJ8" s="135"/>
      <c r="AK8" s="181" t="s">
        <v>25</v>
      </c>
      <c r="AL8" s="182"/>
      <c r="AM8" s="182"/>
      <c r="AN8" s="183"/>
      <c r="AO8" s="184" t="s">
        <v>26</v>
      </c>
      <c r="AP8" s="185"/>
      <c r="AQ8" s="186" t="s">
        <v>27</v>
      </c>
      <c r="AR8" s="135"/>
      <c r="AS8" s="181" t="s">
        <v>25</v>
      </c>
      <c r="AT8" s="182"/>
      <c r="AU8" s="182"/>
      <c r="AV8" s="183"/>
      <c r="AW8" s="184" t="s">
        <v>26</v>
      </c>
      <c r="AX8" s="185"/>
      <c r="AY8" s="186" t="s">
        <v>27</v>
      </c>
      <c r="BA8" s="181" t="s">
        <v>25</v>
      </c>
      <c r="BB8" s="182"/>
      <c r="BC8" s="182"/>
      <c r="BD8" s="183"/>
      <c r="BE8" s="184" t="s">
        <v>26</v>
      </c>
      <c r="BF8" s="185"/>
      <c r="BG8" s="186" t="s">
        <v>27</v>
      </c>
      <c r="BI8" s="181" t="s">
        <v>25</v>
      </c>
      <c r="BJ8" s="182"/>
      <c r="BK8" s="182"/>
      <c r="BL8" s="183"/>
      <c r="BM8" s="184" t="s">
        <v>26</v>
      </c>
      <c r="BN8" s="185"/>
      <c r="BO8" s="186" t="s">
        <v>27</v>
      </c>
      <c r="BQ8" s="181" t="s">
        <v>25</v>
      </c>
      <c r="BR8" s="182"/>
      <c r="BS8" s="182"/>
      <c r="BT8" s="183"/>
      <c r="BU8" s="184" t="s">
        <v>26</v>
      </c>
      <c r="BV8" s="185"/>
      <c r="BW8" s="186" t="s">
        <v>27</v>
      </c>
      <c r="BY8" s="181" t="s">
        <v>25</v>
      </c>
      <c r="BZ8" s="182"/>
      <c r="CA8" s="182"/>
      <c r="CB8" s="183"/>
      <c r="CC8" s="184" t="s">
        <v>26</v>
      </c>
      <c r="CD8" s="185"/>
      <c r="CE8" s="186" t="s">
        <v>27</v>
      </c>
      <c r="CG8" s="181" t="s">
        <v>25</v>
      </c>
      <c r="CH8" s="182"/>
      <c r="CI8" s="182"/>
      <c r="CJ8" s="183"/>
      <c r="CK8" s="184" t="s">
        <v>26</v>
      </c>
      <c r="CL8" s="185"/>
      <c r="CM8" s="186" t="s">
        <v>27</v>
      </c>
      <c r="CO8" s="181" t="s">
        <v>25</v>
      </c>
      <c r="CP8" s="182"/>
      <c r="CQ8" s="182"/>
      <c r="CR8" s="183"/>
      <c r="CS8" s="184" t="s">
        <v>26</v>
      </c>
      <c r="CT8" s="185"/>
      <c r="CU8" s="186" t="s">
        <v>27</v>
      </c>
      <c r="CW8" s="181" t="s">
        <v>25</v>
      </c>
      <c r="CX8" s="182"/>
      <c r="CY8" s="182"/>
      <c r="CZ8" s="183"/>
      <c r="DA8" s="184" t="s">
        <v>26</v>
      </c>
      <c r="DB8" s="185"/>
      <c r="DC8" s="186" t="s">
        <v>27</v>
      </c>
    </row>
    <row r="9" spans="1:107" ht="20.100000000000001" customHeight="1" x14ac:dyDescent="0.25">
      <c r="A9" s="16"/>
      <c r="B9" s="16"/>
      <c r="C9" s="15"/>
      <c r="E9" s="113" t="s">
        <v>28</v>
      </c>
      <c r="F9" s="113" t="s">
        <v>29</v>
      </c>
      <c r="G9" s="113" t="s">
        <v>30</v>
      </c>
      <c r="H9" s="113" t="s">
        <v>31</v>
      </c>
      <c r="I9" s="114" t="s">
        <v>32</v>
      </c>
      <c r="J9" s="114" t="s">
        <v>33</v>
      </c>
      <c r="K9" s="187"/>
      <c r="M9" s="113" t="s">
        <v>28</v>
      </c>
      <c r="N9" s="113" t="s">
        <v>29</v>
      </c>
      <c r="O9" s="113" t="s">
        <v>30</v>
      </c>
      <c r="P9" s="113" t="s">
        <v>31</v>
      </c>
      <c r="Q9" s="114" t="s">
        <v>32</v>
      </c>
      <c r="R9" s="114" t="s">
        <v>33</v>
      </c>
      <c r="S9" s="187"/>
      <c r="T9" s="53"/>
      <c r="U9" s="113" t="s">
        <v>28</v>
      </c>
      <c r="V9" s="113" t="s">
        <v>29</v>
      </c>
      <c r="W9" s="113" t="s">
        <v>30</v>
      </c>
      <c r="X9" s="113" t="s">
        <v>31</v>
      </c>
      <c r="Y9" s="114" t="s">
        <v>32</v>
      </c>
      <c r="Z9" s="114" t="s">
        <v>33</v>
      </c>
      <c r="AA9" s="187"/>
      <c r="AB9" s="56"/>
      <c r="AC9" s="113" t="s">
        <v>28</v>
      </c>
      <c r="AD9" s="113" t="s">
        <v>29</v>
      </c>
      <c r="AE9" s="113" t="s">
        <v>30</v>
      </c>
      <c r="AF9" s="113" t="s">
        <v>31</v>
      </c>
      <c r="AG9" s="114" t="s">
        <v>32</v>
      </c>
      <c r="AH9" s="114" t="s">
        <v>33</v>
      </c>
      <c r="AI9" s="187"/>
      <c r="AJ9" s="56"/>
      <c r="AK9" s="113" t="s">
        <v>28</v>
      </c>
      <c r="AL9" s="113" t="s">
        <v>29</v>
      </c>
      <c r="AM9" s="113" t="s">
        <v>30</v>
      </c>
      <c r="AN9" s="113" t="s">
        <v>31</v>
      </c>
      <c r="AO9" s="114" t="s">
        <v>32</v>
      </c>
      <c r="AP9" s="114" t="s">
        <v>33</v>
      </c>
      <c r="AQ9" s="187"/>
      <c r="AR9" s="56"/>
      <c r="AS9" s="113" t="s">
        <v>28</v>
      </c>
      <c r="AT9" s="113" t="s">
        <v>29</v>
      </c>
      <c r="AU9" s="113" t="s">
        <v>30</v>
      </c>
      <c r="AV9" s="113" t="s">
        <v>31</v>
      </c>
      <c r="AW9" s="114" t="s">
        <v>32</v>
      </c>
      <c r="AX9" s="114" t="s">
        <v>33</v>
      </c>
      <c r="AY9" s="187"/>
      <c r="AZ9" s="69"/>
      <c r="BA9" s="113" t="s">
        <v>28</v>
      </c>
      <c r="BB9" s="113" t="s">
        <v>29</v>
      </c>
      <c r="BC9" s="113" t="s">
        <v>30</v>
      </c>
      <c r="BD9" s="113" t="s">
        <v>31</v>
      </c>
      <c r="BE9" s="114" t="s">
        <v>32</v>
      </c>
      <c r="BF9" s="114" t="s">
        <v>33</v>
      </c>
      <c r="BG9" s="187"/>
      <c r="BH9" s="69"/>
      <c r="BI9" s="113" t="s">
        <v>28</v>
      </c>
      <c r="BJ9" s="113" t="s">
        <v>29</v>
      </c>
      <c r="BK9" s="113" t="s">
        <v>30</v>
      </c>
      <c r="BL9" s="113" t="s">
        <v>31</v>
      </c>
      <c r="BM9" s="114" t="s">
        <v>32</v>
      </c>
      <c r="BN9" s="114" t="s">
        <v>33</v>
      </c>
      <c r="BO9" s="187"/>
      <c r="BP9" s="69"/>
      <c r="BQ9" s="113" t="s">
        <v>28</v>
      </c>
      <c r="BR9" s="113" t="s">
        <v>29</v>
      </c>
      <c r="BS9" s="113" t="s">
        <v>30</v>
      </c>
      <c r="BT9" s="113" t="s">
        <v>31</v>
      </c>
      <c r="BU9" s="114" t="s">
        <v>32</v>
      </c>
      <c r="BV9" s="114" t="s">
        <v>33</v>
      </c>
      <c r="BW9" s="187"/>
      <c r="BX9" s="69"/>
      <c r="BY9" s="113" t="s">
        <v>28</v>
      </c>
      <c r="BZ9" s="113" t="s">
        <v>29</v>
      </c>
      <c r="CA9" s="113" t="s">
        <v>30</v>
      </c>
      <c r="CB9" s="113" t="s">
        <v>31</v>
      </c>
      <c r="CC9" s="114" t="s">
        <v>32</v>
      </c>
      <c r="CD9" s="114" t="s">
        <v>33</v>
      </c>
      <c r="CE9" s="187"/>
      <c r="CF9" s="69"/>
      <c r="CG9" s="113" t="s">
        <v>28</v>
      </c>
      <c r="CH9" s="113" t="s">
        <v>29</v>
      </c>
      <c r="CI9" s="113" t="s">
        <v>30</v>
      </c>
      <c r="CJ9" s="113" t="s">
        <v>31</v>
      </c>
      <c r="CK9" s="114" t="s">
        <v>32</v>
      </c>
      <c r="CL9" s="114" t="s">
        <v>33</v>
      </c>
      <c r="CM9" s="187"/>
      <c r="CN9" s="69"/>
      <c r="CO9" s="113" t="s">
        <v>28</v>
      </c>
      <c r="CP9" s="113" t="s">
        <v>29</v>
      </c>
      <c r="CQ9" s="113" t="s">
        <v>30</v>
      </c>
      <c r="CR9" s="113" t="s">
        <v>31</v>
      </c>
      <c r="CS9" s="114" t="s">
        <v>32</v>
      </c>
      <c r="CT9" s="114" t="s">
        <v>33</v>
      </c>
      <c r="CU9" s="187"/>
      <c r="CV9" s="69"/>
      <c r="CW9" s="113" t="s">
        <v>28</v>
      </c>
      <c r="CX9" s="113" t="s">
        <v>29</v>
      </c>
      <c r="CY9" s="113" t="s">
        <v>30</v>
      </c>
      <c r="CZ9" s="113" t="s">
        <v>31</v>
      </c>
      <c r="DA9" s="114" t="s">
        <v>32</v>
      </c>
      <c r="DB9" s="114" t="s">
        <v>33</v>
      </c>
      <c r="DC9" s="187"/>
    </row>
    <row r="10" spans="1:107" ht="15" customHeight="1" x14ac:dyDescent="0.25">
      <c r="A10" s="175" t="str">
        <f>Base!A9</f>
        <v>S.34</v>
      </c>
      <c r="B10" s="106">
        <f>Base!B9</f>
        <v>44431</v>
      </c>
      <c r="C10" s="15"/>
      <c r="E10" s="108"/>
      <c r="F10" s="108">
        <v>7</v>
      </c>
      <c r="G10" s="108">
        <v>83</v>
      </c>
      <c r="H10" s="108"/>
      <c r="I10" s="140" t="s">
        <v>97</v>
      </c>
      <c r="J10" s="108" t="s">
        <v>34</v>
      </c>
      <c r="K10" s="108"/>
      <c r="M10" s="108"/>
      <c r="N10" s="108"/>
      <c r="O10" s="108"/>
      <c r="P10" s="108"/>
      <c r="Q10" s="140" t="s">
        <v>98</v>
      </c>
      <c r="R10" s="109"/>
      <c r="S10" s="108"/>
      <c r="U10" s="108">
        <v>7</v>
      </c>
      <c r="V10" s="108"/>
      <c r="W10" s="108">
        <v>83</v>
      </c>
      <c r="X10" s="108"/>
      <c r="Y10" s="140" t="s">
        <v>35</v>
      </c>
      <c r="Z10" s="109" t="s">
        <v>36</v>
      </c>
      <c r="AA10" s="108"/>
      <c r="AB10" s="52"/>
      <c r="AC10" s="108">
        <v>7</v>
      </c>
      <c r="AD10" s="108"/>
      <c r="AE10" s="108">
        <v>83</v>
      </c>
      <c r="AF10" s="108"/>
      <c r="AG10" s="140" t="s">
        <v>99</v>
      </c>
      <c r="AH10" s="109"/>
      <c r="AI10" s="108"/>
      <c r="AJ10" s="52"/>
      <c r="AK10" s="108">
        <v>7</v>
      </c>
      <c r="AL10" s="108"/>
      <c r="AM10" s="108">
        <v>83</v>
      </c>
      <c r="AN10" s="108"/>
      <c r="AO10" s="140" t="s">
        <v>37</v>
      </c>
      <c r="AP10" s="108" t="s">
        <v>38</v>
      </c>
      <c r="AQ10" s="108"/>
      <c r="AR10" s="52"/>
      <c r="AS10" s="108">
        <v>7</v>
      </c>
      <c r="AT10" s="108"/>
      <c r="AU10" s="150">
        <v>83</v>
      </c>
      <c r="AV10" s="108"/>
      <c r="AW10" s="152" t="s">
        <v>37</v>
      </c>
      <c r="AX10" s="109" t="s">
        <v>39</v>
      </c>
      <c r="AY10" s="153" t="s">
        <v>106</v>
      </c>
      <c r="AZ10" s="52"/>
      <c r="BA10" s="108"/>
      <c r="BB10" s="108"/>
      <c r="BC10" s="108"/>
      <c r="BD10" s="108"/>
      <c r="BE10" s="140" t="s">
        <v>98</v>
      </c>
      <c r="BF10" s="109"/>
      <c r="BG10" s="108"/>
      <c r="BH10" s="52"/>
      <c r="BI10" s="108">
        <v>7</v>
      </c>
      <c r="BJ10" s="108"/>
      <c r="BK10" s="108">
        <v>83</v>
      </c>
      <c r="BL10" s="108"/>
      <c r="BM10" s="140" t="s">
        <v>63</v>
      </c>
      <c r="BN10" s="109"/>
      <c r="BO10" s="108"/>
      <c r="BP10" s="52"/>
      <c r="BQ10" s="108"/>
      <c r="BR10" s="108"/>
      <c r="BS10" s="108"/>
      <c r="BT10" s="108"/>
      <c r="BU10" s="140" t="s">
        <v>102</v>
      </c>
      <c r="BV10" s="109"/>
      <c r="BW10" s="108"/>
      <c r="BX10" s="52"/>
      <c r="BY10" s="123"/>
      <c r="BZ10" s="123"/>
      <c r="CA10" s="123"/>
      <c r="CB10" s="123"/>
      <c r="CC10" s="143"/>
      <c r="CD10" s="124"/>
      <c r="CE10" s="123"/>
      <c r="CF10" s="52"/>
      <c r="CG10" s="108">
        <v>7</v>
      </c>
      <c r="CH10" s="108"/>
      <c r="CI10" s="108">
        <v>83</v>
      </c>
      <c r="CJ10" s="108"/>
      <c r="CK10" s="140" t="s">
        <v>99</v>
      </c>
      <c r="CL10" s="109"/>
      <c r="CM10" s="108"/>
      <c r="CN10" s="52"/>
      <c r="CO10" s="108">
        <v>7</v>
      </c>
      <c r="CP10" s="108"/>
      <c r="CQ10" s="108">
        <v>83</v>
      </c>
      <c r="CR10" s="108"/>
      <c r="CS10" s="140" t="s">
        <v>42</v>
      </c>
      <c r="CT10" s="109" t="s">
        <v>43</v>
      </c>
      <c r="CU10" s="108"/>
      <c r="CV10" s="52"/>
      <c r="CW10" s="108">
        <v>7</v>
      </c>
      <c r="CX10" s="108"/>
      <c r="CY10" s="108">
        <v>83</v>
      </c>
      <c r="CZ10" s="108"/>
      <c r="DA10" s="140" t="s">
        <v>42</v>
      </c>
      <c r="DB10" s="109" t="s">
        <v>45</v>
      </c>
      <c r="DC10" s="108"/>
    </row>
    <row r="11" spans="1:107" ht="15" customHeight="1" x14ac:dyDescent="0.25">
      <c r="A11" s="176"/>
      <c r="B11" s="106">
        <f>B10+1</f>
        <v>44432</v>
      </c>
      <c r="C11" s="15"/>
      <c r="E11" s="108"/>
      <c r="F11" s="108">
        <v>7</v>
      </c>
      <c r="G11" s="108">
        <v>83</v>
      </c>
      <c r="H11" s="108"/>
      <c r="I11" s="140" t="s">
        <v>97</v>
      </c>
      <c r="J11" s="108" t="s">
        <v>34</v>
      </c>
      <c r="K11" s="108"/>
      <c r="M11" s="108"/>
      <c r="N11" s="108"/>
      <c r="O11" s="108"/>
      <c r="P11" s="108"/>
      <c r="Q11" s="140" t="s">
        <v>98</v>
      </c>
      <c r="R11" s="109"/>
      <c r="S11" s="108"/>
      <c r="U11" s="108">
        <v>7</v>
      </c>
      <c r="V11" s="108"/>
      <c r="W11" s="108">
        <v>83</v>
      </c>
      <c r="X11" s="108"/>
      <c r="Y11" s="140" t="s">
        <v>35</v>
      </c>
      <c r="Z11" s="109" t="s">
        <v>36</v>
      </c>
      <c r="AA11" s="108"/>
      <c r="AB11" s="52"/>
      <c r="AC11" s="108">
        <v>7</v>
      </c>
      <c r="AD11" s="108"/>
      <c r="AE11" s="108">
        <v>83</v>
      </c>
      <c r="AF11" s="108"/>
      <c r="AG11" s="140" t="s">
        <v>99</v>
      </c>
      <c r="AH11" s="109"/>
      <c r="AI11" s="108"/>
      <c r="AJ11" s="52"/>
      <c r="AK11" s="108">
        <v>7</v>
      </c>
      <c r="AL11" s="108"/>
      <c r="AM11" s="108">
        <v>83</v>
      </c>
      <c r="AN11" s="108"/>
      <c r="AO11" s="140" t="s">
        <v>37</v>
      </c>
      <c r="AP11" s="108" t="s">
        <v>38</v>
      </c>
      <c r="AQ11" s="108"/>
      <c r="AR11" s="52"/>
      <c r="AS11" s="108">
        <v>7</v>
      </c>
      <c r="AT11" s="108"/>
      <c r="AU11" s="150">
        <v>83</v>
      </c>
      <c r="AV11" s="108"/>
      <c r="AW11" s="152" t="s">
        <v>37</v>
      </c>
      <c r="AX11" s="109" t="s">
        <v>39</v>
      </c>
      <c r="AY11" s="108"/>
      <c r="AZ11" s="52"/>
      <c r="BA11" s="108"/>
      <c r="BB11" s="108"/>
      <c r="BC11" s="108"/>
      <c r="BD11" s="108"/>
      <c r="BE11" s="140" t="s">
        <v>98</v>
      </c>
      <c r="BF11" s="109"/>
      <c r="BG11" s="108"/>
      <c r="BH11" s="52"/>
      <c r="BI11" s="108">
        <v>7</v>
      </c>
      <c r="BJ11" s="108"/>
      <c r="BK11" s="108">
        <v>83</v>
      </c>
      <c r="BL11" s="108"/>
      <c r="BM11" s="140" t="s">
        <v>63</v>
      </c>
      <c r="BN11" s="109"/>
      <c r="BO11" s="108"/>
      <c r="BP11" s="52"/>
      <c r="BQ11" s="108"/>
      <c r="BR11" s="108"/>
      <c r="BS11" s="108"/>
      <c r="BT11" s="108"/>
      <c r="BU11" s="140" t="s">
        <v>102</v>
      </c>
      <c r="BV11" s="109"/>
      <c r="BW11" s="108"/>
      <c r="BX11" s="52"/>
      <c r="BY11" s="123"/>
      <c r="BZ11" s="123"/>
      <c r="CA11" s="123"/>
      <c r="CB11" s="123"/>
      <c r="CC11" s="143"/>
      <c r="CD11" s="124"/>
      <c r="CE11" s="123"/>
      <c r="CF11" s="52"/>
      <c r="CG11" s="108">
        <v>7</v>
      </c>
      <c r="CH11" s="108"/>
      <c r="CI11" s="108">
        <v>83</v>
      </c>
      <c r="CJ11" s="108"/>
      <c r="CK11" s="140" t="s">
        <v>99</v>
      </c>
      <c r="CL11" s="109"/>
      <c r="CM11" s="108"/>
      <c r="CN11" s="52"/>
      <c r="CO11" s="108">
        <v>7</v>
      </c>
      <c r="CP11" s="108"/>
      <c r="CQ11" s="108">
        <v>83</v>
      </c>
      <c r="CR11" s="108"/>
      <c r="CS11" s="140" t="s">
        <v>42</v>
      </c>
      <c r="CT11" s="109" t="s">
        <v>43</v>
      </c>
      <c r="CU11" s="108"/>
      <c r="CV11" s="52"/>
      <c r="CW11" s="108">
        <v>7</v>
      </c>
      <c r="CX11" s="108"/>
      <c r="CY11" s="108">
        <v>83</v>
      </c>
      <c r="CZ11" s="108"/>
      <c r="DA11" s="140" t="s">
        <v>42</v>
      </c>
      <c r="DB11" s="109" t="s">
        <v>45</v>
      </c>
      <c r="DC11" s="108"/>
    </row>
    <row r="12" spans="1:107" ht="15" customHeight="1" x14ac:dyDescent="0.25">
      <c r="A12" s="176"/>
      <c r="B12" s="106">
        <f t="shared" ref="B12:B42" si="0">B11+1</f>
        <v>44433</v>
      </c>
      <c r="E12" s="108"/>
      <c r="F12" s="108">
        <v>7</v>
      </c>
      <c r="G12" s="108">
        <v>83</v>
      </c>
      <c r="H12" s="108"/>
      <c r="I12" s="140" t="s">
        <v>97</v>
      </c>
      <c r="J12" s="108" t="s">
        <v>34</v>
      </c>
      <c r="K12" s="108"/>
      <c r="M12" s="108"/>
      <c r="N12" s="108"/>
      <c r="O12" s="108"/>
      <c r="P12" s="108"/>
      <c r="Q12" s="140" t="s">
        <v>98</v>
      </c>
      <c r="R12" s="109"/>
      <c r="S12" s="108"/>
      <c r="U12" s="108">
        <v>7</v>
      </c>
      <c r="V12" s="108"/>
      <c r="W12" s="108">
        <v>83</v>
      </c>
      <c r="X12" s="108"/>
      <c r="Y12" s="140" t="s">
        <v>35</v>
      </c>
      <c r="Z12" s="109" t="s">
        <v>36</v>
      </c>
      <c r="AA12" s="108"/>
      <c r="AB12" s="52"/>
      <c r="AC12" s="108">
        <v>7</v>
      </c>
      <c r="AD12" s="108"/>
      <c r="AE12" s="108">
        <v>83</v>
      </c>
      <c r="AF12" s="108"/>
      <c r="AG12" s="140" t="s">
        <v>99</v>
      </c>
      <c r="AH12" s="109"/>
      <c r="AI12" s="108"/>
      <c r="AJ12" s="52"/>
      <c r="AK12" s="108">
        <v>7</v>
      </c>
      <c r="AL12" s="108"/>
      <c r="AM12" s="108">
        <v>83</v>
      </c>
      <c r="AN12" s="108"/>
      <c r="AO12" s="140" t="s">
        <v>44</v>
      </c>
      <c r="AP12" s="108" t="s">
        <v>38</v>
      </c>
      <c r="AQ12" s="108"/>
      <c r="AR12" s="52"/>
      <c r="AS12" s="108">
        <v>7</v>
      </c>
      <c r="AT12" s="108"/>
      <c r="AU12" s="150">
        <v>83</v>
      </c>
      <c r="AV12" s="108"/>
      <c r="AW12" s="152" t="s">
        <v>37</v>
      </c>
      <c r="AX12" s="109" t="s">
        <v>39</v>
      </c>
      <c r="AY12" s="108"/>
      <c r="AZ12" s="52"/>
      <c r="BA12" s="108"/>
      <c r="BB12" s="108"/>
      <c r="BC12" s="108"/>
      <c r="BD12" s="108"/>
      <c r="BE12" s="140" t="s">
        <v>98</v>
      </c>
      <c r="BF12" s="109"/>
      <c r="BG12" s="108"/>
      <c r="BH12" s="52"/>
      <c r="BI12" s="108">
        <v>7</v>
      </c>
      <c r="BJ12" s="108"/>
      <c r="BK12" s="108">
        <v>83</v>
      </c>
      <c r="BL12" s="108"/>
      <c r="BM12" s="140" t="s">
        <v>76</v>
      </c>
      <c r="BN12" s="109"/>
      <c r="BO12" s="108"/>
      <c r="BP12" s="52"/>
      <c r="BQ12" s="108"/>
      <c r="BR12" s="108"/>
      <c r="BS12" s="108"/>
      <c r="BT12" s="108"/>
      <c r="BU12" s="140" t="s">
        <v>102</v>
      </c>
      <c r="BV12" s="109"/>
      <c r="BW12" s="108"/>
      <c r="BX12" s="52"/>
      <c r="BY12" s="123"/>
      <c r="BZ12" s="123"/>
      <c r="CA12" s="123"/>
      <c r="CB12" s="123"/>
      <c r="CC12" s="143"/>
      <c r="CD12" s="124"/>
      <c r="CE12" s="123"/>
      <c r="CF12" s="52"/>
      <c r="CG12" s="108">
        <v>7</v>
      </c>
      <c r="CH12" s="108"/>
      <c r="CI12" s="108">
        <v>83</v>
      </c>
      <c r="CJ12" s="108"/>
      <c r="CK12" s="140" t="s">
        <v>99</v>
      </c>
      <c r="CL12" s="109"/>
      <c r="CM12" s="108"/>
      <c r="CN12" s="52"/>
      <c r="CO12" s="108">
        <v>7</v>
      </c>
      <c r="CP12" s="108"/>
      <c r="CQ12" s="108">
        <v>83</v>
      </c>
      <c r="CR12" s="108"/>
      <c r="CS12" s="140" t="s">
        <v>42</v>
      </c>
      <c r="CT12" s="109" t="s">
        <v>45</v>
      </c>
      <c r="CU12" s="108"/>
      <c r="CV12" s="52"/>
      <c r="CW12" s="108">
        <v>7</v>
      </c>
      <c r="CX12" s="108"/>
      <c r="CY12" s="108">
        <v>83</v>
      </c>
      <c r="CZ12" s="108"/>
      <c r="DA12" s="140" t="s">
        <v>42</v>
      </c>
      <c r="DB12" s="109" t="s">
        <v>45</v>
      </c>
      <c r="DC12" s="108"/>
    </row>
    <row r="13" spans="1:107" ht="15" customHeight="1" x14ac:dyDescent="0.25">
      <c r="A13" s="176"/>
      <c r="B13" s="106">
        <f t="shared" si="0"/>
        <v>44434</v>
      </c>
      <c r="C13" s="15"/>
      <c r="E13" s="108"/>
      <c r="F13" s="108">
        <v>7</v>
      </c>
      <c r="G13" s="108">
        <v>83</v>
      </c>
      <c r="H13" s="108"/>
      <c r="I13" s="140" t="s">
        <v>97</v>
      </c>
      <c r="J13" s="108" t="s">
        <v>34</v>
      </c>
      <c r="K13" s="108"/>
      <c r="M13" s="108"/>
      <c r="N13" s="108"/>
      <c r="O13" s="108"/>
      <c r="P13" s="108"/>
      <c r="Q13" s="140" t="s">
        <v>98</v>
      </c>
      <c r="R13" s="109"/>
      <c r="S13" s="108"/>
      <c r="U13" s="108">
        <v>7</v>
      </c>
      <c r="V13" s="108"/>
      <c r="W13" s="108">
        <v>83</v>
      </c>
      <c r="X13" s="108"/>
      <c r="Y13" s="140" t="s">
        <v>35</v>
      </c>
      <c r="Z13" s="109" t="s">
        <v>36</v>
      </c>
      <c r="AA13" s="108"/>
      <c r="AB13" s="52"/>
      <c r="AC13" s="108">
        <v>7</v>
      </c>
      <c r="AD13" s="108"/>
      <c r="AE13" s="108">
        <v>83</v>
      </c>
      <c r="AF13" s="108"/>
      <c r="AG13" s="140" t="s">
        <v>99</v>
      </c>
      <c r="AH13" s="109"/>
      <c r="AI13" s="108"/>
      <c r="AJ13" s="52"/>
      <c r="AK13" s="108">
        <v>7</v>
      </c>
      <c r="AL13" s="108"/>
      <c r="AM13" s="108">
        <v>83</v>
      </c>
      <c r="AN13" s="108"/>
      <c r="AO13" s="140" t="s">
        <v>37</v>
      </c>
      <c r="AP13" s="108" t="s">
        <v>38</v>
      </c>
      <c r="AQ13" s="108"/>
      <c r="AR13" s="52"/>
      <c r="AS13" s="108">
        <v>7</v>
      </c>
      <c r="AT13" s="108"/>
      <c r="AU13" s="150">
        <v>83</v>
      </c>
      <c r="AV13" s="108"/>
      <c r="AW13" s="152" t="s">
        <v>37</v>
      </c>
      <c r="AX13" s="109" t="s">
        <v>39</v>
      </c>
      <c r="AY13" s="108"/>
      <c r="AZ13" s="52"/>
      <c r="BA13" s="108"/>
      <c r="BB13" s="108"/>
      <c r="BC13" s="108"/>
      <c r="BD13" s="108"/>
      <c r="BE13" s="140" t="s">
        <v>98</v>
      </c>
      <c r="BF13" s="109"/>
      <c r="BG13" s="108"/>
      <c r="BH13" s="52"/>
      <c r="BI13" s="108">
        <v>7</v>
      </c>
      <c r="BJ13" s="108"/>
      <c r="BK13" s="108">
        <v>83</v>
      </c>
      <c r="BL13" s="108"/>
      <c r="BM13" s="140" t="s">
        <v>76</v>
      </c>
      <c r="BN13" s="109"/>
      <c r="BO13" s="108"/>
      <c r="BP13" s="52"/>
      <c r="BQ13" s="108"/>
      <c r="BR13" s="108"/>
      <c r="BS13" s="108"/>
      <c r="BT13" s="108"/>
      <c r="BU13" s="140" t="s">
        <v>102</v>
      </c>
      <c r="BV13" s="109"/>
      <c r="BW13" s="108"/>
      <c r="BX13" s="52"/>
      <c r="BY13" s="123"/>
      <c r="BZ13" s="123"/>
      <c r="CA13" s="123"/>
      <c r="CB13" s="123"/>
      <c r="CC13" s="143"/>
      <c r="CD13" s="124"/>
      <c r="CE13" s="123"/>
      <c r="CF13" s="52"/>
      <c r="CG13" s="108">
        <v>7</v>
      </c>
      <c r="CH13" s="108"/>
      <c r="CI13" s="108">
        <v>83</v>
      </c>
      <c r="CJ13" s="108"/>
      <c r="CK13" s="140" t="s">
        <v>99</v>
      </c>
      <c r="CL13" s="109"/>
      <c r="CM13" s="108"/>
      <c r="CN13" s="52"/>
      <c r="CO13" s="108">
        <v>7</v>
      </c>
      <c r="CP13" s="108"/>
      <c r="CQ13" s="108">
        <v>83</v>
      </c>
      <c r="CR13" s="108"/>
      <c r="CS13" s="140" t="s">
        <v>42</v>
      </c>
      <c r="CT13" s="109" t="s">
        <v>45</v>
      </c>
      <c r="CU13" s="108"/>
      <c r="CV13" s="52"/>
      <c r="CW13" s="108">
        <v>7</v>
      </c>
      <c r="CX13" s="108"/>
      <c r="CY13" s="108">
        <v>83</v>
      </c>
      <c r="CZ13" s="108"/>
      <c r="DA13" s="140" t="s">
        <v>42</v>
      </c>
      <c r="DB13" s="109" t="s">
        <v>45</v>
      </c>
      <c r="DC13" s="108"/>
    </row>
    <row r="14" spans="1:107" ht="15" customHeight="1" x14ac:dyDescent="0.25">
      <c r="A14" s="176"/>
      <c r="B14" s="106">
        <f t="shared" si="0"/>
        <v>44435</v>
      </c>
      <c r="C14" s="15"/>
      <c r="E14" s="108"/>
      <c r="F14" s="108">
        <v>7</v>
      </c>
      <c r="G14" s="108">
        <v>83</v>
      </c>
      <c r="H14" s="108"/>
      <c r="I14" s="140" t="s">
        <v>97</v>
      </c>
      <c r="J14" s="108" t="s">
        <v>34</v>
      </c>
      <c r="K14" s="108"/>
      <c r="M14" s="108"/>
      <c r="N14" s="108"/>
      <c r="O14" s="108"/>
      <c r="P14" s="108"/>
      <c r="Q14" s="140" t="s">
        <v>98</v>
      </c>
      <c r="R14" s="109"/>
      <c r="S14" s="108"/>
      <c r="U14" s="108">
        <v>7</v>
      </c>
      <c r="V14" s="108"/>
      <c r="W14" s="108">
        <v>18.600000000000001</v>
      </c>
      <c r="X14" s="108"/>
      <c r="Y14" s="140" t="s">
        <v>35</v>
      </c>
      <c r="Z14" s="109" t="s">
        <v>36</v>
      </c>
      <c r="AA14" s="108"/>
      <c r="AB14" s="52"/>
      <c r="AC14" s="108">
        <v>7</v>
      </c>
      <c r="AD14" s="108"/>
      <c r="AE14" s="108">
        <v>18.600000000000001</v>
      </c>
      <c r="AF14" s="108"/>
      <c r="AG14" s="140" t="s">
        <v>99</v>
      </c>
      <c r="AH14" s="109"/>
      <c r="AI14" s="108"/>
      <c r="AJ14" s="52"/>
      <c r="AK14" s="108">
        <v>7</v>
      </c>
      <c r="AL14" s="108"/>
      <c r="AM14" s="108">
        <v>18.600000000000001</v>
      </c>
      <c r="AN14" s="108"/>
      <c r="AO14" s="140" t="s">
        <v>37</v>
      </c>
      <c r="AP14" s="108" t="s">
        <v>38</v>
      </c>
      <c r="AQ14" s="108"/>
      <c r="AR14" s="52"/>
      <c r="AS14" s="108">
        <v>7</v>
      </c>
      <c r="AT14" s="108"/>
      <c r="AU14" s="108">
        <v>18.600000000000001</v>
      </c>
      <c r="AV14" s="108"/>
      <c r="AW14" s="152" t="s">
        <v>37</v>
      </c>
      <c r="AX14" s="109" t="s">
        <v>39</v>
      </c>
      <c r="AY14" s="108"/>
      <c r="AZ14" s="52"/>
      <c r="BA14" s="108"/>
      <c r="BB14" s="108"/>
      <c r="BC14" s="108"/>
      <c r="BD14" s="108"/>
      <c r="BE14" s="140" t="s">
        <v>98</v>
      </c>
      <c r="BF14" s="109"/>
      <c r="BG14" s="108"/>
      <c r="BH14" s="52"/>
      <c r="BI14" s="108">
        <v>7</v>
      </c>
      <c r="BJ14" s="108"/>
      <c r="BK14" s="108">
        <v>83</v>
      </c>
      <c r="BL14" s="108"/>
      <c r="BM14" s="140" t="s">
        <v>40</v>
      </c>
      <c r="BN14" s="109"/>
      <c r="BO14" s="108"/>
      <c r="BP14" s="52"/>
      <c r="BQ14" s="108"/>
      <c r="BR14" s="108"/>
      <c r="BS14" s="108"/>
      <c r="BT14" s="108"/>
      <c r="BU14" s="140" t="s">
        <v>102</v>
      </c>
      <c r="BV14" s="109"/>
      <c r="BW14" s="108"/>
      <c r="BX14" s="52"/>
      <c r="BY14" s="123"/>
      <c r="BZ14" s="123"/>
      <c r="CA14" s="123"/>
      <c r="CB14" s="123"/>
      <c r="CC14" s="143"/>
      <c r="CD14" s="124"/>
      <c r="CE14" s="123"/>
      <c r="CF14" s="52"/>
      <c r="CG14" s="108">
        <v>7</v>
      </c>
      <c r="CH14" s="108"/>
      <c r="CI14" s="108">
        <v>18.600000000000001</v>
      </c>
      <c r="CJ14" s="108"/>
      <c r="CK14" s="140" t="s">
        <v>99</v>
      </c>
      <c r="CL14" s="109"/>
      <c r="CM14" s="108"/>
      <c r="CN14" s="52"/>
      <c r="CO14" s="108">
        <v>7</v>
      </c>
      <c r="CP14" s="108"/>
      <c r="CQ14" s="108">
        <v>83</v>
      </c>
      <c r="CR14" s="108"/>
      <c r="CS14" s="140" t="s">
        <v>42</v>
      </c>
      <c r="CT14" s="109" t="s">
        <v>45</v>
      </c>
      <c r="CU14" s="108"/>
      <c r="CV14" s="52"/>
      <c r="CW14" s="108">
        <v>7</v>
      </c>
      <c r="CX14" s="108"/>
      <c r="CY14" s="108">
        <v>18.600000000000001</v>
      </c>
      <c r="CZ14" s="108"/>
      <c r="DA14" s="140" t="s">
        <v>42</v>
      </c>
      <c r="DB14" s="109" t="s">
        <v>45</v>
      </c>
      <c r="DC14" s="108"/>
    </row>
    <row r="15" spans="1:107" ht="15" customHeight="1" x14ac:dyDescent="0.25">
      <c r="A15" s="176"/>
      <c r="B15" s="105">
        <f t="shared" si="0"/>
        <v>44436</v>
      </c>
      <c r="C15" s="15"/>
      <c r="E15" s="67"/>
      <c r="F15" s="67"/>
      <c r="G15" s="67"/>
      <c r="H15" s="67"/>
      <c r="I15" s="141"/>
      <c r="J15" s="67"/>
      <c r="K15" s="67"/>
      <c r="M15" s="67"/>
      <c r="N15" s="67"/>
      <c r="O15" s="67"/>
      <c r="P15" s="67"/>
      <c r="Q15" s="141" t="s">
        <v>98</v>
      </c>
      <c r="R15" s="68"/>
      <c r="S15" s="67"/>
      <c r="U15" s="67"/>
      <c r="V15" s="67"/>
      <c r="W15" s="67"/>
      <c r="X15" s="67"/>
      <c r="Y15" s="141"/>
      <c r="Z15" s="68"/>
      <c r="AA15" s="67"/>
      <c r="AB15" s="52"/>
      <c r="AC15" s="67"/>
      <c r="AD15" s="67"/>
      <c r="AE15" s="67"/>
      <c r="AF15" s="67"/>
      <c r="AG15" s="141"/>
      <c r="AH15" s="68"/>
      <c r="AI15" s="67"/>
      <c r="AJ15" s="52"/>
      <c r="AK15" s="67"/>
      <c r="AL15" s="67"/>
      <c r="AM15" s="67"/>
      <c r="AN15" s="67"/>
      <c r="AO15" s="141"/>
      <c r="AP15" s="67"/>
      <c r="AQ15" s="67"/>
      <c r="AR15" s="52"/>
      <c r="AS15" s="67"/>
      <c r="AT15" s="67"/>
      <c r="AU15" s="67"/>
      <c r="AV15" s="67"/>
      <c r="AW15" s="141"/>
      <c r="AX15" s="68"/>
      <c r="AY15" s="67"/>
      <c r="AZ15" s="52"/>
      <c r="BA15" s="67"/>
      <c r="BB15" s="67"/>
      <c r="BC15" s="67"/>
      <c r="BD15" s="67"/>
      <c r="BE15" s="141" t="s">
        <v>98</v>
      </c>
      <c r="BF15" s="68"/>
      <c r="BG15" s="67"/>
      <c r="BH15" s="52"/>
      <c r="BI15" s="67"/>
      <c r="BJ15" s="67"/>
      <c r="BK15" s="67">
        <v>83</v>
      </c>
      <c r="BL15" s="67"/>
      <c r="BM15" s="141"/>
      <c r="BN15" s="68"/>
      <c r="BO15" s="67"/>
      <c r="BQ15" s="67"/>
      <c r="BR15" s="67"/>
      <c r="BS15" s="67"/>
      <c r="BT15" s="67"/>
      <c r="BU15" s="141" t="s">
        <v>102</v>
      </c>
      <c r="BV15" s="68"/>
      <c r="BW15" s="67"/>
      <c r="BY15" s="123"/>
      <c r="BZ15" s="123"/>
      <c r="CA15" s="123"/>
      <c r="CB15" s="123"/>
      <c r="CC15" s="143"/>
      <c r="CD15" s="124"/>
      <c r="CE15" s="123"/>
      <c r="CG15" s="67"/>
      <c r="CH15" s="67"/>
      <c r="CI15" s="67"/>
      <c r="CJ15" s="67"/>
      <c r="CK15" s="141"/>
      <c r="CL15" s="68"/>
      <c r="CM15" s="67"/>
      <c r="CO15" s="67"/>
      <c r="CP15" s="67"/>
      <c r="CQ15" s="67"/>
      <c r="CR15" s="67"/>
      <c r="CS15" s="141"/>
      <c r="CT15" s="68"/>
      <c r="CU15" s="67"/>
      <c r="CW15" s="67"/>
      <c r="CX15" s="67"/>
      <c r="CY15" s="67"/>
      <c r="CZ15" s="67"/>
      <c r="DA15" s="141"/>
      <c r="DB15" s="68"/>
      <c r="DC15" s="67"/>
    </row>
    <row r="16" spans="1:107" ht="15" customHeight="1" x14ac:dyDescent="0.25">
      <c r="A16" s="177"/>
      <c r="B16" s="105">
        <f t="shared" si="0"/>
        <v>44437</v>
      </c>
      <c r="C16" s="15">
        <f>Base!C15</f>
        <v>35</v>
      </c>
      <c r="E16" s="67"/>
      <c r="F16" s="67"/>
      <c r="G16" s="67"/>
      <c r="H16" s="67"/>
      <c r="I16" s="141"/>
      <c r="J16" s="67"/>
      <c r="K16" s="67"/>
      <c r="M16" s="67"/>
      <c r="N16" s="67"/>
      <c r="O16" s="67"/>
      <c r="P16" s="67"/>
      <c r="Q16" s="141"/>
      <c r="R16" s="68"/>
      <c r="S16" s="67"/>
      <c r="U16" s="67"/>
      <c r="V16" s="67"/>
      <c r="W16" s="67"/>
      <c r="X16" s="67"/>
      <c r="Y16" s="141"/>
      <c r="Z16" s="68"/>
      <c r="AA16" s="67"/>
      <c r="AB16" s="52"/>
      <c r="AC16" s="67"/>
      <c r="AD16" s="67"/>
      <c r="AE16" s="67"/>
      <c r="AF16" s="67"/>
      <c r="AG16" s="141"/>
      <c r="AH16" s="68"/>
      <c r="AI16" s="67"/>
      <c r="AJ16" s="52"/>
      <c r="AK16" s="67"/>
      <c r="AL16" s="67"/>
      <c r="AM16" s="67"/>
      <c r="AN16" s="67"/>
      <c r="AO16" s="141"/>
      <c r="AP16" s="67"/>
      <c r="AQ16" s="141" t="s">
        <v>46</v>
      </c>
      <c r="AR16" s="52"/>
      <c r="AS16" s="67"/>
      <c r="AT16" s="67"/>
      <c r="AU16" s="67"/>
      <c r="AV16" s="67"/>
      <c r="AW16" s="141"/>
      <c r="AX16" s="68"/>
      <c r="AY16" s="67"/>
      <c r="AZ16" s="52"/>
      <c r="BA16" s="67"/>
      <c r="BB16" s="67"/>
      <c r="BC16" s="67"/>
      <c r="BD16" s="67"/>
      <c r="BE16" s="141"/>
      <c r="BF16" s="68"/>
      <c r="BG16" s="67"/>
      <c r="BH16" s="52"/>
      <c r="BI16" s="67"/>
      <c r="BJ16" s="67"/>
      <c r="BK16" s="67">
        <v>83</v>
      </c>
      <c r="BL16" s="67"/>
      <c r="BM16" s="141"/>
      <c r="BN16" s="68"/>
      <c r="BO16" s="67"/>
      <c r="BQ16" s="67"/>
      <c r="BR16" s="67"/>
      <c r="BS16" s="67"/>
      <c r="BT16" s="67"/>
      <c r="BU16" s="141" t="s">
        <v>102</v>
      </c>
      <c r="BV16" s="68"/>
      <c r="BW16" s="67"/>
      <c r="BY16" s="123"/>
      <c r="BZ16" s="123"/>
      <c r="CA16" s="123"/>
      <c r="CB16" s="123"/>
      <c r="CC16" s="143"/>
      <c r="CD16" s="124"/>
      <c r="CE16" s="123"/>
      <c r="CG16" s="67"/>
      <c r="CH16" s="67"/>
      <c r="CI16" s="67"/>
      <c r="CJ16" s="67"/>
      <c r="CK16" s="141"/>
      <c r="CL16" s="68"/>
      <c r="CM16" s="67"/>
      <c r="CO16" s="67"/>
      <c r="CP16" s="67"/>
      <c r="CQ16" s="67"/>
      <c r="CR16" s="67"/>
      <c r="CS16" s="141"/>
      <c r="CT16" s="68"/>
      <c r="CU16" s="67"/>
      <c r="CW16" s="67"/>
      <c r="CX16" s="67"/>
      <c r="CY16" s="67"/>
      <c r="CZ16" s="67"/>
      <c r="DA16" s="141"/>
      <c r="DB16" s="68"/>
      <c r="DC16" s="67"/>
    </row>
    <row r="17" spans="1:107" ht="15" customHeight="1" x14ac:dyDescent="0.25">
      <c r="A17" s="175" t="str">
        <f>Base!A16</f>
        <v>S.35</v>
      </c>
      <c r="B17" s="106">
        <f t="shared" si="0"/>
        <v>44438</v>
      </c>
      <c r="C17" s="15"/>
      <c r="E17" s="110">
        <v>7</v>
      </c>
      <c r="F17" s="110"/>
      <c r="G17" s="108">
        <v>83</v>
      </c>
      <c r="H17" s="110"/>
      <c r="I17" s="142" t="s">
        <v>47</v>
      </c>
      <c r="J17" s="110" t="s">
        <v>48</v>
      </c>
      <c r="K17" s="110"/>
      <c r="M17" s="110"/>
      <c r="N17" s="110"/>
      <c r="O17" s="110"/>
      <c r="P17" s="110"/>
      <c r="Q17" s="142" t="s">
        <v>98</v>
      </c>
      <c r="R17" s="111"/>
      <c r="S17" s="110"/>
      <c r="U17" s="110"/>
      <c r="V17" s="110">
        <v>7</v>
      </c>
      <c r="W17" s="108">
        <v>83</v>
      </c>
      <c r="X17" s="110"/>
      <c r="Y17" s="142" t="s">
        <v>49</v>
      </c>
      <c r="Z17" s="111" t="s">
        <v>50</v>
      </c>
      <c r="AA17" s="110"/>
      <c r="AB17" s="52"/>
      <c r="AC17" s="110">
        <v>7</v>
      </c>
      <c r="AD17" s="110"/>
      <c r="AE17" s="108">
        <v>83</v>
      </c>
      <c r="AF17" s="110"/>
      <c r="AG17" s="142" t="s">
        <v>99</v>
      </c>
      <c r="AH17" s="111"/>
      <c r="AI17" s="110"/>
      <c r="AJ17" s="52"/>
      <c r="AK17" s="110">
        <v>7</v>
      </c>
      <c r="AL17" s="110"/>
      <c r="AM17" s="110">
        <v>83</v>
      </c>
      <c r="AN17" s="110"/>
      <c r="AO17" s="145" t="s">
        <v>51</v>
      </c>
      <c r="AP17" s="110" t="s">
        <v>52</v>
      </c>
      <c r="AQ17" s="110"/>
      <c r="AR17" s="52"/>
      <c r="AS17" s="110"/>
      <c r="AT17" s="110">
        <v>7</v>
      </c>
      <c r="AU17" s="110">
        <v>83</v>
      </c>
      <c r="AV17" s="110"/>
      <c r="AW17" s="152" t="s">
        <v>53</v>
      </c>
      <c r="AX17" s="111" t="s">
        <v>39</v>
      </c>
      <c r="AY17" s="110"/>
      <c r="AZ17" s="52"/>
      <c r="BA17" s="110"/>
      <c r="BB17" s="110"/>
      <c r="BC17" s="110"/>
      <c r="BD17" s="110"/>
      <c r="BE17" s="142" t="s">
        <v>98</v>
      </c>
      <c r="BF17" s="111"/>
      <c r="BG17" s="110"/>
      <c r="BH17" s="52"/>
      <c r="BI17" s="110"/>
      <c r="BJ17" s="110">
        <v>7</v>
      </c>
      <c r="BK17" s="110">
        <v>83</v>
      </c>
      <c r="BL17" s="110"/>
      <c r="BM17" s="142" t="s">
        <v>35</v>
      </c>
      <c r="BN17" s="111"/>
      <c r="BO17" s="110"/>
      <c r="BP17" s="52"/>
      <c r="BQ17" s="110"/>
      <c r="BR17" s="110"/>
      <c r="BS17" s="110"/>
      <c r="BT17" s="110"/>
      <c r="BU17" s="142" t="s">
        <v>102</v>
      </c>
      <c r="BV17" s="111"/>
      <c r="BW17" s="110"/>
      <c r="BX17" s="52"/>
      <c r="BY17" s="123"/>
      <c r="BZ17" s="123"/>
      <c r="CA17" s="123"/>
      <c r="CB17" s="123"/>
      <c r="CC17" s="143"/>
      <c r="CD17" s="124"/>
      <c r="CE17" s="123"/>
      <c r="CF17" s="52"/>
      <c r="CG17" s="110">
        <v>7</v>
      </c>
      <c r="CH17" s="110"/>
      <c r="CI17" s="108">
        <v>83</v>
      </c>
      <c r="CJ17" s="110"/>
      <c r="CK17" s="142" t="s">
        <v>99</v>
      </c>
      <c r="CL17" s="111"/>
      <c r="CM17" s="110"/>
      <c r="CN17" s="52"/>
      <c r="CO17" s="110">
        <v>7</v>
      </c>
      <c r="CP17" s="110"/>
      <c r="CQ17" s="108">
        <v>83</v>
      </c>
      <c r="CR17" s="110"/>
      <c r="CS17" s="140" t="s">
        <v>42</v>
      </c>
      <c r="CT17" s="109" t="s">
        <v>43</v>
      </c>
      <c r="CU17" s="110"/>
      <c r="CV17" s="52"/>
      <c r="CW17" s="110"/>
      <c r="CX17" s="110"/>
      <c r="CY17" s="110"/>
      <c r="CZ17" s="110"/>
      <c r="DA17" s="142" t="s">
        <v>98</v>
      </c>
      <c r="DB17" s="109"/>
      <c r="DC17" s="110"/>
    </row>
    <row r="18" spans="1:107" ht="15" customHeight="1" x14ac:dyDescent="0.25">
      <c r="A18" s="176"/>
      <c r="B18" s="106">
        <f t="shared" si="0"/>
        <v>44439</v>
      </c>
      <c r="C18" s="15"/>
      <c r="E18" s="108">
        <v>7</v>
      </c>
      <c r="F18" s="108"/>
      <c r="G18" s="108">
        <v>83</v>
      </c>
      <c r="H18" s="108"/>
      <c r="I18" s="142" t="s">
        <v>47</v>
      </c>
      <c r="J18" s="110" t="s">
        <v>48</v>
      </c>
      <c r="K18" s="110"/>
      <c r="M18" s="108"/>
      <c r="N18" s="108"/>
      <c r="O18" s="108"/>
      <c r="P18" s="108"/>
      <c r="Q18" s="142" t="s">
        <v>98</v>
      </c>
      <c r="R18" s="111"/>
      <c r="S18" s="110"/>
      <c r="U18" s="108"/>
      <c r="V18" s="108">
        <v>7</v>
      </c>
      <c r="W18" s="108">
        <v>83</v>
      </c>
      <c r="X18" s="108"/>
      <c r="Y18" s="142" t="s">
        <v>49</v>
      </c>
      <c r="Z18" s="111" t="s">
        <v>50</v>
      </c>
      <c r="AA18" s="110"/>
      <c r="AB18" s="52"/>
      <c r="AC18" s="108">
        <v>7</v>
      </c>
      <c r="AD18" s="108"/>
      <c r="AE18" s="108">
        <v>83</v>
      </c>
      <c r="AF18" s="108"/>
      <c r="AG18" s="142" t="s">
        <v>99</v>
      </c>
      <c r="AH18" s="111"/>
      <c r="AI18" s="110"/>
      <c r="AJ18" s="52"/>
      <c r="AK18" s="108">
        <v>7</v>
      </c>
      <c r="AL18" s="108"/>
      <c r="AM18" s="110">
        <v>83</v>
      </c>
      <c r="AN18" s="108"/>
      <c r="AO18" s="142" t="s">
        <v>51</v>
      </c>
      <c r="AP18" s="110" t="s">
        <v>52</v>
      </c>
      <c r="AQ18" s="110"/>
      <c r="AR18" s="52"/>
      <c r="AS18" s="108"/>
      <c r="AT18" s="108">
        <v>7</v>
      </c>
      <c r="AU18" s="108">
        <v>83</v>
      </c>
      <c r="AV18" s="108"/>
      <c r="AW18" s="152" t="s">
        <v>53</v>
      </c>
      <c r="AX18" s="111" t="s">
        <v>39</v>
      </c>
      <c r="AY18" s="110"/>
      <c r="AZ18" s="52"/>
      <c r="BA18" s="108"/>
      <c r="BB18" s="108"/>
      <c r="BC18" s="108"/>
      <c r="BD18" s="108"/>
      <c r="BE18" s="142" t="s">
        <v>98</v>
      </c>
      <c r="BF18" s="111"/>
      <c r="BG18" s="110"/>
      <c r="BH18" s="52"/>
      <c r="BI18" s="108"/>
      <c r="BJ18" s="108">
        <v>7</v>
      </c>
      <c r="BK18" s="108">
        <v>83</v>
      </c>
      <c r="BL18" s="108"/>
      <c r="BM18" s="142" t="s">
        <v>35</v>
      </c>
      <c r="BN18" s="111"/>
      <c r="BO18" s="110"/>
      <c r="BP18" s="52"/>
      <c r="BQ18" s="108"/>
      <c r="BR18" s="108"/>
      <c r="BS18" s="108"/>
      <c r="BT18" s="108"/>
      <c r="BU18" s="142" t="s">
        <v>102</v>
      </c>
      <c r="BV18" s="111"/>
      <c r="BW18" s="110"/>
      <c r="BX18" s="52"/>
      <c r="BY18" s="123"/>
      <c r="BZ18" s="123"/>
      <c r="CA18" s="123"/>
      <c r="CB18" s="123"/>
      <c r="CC18" s="143"/>
      <c r="CD18" s="124"/>
      <c r="CE18" s="123"/>
      <c r="CF18" s="52"/>
      <c r="CG18" s="108">
        <v>7</v>
      </c>
      <c r="CH18" s="108"/>
      <c r="CI18" s="108">
        <v>83</v>
      </c>
      <c r="CJ18" s="108"/>
      <c r="CK18" s="142" t="s">
        <v>99</v>
      </c>
      <c r="CL18" s="111"/>
      <c r="CM18" s="110"/>
      <c r="CN18" s="52"/>
      <c r="CO18" s="108">
        <v>7</v>
      </c>
      <c r="CP18" s="108"/>
      <c r="CQ18" s="108">
        <v>83</v>
      </c>
      <c r="CR18" s="108"/>
      <c r="CS18" s="140" t="s">
        <v>42</v>
      </c>
      <c r="CT18" s="109" t="s">
        <v>43</v>
      </c>
      <c r="CU18" s="110"/>
      <c r="CV18" s="52"/>
      <c r="CW18" s="108"/>
      <c r="CX18" s="108"/>
      <c r="CY18" s="108"/>
      <c r="CZ18" s="108"/>
      <c r="DA18" s="142" t="s">
        <v>98</v>
      </c>
      <c r="DB18" s="109"/>
      <c r="DC18" s="110"/>
    </row>
    <row r="19" spans="1:107" ht="15" customHeight="1" x14ac:dyDescent="0.25">
      <c r="A19" s="176"/>
      <c r="B19" s="106">
        <f t="shared" si="0"/>
        <v>44440</v>
      </c>
      <c r="C19" s="15"/>
      <c r="E19" s="108">
        <v>7</v>
      </c>
      <c r="F19" s="108"/>
      <c r="G19" s="108">
        <v>83</v>
      </c>
      <c r="H19" s="108"/>
      <c r="I19" s="142" t="s">
        <v>47</v>
      </c>
      <c r="J19" s="110" t="s">
        <v>48</v>
      </c>
      <c r="K19" s="110"/>
      <c r="M19" s="108"/>
      <c r="N19" s="108"/>
      <c r="O19" s="108"/>
      <c r="P19" s="108"/>
      <c r="Q19" s="142" t="s">
        <v>98</v>
      </c>
      <c r="R19" s="111"/>
      <c r="S19" s="110"/>
      <c r="U19" s="108"/>
      <c r="V19" s="108">
        <v>7</v>
      </c>
      <c r="W19" s="108">
        <v>83</v>
      </c>
      <c r="X19" s="108"/>
      <c r="Y19" s="142" t="s">
        <v>49</v>
      </c>
      <c r="Z19" s="111" t="s">
        <v>50</v>
      </c>
      <c r="AA19" s="110"/>
      <c r="AB19" s="52"/>
      <c r="AC19" s="108">
        <v>7</v>
      </c>
      <c r="AD19" s="108"/>
      <c r="AE19" s="108">
        <v>83</v>
      </c>
      <c r="AF19" s="108"/>
      <c r="AG19" s="142" t="s">
        <v>99</v>
      </c>
      <c r="AH19" s="111"/>
      <c r="AI19" s="110"/>
      <c r="AJ19" s="52"/>
      <c r="AK19" s="108">
        <v>7</v>
      </c>
      <c r="AL19" s="108"/>
      <c r="AM19" s="110">
        <v>83</v>
      </c>
      <c r="AN19" s="108"/>
      <c r="AO19" s="142" t="s">
        <v>51</v>
      </c>
      <c r="AP19" s="110" t="s">
        <v>52</v>
      </c>
      <c r="AQ19" s="110"/>
      <c r="AR19" s="52"/>
      <c r="AS19" s="108"/>
      <c r="AT19" s="108">
        <v>7</v>
      </c>
      <c r="AU19" s="108">
        <v>83</v>
      </c>
      <c r="AV19" s="108"/>
      <c r="AW19" s="152" t="s">
        <v>53</v>
      </c>
      <c r="AX19" s="111" t="s">
        <v>39</v>
      </c>
      <c r="AY19" s="110"/>
      <c r="AZ19" s="52"/>
      <c r="BA19" s="108"/>
      <c r="BB19" s="108"/>
      <c r="BC19" s="108"/>
      <c r="BD19" s="108"/>
      <c r="BE19" s="142" t="s">
        <v>98</v>
      </c>
      <c r="BF19" s="111"/>
      <c r="BG19" s="110"/>
      <c r="BH19" s="52"/>
      <c r="BI19" s="108"/>
      <c r="BJ19" s="108">
        <v>7</v>
      </c>
      <c r="BK19" s="108">
        <v>83</v>
      </c>
      <c r="BL19" s="108"/>
      <c r="BM19" s="142" t="s">
        <v>35</v>
      </c>
      <c r="BN19" s="111"/>
      <c r="BO19" s="110"/>
      <c r="BP19" s="52"/>
      <c r="BQ19" s="108"/>
      <c r="BR19" s="108"/>
      <c r="BS19" s="108"/>
      <c r="BT19" s="108"/>
      <c r="BU19" s="142" t="s">
        <v>102</v>
      </c>
      <c r="BV19" s="111"/>
      <c r="BW19" s="110"/>
      <c r="BX19" s="52"/>
      <c r="BY19" s="123"/>
      <c r="BZ19" s="123"/>
      <c r="CA19" s="123"/>
      <c r="CB19" s="123"/>
      <c r="CC19" s="143"/>
      <c r="CD19" s="124"/>
      <c r="CE19" s="123"/>
      <c r="CF19" s="52"/>
      <c r="CG19" s="108">
        <v>7</v>
      </c>
      <c r="CH19" s="108"/>
      <c r="CI19" s="108">
        <v>83</v>
      </c>
      <c r="CJ19" s="108"/>
      <c r="CK19" s="142" t="s">
        <v>99</v>
      </c>
      <c r="CL19" s="111"/>
      <c r="CM19" s="110"/>
      <c r="CN19" s="52"/>
      <c r="CO19" s="108">
        <v>7</v>
      </c>
      <c r="CP19" s="108"/>
      <c r="CQ19" s="108">
        <v>83</v>
      </c>
      <c r="CR19" s="108"/>
      <c r="CS19" s="140" t="s">
        <v>42</v>
      </c>
      <c r="CT19" s="109" t="s">
        <v>45</v>
      </c>
      <c r="CU19" s="110"/>
      <c r="CV19" s="52"/>
      <c r="CW19" s="108"/>
      <c r="CX19" s="108"/>
      <c r="CY19" s="108"/>
      <c r="CZ19" s="108"/>
      <c r="DA19" s="142" t="s">
        <v>98</v>
      </c>
      <c r="DB19" s="109"/>
      <c r="DC19" s="110"/>
    </row>
    <row r="20" spans="1:107" ht="15" customHeight="1" x14ac:dyDescent="0.25">
      <c r="A20" s="176"/>
      <c r="B20" s="106">
        <f t="shared" si="0"/>
        <v>44441</v>
      </c>
      <c r="C20" s="15"/>
      <c r="E20" s="108">
        <v>7</v>
      </c>
      <c r="F20" s="108"/>
      <c r="G20" s="108">
        <v>83</v>
      </c>
      <c r="H20" s="108"/>
      <c r="I20" s="142" t="s">
        <v>47</v>
      </c>
      <c r="J20" s="110" t="s">
        <v>48</v>
      </c>
      <c r="K20" s="110"/>
      <c r="M20" s="108"/>
      <c r="N20" s="108"/>
      <c r="O20" s="108"/>
      <c r="P20" s="108"/>
      <c r="Q20" s="142" t="s">
        <v>98</v>
      </c>
      <c r="R20" s="111"/>
      <c r="S20" s="110"/>
      <c r="U20" s="108"/>
      <c r="V20" s="108">
        <v>7</v>
      </c>
      <c r="W20" s="108">
        <v>83</v>
      </c>
      <c r="X20" s="108"/>
      <c r="Y20" s="142" t="s">
        <v>49</v>
      </c>
      <c r="Z20" s="111" t="s">
        <v>50</v>
      </c>
      <c r="AA20" s="110"/>
      <c r="AB20" s="52"/>
      <c r="AC20" s="108">
        <v>7</v>
      </c>
      <c r="AD20" s="108"/>
      <c r="AE20" s="108">
        <v>83</v>
      </c>
      <c r="AF20" s="108"/>
      <c r="AG20" s="142" t="s">
        <v>99</v>
      </c>
      <c r="AH20" s="111"/>
      <c r="AI20" s="110"/>
      <c r="AJ20" s="52"/>
      <c r="AK20" s="108">
        <v>7</v>
      </c>
      <c r="AL20" s="108"/>
      <c r="AM20" s="110">
        <v>83</v>
      </c>
      <c r="AN20" s="108"/>
      <c r="AO20" s="142" t="s">
        <v>51</v>
      </c>
      <c r="AP20" s="110" t="s">
        <v>52</v>
      </c>
      <c r="AQ20" s="110"/>
      <c r="AR20" s="52"/>
      <c r="AS20" s="108"/>
      <c r="AT20" s="108">
        <v>7</v>
      </c>
      <c r="AU20" s="108">
        <v>83</v>
      </c>
      <c r="AV20" s="108"/>
      <c r="AW20" s="152" t="s">
        <v>53</v>
      </c>
      <c r="AX20" s="111" t="s">
        <v>39</v>
      </c>
      <c r="AY20" s="110"/>
      <c r="AZ20" s="52"/>
      <c r="BA20" s="108"/>
      <c r="BB20" s="108"/>
      <c r="BC20" s="108"/>
      <c r="BD20" s="108"/>
      <c r="BE20" s="142" t="s">
        <v>98</v>
      </c>
      <c r="BF20" s="111"/>
      <c r="BG20" s="110"/>
      <c r="BH20" s="52"/>
      <c r="BI20" s="108"/>
      <c r="BJ20" s="108">
        <v>7</v>
      </c>
      <c r="BK20" s="108">
        <v>83</v>
      </c>
      <c r="BL20" s="108"/>
      <c r="BM20" s="142" t="s">
        <v>35</v>
      </c>
      <c r="BN20" s="111"/>
      <c r="BO20" s="110"/>
      <c r="BP20" s="52"/>
      <c r="BQ20" s="108"/>
      <c r="BR20" s="108"/>
      <c r="BS20" s="108"/>
      <c r="BT20" s="108"/>
      <c r="BU20" s="142" t="s">
        <v>102</v>
      </c>
      <c r="BV20" s="111"/>
      <c r="BW20" s="110"/>
      <c r="BX20" s="52"/>
      <c r="BY20" s="123"/>
      <c r="BZ20" s="123"/>
      <c r="CA20" s="123"/>
      <c r="CB20" s="123"/>
      <c r="CC20" s="143"/>
      <c r="CD20" s="124"/>
      <c r="CE20" s="123"/>
      <c r="CF20" s="52"/>
      <c r="CG20" s="108">
        <v>7</v>
      </c>
      <c r="CH20" s="108"/>
      <c r="CI20" s="108">
        <v>83</v>
      </c>
      <c r="CJ20" s="108"/>
      <c r="CK20" s="142" t="s">
        <v>99</v>
      </c>
      <c r="CL20" s="111"/>
      <c r="CM20" s="110"/>
      <c r="CN20" s="52"/>
      <c r="CO20" s="108">
        <v>7</v>
      </c>
      <c r="CP20" s="108"/>
      <c r="CQ20" s="108">
        <v>83</v>
      </c>
      <c r="CR20" s="108"/>
      <c r="CS20" s="140" t="s">
        <v>42</v>
      </c>
      <c r="CT20" s="109" t="s">
        <v>45</v>
      </c>
      <c r="CU20" s="110"/>
      <c r="CV20" s="52"/>
      <c r="CW20" s="108"/>
      <c r="CX20" s="108"/>
      <c r="CY20" s="108"/>
      <c r="CZ20" s="108"/>
      <c r="DA20" s="142" t="s">
        <v>98</v>
      </c>
      <c r="DB20" s="109"/>
      <c r="DC20" s="110"/>
    </row>
    <row r="21" spans="1:107" ht="15" customHeight="1" x14ac:dyDescent="0.25">
      <c r="A21" s="176"/>
      <c r="B21" s="106">
        <f t="shared" si="0"/>
        <v>44442</v>
      </c>
      <c r="C21" s="15"/>
      <c r="E21" s="108">
        <v>7</v>
      </c>
      <c r="F21" s="108"/>
      <c r="G21" s="108">
        <v>18.600000000000001</v>
      </c>
      <c r="H21" s="108"/>
      <c r="I21" s="142" t="s">
        <v>47</v>
      </c>
      <c r="J21" s="110" t="s">
        <v>48</v>
      </c>
      <c r="K21" s="110"/>
      <c r="M21" s="108"/>
      <c r="N21" s="108"/>
      <c r="O21" s="108"/>
      <c r="P21" s="108"/>
      <c r="Q21" s="142" t="s">
        <v>98</v>
      </c>
      <c r="R21" s="111"/>
      <c r="S21" s="110"/>
      <c r="U21" s="108"/>
      <c r="V21" s="108">
        <v>7</v>
      </c>
      <c r="W21" s="108">
        <v>83</v>
      </c>
      <c r="X21" s="108"/>
      <c r="Y21" s="142" t="s">
        <v>49</v>
      </c>
      <c r="Z21" s="111" t="s">
        <v>50</v>
      </c>
      <c r="AA21" s="110"/>
      <c r="AB21" s="52"/>
      <c r="AC21" s="108">
        <v>7</v>
      </c>
      <c r="AD21" s="108"/>
      <c r="AE21" s="108">
        <v>18.600000000000001</v>
      </c>
      <c r="AF21" s="108"/>
      <c r="AG21" s="142" t="s">
        <v>99</v>
      </c>
      <c r="AH21" s="111"/>
      <c r="AI21" s="110"/>
      <c r="AJ21" s="52"/>
      <c r="AK21" s="108">
        <v>7</v>
      </c>
      <c r="AL21" s="108"/>
      <c r="AM21" s="110">
        <v>18.600000000000001</v>
      </c>
      <c r="AN21" s="108"/>
      <c r="AO21" s="142" t="s">
        <v>51</v>
      </c>
      <c r="AP21" s="110" t="s">
        <v>52</v>
      </c>
      <c r="AQ21" s="110"/>
      <c r="AR21" s="52"/>
      <c r="AS21" s="108"/>
      <c r="AT21" s="108">
        <v>7</v>
      </c>
      <c r="AU21" s="108">
        <v>83</v>
      </c>
      <c r="AV21" s="108"/>
      <c r="AW21" s="152" t="s">
        <v>54</v>
      </c>
      <c r="AX21" s="111" t="s">
        <v>55</v>
      </c>
      <c r="AY21" s="110"/>
      <c r="AZ21" s="52"/>
      <c r="BA21" s="108"/>
      <c r="BB21" s="108"/>
      <c r="BC21" s="108"/>
      <c r="BD21" s="108"/>
      <c r="BE21" s="142" t="s">
        <v>98</v>
      </c>
      <c r="BF21" s="111"/>
      <c r="BG21" s="110"/>
      <c r="BH21" s="52"/>
      <c r="BI21" s="108">
        <v>7</v>
      </c>
      <c r="BJ21" s="108"/>
      <c r="BK21" s="108">
        <v>83</v>
      </c>
      <c r="BL21" s="108"/>
      <c r="BM21" s="142" t="s">
        <v>40</v>
      </c>
      <c r="BN21" s="111"/>
      <c r="BO21" s="110"/>
      <c r="BP21" s="52"/>
      <c r="BQ21" s="108"/>
      <c r="BR21" s="108"/>
      <c r="BS21" s="108"/>
      <c r="BT21" s="108"/>
      <c r="BU21" s="142" t="s">
        <v>102</v>
      </c>
      <c r="BV21" s="111"/>
      <c r="BW21" s="110"/>
      <c r="BX21" s="52"/>
      <c r="BY21" s="123"/>
      <c r="BZ21" s="123"/>
      <c r="CA21" s="123"/>
      <c r="CB21" s="123"/>
      <c r="CC21" s="143"/>
      <c r="CD21" s="124"/>
      <c r="CE21" s="123"/>
      <c r="CF21" s="52"/>
      <c r="CG21" s="108">
        <v>7</v>
      </c>
      <c r="CH21" s="108"/>
      <c r="CI21" s="108">
        <v>18.600000000000001</v>
      </c>
      <c r="CJ21" s="108"/>
      <c r="CK21" s="142" t="s">
        <v>99</v>
      </c>
      <c r="CL21" s="111"/>
      <c r="CM21" s="110"/>
      <c r="CN21" s="52"/>
      <c r="CO21" s="108">
        <v>7</v>
      </c>
      <c r="CP21" s="108"/>
      <c r="CQ21" s="108">
        <v>83</v>
      </c>
      <c r="CR21" s="108"/>
      <c r="CS21" s="140" t="s">
        <v>42</v>
      </c>
      <c r="CT21" s="109" t="s">
        <v>45</v>
      </c>
      <c r="CU21" s="110"/>
      <c r="CV21" s="52"/>
      <c r="CW21" s="108"/>
      <c r="CX21" s="108"/>
      <c r="CY21" s="108"/>
      <c r="CZ21" s="108"/>
      <c r="DA21" s="142" t="s">
        <v>98</v>
      </c>
      <c r="DB21" s="109"/>
      <c r="DC21" s="110"/>
    </row>
    <row r="22" spans="1:107" ht="15" customHeight="1" x14ac:dyDescent="0.25">
      <c r="A22" s="176"/>
      <c r="B22" s="105">
        <f t="shared" si="0"/>
        <v>44443</v>
      </c>
      <c r="C22" s="15"/>
      <c r="E22" s="67"/>
      <c r="F22" s="67"/>
      <c r="G22" s="67"/>
      <c r="H22" s="67"/>
      <c r="I22" s="141"/>
      <c r="J22" s="67"/>
      <c r="K22" s="67"/>
      <c r="M22" s="67"/>
      <c r="N22" s="67"/>
      <c r="O22" s="67"/>
      <c r="P22" s="67"/>
      <c r="Q22" s="141" t="s">
        <v>98</v>
      </c>
      <c r="R22" s="68"/>
      <c r="S22" s="67"/>
      <c r="U22" s="67"/>
      <c r="V22" s="67"/>
      <c r="W22" s="67"/>
      <c r="X22" s="67"/>
      <c r="Y22" s="141"/>
      <c r="Z22" s="68"/>
      <c r="AA22" s="67"/>
      <c r="AB22" s="52"/>
      <c r="AC22" s="67"/>
      <c r="AD22" s="67"/>
      <c r="AE22" s="67"/>
      <c r="AF22" s="67"/>
      <c r="AG22" s="141"/>
      <c r="AH22" s="68"/>
      <c r="AI22" s="67"/>
      <c r="AJ22" s="52"/>
      <c r="AK22" s="67"/>
      <c r="AL22" s="67"/>
      <c r="AM22" s="67"/>
      <c r="AN22" s="67"/>
      <c r="AO22" s="141"/>
      <c r="AP22" s="67"/>
      <c r="AQ22" s="67"/>
      <c r="AR22" s="52"/>
      <c r="AS22" s="67"/>
      <c r="AT22" s="67">
        <v>7</v>
      </c>
      <c r="AU22" s="67">
        <v>83</v>
      </c>
      <c r="AV22" s="67"/>
      <c r="AW22" s="152" t="s">
        <v>54</v>
      </c>
      <c r="AX22" s="68"/>
      <c r="AY22" s="67"/>
      <c r="AZ22" s="52"/>
      <c r="BA22" s="67"/>
      <c r="BB22" s="67"/>
      <c r="BC22" s="67"/>
      <c r="BD22" s="67"/>
      <c r="BE22" s="141" t="s">
        <v>98</v>
      </c>
      <c r="BF22" s="68"/>
      <c r="BG22" s="67"/>
      <c r="BH22" s="52"/>
      <c r="BI22" s="67"/>
      <c r="BJ22" s="67"/>
      <c r="BK22" s="67">
        <v>83</v>
      </c>
      <c r="BL22" s="67"/>
      <c r="BM22" s="141"/>
      <c r="BN22" s="68"/>
      <c r="BO22" s="67"/>
      <c r="BP22" s="52"/>
      <c r="BQ22" s="67"/>
      <c r="BR22" s="67"/>
      <c r="BS22" s="67"/>
      <c r="BT22" s="67"/>
      <c r="BU22" s="141"/>
      <c r="BV22" s="68"/>
      <c r="BW22" s="67"/>
      <c r="BX22" s="52"/>
      <c r="BY22" s="123"/>
      <c r="BZ22" s="123"/>
      <c r="CA22" s="123"/>
      <c r="CB22" s="123"/>
      <c r="CC22" s="143"/>
      <c r="CD22" s="124"/>
      <c r="CE22" s="123"/>
      <c r="CF22" s="52"/>
      <c r="CG22" s="67"/>
      <c r="CH22" s="67"/>
      <c r="CI22" s="67"/>
      <c r="CJ22" s="67"/>
      <c r="CK22" s="141"/>
      <c r="CL22" s="68"/>
      <c r="CM22" s="67"/>
      <c r="CN22" s="52"/>
      <c r="CO22" s="67"/>
      <c r="CP22" s="67"/>
      <c r="CQ22" s="67">
        <v>83</v>
      </c>
      <c r="CR22" s="67"/>
      <c r="CS22" s="141"/>
      <c r="CT22" s="68"/>
      <c r="CU22" s="67"/>
      <c r="CV22" s="52"/>
      <c r="CW22" s="67"/>
      <c r="CX22" s="67"/>
      <c r="CY22" s="67"/>
      <c r="CZ22" s="67"/>
      <c r="DA22" s="141" t="s">
        <v>98</v>
      </c>
      <c r="DB22" s="68"/>
      <c r="DC22" s="67"/>
    </row>
    <row r="23" spans="1:107" ht="15" customHeight="1" x14ac:dyDescent="0.25">
      <c r="A23" s="177"/>
      <c r="B23" s="105">
        <f t="shared" si="0"/>
        <v>44444</v>
      </c>
      <c r="C23" s="15">
        <f>Base!C22</f>
        <v>35</v>
      </c>
      <c r="E23" s="67"/>
      <c r="F23" s="67"/>
      <c r="G23" s="67"/>
      <c r="H23" s="67"/>
      <c r="I23" s="141"/>
      <c r="J23" s="67"/>
      <c r="K23" s="67"/>
      <c r="M23" s="67"/>
      <c r="N23" s="67"/>
      <c r="O23" s="67"/>
      <c r="P23" s="67"/>
      <c r="Q23" s="141"/>
      <c r="R23" s="67"/>
      <c r="S23" s="67"/>
      <c r="U23" s="67"/>
      <c r="V23" s="67"/>
      <c r="W23" s="67"/>
      <c r="X23" s="67"/>
      <c r="Y23" s="141"/>
      <c r="Z23" s="67"/>
      <c r="AA23" s="67"/>
      <c r="AB23" s="52"/>
      <c r="AC23" s="67"/>
      <c r="AD23" s="67"/>
      <c r="AE23" s="67"/>
      <c r="AF23" s="67"/>
      <c r="AG23" s="141"/>
      <c r="AH23" s="67"/>
      <c r="AI23" s="67"/>
      <c r="AJ23" s="52"/>
      <c r="AK23" s="67"/>
      <c r="AL23" s="67"/>
      <c r="AM23" s="67"/>
      <c r="AN23" s="67"/>
      <c r="AO23" s="141"/>
      <c r="AP23" s="67"/>
      <c r="AQ23" s="67"/>
      <c r="AR23" s="52"/>
      <c r="AS23" s="67"/>
      <c r="AT23" s="67"/>
      <c r="AU23" s="67"/>
      <c r="AV23" s="67"/>
      <c r="AW23" s="141"/>
      <c r="AX23" s="67"/>
      <c r="AY23" s="67"/>
      <c r="AZ23" s="52"/>
      <c r="BA23" s="67"/>
      <c r="BB23" s="67"/>
      <c r="BC23" s="67"/>
      <c r="BD23" s="67"/>
      <c r="BE23" s="141"/>
      <c r="BF23" s="67"/>
      <c r="BG23" s="67"/>
      <c r="BH23" s="52"/>
      <c r="BI23" s="67"/>
      <c r="BJ23" s="67"/>
      <c r="BK23" s="67">
        <v>83</v>
      </c>
      <c r="BL23" s="67"/>
      <c r="BM23" s="141"/>
      <c r="BN23" s="67"/>
      <c r="BO23" s="67"/>
      <c r="BP23" s="52"/>
      <c r="BQ23" s="67"/>
      <c r="BR23" s="67"/>
      <c r="BS23" s="67"/>
      <c r="BT23" s="67"/>
      <c r="BU23" s="141"/>
      <c r="BV23" s="67"/>
      <c r="BW23" s="67"/>
      <c r="BX23" s="52"/>
      <c r="BY23" s="123"/>
      <c r="BZ23" s="123"/>
      <c r="CA23" s="123"/>
      <c r="CB23" s="123"/>
      <c r="CC23" s="143"/>
      <c r="CD23" s="123"/>
      <c r="CE23" s="123"/>
      <c r="CF23" s="52"/>
      <c r="CG23" s="67"/>
      <c r="CH23" s="67"/>
      <c r="CI23" s="67"/>
      <c r="CJ23" s="67"/>
      <c r="CK23" s="141"/>
      <c r="CL23" s="67"/>
      <c r="CM23" s="67"/>
      <c r="CN23" s="52"/>
      <c r="CO23" s="67"/>
      <c r="CP23" s="67"/>
      <c r="CQ23" s="67">
        <v>83</v>
      </c>
      <c r="CR23" s="67"/>
      <c r="CS23" s="141"/>
      <c r="CT23" s="67"/>
      <c r="CU23" s="67"/>
      <c r="CV23" s="52"/>
      <c r="CW23" s="67"/>
      <c r="CX23" s="67"/>
      <c r="CY23" s="67"/>
      <c r="CZ23" s="67"/>
      <c r="DA23" s="141"/>
      <c r="DB23" s="67"/>
      <c r="DC23" s="67"/>
    </row>
    <row r="24" spans="1:107" ht="15" customHeight="1" x14ac:dyDescent="0.25">
      <c r="A24" s="175" t="str">
        <f>Base!A23</f>
        <v>S.36</v>
      </c>
      <c r="B24" s="106">
        <f t="shared" si="0"/>
        <v>44445</v>
      </c>
      <c r="C24" s="15"/>
      <c r="E24" s="108"/>
      <c r="F24" s="108">
        <v>7</v>
      </c>
      <c r="G24" s="108">
        <v>83</v>
      </c>
      <c r="H24" s="108"/>
      <c r="I24" s="140" t="s">
        <v>56</v>
      </c>
      <c r="J24" s="110" t="s">
        <v>57</v>
      </c>
      <c r="K24" s="108"/>
      <c r="M24" s="108"/>
      <c r="N24" s="108">
        <v>7</v>
      </c>
      <c r="O24" s="108">
        <v>83</v>
      </c>
      <c r="P24" s="108"/>
      <c r="Q24" s="152" t="s">
        <v>58</v>
      </c>
      <c r="R24" s="110" t="s">
        <v>59</v>
      </c>
      <c r="S24" s="108"/>
      <c r="U24" s="108">
        <v>7</v>
      </c>
      <c r="V24" s="108"/>
      <c r="W24" s="108">
        <v>83</v>
      </c>
      <c r="X24" s="108"/>
      <c r="Y24" s="140" t="s">
        <v>60</v>
      </c>
      <c r="Z24" s="110" t="s">
        <v>61</v>
      </c>
      <c r="AA24" s="108"/>
      <c r="AB24" s="52"/>
      <c r="AC24" s="108">
        <v>7</v>
      </c>
      <c r="AD24" s="108"/>
      <c r="AE24" s="108">
        <v>83</v>
      </c>
      <c r="AF24" s="108"/>
      <c r="AG24" s="140" t="s">
        <v>99</v>
      </c>
      <c r="AH24" s="110"/>
      <c r="AI24" s="108"/>
      <c r="AJ24" s="52"/>
      <c r="AK24" s="108"/>
      <c r="AL24" s="108"/>
      <c r="AM24" s="110"/>
      <c r="AN24" s="108"/>
      <c r="AO24" s="140"/>
      <c r="AP24" s="110"/>
      <c r="AQ24" s="108"/>
      <c r="AR24" s="52"/>
      <c r="AS24" s="108"/>
      <c r="AT24" s="108">
        <v>7</v>
      </c>
      <c r="AU24" s="108">
        <v>83</v>
      </c>
      <c r="AV24" s="108"/>
      <c r="AW24" s="152" t="s">
        <v>62</v>
      </c>
      <c r="AX24" s="110" t="s">
        <v>59</v>
      </c>
      <c r="AY24" s="108" t="s">
        <v>107</v>
      </c>
      <c r="AZ24" s="52"/>
      <c r="BA24" s="108">
        <v>7</v>
      </c>
      <c r="BB24" s="108"/>
      <c r="BC24" s="108">
        <v>83</v>
      </c>
      <c r="BD24" s="108"/>
      <c r="BE24" s="140" t="s">
        <v>63</v>
      </c>
      <c r="BF24" s="110"/>
      <c r="BG24" s="108"/>
      <c r="BH24" s="52"/>
      <c r="BI24" s="108">
        <v>7</v>
      </c>
      <c r="BJ24" s="108"/>
      <c r="BK24" s="108">
        <v>83</v>
      </c>
      <c r="BL24" s="108"/>
      <c r="BM24" s="140" t="s">
        <v>67</v>
      </c>
      <c r="BN24" s="110"/>
      <c r="BO24" s="108"/>
      <c r="BP24" s="52"/>
      <c r="BQ24" s="108">
        <v>7</v>
      </c>
      <c r="BR24" s="108"/>
      <c r="BS24" s="108">
        <v>83</v>
      </c>
      <c r="BT24" s="108"/>
      <c r="BU24" s="140" t="s">
        <v>62</v>
      </c>
      <c r="BV24" s="110" t="s">
        <v>59</v>
      </c>
      <c r="BW24" s="108"/>
      <c r="BX24" s="52"/>
      <c r="BY24" s="123"/>
      <c r="BZ24" s="123"/>
      <c r="CA24" s="123"/>
      <c r="CB24" s="123"/>
      <c r="CC24" s="143"/>
      <c r="CD24" s="123"/>
      <c r="CE24" s="123"/>
      <c r="CF24" s="52"/>
      <c r="CG24" s="108">
        <v>7</v>
      </c>
      <c r="CH24" s="108"/>
      <c r="CI24" s="108">
        <v>83</v>
      </c>
      <c r="CJ24" s="108"/>
      <c r="CK24" s="140" t="s">
        <v>99</v>
      </c>
      <c r="CL24" s="110"/>
      <c r="CM24" s="108"/>
      <c r="CN24" s="52"/>
      <c r="CO24" s="108">
        <v>7</v>
      </c>
      <c r="CP24" s="108"/>
      <c r="CQ24" s="108">
        <v>83</v>
      </c>
      <c r="CR24" s="108"/>
      <c r="CS24" s="140" t="s">
        <v>64</v>
      </c>
      <c r="CT24" s="110" t="s">
        <v>65</v>
      </c>
      <c r="CU24" s="108"/>
      <c r="CV24" s="52"/>
      <c r="CW24" s="108"/>
      <c r="CX24" s="108"/>
      <c r="CY24" s="108"/>
      <c r="CZ24" s="108"/>
      <c r="DA24" s="140" t="s">
        <v>98</v>
      </c>
      <c r="DB24" s="110"/>
      <c r="DC24" s="108"/>
    </row>
    <row r="25" spans="1:107" ht="15" customHeight="1" x14ac:dyDescent="0.25">
      <c r="A25" s="176"/>
      <c r="B25" s="106">
        <f t="shared" si="0"/>
        <v>44446</v>
      </c>
      <c r="C25" s="15"/>
      <c r="E25" s="108"/>
      <c r="F25" s="108">
        <v>7</v>
      </c>
      <c r="G25" s="108">
        <v>83</v>
      </c>
      <c r="H25" s="108"/>
      <c r="I25" s="140" t="s">
        <v>56</v>
      </c>
      <c r="J25" s="110" t="s">
        <v>57</v>
      </c>
      <c r="K25" s="108"/>
      <c r="M25" s="108"/>
      <c r="N25" s="108">
        <v>7</v>
      </c>
      <c r="O25" s="108">
        <v>83</v>
      </c>
      <c r="P25" s="108"/>
      <c r="Q25" s="152" t="s">
        <v>58</v>
      </c>
      <c r="R25" s="110" t="s">
        <v>59</v>
      </c>
      <c r="S25" s="108"/>
      <c r="U25" s="108">
        <v>7</v>
      </c>
      <c r="V25" s="108"/>
      <c r="W25" s="108">
        <v>83</v>
      </c>
      <c r="X25" s="108"/>
      <c r="Y25" s="140" t="s">
        <v>60</v>
      </c>
      <c r="Z25" s="110" t="s">
        <v>61</v>
      </c>
      <c r="AA25" s="108"/>
      <c r="AB25" s="52"/>
      <c r="AC25" s="108">
        <v>7</v>
      </c>
      <c r="AD25" s="108"/>
      <c r="AE25" s="108">
        <v>83</v>
      </c>
      <c r="AF25" s="108"/>
      <c r="AG25" s="140" t="s">
        <v>99</v>
      </c>
      <c r="AH25" s="110"/>
      <c r="AI25" s="108"/>
      <c r="AJ25" s="52"/>
      <c r="AK25" s="108">
        <v>7</v>
      </c>
      <c r="AL25" s="108"/>
      <c r="AM25" s="110">
        <v>65</v>
      </c>
      <c r="AN25" s="108"/>
      <c r="AO25" s="152" t="s">
        <v>47</v>
      </c>
      <c r="AP25" s="110" t="s">
        <v>48</v>
      </c>
      <c r="AQ25" s="153" t="s">
        <v>104</v>
      </c>
      <c r="AR25" s="52"/>
      <c r="AS25" s="108"/>
      <c r="AT25" s="108">
        <v>7</v>
      </c>
      <c r="AU25" s="108">
        <v>83</v>
      </c>
      <c r="AV25" s="108"/>
      <c r="AW25" s="152" t="s">
        <v>62</v>
      </c>
      <c r="AX25" s="110" t="s">
        <v>59</v>
      </c>
      <c r="AY25" s="108"/>
      <c r="AZ25" s="52"/>
      <c r="BA25" s="108">
        <v>7</v>
      </c>
      <c r="BB25" s="108"/>
      <c r="BC25" s="108">
        <v>83</v>
      </c>
      <c r="BD25" s="108"/>
      <c r="BE25" s="140" t="s">
        <v>63</v>
      </c>
      <c r="BF25" s="110"/>
      <c r="BG25" s="108"/>
      <c r="BH25" s="52"/>
      <c r="BI25" s="108">
        <v>7</v>
      </c>
      <c r="BJ25" s="108"/>
      <c r="BK25" s="108">
        <v>83</v>
      </c>
      <c r="BL25" s="108"/>
      <c r="BM25" s="140" t="s">
        <v>110</v>
      </c>
      <c r="BN25" s="110"/>
      <c r="BO25" s="108"/>
      <c r="BP25" s="52"/>
      <c r="BQ25" s="108">
        <v>7</v>
      </c>
      <c r="BR25" s="108"/>
      <c r="BS25" s="108">
        <v>83</v>
      </c>
      <c r="BT25" s="108"/>
      <c r="BU25" s="140" t="s">
        <v>62</v>
      </c>
      <c r="BV25" s="110" t="s">
        <v>59</v>
      </c>
      <c r="BW25" s="108"/>
      <c r="BX25" s="52"/>
      <c r="BY25" s="123"/>
      <c r="BZ25" s="123"/>
      <c r="CA25" s="123"/>
      <c r="CB25" s="123"/>
      <c r="CC25" s="143"/>
      <c r="CD25" s="123"/>
      <c r="CE25" s="123"/>
      <c r="CF25" s="52"/>
      <c r="CG25" s="108">
        <v>7</v>
      </c>
      <c r="CH25" s="108"/>
      <c r="CI25" s="108">
        <v>83</v>
      </c>
      <c r="CJ25" s="108"/>
      <c r="CK25" s="140" t="s">
        <v>99</v>
      </c>
      <c r="CL25" s="110"/>
      <c r="CM25" s="108"/>
      <c r="CN25" s="52"/>
      <c r="CO25" s="108">
        <v>7</v>
      </c>
      <c r="CP25" s="108"/>
      <c r="CQ25" s="108">
        <v>83</v>
      </c>
      <c r="CR25" s="108"/>
      <c r="CS25" s="140" t="s">
        <v>64</v>
      </c>
      <c r="CT25" s="110" t="s">
        <v>65</v>
      </c>
      <c r="CU25" s="108"/>
      <c r="CV25" s="52"/>
      <c r="CW25" s="108"/>
      <c r="CX25" s="108"/>
      <c r="CY25" s="108"/>
      <c r="CZ25" s="108"/>
      <c r="DA25" s="140" t="s">
        <v>98</v>
      </c>
      <c r="DB25" s="110"/>
      <c r="DC25" s="108"/>
    </row>
    <row r="26" spans="1:107" s="69" customFormat="1" ht="15" customHeight="1" x14ac:dyDescent="0.25">
      <c r="A26" s="176"/>
      <c r="B26" s="106">
        <f t="shared" si="0"/>
        <v>44447</v>
      </c>
      <c r="C26" s="57"/>
      <c r="E26" s="108"/>
      <c r="F26" s="108">
        <v>7</v>
      </c>
      <c r="G26" s="108">
        <v>83</v>
      </c>
      <c r="H26" s="108"/>
      <c r="I26" s="140" t="s">
        <v>56</v>
      </c>
      <c r="J26" s="110" t="s">
        <v>57</v>
      </c>
      <c r="K26" s="108"/>
      <c r="M26" s="108"/>
      <c r="N26" s="108">
        <v>7</v>
      </c>
      <c r="O26" s="108">
        <v>83</v>
      </c>
      <c r="P26" s="108"/>
      <c r="Q26" s="152" t="s">
        <v>58</v>
      </c>
      <c r="R26" s="110" t="s">
        <v>59</v>
      </c>
      <c r="S26" s="108"/>
      <c r="U26" s="108">
        <v>7</v>
      </c>
      <c r="V26" s="108"/>
      <c r="W26" s="108">
        <v>83</v>
      </c>
      <c r="X26" s="108"/>
      <c r="Y26" s="140" t="s">
        <v>60</v>
      </c>
      <c r="Z26" s="110" t="s">
        <v>61</v>
      </c>
      <c r="AA26" s="108"/>
      <c r="AB26" s="70"/>
      <c r="AC26" s="108">
        <v>7</v>
      </c>
      <c r="AD26" s="108"/>
      <c r="AE26" s="108">
        <v>83</v>
      </c>
      <c r="AF26" s="108"/>
      <c r="AG26" s="140" t="s">
        <v>99</v>
      </c>
      <c r="AH26" s="110"/>
      <c r="AI26" s="108"/>
      <c r="AJ26" s="70"/>
      <c r="AK26" s="108">
        <v>7</v>
      </c>
      <c r="AL26" s="108"/>
      <c r="AM26" s="110">
        <v>65</v>
      </c>
      <c r="AN26" s="108"/>
      <c r="AO26" s="152" t="s">
        <v>47</v>
      </c>
      <c r="AP26" s="110" t="s">
        <v>48</v>
      </c>
      <c r="AQ26" s="108"/>
      <c r="AR26" s="70"/>
      <c r="AS26" s="108">
        <v>7</v>
      </c>
      <c r="AT26" s="108"/>
      <c r="AU26" s="108">
        <v>83</v>
      </c>
      <c r="AV26" s="108"/>
      <c r="AW26" s="152" t="s">
        <v>37</v>
      </c>
      <c r="AX26" s="110" t="s">
        <v>39</v>
      </c>
      <c r="AY26" s="108"/>
      <c r="AZ26" s="70"/>
      <c r="BA26" s="108">
        <v>7</v>
      </c>
      <c r="BB26" s="108"/>
      <c r="BC26" s="108">
        <v>83</v>
      </c>
      <c r="BD26" s="108"/>
      <c r="BE26" s="140" t="s">
        <v>63</v>
      </c>
      <c r="BF26" s="110"/>
      <c r="BG26" s="108"/>
      <c r="BH26" s="70"/>
      <c r="BI26" s="108">
        <v>7</v>
      </c>
      <c r="BJ26" s="108"/>
      <c r="BK26" s="108">
        <v>83</v>
      </c>
      <c r="BL26" s="108"/>
      <c r="BM26" s="140" t="s">
        <v>63</v>
      </c>
      <c r="BN26" s="110"/>
      <c r="BO26" s="108"/>
      <c r="BP26" s="70"/>
      <c r="BQ26" s="108">
        <v>7</v>
      </c>
      <c r="BR26" s="108"/>
      <c r="BS26" s="108">
        <v>83</v>
      </c>
      <c r="BT26" s="108"/>
      <c r="BU26" s="140" t="s">
        <v>37</v>
      </c>
      <c r="BV26" s="110" t="s">
        <v>41</v>
      </c>
      <c r="BW26" s="108"/>
      <c r="BX26" s="70"/>
      <c r="BY26" s="123"/>
      <c r="BZ26" s="123"/>
      <c r="CA26" s="123"/>
      <c r="CB26" s="123"/>
      <c r="CC26" s="143"/>
      <c r="CD26" s="123"/>
      <c r="CE26" s="123"/>
      <c r="CF26" s="70"/>
      <c r="CG26" s="108">
        <v>7</v>
      </c>
      <c r="CH26" s="108"/>
      <c r="CI26" s="108">
        <v>83</v>
      </c>
      <c r="CJ26" s="108"/>
      <c r="CK26" s="140" t="s">
        <v>99</v>
      </c>
      <c r="CL26" s="110"/>
      <c r="CM26" s="108"/>
      <c r="CN26" s="70"/>
      <c r="CO26" s="108">
        <v>7</v>
      </c>
      <c r="CP26" s="108"/>
      <c r="CQ26" s="108">
        <v>83</v>
      </c>
      <c r="CR26" s="108"/>
      <c r="CS26" s="140" t="s">
        <v>64</v>
      </c>
      <c r="CT26" s="110" t="s">
        <v>66</v>
      </c>
      <c r="CU26" s="108"/>
      <c r="CV26" s="70"/>
      <c r="CW26" s="108"/>
      <c r="CX26" s="108"/>
      <c r="CY26" s="108"/>
      <c r="CZ26" s="108"/>
      <c r="DA26" s="140" t="s">
        <v>98</v>
      </c>
      <c r="DB26" s="110"/>
      <c r="DC26" s="108"/>
    </row>
    <row r="27" spans="1:107" ht="15" customHeight="1" x14ac:dyDescent="0.25">
      <c r="A27" s="176"/>
      <c r="B27" s="106">
        <f t="shared" si="0"/>
        <v>44448</v>
      </c>
      <c r="C27" s="15"/>
      <c r="E27" s="108"/>
      <c r="F27" s="108">
        <v>7</v>
      </c>
      <c r="G27" s="108">
        <v>83</v>
      </c>
      <c r="H27" s="108"/>
      <c r="I27" s="140" t="s">
        <v>56</v>
      </c>
      <c r="J27" s="110" t="s">
        <v>57</v>
      </c>
      <c r="K27" s="108"/>
      <c r="M27" s="108"/>
      <c r="N27" s="108">
        <v>7</v>
      </c>
      <c r="O27" s="108">
        <v>83</v>
      </c>
      <c r="P27" s="108"/>
      <c r="Q27" s="152" t="s">
        <v>58</v>
      </c>
      <c r="R27" s="110" t="s">
        <v>59</v>
      </c>
      <c r="S27" s="108"/>
      <c r="U27" s="108">
        <v>7</v>
      </c>
      <c r="V27" s="108"/>
      <c r="W27" s="108">
        <v>83</v>
      </c>
      <c r="X27" s="108"/>
      <c r="Y27" s="140" t="s">
        <v>60</v>
      </c>
      <c r="Z27" s="110" t="s">
        <v>61</v>
      </c>
      <c r="AA27" s="108"/>
      <c r="AB27" s="52"/>
      <c r="AC27" s="108">
        <v>7</v>
      </c>
      <c r="AD27" s="108"/>
      <c r="AE27" s="108">
        <v>83</v>
      </c>
      <c r="AF27" s="108"/>
      <c r="AG27" s="140" t="s">
        <v>99</v>
      </c>
      <c r="AH27" s="110"/>
      <c r="AI27" s="108"/>
      <c r="AJ27" s="52"/>
      <c r="AK27" s="108">
        <v>7</v>
      </c>
      <c r="AL27" s="108"/>
      <c r="AM27" s="110">
        <v>65</v>
      </c>
      <c r="AN27" s="108"/>
      <c r="AO27" s="152" t="s">
        <v>47</v>
      </c>
      <c r="AP27" s="110" t="s">
        <v>48</v>
      </c>
      <c r="AQ27" s="108"/>
      <c r="AR27" s="52"/>
      <c r="AS27" s="108">
        <v>7</v>
      </c>
      <c r="AT27" s="108"/>
      <c r="AU27" s="108">
        <v>83</v>
      </c>
      <c r="AV27" s="108"/>
      <c r="AW27" s="152" t="s">
        <v>37</v>
      </c>
      <c r="AX27" s="110" t="s">
        <v>39</v>
      </c>
      <c r="AY27" s="108"/>
      <c r="AZ27" s="52"/>
      <c r="BA27" s="108">
        <v>7</v>
      </c>
      <c r="BB27" s="108"/>
      <c r="BC27" s="108">
        <v>83</v>
      </c>
      <c r="BD27" s="108"/>
      <c r="BE27" s="140" t="s">
        <v>60</v>
      </c>
      <c r="BF27" s="110"/>
      <c r="BG27" s="108"/>
      <c r="BH27" s="52"/>
      <c r="BI27" s="108">
        <v>7</v>
      </c>
      <c r="BJ27" s="108"/>
      <c r="BK27" s="108">
        <v>83</v>
      </c>
      <c r="BL27" s="108"/>
      <c r="BM27" s="140" t="s">
        <v>63</v>
      </c>
      <c r="BN27" s="110"/>
      <c r="BO27" s="108"/>
      <c r="BP27" s="52"/>
      <c r="BQ27" s="108">
        <v>7</v>
      </c>
      <c r="BR27" s="108"/>
      <c r="BS27" s="108">
        <v>83</v>
      </c>
      <c r="BT27" s="108"/>
      <c r="BU27" s="140" t="s">
        <v>37</v>
      </c>
      <c r="BV27" s="110" t="s">
        <v>41</v>
      </c>
      <c r="BW27" s="108"/>
      <c r="BX27" s="52"/>
      <c r="BY27" s="123"/>
      <c r="BZ27" s="123"/>
      <c r="CA27" s="123"/>
      <c r="CB27" s="123"/>
      <c r="CC27" s="143"/>
      <c r="CD27" s="123"/>
      <c r="CE27" s="123"/>
      <c r="CF27" s="52"/>
      <c r="CG27" s="108">
        <v>7</v>
      </c>
      <c r="CH27" s="108"/>
      <c r="CI27" s="108">
        <v>83</v>
      </c>
      <c r="CJ27" s="108"/>
      <c r="CK27" s="140" t="s">
        <v>99</v>
      </c>
      <c r="CL27" s="110"/>
      <c r="CM27" s="108"/>
      <c r="CN27" s="52"/>
      <c r="CO27" s="108">
        <v>7</v>
      </c>
      <c r="CP27" s="108"/>
      <c r="CQ27" s="108">
        <v>83</v>
      </c>
      <c r="CR27" s="108"/>
      <c r="CS27" s="140" t="s">
        <v>64</v>
      </c>
      <c r="CT27" s="110" t="s">
        <v>66</v>
      </c>
      <c r="CU27" s="108"/>
      <c r="CV27" s="52"/>
      <c r="CW27" s="108"/>
      <c r="CX27" s="108"/>
      <c r="CY27" s="108"/>
      <c r="CZ27" s="108"/>
      <c r="DA27" s="140" t="s">
        <v>98</v>
      </c>
      <c r="DB27" s="110"/>
      <c r="DC27" s="108"/>
    </row>
    <row r="28" spans="1:107" ht="15" customHeight="1" x14ac:dyDescent="0.25">
      <c r="A28" s="176"/>
      <c r="B28" s="106">
        <f t="shared" si="0"/>
        <v>44449</v>
      </c>
      <c r="C28" s="15"/>
      <c r="E28" s="108"/>
      <c r="F28" s="108">
        <v>7</v>
      </c>
      <c r="G28" s="108">
        <v>83</v>
      </c>
      <c r="H28" s="108"/>
      <c r="I28" s="140" t="s">
        <v>56</v>
      </c>
      <c r="J28" s="110" t="s">
        <v>57</v>
      </c>
      <c r="K28" s="108"/>
      <c r="M28" s="108"/>
      <c r="N28" s="108">
        <v>7</v>
      </c>
      <c r="O28" s="108">
        <v>83</v>
      </c>
      <c r="P28" s="108"/>
      <c r="Q28" s="152" t="s">
        <v>58</v>
      </c>
      <c r="R28" s="110" t="s">
        <v>59</v>
      </c>
      <c r="S28" s="108"/>
      <c r="U28" s="108">
        <v>7</v>
      </c>
      <c r="V28" s="108"/>
      <c r="W28" s="108">
        <v>18.600000000000001</v>
      </c>
      <c r="X28" s="108"/>
      <c r="Y28" s="140" t="s">
        <v>60</v>
      </c>
      <c r="Z28" s="110" t="s">
        <v>61</v>
      </c>
      <c r="AA28" s="108"/>
      <c r="AB28" s="52"/>
      <c r="AC28" s="108">
        <v>7</v>
      </c>
      <c r="AD28" s="108"/>
      <c r="AE28" s="108">
        <v>18.600000000000001</v>
      </c>
      <c r="AF28" s="108"/>
      <c r="AG28" s="140" t="s">
        <v>99</v>
      </c>
      <c r="AH28" s="110"/>
      <c r="AI28" s="108"/>
      <c r="AJ28" s="52"/>
      <c r="AK28" s="108">
        <v>7</v>
      </c>
      <c r="AL28" s="108"/>
      <c r="AM28" s="110">
        <v>65</v>
      </c>
      <c r="AN28" s="108"/>
      <c r="AO28" s="152" t="s">
        <v>47</v>
      </c>
      <c r="AP28" s="110" t="s">
        <v>48</v>
      </c>
      <c r="AQ28" s="108"/>
      <c r="AR28" s="52"/>
      <c r="AS28" s="108">
        <v>7</v>
      </c>
      <c r="AT28" s="108"/>
      <c r="AU28" s="108">
        <v>18.600000000000001</v>
      </c>
      <c r="AV28" s="108"/>
      <c r="AW28" s="152" t="s">
        <v>54</v>
      </c>
      <c r="AX28" s="110" t="s">
        <v>55</v>
      </c>
      <c r="AY28" s="108"/>
      <c r="AZ28" s="52"/>
      <c r="BA28" s="108">
        <v>7</v>
      </c>
      <c r="BB28" s="108"/>
      <c r="BC28" s="108">
        <v>18.600000000000001</v>
      </c>
      <c r="BD28" s="108"/>
      <c r="BE28" s="140" t="s">
        <v>67</v>
      </c>
      <c r="BF28" s="110"/>
      <c r="BG28" s="108"/>
      <c r="BH28" s="52"/>
      <c r="BI28" s="108">
        <v>7</v>
      </c>
      <c r="BJ28" s="108"/>
      <c r="BK28" s="108">
        <v>83</v>
      </c>
      <c r="BL28" s="108"/>
      <c r="BM28" s="140" t="s">
        <v>40</v>
      </c>
      <c r="BN28" s="110"/>
      <c r="BO28" s="108"/>
      <c r="BP28" s="52"/>
      <c r="BQ28" s="108">
        <v>7</v>
      </c>
      <c r="BR28" s="108"/>
      <c r="BS28" s="108">
        <v>18.600000000000001</v>
      </c>
      <c r="BT28" s="108"/>
      <c r="BU28" s="140" t="s">
        <v>54</v>
      </c>
      <c r="BV28" s="110" t="s">
        <v>55</v>
      </c>
      <c r="BW28" s="108"/>
      <c r="BX28" s="52"/>
      <c r="BY28" s="123"/>
      <c r="BZ28" s="123"/>
      <c r="CA28" s="123"/>
      <c r="CB28" s="123"/>
      <c r="CC28" s="143"/>
      <c r="CD28" s="123"/>
      <c r="CE28" s="123"/>
      <c r="CF28" s="52"/>
      <c r="CG28" s="108">
        <v>7</v>
      </c>
      <c r="CH28" s="108"/>
      <c r="CI28" s="108">
        <v>18.600000000000001</v>
      </c>
      <c r="CJ28" s="108"/>
      <c r="CK28" s="140" t="s">
        <v>99</v>
      </c>
      <c r="CL28" s="110"/>
      <c r="CM28" s="108"/>
      <c r="CN28" s="52"/>
      <c r="CO28" s="108">
        <v>7</v>
      </c>
      <c r="CP28" s="108"/>
      <c r="CQ28" s="108">
        <v>83</v>
      </c>
      <c r="CR28" s="108"/>
      <c r="CS28" s="140" t="s">
        <v>64</v>
      </c>
      <c r="CT28" s="110" t="s">
        <v>66</v>
      </c>
      <c r="CU28" s="108"/>
      <c r="CV28" s="52"/>
      <c r="CW28" s="108"/>
      <c r="CX28" s="108"/>
      <c r="CY28" s="108"/>
      <c r="CZ28" s="108"/>
      <c r="DA28" s="140" t="s">
        <v>98</v>
      </c>
      <c r="DB28" s="110"/>
      <c r="DC28" s="108"/>
    </row>
    <row r="29" spans="1:107" ht="15" customHeight="1" x14ac:dyDescent="0.25">
      <c r="A29" s="176"/>
      <c r="B29" s="105">
        <f t="shared" si="0"/>
        <v>44450</v>
      </c>
      <c r="C29" s="15"/>
      <c r="E29" s="67"/>
      <c r="F29" s="67"/>
      <c r="G29" s="67"/>
      <c r="H29" s="67"/>
      <c r="I29" s="141"/>
      <c r="J29" s="67"/>
      <c r="K29" s="67"/>
      <c r="M29" s="67"/>
      <c r="N29" s="67"/>
      <c r="O29" s="67"/>
      <c r="P29" s="67"/>
      <c r="Q29" s="141"/>
      <c r="R29" s="67"/>
      <c r="S29" s="67"/>
      <c r="U29" s="67"/>
      <c r="V29" s="67"/>
      <c r="W29" s="67"/>
      <c r="X29" s="67"/>
      <c r="Y29" s="141"/>
      <c r="Z29" s="67"/>
      <c r="AA29" s="67"/>
      <c r="AB29" s="52"/>
      <c r="AC29" s="67"/>
      <c r="AD29" s="67"/>
      <c r="AE29" s="67"/>
      <c r="AF29" s="67"/>
      <c r="AG29" s="141"/>
      <c r="AH29" s="67"/>
      <c r="AI29" s="67"/>
      <c r="AJ29" s="52"/>
      <c r="AK29" s="67"/>
      <c r="AL29" s="67">
        <v>7</v>
      </c>
      <c r="AM29" s="67">
        <v>65</v>
      </c>
      <c r="AN29" s="67"/>
      <c r="AO29" s="152" t="s">
        <v>49</v>
      </c>
      <c r="AP29" s="67" t="s">
        <v>50</v>
      </c>
      <c r="AQ29" s="153" t="s">
        <v>105</v>
      </c>
      <c r="AR29" s="52"/>
      <c r="AS29" s="67"/>
      <c r="AT29" s="67"/>
      <c r="AU29" s="67"/>
      <c r="AV29" s="67"/>
      <c r="AW29" s="141"/>
      <c r="AX29" s="67"/>
      <c r="AY29" s="67"/>
      <c r="AZ29" s="52"/>
      <c r="BA29" s="67"/>
      <c r="BB29" s="67"/>
      <c r="BC29" s="67"/>
      <c r="BD29" s="67"/>
      <c r="BE29" s="141"/>
      <c r="BF29" s="67"/>
      <c r="BG29" s="67"/>
      <c r="BH29" s="52"/>
      <c r="BI29" s="67"/>
      <c r="BJ29" s="67"/>
      <c r="BK29" s="67">
        <v>83</v>
      </c>
      <c r="BL29" s="67"/>
      <c r="BM29" s="141"/>
      <c r="BN29" s="67"/>
      <c r="BO29" s="67"/>
      <c r="BP29" s="52"/>
      <c r="BQ29" s="67"/>
      <c r="BR29" s="67"/>
      <c r="BS29" s="67"/>
      <c r="BT29" s="67"/>
      <c r="BU29" s="141"/>
      <c r="BV29" s="67"/>
      <c r="BW29" s="67"/>
      <c r="BX29" s="52"/>
      <c r="BY29" s="123"/>
      <c r="BZ29" s="123"/>
      <c r="CA29" s="123"/>
      <c r="CB29" s="123"/>
      <c r="CC29" s="143"/>
      <c r="CD29" s="123"/>
      <c r="CE29" s="123"/>
      <c r="CF29" s="52"/>
      <c r="CG29" s="67"/>
      <c r="CH29" s="67"/>
      <c r="CI29" s="67"/>
      <c r="CJ29" s="67"/>
      <c r="CK29" s="141"/>
      <c r="CL29" s="67"/>
      <c r="CM29" s="67"/>
      <c r="CN29" s="52"/>
      <c r="CO29" s="67"/>
      <c r="CP29" s="67"/>
      <c r="CQ29" s="67">
        <v>83</v>
      </c>
      <c r="CR29" s="67"/>
      <c r="CS29" s="141"/>
      <c r="CT29" s="67"/>
      <c r="CU29" s="67"/>
      <c r="CV29" s="52"/>
      <c r="CW29" s="67"/>
      <c r="CX29" s="67"/>
      <c r="CY29" s="67"/>
      <c r="CZ29" s="67"/>
      <c r="DA29" s="141" t="s">
        <v>98</v>
      </c>
      <c r="DB29" s="67"/>
      <c r="DC29" s="67"/>
    </row>
    <row r="30" spans="1:107" ht="15" customHeight="1" x14ac:dyDescent="0.25">
      <c r="A30" s="177"/>
      <c r="B30" s="105">
        <f t="shared" si="0"/>
        <v>44451</v>
      </c>
      <c r="C30" s="15">
        <f>Base!C29</f>
        <v>35</v>
      </c>
      <c r="E30" s="67"/>
      <c r="F30" s="67"/>
      <c r="G30" s="67"/>
      <c r="H30" s="67"/>
      <c r="I30" s="141"/>
      <c r="J30" s="67"/>
      <c r="K30" s="67"/>
      <c r="M30" s="67"/>
      <c r="N30" s="67"/>
      <c r="O30" s="67"/>
      <c r="P30" s="67"/>
      <c r="Q30" s="141"/>
      <c r="R30" s="67"/>
      <c r="S30" s="67"/>
      <c r="U30" s="67"/>
      <c r="V30" s="67"/>
      <c r="W30" s="67"/>
      <c r="X30" s="67"/>
      <c r="Y30" s="141"/>
      <c r="Z30" s="67"/>
      <c r="AA30" s="67"/>
      <c r="AB30" s="52"/>
      <c r="AC30" s="67"/>
      <c r="AD30" s="67"/>
      <c r="AE30" s="67"/>
      <c r="AF30" s="67"/>
      <c r="AG30" s="141"/>
      <c r="AH30" s="67"/>
      <c r="AI30" s="67"/>
      <c r="AJ30" s="52"/>
      <c r="AK30" s="67"/>
      <c r="AL30" s="67"/>
      <c r="AM30" s="67"/>
      <c r="AN30" s="67"/>
      <c r="AO30" s="141"/>
      <c r="AP30" s="67"/>
      <c r="AQ30" s="67"/>
      <c r="AR30" s="52"/>
      <c r="AS30" s="67"/>
      <c r="AT30" s="67"/>
      <c r="AU30" s="67"/>
      <c r="AV30" s="67"/>
      <c r="AW30" s="141"/>
      <c r="AX30" s="67"/>
      <c r="AY30" s="67"/>
      <c r="AZ30" s="52"/>
      <c r="BA30" s="67"/>
      <c r="BB30" s="67"/>
      <c r="BC30" s="67"/>
      <c r="BD30" s="67"/>
      <c r="BE30" s="141"/>
      <c r="BF30" s="67"/>
      <c r="BG30" s="67"/>
      <c r="BH30" s="52"/>
      <c r="BI30" s="67"/>
      <c r="BJ30" s="67"/>
      <c r="BK30" s="67">
        <v>83</v>
      </c>
      <c r="BL30" s="67"/>
      <c r="BM30" s="141"/>
      <c r="BN30" s="67"/>
      <c r="BO30" s="67"/>
      <c r="BP30" s="52"/>
      <c r="BQ30" s="67"/>
      <c r="BR30" s="67"/>
      <c r="BS30" s="67"/>
      <c r="BT30" s="67"/>
      <c r="BU30" s="141"/>
      <c r="BV30" s="67"/>
      <c r="BW30" s="67"/>
      <c r="BX30" s="52"/>
      <c r="BY30" s="123"/>
      <c r="BZ30" s="123"/>
      <c r="CA30" s="123"/>
      <c r="CB30" s="123"/>
      <c r="CC30" s="143"/>
      <c r="CD30" s="123"/>
      <c r="CE30" s="123"/>
      <c r="CF30" s="52"/>
      <c r="CG30" s="67"/>
      <c r="CH30" s="67"/>
      <c r="CI30" s="67"/>
      <c r="CJ30" s="67"/>
      <c r="CK30" s="141"/>
      <c r="CL30" s="67"/>
      <c r="CM30" s="67"/>
      <c r="CN30" s="52"/>
      <c r="CO30" s="67"/>
      <c r="CP30" s="67"/>
      <c r="CQ30" s="67">
        <v>83</v>
      </c>
      <c r="CR30" s="67"/>
      <c r="CS30" s="141"/>
      <c r="CT30" s="67"/>
      <c r="CU30" s="67"/>
      <c r="CV30" s="52"/>
      <c r="CW30" s="67"/>
      <c r="CX30" s="67"/>
      <c r="CY30" s="67"/>
      <c r="CZ30" s="67"/>
      <c r="DA30" s="141"/>
      <c r="DB30" s="67"/>
      <c r="DC30" s="67"/>
    </row>
    <row r="31" spans="1:107" ht="15" customHeight="1" x14ac:dyDescent="0.25">
      <c r="A31" s="175" t="str">
        <f>Base!A30</f>
        <v>S.37</v>
      </c>
      <c r="B31" s="106">
        <f t="shared" si="0"/>
        <v>44452</v>
      </c>
      <c r="C31" s="15"/>
      <c r="E31" s="110">
        <v>7</v>
      </c>
      <c r="F31" s="110"/>
      <c r="G31" s="108">
        <v>83</v>
      </c>
      <c r="H31" s="110"/>
      <c r="I31" s="142" t="s">
        <v>68</v>
      </c>
      <c r="J31" s="108" t="s">
        <v>69</v>
      </c>
      <c r="K31" s="142"/>
      <c r="M31" s="108">
        <v>7</v>
      </c>
      <c r="N31" s="108"/>
      <c r="O31" s="108">
        <v>83</v>
      </c>
      <c r="P31" s="110"/>
      <c r="Q31" s="152" t="s">
        <v>58</v>
      </c>
      <c r="R31" s="110" t="s">
        <v>59</v>
      </c>
      <c r="S31" s="142"/>
      <c r="U31" s="110"/>
      <c r="V31" s="110">
        <v>7</v>
      </c>
      <c r="W31" s="108">
        <v>83</v>
      </c>
      <c r="X31" s="110"/>
      <c r="Y31" s="142" t="s">
        <v>35</v>
      </c>
      <c r="Z31" s="108" t="s">
        <v>36</v>
      </c>
      <c r="AA31" s="142"/>
      <c r="AB31" s="52"/>
      <c r="AC31" s="110">
        <v>7</v>
      </c>
      <c r="AD31" s="110"/>
      <c r="AE31" s="108">
        <v>83</v>
      </c>
      <c r="AF31" s="110"/>
      <c r="AG31" s="142" t="s">
        <v>99</v>
      </c>
      <c r="AH31" s="108"/>
      <c r="AI31" s="142"/>
      <c r="AJ31" s="52"/>
      <c r="AK31" s="110">
        <v>7</v>
      </c>
      <c r="AL31" s="110"/>
      <c r="AM31" s="110">
        <v>83</v>
      </c>
      <c r="AN31" s="110"/>
      <c r="AO31" s="142" t="s">
        <v>60</v>
      </c>
      <c r="AP31" s="108" t="s">
        <v>61</v>
      </c>
      <c r="AQ31" s="142"/>
      <c r="AR31" s="52"/>
      <c r="AS31" s="110"/>
      <c r="AT31" s="110">
        <v>7</v>
      </c>
      <c r="AU31" s="110">
        <v>83</v>
      </c>
      <c r="AV31" s="110"/>
      <c r="AW31" s="152" t="s">
        <v>62</v>
      </c>
      <c r="AX31" s="108" t="s">
        <v>59</v>
      </c>
      <c r="AY31" s="142"/>
      <c r="AZ31" s="52"/>
      <c r="BA31" s="110">
        <v>7</v>
      </c>
      <c r="BB31" s="110"/>
      <c r="BC31" s="110">
        <v>83</v>
      </c>
      <c r="BD31" s="110"/>
      <c r="BE31" s="142" t="s">
        <v>67</v>
      </c>
      <c r="BF31" s="108"/>
      <c r="BG31" s="142"/>
      <c r="BH31" s="52"/>
      <c r="BI31" s="110">
        <v>7</v>
      </c>
      <c r="BJ31" s="110"/>
      <c r="BK31" s="110">
        <v>83</v>
      </c>
      <c r="BL31" s="110"/>
      <c r="BM31" s="142" t="s">
        <v>56</v>
      </c>
      <c r="BN31" s="108"/>
      <c r="BO31" s="142"/>
      <c r="BP31" s="52"/>
      <c r="BQ31" s="110">
        <v>7</v>
      </c>
      <c r="BR31" s="110"/>
      <c r="BS31" s="110">
        <v>83</v>
      </c>
      <c r="BT31" s="110"/>
      <c r="BU31" s="142" t="s">
        <v>62</v>
      </c>
      <c r="BV31" s="108" t="s">
        <v>59</v>
      </c>
      <c r="BW31" s="142"/>
      <c r="BX31" s="52"/>
      <c r="BY31" s="123"/>
      <c r="BZ31" s="123"/>
      <c r="CA31" s="123"/>
      <c r="CB31" s="123"/>
      <c r="CC31" s="143"/>
      <c r="CD31" s="123"/>
      <c r="CE31" s="143"/>
      <c r="CF31" s="52"/>
      <c r="CG31" s="110">
        <v>7</v>
      </c>
      <c r="CH31" s="110"/>
      <c r="CI31" s="108">
        <v>83</v>
      </c>
      <c r="CJ31" s="110"/>
      <c r="CK31" s="142" t="s">
        <v>99</v>
      </c>
      <c r="CL31" s="108"/>
      <c r="CM31" s="142"/>
      <c r="CN31" s="52"/>
      <c r="CO31" s="110">
        <v>7</v>
      </c>
      <c r="CP31" s="110"/>
      <c r="CQ31" s="108">
        <v>83</v>
      </c>
      <c r="CR31" s="110"/>
      <c r="CS31" s="142" t="s">
        <v>70</v>
      </c>
      <c r="CT31" s="110" t="s">
        <v>38</v>
      </c>
      <c r="CU31" s="142"/>
      <c r="CV31" s="52"/>
      <c r="CW31" s="110">
        <v>7</v>
      </c>
      <c r="CX31" s="110"/>
      <c r="CY31" s="110">
        <v>83</v>
      </c>
      <c r="CZ31" s="110"/>
      <c r="DA31" s="142" t="s">
        <v>71</v>
      </c>
      <c r="DB31" s="108" t="s">
        <v>74</v>
      </c>
      <c r="DC31" s="142"/>
    </row>
    <row r="32" spans="1:107" ht="15" customHeight="1" x14ac:dyDescent="0.25">
      <c r="A32" s="176"/>
      <c r="B32" s="106">
        <f t="shared" si="0"/>
        <v>44453</v>
      </c>
      <c r="C32" s="15"/>
      <c r="E32" s="108">
        <v>7</v>
      </c>
      <c r="F32" s="108"/>
      <c r="G32" s="108">
        <v>83</v>
      </c>
      <c r="H32" s="108"/>
      <c r="I32" s="142" t="s">
        <v>68</v>
      </c>
      <c r="J32" s="108" t="s">
        <v>69</v>
      </c>
      <c r="K32" s="142"/>
      <c r="M32" s="108">
        <v>7</v>
      </c>
      <c r="N32" s="108"/>
      <c r="O32" s="108">
        <v>83</v>
      </c>
      <c r="P32" s="108"/>
      <c r="Q32" s="152" t="s">
        <v>58</v>
      </c>
      <c r="R32" s="110" t="s">
        <v>59</v>
      </c>
      <c r="S32" s="142"/>
      <c r="U32" s="108"/>
      <c r="V32" s="108">
        <v>7</v>
      </c>
      <c r="W32" s="108">
        <v>83</v>
      </c>
      <c r="X32" s="108"/>
      <c r="Y32" s="142" t="s">
        <v>35</v>
      </c>
      <c r="Z32" s="108" t="s">
        <v>36</v>
      </c>
      <c r="AA32" s="142"/>
      <c r="AB32" s="52"/>
      <c r="AC32" s="108">
        <v>7</v>
      </c>
      <c r="AD32" s="108"/>
      <c r="AE32" s="108">
        <v>83</v>
      </c>
      <c r="AF32" s="108"/>
      <c r="AG32" s="142" t="s">
        <v>99</v>
      </c>
      <c r="AH32" s="108"/>
      <c r="AI32" s="142"/>
      <c r="AJ32" s="52"/>
      <c r="AK32" s="110">
        <v>7</v>
      </c>
      <c r="AL32" s="110"/>
      <c r="AM32" s="110">
        <v>83</v>
      </c>
      <c r="AN32" s="110"/>
      <c r="AO32" s="142" t="s">
        <v>60</v>
      </c>
      <c r="AP32" s="108" t="s">
        <v>61</v>
      </c>
      <c r="AQ32" s="142"/>
      <c r="AR32" s="52"/>
      <c r="AS32" s="108"/>
      <c r="AT32" s="108">
        <v>7</v>
      </c>
      <c r="AU32" s="108">
        <v>83</v>
      </c>
      <c r="AV32" s="108"/>
      <c r="AW32" s="152" t="s">
        <v>62</v>
      </c>
      <c r="AX32" s="108" t="s">
        <v>59</v>
      </c>
      <c r="AY32" s="142"/>
      <c r="AZ32" s="52"/>
      <c r="BA32" s="108"/>
      <c r="BB32" s="108">
        <v>7</v>
      </c>
      <c r="BC32" s="108">
        <v>83</v>
      </c>
      <c r="BD32" s="108"/>
      <c r="BE32" s="142" t="s">
        <v>72</v>
      </c>
      <c r="BF32" s="108"/>
      <c r="BG32" s="142"/>
      <c r="BH32" s="52"/>
      <c r="BI32" s="108">
        <v>7</v>
      </c>
      <c r="BJ32" s="108"/>
      <c r="BK32" s="108">
        <v>83</v>
      </c>
      <c r="BL32" s="108"/>
      <c r="BM32" s="142" t="s">
        <v>56</v>
      </c>
      <c r="BN32" s="108"/>
      <c r="BO32" s="142"/>
      <c r="BP32" s="52"/>
      <c r="BQ32" s="108">
        <v>7</v>
      </c>
      <c r="BR32" s="108"/>
      <c r="BS32" s="108">
        <v>83</v>
      </c>
      <c r="BT32" s="108"/>
      <c r="BU32" s="142" t="s">
        <v>62</v>
      </c>
      <c r="BV32" s="108" t="s">
        <v>59</v>
      </c>
      <c r="BW32" s="142"/>
      <c r="BX32" s="52"/>
      <c r="BY32" s="123"/>
      <c r="BZ32" s="123"/>
      <c r="CA32" s="123"/>
      <c r="CB32" s="123"/>
      <c r="CC32" s="143"/>
      <c r="CD32" s="123"/>
      <c r="CE32" s="143"/>
      <c r="CF32" s="52"/>
      <c r="CG32" s="108">
        <v>7</v>
      </c>
      <c r="CH32" s="108"/>
      <c r="CI32" s="108">
        <v>83</v>
      </c>
      <c r="CJ32" s="108"/>
      <c r="CK32" s="142" t="s">
        <v>99</v>
      </c>
      <c r="CL32" s="108"/>
      <c r="CM32" s="142"/>
      <c r="CN32" s="52"/>
      <c r="CO32" s="108">
        <v>7</v>
      </c>
      <c r="CP32" s="108"/>
      <c r="CQ32" s="108">
        <v>83</v>
      </c>
      <c r="CR32" s="108"/>
      <c r="CS32" s="142" t="s">
        <v>70</v>
      </c>
      <c r="CT32" s="110" t="s">
        <v>38</v>
      </c>
      <c r="CU32" s="142"/>
      <c r="CV32" s="52"/>
      <c r="CW32" s="108">
        <v>7</v>
      </c>
      <c r="CX32" s="108"/>
      <c r="CY32" s="108">
        <v>83</v>
      </c>
      <c r="CZ32" s="108"/>
      <c r="DA32" s="142" t="s">
        <v>71</v>
      </c>
      <c r="DB32" s="108" t="s">
        <v>74</v>
      </c>
      <c r="DC32" s="142"/>
    </row>
    <row r="33" spans="1:107" ht="15" customHeight="1" x14ac:dyDescent="0.25">
      <c r="A33" s="176"/>
      <c r="B33" s="106">
        <f t="shared" si="0"/>
        <v>44454</v>
      </c>
      <c r="C33" s="15"/>
      <c r="E33" s="108">
        <v>7</v>
      </c>
      <c r="F33" s="108"/>
      <c r="G33" s="108">
        <v>83</v>
      </c>
      <c r="H33" s="108"/>
      <c r="I33" s="142" t="s">
        <v>68</v>
      </c>
      <c r="J33" s="108" t="s">
        <v>69</v>
      </c>
      <c r="K33" s="142"/>
      <c r="M33" s="108">
        <v>7</v>
      </c>
      <c r="N33" s="108"/>
      <c r="O33" s="108">
        <v>83</v>
      </c>
      <c r="P33" s="108"/>
      <c r="Q33" s="152" t="s">
        <v>58</v>
      </c>
      <c r="R33" s="110" t="s">
        <v>59</v>
      </c>
      <c r="S33" s="142"/>
      <c r="U33" s="108"/>
      <c r="V33" s="108">
        <v>7</v>
      </c>
      <c r="W33" s="108">
        <v>83</v>
      </c>
      <c r="X33" s="108"/>
      <c r="Y33" s="142" t="s">
        <v>35</v>
      </c>
      <c r="Z33" s="108" t="s">
        <v>36</v>
      </c>
      <c r="AA33" s="142"/>
      <c r="AB33" s="52"/>
      <c r="AC33" s="108">
        <v>7</v>
      </c>
      <c r="AD33" s="108"/>
      <c r="AE33" s="108">
        <v>83</v>
      </c>
      <c r="AF33" s="108"/>
      <c r="AG33" s="142" t="s">
        <v>99</v>
      </c>
      <c r="AH33" s="108"/>
      <c r="AI33" s="142"/>
      <c r="AJ33" s="52"/>
      <c r="AK33" s="110">
        <v>7</v>
      </c>
      <c r="AL33" s="110"/>
      <c r="AM33" s="110">
        <v>83</v>
      </c>
      <c r="AN33" s="110"/>
      <c r="AO33" s="142" t="s">
        <v>60</v>
      </c>
      <c r="AP33" s="108" t="s">
        <v>61</v>
      </c>
      <c r="AQ33" s="142"/>
      <c r="AR33" s="52"/>
      <c r="AS33" s="108"/>
      <c r="AT33" s="108">
        <v>7</v>
      </c>
      <c r="AU33" s="108">
        <v>83</v>
      </c>
      <c r="AV33" s="108"/>
      <c r="AW33" s="152" t="s">
        <v>62</v>
      </c>
      <c r="AX33" s="108" t="s">
        <v>59</v>
      </c>
      <c r="AY33" s="142"/>
      <c r="AZ33" s="52"/>
      <c r="BA33" s="108"/>
      <c r="BB33" s="108">
        <v>7</v>
      </c>
      <c r="BC33" s="108">
        <v>83</v>
      </c>
      <c r="BD33" s="108"/>
      <c r="BE33" s="142" t="s">
        <v>72</v>
      </c>
      <c r="BF33" s="108"/>
      <c r="BG33" s="142"/>
      <c r="BH33" s="52"/>
      <c r="BI33" s="108">
        <v>7</v>
      </c>
      <c r="BJ33" s="108"/>
      <c r="BK33" s="108">
        <v>83</v>
      </c>
      <c r="BL33" s="108"/>
      <c r="BM33" s="142" t="s">
        <v>63</v>
      </c>
      <c r="BN33" s="108"/>
      <c r="BO33" s="142"/>
      <c r="BP33" s="52"/>
      <c r="BQ33" s="108">
        <v>7</v>
      </c>
      <c r="BR33" s="108"/>
      <c r="BS33" s="108">
        <v>83</v>
      </c>
      <c r="BT33" s="108"/>
      <c r="BU33" s="142" t="s">
        <v>73</v>
      </c>
      <c r="BV33" s="108" t="s">
        <v>59</v>
      </c>
      <c r="BW33" s="142"/>
      <c r="BX33" s="52"/>
      <c r="BY33" s="123"/>
      <c r="BZ33" s="123"/>
      <c r="CA33" s="123"/>
      <c r="CB33" s="123"/>
      <c r="CC33" s="143"/>
      <c r="CD33" s="123"/>
      <c r="CE33" s="143"/>
      <c r="CF33" s="52"/>
      <c r="CG33" s="108">
        <v>7</v>
      </c>
      <c r="CH33" s="108"/>
      <c r="CI33" s="108">
        <v>83</v>
      </c>
      <c r="CJ33" s="108"/>
      <c r="CK33" s="142" t="s">
        <v>99</v>
      </c>
      <c r="CL33" s="108"/>
      <c r="CM33" s="142"/>
      <c r="CN33" s="52"/>
      <c r="CO33" s="108">
        <v>7</v>
      </c>
      <c r="CP33" s="108"/>
      <c r="CQ33" s="108">
        <v>83</v>
      </c>
      <c r="CR33" s="108"/>
      <c r="CS33" s="142" t="s">
        <v>70</v>
      </c>
      <c r="CT33" s="110" t="s">
        <v>38</v>
      </c>
      <c r="CU33" s="142"/>
      <c r="CV33" s="52"/>
      <c r="CW33" s="108">
        <v>7</v>
      </c>
      <c r="CX33" s="108"/>
      <c r="CY33" s="108">
        <v>83</v>
      </c>
      <c r="CZ33" s="108"/>
      <c r="DA33" s="142" t="s">
        <v>71</v>
      </c>
      <c r="DB33" s="108" t="s">
        <v>74</v>
      </c>
      <c r="DC33" s="142"/>
    </row>
    <row r="34" spans="1:107" ht="15" customHeight="1" x14ac:dyDescent="0.25">
      <c r="A34" s="176"/>
      <c r="B34" s="106">
        <f t="shared" si="0"/>
        <v>44455</v>
      </c>
      <c r="C34" s="15"/>
      <c r="E34" s="108">
        <v>7</v>
      </c>
      <c r="F34" s="108"/>
      <c r="G34" s="108">
        <v>83</v>
      </c>
      <c r="H34" s="108"/>
      <c r="I34" s="142" t="s">
        <v>68</v>
      </c>
      <c r="J34" s="108" t="s">
        <v>69</v>
      </c>
      <c r="K34" s="142"/>
      <c r="M34" s="108">
        <v>7</v>
      </c>
      <c r="N34" s="108"/>
      <c r="O34" s="108">
        <v>83</v>
      </c>
      <c r="P34" s="108"/>
      <c r="Q34" s="152" t="s">
        <v>58</v>
      </c>
      <c r="R34" s="110" t="s">
        <v>59</v>
      </c>
      <c r="S34" s="142"/>
      <c r="U34" s="108"/>
      <c r="V34" s="108">
        <v>7</v>
      </c>
      <c r="W34" s="108">
        <v>83</v>
      </c>
      <c r="X34" s="108"/>
      <c r="Y34" s="142" t="s">
        <v>35</v>
      </c>
      <c r="Z34" s="108" t="s">
        <v>36</v>
      </c>
      <c r="AA34" s="142"/>
      <c r="AB34" s="52"/>
      <c r="AC34" s="108">
        <v>7</v>
      </c>
      <c r="AD34" s="108"/>
      <c r="AE34" s="108">
        <v>83</v>
      </c>
      <c r="AF34" s="108"/>
      <c r="AG34" s="142" t="s">
        <v>99</v>
      </c>
      <c r="AH34" s="108"/>
      <c r="AI34" s="142"/>
      <c r="AJ34" s="52"/>
      <c r="AK34" s="110">
        <v>7</v>
      </c>
      <c r="AL34" s="110"/>
      <c r="AM34" s="110">
        <v>83</v>
      </c>
      <c r="AN34" s="110"/>
      <c r="AO34" s="142" t="s">
        <v>60</v>
      </c>
      <c r="AP34" s="108" t="s">
        <v>61</v>
      </c>
      <c r="AQ34" s="142"/>
      <c r="AR34" s="52"/>
      <c r="AS34" s="108">
        <v>7</v>
      </c>
      <c r="AT34" s="108"/>
      <c r="AU34" s="108">
        <v>83</v>
      </c>
      <c r="AV34" s="108"/>
      <c r="AW34" s="152" t="s">
        <v>37</v>
      </c>
      <c r="AX34" s="108" t="s">
        <v>39</v>
      </c>
      <c r="AY34" s="142"/>
      <c r="AZ34" s="52"/>
      <c r="BA34" s="108"/>
      <c r="BB34" s="108">
        <v>7</v>
      </c>
      <c r="BC34" s="108">
        <v>83</v>
      </c>
      <c r="BD34" s="108"/>
      <c r="BE34" s="142" t="s">
        <v>72</v>
      </c>
      <c r="BF34" s="108"/>
      <c r="BG34" s="142"/>
      <c r="BH34" s="52"/>
      <c r="BI34" s="108">
        <v>7</v>
      </c>
      <c r="BJ34" s="108"/>
      <c r="BK34" s="108">
        <v>83</v>
      </c>
      <c r="BL34" s="108"/>
      <c r="BM34" s="142" t="s">
        <v>63</v>
      </c>
      <c r="BN34" s="108"/>
      <c r="BO34" s="142"/>
      <c r="BP34" s="52"/>
      <c r="BQ34" s="108">
        <v>7</v>
      </c>
      <c r="BR34" s="108"/>
      <c r="BS34" s="108">
        <v>83</v>
      </c>
      <c r="BT34" s="108"/>
      <c r="BU34" s="142" t="s">
        <v>37</v>
      </c>
      <c r="BV34" s="108" t="s">
        <v>41</v>
      </c>
      <c r="BW34" s="142"/>
      <c r="BX34" s="52"/>
      <c r="BY34" s="123"/>
      <c r="BZ34" s="123"/>
      <c r="CA34" s="123"/>
      <c r="CB34" s="123"/>
      <c r="CC34" s="143"/>
      <c r="CD34" s="123"/>
      <c r="CE34" s="143"/>
      <c r="CF34" s="52"/>
      <c r="CG34" s="108">
        <v>7</v>
      </c>
      <c r="CH34" s="108"/>
      <c r="CI34" s="108">
        <v>83</v>
      </c>
      <c r="CJ34" s="108"/>
      <c r="CK34" s="142" t="s">
        <v>99</v>
      </c>
      <c r="CL34" s="108"/>
      <c r="CM34" s="142"/>
      <c r="CN34" s="52"/>
      <c r="CO34" s="108">
        <v>7</v>
      </c>
      <c r="CP34" s="108"/>
      <c r="CQ34" s="108">
        <v>83</v>
      </c>
      <c r="CR34" s="108"/>
      <c r="CS34" s="142" t="s">
        <v>70</v>
      </c>
      <c r="CT34" s="110" t="s">
        <v>38</v>
      </c>
      <c r="CU34" s="142"/>
      <c r="CV34" s="52"/>
      <c r="CW34" s="108">
        <v>7</v>
      </c>
      <c r="CX34" s="108"/>
      <c r="CY34" s="108">
        <v>83</v>
      </c>
      <c r="CZ34" s="108"/>
      <c r="DA34" s="142" t="s">
        <v>71</v>
      </c>
      <c r="DB34" s="108" t="s">
        <v>74</v>
      </c>
      <c r="DC34" s="142"/>
    </row>
    <row r="35" spans="1:107" ht="15" customHeight="1" x14ac:dyDescent="0.25">
      <c r="A35" s="176"/>
      <c r="B35" s="106">
        <f t="shared" si="0"/>
        <v>44456</v>
      </c>
      <c r="C35" s="15"/>
      <c r="E35" s="108">
        <v>7</v>
      </c>
      <c r="F35" s="108"/>
      <c r="G35" s="108">
        <v>18.600000000000001</v>
      </c>
      <c r="H35" s="108"/>
      <c r="I35" s="142" t="s">
        <v>68</v>
      </c>
      <c r="J35" s="108" t="s">
        <v>69</v>
      </c>
      <c r="K35" s="142"/>
      <c r="M35" s="108"/>
      <c r="N35" s="108">
        <v>7</v>
      </c>
      <c r="O35" s="108">
        <v>83</v>
      </c>
      <c r="P35" s="108"/>
      <c r="Q35" s="152" t="s">
        <v>58</v>
      </c>
      <c r="R35" s="110" t="s">
        <v>59</v>
      </c>
      <c r="S35" s="142"/>
      <c r="U35" s="108"/>
      <c r="V35" s="108">
        <v>7</v>
      </c>
      <c r="W35" s="108">
        <v>83</v>
      </c>
      <c r="X35" s="108"/>
      <c r="Y35" s="142" t="s">
        <v>35</v>
      </c>
      <c r="Z35" s="108" t="s">
        <v>36</v>
      </c>
      <c r="AA35" s="142"/>
      <c r="AB35" s="52"/>
      <c r="AC35" s="108">
        <v>7</v>
      </c>
      <c r="AD35" s="108"/>
      <c r="AE35" s="108">
        <v>18.600000000000001</v>
      </c>
      <c r="AF35" s="108"/>
      <c r="AG35" s="142" t="s">
        <v>99</v>
      </c>
      <c r="AH35" s="108"/>
      <c r="AI35" s="142"/>
      <c r="AJ35" s="52"/>
      <c r="AK35" s="110">
        <v>7</v>
      </c>
      <c r="AL35" s="110"/>
      <c r="AM35" s="110">
        <v>18.600000000000001</v>
      </c>
      <c r="AN35" s="110"/>
      <c r="AO35" s="142" t="s">
        <v>60</v>
      </c>
      <c r="AP35" s="108" t="s">
        <v>61</v>
      </c>
      <c r="AQ35" s="142"/>
      <c r="AR35" s="52"/>
      <c r="AS35" s="108"/>
      <c r="AT35" s="108">
        <v>7</v>
      </c>
      <c r="AU35" s="108">
        <v>83</v>
      </c>
      <c r="AV35" s="108"/>
      <c r="AW35" s="152" t="s">
        <v>73</v>
      </c>
      <c r="AX35" s="108" t="s">
        <v>75</v>
      </c>
      <c r="AY35" s="110" t="s">
        <v>108</v>
      </c>
      <c r="AZ35" s="52"/>
      <c r="BA35" s="108">
        <v>7</v>
      </c>
      <c r="BB35" s="108"/>
      <c r="BC35" s="108"/>
      <c r="BD35" s="108"/>
      <c r="BE35" s="142" t="s">
        <v>100</v>
      </c>
      <c r="BF35" s="108"/>
      <c r="BG35" s="142"/>
      <c r="BH35" s="52"/>
      <c r="BI35" s="108">
        <v>7</v>
      </c>
      <c r="BJ35" s="108"/>
      <c r="BK35" s="108">
        <v>83</v>
      </c>
      <c r="BL35" s="108"/>
      <c r="BM35" s="142" t="s">
        <v>40</v>
      </c>
      <c r="BN35" s="108"/>
      <c r="BO35" s="142"/>
      <c r="BP35" s="52"/>
      <c r="BQ35" s="108">
        <v>7</v>
      </c>
      <c r="BR35" s="108"/>
      <c r="BS35" s="108">
        <v>18.600000000000001</v>
      </c>
      <c r="BT35" s="108"/>
      <c r="BU35" s="142" t="s">
        <v>37</v>
      </c>
      <c r="BV35" s="108" t="s">
        <v>41</v>
      </c>
      <c r="BW35" s="142"/>
      <c r="BX35" s="52"/>
      <c r="BY35" s="123"/>
      <c r="BZ35" s="123"/>
      <c r="CA35" s="123"/>
      <c r="CB35" s="123"/>
      <c r="CC35" s="143"/>
      <c r="CD35" s="123"/>
      <c r="CE35" s="143"/>
      <c r="CF35" s="52"/>
      <c r="CG35" s="108">
        <v>7</v>
      </c>
      <c r="CH35" s="108"/>
      <c r="CI35" s="108">
        <v>18.600000000000001</v>
      </c>
      <c r="CJ35" s="108"/>
      <c r="CK35" s="142" t="s">
        <v>99</v>
      </c>
      <c r="CL35" s="108"/>
      <c r="CM35" s="142"/>
      <c r="CN35" s="52"/>
      <c r="CO35" s="108">
        <v>7</v>
      </c>
      <c r="CP35" s="108"/>
      <c r="CQ35" s="108">
        <v>83</v>
      </c>
      <c r="CR35" s="108"/>
      <c r="CS35" s="142" t="s">
        <v>70</v>
      </c>
      <c r="CT35" s="110" t="s">
        <v>38</v>
      </c>
      <c r="CU35" s="142"/>
      <c r="CV35" s="52"/>
      <c r="CW35" s="108">
        <v>7</v>
      </c>
      <c r="CX35" s="108"/>
      <c r="CY35" s="108">
        <v>83</v>
      </c>
      <c r="CZ35" s="108"/>
      <c r="DA35" s="142" t="s">
        <v>71</v>
      </c>
      <c r="DB35" s="108" t="s">
        <v>74</v>
      </c>
      <c r="DC35" s="142"/>
    </row>
    <row r="36" spans="1:107" ht="15" customHeight="1" x14ac:dyDescent="0.25">
      <c r="A36" s="176"/>
      <c r="B36" s="105">
        <f t="shared" si="0"/>
        <v>44457</v>
      </c>
      <c r="C36" s="15"/>
      <c r="E36" s="67"/>
      <c r="F36" s="67"/>
      <c r="G36" s="67"/>
      <c r="H36" s="67"/>
      <c r="I36" s="141"/>
      <c r="J36" s="68"/>
      <c r="K36" s="141"/>
      <c r="M36" s="67"/>
      <c r="N36" s="67"/>
      <c r="O36" s="67"/>
      <c r="P36" s="67"/>
      <c r="Q36" s="141"/>
      <c r="R36" s="68"/>
      <c r="S36" s="141"/>
      <c r="U36" s="67"/>
      <c r="V36" s="67"/>
      <c r="W36" s="67"/>
      <c r="X36" s="67"/>
      <c r="Y36" s="141"/>
      <c r="Z36" s="68"/>
      <c r="AA36" s="141"/>
      <c r="AB36" s="52"/>
      <c r="AC36" s="67"/>
      <c r="AD36" s="67"/>
      <c r="AE36" s="67"/>
      <c r="AF36" s="67"/>
      <c r="AG36" s="141"/>
      <c r="AH36" s="68"/>
      <c r="AI36" s="141"/>
      <c r="AJ36" s="52"/>
      <c r="AK36" s="67"/>
      <c r="AL36" s="67"/>
      <c r="AM36" s="67"/>
      <c r="AN36" s="67"/>
      <c r="AO36" s="141"/>
      <c r="AP36" s="67"/>
      <c r="AQ36" s="141"/>
      <c r="AR36" s="52"/>
      <c r="AS36" s="67"/>
      <c r="AT36" s="67"/>
      <c r="AU36" s="67"/>
      <c r="AV36" s="67"/>
      <c r="AW36" s="141"/>
      <c r="AX36" s="68"/>
      <c r="AY36" s="141"/>
      <c r="AZ36" s="52"/>
      <c r="BA36" s="67"/>
      <c r="BB36" s="67"/>
      <c r="BC36" s="67"/>
      <c r="BD36" s="67"/>
      <c r="BE36" s="141"/>
      <c r="BF36" s="68"/>
      <c r="BG36" s="141"/>
      <c r="BH36" s="52"/>
      <c r="BI36" s="67"/>
      <c r="BJ36" s="67"/>
      <c r="BK36" s="67">
        <v>83</v>
      </c>
      <c r="BL36" s="67"/>
      <c r="BM36" s="141"/>
      <c r="BN36" s="68"/>
      <c r="BO36" s="141"/>
      <c r="BP36" s="52"/>
      <c r="BQ36" s="67"/>
      <c r="BR36" s="67"/>
      <c r="BS36" s="67"/>
      <c r="BT36" s="67"/>
      <c r="BU36" s="141"/>
      <c r="BV36" s="68"/>
      <c r="BW36" s="141"/>
      <c r="BX36" s="52"/>
      <c r="BY36" s="123"/>
      <c r="BZ36" s="123"/>
      <c r="CA36" s="123"/>
      <c r="CB36" s="123"/>
      <c r="CC36" s="143"/>
      <c r="CD36" s="124"/>
      <c r="CE36" s="143"/>
      <c r="CF36" s="52"/>
      <c r="CG36" s="67"/>
      <c r="CH36" s="67"/>
      <c r="CI36" s="67"/>
      <c r="CJ36" s="67"/>
      <c r="CK36" s="141"/>
      <c r="CL36" s="68"/>
      <c r="CM36" s="141"/>
      <c r="CN36" s="52"/>
      <c r="CO36" s="67"/>
      <c r="CP36" s="67"/>
      <c r="CQ36" s="67">
        <v>83</v>
      </c>
      <c r="CR36" s="67"/>
      <c r="CS36" s="141"/>
      <c r="CT36" s="68"/>
      <c r="CU36" s="141"/>
      <c r="CV36" s="52"/>
      <c r="CW36" s="67"/>
      <c r="CX36" s="67"/>
      <c r="CY36" s="67">
        <v>83</v>
      </c>
      <c r="CZ36" s="67"/>
      <c r="DA36" s="141"/>
      <c r="DB36" s="68"/>
      <c r="DC36" s="141"/>
    </row>
    <row r="37" spans="1:107" ht="15" customHeight="1" x14ac:dyDescent="0.25">
      <c r="A37" s="177"/>
      <c r="B37" s="105">
        <f t="shared" si="0"/>
        <v>44458</v>
      </c>
      <c r="C37" s="15">
        <f>Base!C36</f>
        <v>35</v>
      </c>
      <c r="E37" s="67"/>
      <c r="F37" s="67"/>
      <c r="G37" s="67"/>
      <c r="H37" s="67"/>
      <c r="I37" s="141"/>
      <c r="J37" s="68"/>
      <c r="K37" s="141"/>
      <c r="M37" s="67"/>
      <c r="N37" s="67"/>
      <c r="O37" s="67"/>
      <c r="P37" s="67"/>
      <c r="Q37" s="141"/>
      <c r="R37" s="68"/>
      <c r="S37" s="141"/>
      <c r="U37" s="67"/>
      <c r="V37" s="67"/>
      <c r="W37" s="67"/>
      <c r="X37" s="67"/>
      <c r="Y37" s="141"/>
      <c r="Z37" s="68"/>
      <c r="AA37" s="141"/>
      <c r="AB37" s="52"/>
      <c r="AC37" s="67"/>
      <c r="AD37" s="67"/>
      <c r="AE37" s="67"/>
      <c r="AF37" s="67"/>
      <c r="AG37" s="141"/>
      <c r="AH37" s="68"/>
      <c r="AI37" s="141"/>
      <c r="AJ37" s="52"/>
      <c r="AK37" s="67"/>
      <c r="AL37" s="67"/>
      <c r="AM37" s="67"/>
      <c r="AN37" s="67"/>
      <c r="AO37" s="141"/>
      <c r="AP37" s="67"/>
      <c r="AQ37" s="141"/>
      <c r="AR37" s="52"/>
      <c r="AS37" s="67"/>
      <c r="AT37" s="67"/>
      <c r="AU37" s="67"/>
      <c r="AV37" s="67"/>
      <c r="AW37" s="141"/>
      <c r="AX37" s="68"/>
      <c r="AY37" s="141"/>
      <c r="AZ37" s="52"/>
      <c r="BA37" s="67"/>
      <c r="BB37" s="67"/>
      <c r="BC37" s="67"/>
      <c r="BD37" s="67"/>
      <c r="BE37" s="141"/>
      <c r="BF37" s="68"/>
      <c r="BG37" s="141"/>
      <c r="BH37" s="52"/>
      <c r="BI37" s="67">
        <v>2</v>
      </c>
      <c r="BJ37" s="67">
        <v>8</v>
      </c>
      <c r="BK37" s="67">
        <v>83</v>
      </c>
      <c r="BL37" s="67"/>
      <c r="BM37" s="141" t="s">
        <v>76</v>
      </c>
      <c r="BN37" s="68"/>
      <c r="BO37" s="141"/>
      <c r="BP37" s="52"/>
      <c r="BQ37" s="67"/>
      <c r="BR37" s="67"/>
      <c r="BS37" s="67"/>
      <c r="BT37" s="67"/>
      <c r="BU37" s="141"/>
      <c r="BV37" s="68"/>
      <c r="BW37" s="141"/>
      <c r="BX37" s="52"/>
      <c r="BY37" s="123"/>
      <c r="BZ37" s="123"/>
      <c r="CA37" s="123"/>
      <c r="CB37" s="123"/>
      <c r="CC37" s="144" t="s">
        <v>77</v>
      </c>
      <c r="CD37" s="124"/>
      <c r="CE37" s="143"/>
      <c r="CF37" s="52"/>
      <c r="CG37" s="67"/>
      <c r="CH37" s="67"/>
      <c r="CI37" s="67"/>
      <c r="CJ37" s="67"/>
      <c r="CK37" s="141"/>
      <c r="CL37" s="68"/>
      <c r="CM37" s="141"/>
      <c r="CN37" s="52"/>
      <c r="CO37" s="67"/>
      <c r="CP37" s="67"/>
      <c r="CQ37" s="67">
        <v>83</v>
      </c>
      <c r="CR37" s="67"/>
      <c r="CS37" s="141"/>
      <c r="CT37" s="68"/>
      <c r="CU37" s="141"/>
      <c r="CV37" s="52"/>
      <c r="CW37" s="67"/>
      <c r="CX37" s="67">
        <v>7</v>
      </c>
      <c r="CY37" s="67">
        <v>83</v>
      </c>
      <c r="CZ37" s="67"/>
      <c r="DA37" s="141" t="s">
        <v>76</v>
      </c>
      <c r="DB37" s="67" t="s">
        <v>78</v>
      </c>
      <c r="DC37" s="141"/>
    </row>
    <row r="38" spans="1:107" ht="15" customHeight="1" x14ac:dyDescent="0.25">
      <c r="A38" s="175" t="str">
        <f>Base!A37</f>
        <v>S.38</v>
      </c>
      <c r="B38" s="106">
        <f t="shared" si="0"/>
        <v>44459</v>
      </c>
      <c r="C38" s="15"/>
      <c r="E38" s="110"/>
      <c r="F38" s="110">
        <v>7</v>
      </c>
      <c r="G38" s="108">
        <v>83</v>
      </c>
      <c r="H38" s="110"/>
      <c r="I38" s="142" t="s">
        <v>79</v>
      </c>
      <c r="J38" s="108" t="s">
        <v>80</v>
      </c>
      <c r="K38" s="142"/>
      <c r="M38" s="110"/>
      <c r="N38" s="108">
        <v>7</v>
      </c>
      <c r="O38" s="108">
        <v>83</v>
      </c>
      <c r="P38" s="110"/>
      <c r="Q38" s="152" t="s">
        <v>81</v>
      </c>
      <c r="R38" s="108" t="s">
        <v>39</v>
      </c>
      <c r="S38" s="142"/>
      <c r="U38" s="108">
        <v>7</v>
      </c>
      <c r="V38" s="108"/>
      <c r="W38" s="108">
        <v>83</v>
      </c>
      <c r="X38" s="110"/>
      <c r="Y38" s="142" t="s">
        <v>49</v>
      </c>
      <c r="Z38" s="108" t="s">
        <v>82</v>
      </c>
      <c r="AA38" s="142"/>
      <c r="AB38" s="52"/>
      <c r="AC38" s="110">
        <v>7</v>
      </c>
      <c r="AD38" s="110"/>
      <c r="AE38" s="108">
        <v>83</v>
      </c>
      <c r="AF38" s="110"/>
      <c r="AG38" s="142" t="s">
        <v>99</v>
      </c>
      <c r="AH38" s="108"/>
      <c r="AI38" s="142"/>
      <c r="AJ38" s="52"/>
      <c r="AK38" s="110">
        <v>7</v>
      </c>
      <c r="AL38" s="110"/>
      <c r="AM38" s="110">
        <v>83</v>
      </c>
      <c r="AN38" s="110"/>
      <c r="AO38" s="142" t="s">
        <v>60</v>
      </c>
      <c r="AP38" s="108" t="s">
        <v>61</v>
      </c>
      <c r="AQ38" s="142"/>
      <c r="AR38" s="52"/>
      <c r="AS38" s="110">
        <v>7</v>
      </c>
      <c r="AT38" s="110"/>
      <c r="AU38" s="110">
        <v>83</v>
      </c>
      <c r="AV38" s="110"/>
      <c r="AW38" s="152" t="s">
        <v>83</v>
      </c>
      <c r="AX38" s="108" t="s">
        <v>39</v>
      </c>
      <c r="AY38" s="110" t="s">
        <v>109</v>
      </c>
      <c r="AZ38" s="52"/>
      <c r="BA38" s="110"/>
      <c r="BB38" s="110">
        <v>7</v>
      </c>
      <c r="BC38" s="110">
        <v>83</v>
      </c>
      <c r="BD38" s="110"/>
      <c r="BE38" s="142" t="s">
        <v>72</v>
      </c>
      <c r="BF38" s="108"/>
      <c r="BG38" s="142"/>
      <c r="BH38" s="52"/>
      <c r="BI38" s="110">
        <v>9</v>
      </c>
      <c r="BJ38" s="110">
        <v>1</v>
      </c>
      <c r="BK38" s="110">
        <v>83</v>
      </c>
      <c r="BL38" s="110"/>
      <c r="BM38" s="142" t="s">
        <v>76</v>
      </c>
      <c r="BN38" s="108"/>
      <c r="BO38" s="142"/>
      <c r="BP38" s="52"/>
      <c r="BQ38" s="110">
        <v>7</v>
      </c>
      <c r="BR38" s="110"/>
      <c r="BS38" s="110">
        <v>83</v>
      </c>
      <c r="BT38" s="110"/>
      <c r="BU38" s="142" t="s">
        <v>83</v>
      </c>
      <c r="BV38" s="108" t="s">
        <v>55</v>
      </c>
      <c r="BW38" s="142"/>
      <c r="BX38" s="52"/>
      <c r="BY38" s="110">
        <v>7</v>
      </c>
      <c r="BZ38" s="110"/>
      <c r="CA38" s="110">
        <v>83</v>
      </c>
      <c r="CB38" s="110"/>
      <c r="CC38" s="142" t="s">
        <v>37</v>
      </c>
      <c r="CD38" s="108" t="s">
        <v>38</v>
      </c>
      <c r="CE38" s="142"/>
      <c r="CF38" s="52"/>
      <c r="CG38" s="110">
        <v>7</v>
      </c>
      <c r="CH38" s="110"/>
      <c r="CI38" s="108">
        <v>83</v>
      </c>
      <c r="CJ38" s="110"/>
      <c r="CK38" s="142" t="s">
        <v>99</v>
      </c>
      <c r="CL38" s="108"/>
      <c r="CM38" s="142"/>
      <c r="CN38" s="52"/>
      <c r="CO38" s="110">
        <v>7</v>
      </c>
      <c r="CP38" s="110"/>
      <c r="CQ38" s="108">
        <v>83</v>
      </c>
      <c r="CR38" s="110"/>
      <c r="CS38" s="142" t="s">
        <v>84</v>
      </c>
      <c r="CT38" s="108" t="s">
        <v>85</v>
      </c>
      <c r="CU38" s="142"/>
      <c r="CV38" s="52"/>
      <c r="CW38" s="110"/>
      <c r="CX38" s="110">
        <v>7</v>
      </c>
      <c r="CY38" s="110">
        <v>83</v>
      </c>
      <c r="CZ38" s="110"/>
      <c r="DA38" s="142" t="s">
        <v>76</v>
      </c>
      <c r="DB38" s="108" t="s">
        <v>78</v>
      </c>
      <c r="DC38" s="142"/>
    </row>
    <row r="39" spans="1:107" ht="15" customHeight="1" x14ac:dyDescent="0.25">
      <c r="A39" s="176"/>
      <c r="B39" s="106">
        <f t="shared" si="0"/>
        <v>44460</v>
      </c>
      <c r="C39" s="15"/>
      <c r="E39" s="108"/>
      <c r="F39" s="108">
        <v>7</v>
      </c>
      <c r="G39" s="108">
        <v>83</v>
      </c>
      <c r="H39" s="108"/>
      <c r="I39" s="142" t="s">
        <v>79</v>
      </c>
      <c r="J39" s="108" t="s">
        <v>80</v>
      </c>
      <c r="K39" s="142"/>
      <c r="M39" s="108"/>
      <c r="N39" s="108">
        <v>7</v>
      </c>
      <c r="O39" s="108">
        <v>83</v>
      </c>
      <c r="P39" s="108"/>
      <c r="Q39" s="152" t="s">
        <v>81</v>
      </c>
      <c r="R39" s="108" t="s">
        <v>39</v>
      </c>
      <c r="S39" s="142"/>
      <c r="U39" s="108">
        <v>7</v>
      </c>
      <c r="V39" s="108"/>
      <c r="W39" s="108">
        <v>83</v>
      </c>
      <c r="X39" s="108"/>
      <c r="Y39" s="142" t="s">
        <v>49</v>
      </c>
      <c r="Z39" s="108" t="s">
        <v>82</v>
      </c>
      <c r="AA39" s="142"/>
      <c r="AB39" s="52"/>
      <c r="AC39" s="108">
        <v>7</v>
      </c>
      <c r="AD39" s="108"/>
      <c r="AE39" s="108">
        <v>83</v>
      </c>
      <c r="AF39" s="108"/>
      <c r="AG39" s="142" t="s">
        <v>99</v>
      </c>
      <c r="AH39" s="108"/>
      <c r="AI39" s="142"/>
      <c r="AJ39" s="52"/>
      <c r="AK39" s="108"/>
      <c r="AL39" s="108">
        <v>7</v>
      </c>
      <c r="AM39" s="150">
        <v>83</v>
      </c>
      <c r="AN39" s="108"/>
      <c r="AO39" s="142" t="s">
        <v>60</v>
      </c>
      <c r="AP39" s="108" t="s">
        <v>82</v>
      </c>
      <c r="AQ39" s="150"/>
      <c r="AR39" s="52"/>
      <c r="AS39" s="108">
        <v>7</v>
      </c>
      <c r="AT39" s="108"/>
      <c r="AU39" s="108">
        <v>83</v>
      </c>
      <c r="AV39" s="108"/>
      <c r="AW39" s="152" t="s">
        <v>83</v>
      </c>
      <c r="AX39" s="108" t="s">
        <v>39</v>
      </c>
      <c r="AY39" s="142"/>
      <c r="AZ39" s="52"/>
      <c r="BA39" s="108"/>
      <c r="BB39" s="108">
        <v>7</v>
      </c>
      <c r="BC39" s="108">
        <v>83</v>
      </c>
      <c r="BD39" s="108"/>
      <c r="BE39" s="142" t="s">
        <v>72</v>
      </c>
      <c r="BF39" s="108"/>
      <c r="BG39" s="142"/>
      <c r="BH39" s="52"/>
      <c r="BI39" s="108">
        <v>7</v>
      </c>
      <c r="BJ39" s="108">
        <v>3</v>
      </c>
      <c r="BK39" s="108">
        <v>83</v>
      </c>
      <c r="BL39" s="108"/>
      <c r="BM39" s="142" t="s">
        <v>76</v>
      </c>
      <c r="BN39" s="108"/>
      <c r="BO39" s="142"/>
      <c r="BP39" s="52"/>
      <c r="BQ39" s="108">
        <v>7</v>
      </c>
      <c r="BR39" s="108"/>
      <c r="BS39" s="108">
        <v>83</v>
      </c>
      <c r="BT39" s="108"/>
      <c r="BU39" s="142" t="s">
        <v>83</v>
      </c>
      <c r="BV39" s="108" t="s">
        <v>55</v>
      </c>
      <c r="BW39" s="142"/>
      <c r="BX39" s="52"/>
      <c r="BY39" s="108">
        <v>7</v>
      </c>
      <c r="BZ39" s="108"/>
      <c r="CA39" s="108">
        <v>83</v>
      </c>
      <c r="CB39" s="108"/>
      <c r="CC39" s="142" t="s">
        <v>37</v>
      </c>
      <c r="CD39" s="108" t="s">
        <v>38</v>
      </c>
      <c r="CE39" s="142"/>
      <c r="CF39" s="52"/>
      <c r="CG39" s="108">
        <v>7</v>
      </c>
      <c r="CH39" s="108"/>
      <c r="CI39" s="108">
        <v>83</v>
      </c>
      <c r="CJ39" s="108"/>
      <c r="CK39" s="142" t="s">
        <v>99</v>
      </c>
      <c r="CL39" s="108"/>
      <c r="CM39" s="142"/>
      <c r="CN39" s="52"/>
      <c r="CO39" s="108">
        <v>7</v>
      </c>
      <c r="CP39" s="108"/>
      <c r="CQ39" s="108">
        <v>83</v>
      </c>
      <c r="CR39" s="108"/>
      <c r="CS39" s="142" t="s">
        <v>84</v>
      </c>
      <c r="CT39" s="108" t="s">
        <v>85</v>
      </c>
      <c r="CU39" s="142"/>
      <c r="CV39" s="52"/>
      <c r="CW39" s="108"/>
      <c r="CX39" s="108">
        <v>7</v>
      </c>
      <c r="CY39" s="108">
        <v>83</v>
      </c>
      <c r="CZ39" s="108"/>
      <c r="DA39" s="142" t="s">
        <v>76</v>
      </c>
      <c r="DB39" s="108" t="s">
        <v>78</v>
      </c>
      <c r="DC39" s="142"/>
    </row>
    <row r="40" spans="1:107" ht="15" customHeight="1" x14ac:dyDescent="0.25">
      <c r="A40" s="176"/>
      <c r="B40" s="106">
        <f t="shared" si="0"/>
        <v>44461</v>
      </c>
      <c r="C40" s="15"/>
      <c r="E40" s="108"/>
      <c r="F40" s="108">
        <v>7</v>
      </c>
      <c r="G40" s="108">
        <v>83</v>
      </c>
      <c r="H40" s="108"/>
      <c r="I40" s="142" t="s">
        <v>79</v>
      </c>
      <c r="J40" s="108" t="s">
        <v>80</v>
      </c>
      <c r="K40" s="142"/>
      <c r="M40" s="108"/>
      <c r="N40" s="108">
        <v>7</v>
      </c>
      <c r="O40" s="108">
        <v>83</v>
      </c>
      <c r="P40" s="108"/>
      <c r="Q40" s="152" t="s">
        <v>81</v>
      </c>
      <c r="R40" s="108" t="s">
        <v>39</v>
      </c>
      <c r="S40" s="142"/>
      <c r="U40" s="108">
        <v>7</v>
      </c>
      <c r="V40" s="108"/>
      <c r="W40" s="108">
        <v>83</v>
      </c>
      <c r="X40" s="108"/>
      <c r="Y40" s="142" t="s">
        <v>49</v>
      </c>
      <c r="Z40" s="108" t="s">
        <v>82</v>
      </c>
      <c r="AA40" s="142"/>
      <c r="AB40" s="52"/>
      <c r="AC40" s="108">
        <v>7</v>
      </c>
      <c r="AD40" s="108"/>
      <c r="AE40" s="108">
        <v>83</v>
      </c>
      <c r="AF40" s="108"/>
      <c r="AG40" s="142" t="s">
        <v>99</v>
      </c>
      <c r="AH40" s="108"/>
      <c r="AI40" s="142"/>
      <c r="AJ40" s="52"/>
      <c r="AK40" s="108"/>
      <c r="AL40" s="108">
        <v>7</v>
      </c>
      <c r="AM40" s="150">
        <v>83</v>
      </c>
      <c r="AN40" s="108"/>
      <c r="AO40" s="142" t="s">
        <v>60</v>
      </c>
      <c r="AP40" s="108" t="s">
        <v>82</v>
      </c>
      <c r="AQ40" s="142"/>
      <c r="AR40" s="52"/>
      <c r="AS40" s="108">
        <v>7</v>
      </c>
      <c r="AT40" s="108"/>
      <c r="AU40" s="108">
        <v>83</v>
      </c>
      <c r="AV40" s="108"/>
      <c r="AW40" s="152" t="s">
        <v>83</v>
      </c>
      <c r="AX40" s="108" t="s">
        <v>39</v>
      </c>
      <c r="AY40" s="142"/>
      <c r="AZ40" s="52"/>
      <c r="BA40" s="108"/>
      <c r="BB40" s="108">
        <v>7</v>
      </c>
      <c r="BC40" s="108">
        <v>83</v>
      </c>
      <c r="BD40" s="108"/>
      <c r="BE40" s="142" t="s">
        <v>72</v>
      </c>
      <c r="BF40" s="108"/>
      <c r="BG40" s="142"/>
      <c r="BH40" s="52"/>
      <c r="BI40" s="108">
        <v>7</v>
      </c>
      <c r="BJ40" s="108">
        <v>3</v>
      </c>
      <c r="BK40" s="108">
        <v>83</v>
      </c>
      <c r="BL40" s="108"/>
      <c r="BM40" s="142" t="s">
        <v>76</v>
      </c>
      <c r="BN40" s="108"/>
      <c r="BO40" s="142"/>
      <c r="BP40" s="52"/>
      <c r="BQ40" s="108">
        <v>7</v>
      </c>
      <c r="BR40" s="108"/>
      <c r="BS40" s="108">
        <v>83</v>
      </c>
      <c r="BT40" s="108"/>
      <c r="BU40" s="142" t="s">
        <v>83</v>
      </c>
      <c r="BV40" s="108" t="s">
        <v>55</v>
      </c>
      <c r="BW40" s="142"/>
      <c r="BX40" s="52"/>
      <c r="BY40" s="108"/>
      <c r="BZ40" s="108">
        <v>7</v>
      </c>
      <c r="CA40" s="108">
        <v>83</v>
      </c>
      <c r="CB40" s="108"/>
      <c r="CC40" s="142" t="s">
        <v>83</v>
      </c>
      <c r="CD40" s="108" t="s">
        <v>86</v>
      </c>
      <c r="CE40" s="142"/>
      <c r="CF40" s="52"/>
      <c r="CG40" s="108">
        <v>7</v>
      </c>
      <c r="CH40" s="108"/>
      <c r="CI40" s="108">
        <v>83</v>
      </c>
      <c r="CJ40" s="108"/>
      <c r="CK40" s="142" t="s">
        <v>99</v>
      </c>
      <c r="CL40" s="108"/>
      <c r="CM40" s="142"/>
      <c r="CN40" s="52"/>
      <c r="CO40" s="108">
        <v>7</v>
      </c>
      <c r="CP40" s="108"/>
      <c r="CQ40" s="108">
        <v>83</v>
      </c>
      <c r="CR40" s="108"/>
      <c r="CS40" s="142" t="s">
        <v>84</v>
      </c>
      <c r="CT40" s="108" t="s">
        <v>85</v>
      </c>
      <c r="CU40" s="142"/>
      <c r="CV40" s="52"/>
      <c r="CW40" s="108"/>
      <c r="CX40" s="108">
        <v>7</v>
      </c>
      <c r="CY40" s="108">
        <v>83</v>
      </c>
      <c r="CZ40" s="108"/>
      <c r="DA40" s="142" t="s">
        <v>76</v>
      </c>
      <c r="DB40" s="108" t="s">
        <v>78</v>
      </c>
      <c r="DC40" s="142"/>
    </row>
    <row r="41" spans="1:107" ht="15" customHeight="1" x14ac:dyDescent="0.25">
      <c r="A41" s="176"/>
      <c r="B41" s="106">
        <f t="shared" si="0"/>
        <v>44462</v>
      </c>
      <c r="C41" s="15"/>
      <c r="E41" s="108"/>
      <c r="F41" s="108">
        <v>7</v>
      </c>
      <c r="G41" s="108">
        <v>83</v>
      </c>
      <c r="H41" s="108"/>
      <c r="I41" s="142" t="s">
        <v>79</v>
      </c>
      <c r="J41" s="108" t="s">
        <v>80</v>
      </c>
      <c r="K41" s="142"/>
      <c r="M41" s="108"/>
      <c r="N41" s="108">
        <v>7</v>
      </c>
      <c r="O41" s="108">
        <v>83</v>
      </c>
      <c r="P41" s="108"/>
      <c r="Q41" s="152" t="s">
        <v>81</v>
      </c>
      <c r="R41" s="108" t="s">
        <v>39</v>
      </c>
      <c r="S41" s="142"/>
      <c r="U41" s="108">
        <v>7</v>
      </c>
      <c r="V41" s="108"/>
      <c r="W41" s="108">
        <v>83</v>
      </c>
      <c r="X41" s="108"/>
      <c r="Y41" s="142" t="s">
        <v>49</v>
      </c>
      <c r="Z41" s="108" t="s">
        <v>82</v>
      </c>
      <c r="AA41" s="142"/>
      <c r="AB41" s="52"/>
      <c r="AC41" s="108">
        <v>7</v>
      </c>
      <c r="AD41" s="108"/>
      <c r="AE41" s="108">
        <v>83</v>
      </c>
      <c r="AF41" s="108"/>
      <c r="AG41" s="142" t="s">
        <v>99</v>
      </c>
      <c r="AH41" s="108"/>
      <c r="AI41" s="142"/>
      <c r="AJ41" s="52"/>
      <c r="AK41" s="108"/>
      <c r="AL41" s="108">
        <v>7</v>
      </c>
      <c r="AM41" s="150">
        <v>83</v>
      </c>
      <c r="AN41" s="108"/>
      <c r="AO41" s="142" t="s">
        <v>60</v>
      </c>
      <c r="AP41" s="108" t="s">
        <v>82</v>
      </c>
      <c r="AQ41" s="142"/>
      <c r="AR41" s="52"/>
      <c r="AS41" s="108">
        <v>7</v>
      </c>
      <c r="AT41" s="108"/>
      <c r="AU41" s="108">
        <v>83</v>
      </c>
      <c r="AV41" s="108"/>
      <c r="AW41" s="152" t="s">
        <v>83</v>
      </c>
      <c r="AX41" s="108" t="s">
        <v>39</v>
      </c>
      <c r="AY41" s="142"/>
      <c r="AZ41" s="52"/>
      <c r="BA41" s="108"/>
      <c r="BB41" s="108">
        <v>7</v>
      </c>
      <c r="BC41" s="108">
        <v>83</v>
      </c>
      <c r="BD41" s="108"/>
      <c r="BE41" s="142" t="s">
        <v>72</v>
      </c>
      <c r="BF41" s="108"/>
      <c r="BG41" s="142"/>
      <c r="BH41" s="52"/>
      <c r="BI41" s="108">
        <v>7</v>
      </c>
      <c r="BJ41" s="108">
        <v>1</v>
      </c>
      <c r="BK41" s="108">
        <v>83</v>
      </c>
      <c r="BL41" s="108"/>
      <c r="BM41" s="142" t="s">
        <v>40</v>
      </c>
      <c r="BN41" s="108"/>
      <c r="BO41" s="142"/>
      <c r="BP41" s="52"/>
      <c r="BQ41" s="108">
        <v>7</v>
      </c>
      <c r="BR41" s="108"/>
      <c r="BS41" s="108">
        <v>83</v>
      </c>
      <c r="BT41" s="108"/>
      <c r="BU41" s="142" t="s">
        <v>83</v>
      </c>
      <c r="BV41" s="108" t="s">
        <v>55</v>
      </c>
      <c r="BW41" s="142"/>
      <c r="BX41" s="52"/>
      <c r="BY41" s="108"/>
      <c r="BZ41" s="108">
        <v>7</v>
      </c>
      <c r="CA41" s="108">
        <v>83</v>
      </c>
      <c r="CB41" s="108"/>
      <c r="CC41" s="142" t="s">
        <v>83</v>
      </c>
      <c r="CD41" s="108" t="s">
        <v>86</v>
      </c>
      <c r="CE41" s="142"/>
      <c r="CF41" s="52"/>
      <c r="CG41" s="108">
        <v>7</v>
      </c>
      <c r="CH41" s="108"/>
      <c r="CI41" s="108">
        <v>83</v>
      </c>
      <c r="CJ41" s="108"/>
      <c r="CK41" s="142" t="s">
        <v>99</v>
      </c>
      <c r="CL41" s="108"/>
      <c r="CM41" s="142"/>
      <c r="CN41" s="52"/>
      <c r="CO41" s="108">
        <v>7</v>
      </c>
      <c r="CP41" s="108"/>
      <c r="CQ41" s="108">
        <v>83</v>
      </c>
      <c r="CR41" s="108"/>
      <c r="CS41" s="142" t="s">
        <v>84</v>
      </c>
      <c r="CT41" s="108" t="s">
        <v>85</v>
      </c>
      <c r="CU41" s="142"/>
      <c r="CV41" s="52"/>
      <c r="CW41" s="108"/>
      <c r="CX41" s="108">
        <v>7</v>
      </c>
      <c r="CY41" s="108">
        <v>83</v>
      </c>
      <c r="CZ41" s="108"/>
      <c r="DA41" s="142" t="s">
        <v>76</v>
      </c>
      <c r="DB41" s="108" t="s">
        <v>78</v>
      </c>
      <c r="DC41" s="142"/>
    </row>
    <row r="42" spans="1:107" ht="15" customHeight="1" x14ac:dyDescent="0.25">
      <c r="A42" s="176"/>
      <c r="B42" s="106">
        <f t="shared" si="0"/>
        <v>44463</v>
      </c>
      <c r="C42" s="15"/>
      <c r="E42" s="108"/>
      <c r="F42" s="108">
        <v>7</v>
      </c>
      <c r="G42" s="108">
        <v>83</v>
      </c>
      <c r="H42" s="108"/>
      <c r="I42" s="142" t="s">
        <v>79</v>
      </c>
      <c r="J42" s="108" t="s">
        <v>80</v>
      </c>
      <c r="K42" s="142"/>
      <c r="M42" s="108"/>
      <c r="N42" s="108">
        <v>7</v>
      </c>
      <c r="O42" s="108">
        <v>83</v>
      </c>
      <c r="P42" s="108"/>
      <c r="Q42" s="152" t="s">
        <v>81</v>
      </c>
      <c r="R42" s="108" t="s">
        <v>39</v>
      </c>
      <c r="S42" s="142"/>
      <c r="U42" s="108">
        <v>7</v>
      </c>
      <c r="V42" s="108"/>
      <c r="W42" s="108">
        <v>18.600000000000001</v>
      </c>
      <c r="X42" s="108"/>
      <c r="Y42" s="142" t="s">
        <v>49</v>
      </c>
      <c r="Z42" s="108" t="s">
        <v>82</v>
      </c>
      <c r="AA42" s="142"/>
      <c r="AB42" s="52"/>
      <c r="AC42" s="108">
        <v>7</v>
      </c>
      <c r="AD42" s="108"/>
      <c r="AE42" s="108">
        <v>18.600000000000001</v>
      </c>
      <c r="AF42" s="108"/>
      <c r="AG42" s="142" t="s">
        <v>99</v>
      </c>
      <c r="AH42" s="108"/>
      <c r="AI42" s="142"/>
      <c r="AJ42" s="52"/>
      <c r="AK42" s="108">
        <v>7</v>
      </c>
      <c r="AL42" s="108"/>
      <c r="AM42" s="108">
        <v>18.600000000000001</v>
      </c>
      <c r="AN42" s="108"/>
      <c r="AO42" s="151" t="s">
        <v>103</v>
      </c>
      <c r="AP42" s="108"/>
      <c r="AQ42" s="142"/>
      <c r="AR42" s="52"/>
      <c r="AS42" s="108"/>
      <c r="AT42" s="108">
        <v>7</v>
      </c>
      <c r="AU42" s="108">
        <v>83</v>
      </c>
      <c r="AV42" s="108"/>
      <c r="AW42" s="152" t="s">
        <v>83</v>
      </c>
      <c r="AX42" s="108" t="s">
        <v>39</v>
      </c>
      <c r="AY42" s="142"/>
      <c r="AZ42" s="52"/>
      <c r="BA42" s="108">
        <v>7</v>
      </c>
      <c r="BB42" s="108"/>
      <c r="BC42" s="108"/>
      <c r="BD42" s="108"/>
      <c r="BE42" s="142" t="s">
        <v>100</v>
      </c>
      <c r="BF42" s="108"/>
      <c r="BG42" s="142"/>
      <c r="BH42" s="52"/>
      <c r="BI42" s="108">
        <v>7</v>
      </c>
      <c r="BJ42" s="108"/>
      <c r="BK42" s="108">
        <v>18.600000000000001</v>
      </c>
      <c r="BL42" s="108"/>
      <c r="BM42" s="142" t="s">
        <v>40</v>
      </c>
      <c r="BN42" s="108"/>
      <c r="BO42" s="142"/>
      <c r="BP42" s="52"/>
      <c r="BQ42" s="108">
        <v>7</v>
      </c>
      <c r="BR42" s="108"/>
      <c r="BS42" s="108">
        <v>18.600000000000001</v>
      </c>
      <c r="BT42" s="108"/>
      <c r="BU42" s="142" t="s">
        <v>83</v>
      </c>
      <c r="BV42" s="108" t="s">
        <v>55</v>
      </c>
      <c r="BW42" s="142"/>
      <c r="BX42" s="52"/>
      <c r="BY42" s="108">
        <v>7</v>
      </c>
      <c r="BZ42" s="108"/>
      <c r="CA42" s="108">
        <v>83</v>
      </c>
      <c r="CB42" s="108"/>
      <c r="CC42" s="142" t="s">
        <v>37</v>
      </c>
      <c r="CD42" s="108" t="s">
        <v>38</v>
      </c>
      <c r="CE42" s="142"/>
      <c r="CF42" s="52"/>
      <c r="CG42" s="108">
        <v>7</v>
      </c>
      <c r="CH42" s="108"/>
      <c r="CI42" s="108">
        <v>18.600000000000001</v>
      </c>
      <c r="CJ42" s="108"/>
      <c r="CK42" s="142" t="s">
        <v>99</v>
      </c>
      <c r="CL42" s="108"/>
      <c r="CM42" s="142"/>
      <c r="CN42" s="52"/>
      <c r="CO42" s="108">
        <v>7</v>
      </c>
      <c r="CP42" s="108"/>
      <c r="CQ42" s="108">
        <v>83</v>
      </c>
      <c r="CR42" s="108"/>
      <c r="CS42" s="142" t="s">
        <v>84</v>
      </c>
      <c r="CT42" s="108" t="s">
        <v>85</v>
      </c>
      <c r="CU42" s="142"/>
      <c r="CV42" s="52"/>
      <c r="CW42" s="108"/>
      <c r="CX42" s="108">
        <v>7</v>
      </c>
      <c r="CY42" s="108">
        <v>83</v>
      </c>
      <c r="CZ42" s="108"/>
      <c r="DA42" s="142" t="s">
        <v>76</v>
      </c>
      <c r="DB42" s="108" t="s">
        <v>78</v>
      </c>
      <c r="DC42" s="142"/>
    </row>
    <row r="43" spans="1:107" ht="15" customHeight="1" x14ac:dyDescent="0.25">
      <c r="A43" s="176"/>
      <c r="B43" s="105">
        <f t="shared" ref="B43:B50" si="1">B42+1</f>
        <v>44464</v>
      </c>
      <c r="C43" s="15"/>
      <c r="E43" s="67"/>
      <c r="F43" s="67"/>
      <c r="G43" s="67"/>
      <c r="H43" s="67"/>
      <c r="I43" s="141"/>
      <c r="J43" s="68"/>
      <c r="K43" s="141"/>
      <c r="M43" s="67"/>
      <c r="N43" s="67"/>
      <c r="O43" s="67"/>
      <c r="P43" s="67"/>
      <c r="Q43" s="141"/>
      <c r="R43" s="68"/>
      <c r="S43" s="141"/>
      <c r="U43" s="67"/>
      <c r="V43" s="67"/>
      <c r="W43" s="67"/>
      <c r="X43" s="67"/>
      <c r="Y43" s="141"/>
      <c r="Z43" s="68"/>
      <c r="AA43" s="141"/>
      <c r="AB43" s="52"/>
      <c r="AC43" s="67"/>
      <c r="AD43" s="67"/>
      <c r="AE43" s="67"/>
      <c r="AF43" s="67"/>
      <c r="AG43" s="141"/>
      <c r="AH43" s="68"/>
      <c r="AI43" s="141"/>
      <c r="AJ43" s="52"/>
      <c r="AK43" s="67"/>
      <c r="AL43" s="67"/>
      <c r="AM43" s="67"/>
      <c r="AN43" s="67"/>
      <c r="AO43" s="141"/>
      <c r="AP43" s="67"/>
      <c r="AQ43" s="141"/>
      <c r="AR43" s="52"/>
      <c r="AS43" s="67"/>
      <c r="AT43" s="67"/>
      <c r="AU43" s="67"/>
      <c r="AV43" s="67"/>
      <c r="AW43" s="141"/>
      <c r="AX43" s="68"/>
      <c r="AY43" s="141"/>
      <c r="AZ43" s="52"/>
      <c r="BA43" s="67"/>
      <c r="BB43" s="67"/>
      <c r="BC43" s="67"/>
      <c r="BD43" s="67"/>
      <c r="BE43" s="141"/>
      <c r="BF43" s="68"/>
      <c r="BG43" s="141"/>
      <c r="BH43" s="52"/>
      <c r="BI43" s="67"/>
      <c r="BJ43" s="67"/>
      <c r="BK43" s="67"/>
      <c r="BL43" s="67"/>
      <c r="BM43" s="141"/>
      <c r="BN43" s="68"/>
      <c r="BO43" s="141"/>
      <c r="BP43" s="52"/>
      <c r="BQ43" s="67"/>
      <c r="BR43" s="67"/>
      <c r="BS43" s="67"/>
      <c r="BT43" s="67"/>
      <c r="BU43" s="141"/>
      <c r="BV43" s="68"/>
      <c r="BW43" s="141"/>
      <c r="BX43" s="52"/>
      <c r="BY43" s="67"/>
      <c r="BZ43" s="67"/>
      <c r="CA43" s="67">
        <v>83</v>
      </c>
      <c r="CB43" s="67"/>
      <c r="CC43" s="141"/>
      <c r="CD43" s="68"/>
      <c r="CE43" s="141"/>
      <c r="CF43" s="52"/>
      <c r="CG43" s="67"/>
      <c r="CH43" s="67"/>
      <c r="CI43" s="67"/>
      <c r="CJ43" s="67"/>
      <c r="CK43" s="141"/>
      <c r="CL43" s="68"/>
      <c r="CM43" s="141"/>
      <c r="CN43" s="52"/>
      <c r="CO43" s="67"/>
      <c r="CP43" s="67"/>
      <c r="CQ43" s="67">
        <v>83</v>
      </c>
      <c r="CR43" s="67"/>
      <c r="CS43" s="141"/>
      <c r="CT43" s="68"/>
      <c r="CU43" s="141"/>
      <c r="CV43" s="52"/>
      <c r="CW43" s="67"/>
      <c r="CX43" s="67"/>
      <c r="CY43" s="67"/>
      <c r="CZ43" s="67"/>
      <c r="DA43" s="141"/>
      <c r="DB43" s="68"/>
      <c r="DC43" s="141"/>
    </row>
    <row r="44" spans="1:107" ht="15" customHeight="1" x14ac:dyDescent="0.25">
      <c r="A44" s="177"/>
      <c r="B44" s="105">
        <f t="shared" si="1"/>
        <v>44465</v>
      </c>
      <c r="C44" s="15">
        <v>35</v>
      </c>
      <c r="E44" s="67"/>
      <c r="F44" s="67"/>
      <c r="G44" s="67"/>
      <c r="H44" s="67"/>
      <c r="I44" s="141"/>
      <c r="J44" s="68"/>
      <c r="K44" s="141"/>
      <c r="M44" s="67"/>
      <c r="N44" s="67"/>
      <c r="O44" s="67"/>
      <c r="P44" s="67"/>
      <c r="Q44" s="141"/>
      <c r="R44" s="68"/>
      <c r="S44" s="141"/>
      <c r="U44" s="67"/>
      <c r="V44" s="67"/>
      <c r="W44" s="67"/>
      <c r="X44" s="67"/>
      <c r="Y44" s="141"/>
      <c r="Z44" s="68"/>
      <c r="AA44" s="141"/>
      <c r="AB44" s="52"/>
      <c r="AC44" s="67"/>
      <c r="AD44" s="67"/>
      <c r="AE44" s="67"/>
      <c r="AF44" s="67"/>
      <c r="AG44" s="141"/>
      <c r="AH44" s="68"/>
      <c r="AI44" s="141"/>
      <c r="AJ44" s="52"/>
      <c r="AK44" s="67"/>
      <c r="AL44" s="67"/>
      <c r="AM44" s="67"/>
      <c r="AN44" s="67"/>
      <c r="AO44" s="141"/>
      <c r="AP44" s="67"/>
      <c r="AQ44" s="141"/>
      <c r="AR44" s="52"/>
      <c r="AS44" s="67"/>
      <c r="AT44" s="67"/>
      <c r="AU44" s="67"/>
      <c r="AV44" s="67"/>
      <c r="AW44" s="141"/>
      <c r="AX44" s="68"/>
      <c r="AY44" s="141"/>
      <c r="AZ44" s="52"/>
      <c r="BA44" s="67"/>
      <c r="BB44" s="67"/>
      <c r="BC44" s="67"/>
      <c r="BD44" s="67"/>
      <c r="BE44" s="141"/>
      <c r="BF44" s="68"/>
      <c r="BG44" s="141"/>
      <c r="BH44" s="52"/>
      <c r="BI44" s="67"/>
      <c r="BJ44" s="67"/>
      <c r="BK44" s="67"/>
      <c r="BL44" s="67"/>
      <c r="BM44" s="141"/>
      <c r="BN44" s="68"/>
      <c r="BO44" s="141"/>
      <c r="BP44" s="52"/>
      <c r="BQ44" s="67"/>
      <c r="BR44" s="67"/>
      <c r="BS44" s="67"/>
      <c r="BT44" s="67"/>
      <c r="BU44" s="141"/>
      <c r="BV44" s="68"/>
      <c r="BW44" s="141"/>
      <c r="BX44" s="52"/>
      <c r="BY44" s="67"/>
      <c r="BZ44" s="67"/>
      <c r="CA44" s="67">
        <v>83</v>
      </c>
      <c r="CB44" s="67"/>
      <c r="CC44" s="141"/>
      <c r="CD44" s="68"/>
      <c r="CE44" s="141"/>
      <c r="CF44" s="52"/>
      <c r="CG44" s="67"/>
      <c r="CH44" s="67"/>
      <c r="CI44" s="67"/>
      <c r="CJ44" s="67"/>
      <c r="CK44" s="141"/>
      <c r="CL44" s="68"/>
      <c r="CM44" s="141"/>
      <c r="CN44" s="52"/>
      <c r="CO44" s="67"/>
      <c r="CP44" s="67"/>
      <c r="CQ44" s="67">
        <v>83</v>
      </c>
      <c r="CR44" s="67"/>
      <c r="CS44" s="141"/>
      <c r="CT44" s="68"/>
      <c r="CU44" s="141"/>
      <c r="CV44" s="52"/>
      <c r="CW44" s="67"/>
      <c r="CX44" s="67"/>
      <c r="CY44" s="67"/>
      <c r="CZ44" s="67"/>
      <c r="DA44" s="141"/>
      <c r="DB44" s="68"/>
      <c r="DC44" s="141"/>
    </row>
    <row r="45" spans="1:107" ht="15" customHeight="1" x14ac:dyDescent="0.25">
      <c r="A45" s="192" t="str">
        <f>Base!A44</f>
        <v>S.39</v>
      </c>
      <c r="B45" s="122">
        <f t="shared" si="1"/>
        <v>44466</v>
      </c>
      <c r="C45" s="15"/>
      <c r="E45" s="123">
        <v>7</v>
      </c>
      <c r="F45" s="123"/>
      <c r="G45" s="123"/>
      <c r="H45" s="123"/>
      <c r="I45" s="123"/>
      <c r="J45" s="124"/>
      <c r="K45" s="123"/>
      <c r="M45" s="123">
        <v>7</v>
      </c>
      <c r="N45" s="123"/>
      <c r="O45" s="123"/>
      <c r="P45" s="123"/>
      <c r="Q45" s="123"/>
      <c r="R45" s="124"/>
      <c r="S45" s="123"/>
      <c r="U45" s="123">
        <v>7</v>
      </c>
      <c r="V45" s="123"/>
      <c r="W45" s="123"/>
      <c r="X45" s="123"/>
      <c r="Y45" s="123"/>
      <c r="Z45" s="124"/>
      <c r="AA45" s="123"/>
      <c r="AB45" s="52"/>
      <c r="AC45" s="123">
        <v>7</v>
      </c>
      <c r="AD45" s="123"/>
      <c r="AE45" s="123"/>
      <c r="AF45" s="123"/>
      <c r="AG45" s="123"/>
      <c r="AH45" s="124"/>
      <c r="AI45" s="123"/>
      <c r="AJ45" s="52"/>
      <c r="AK45" s="123">
        <v>7</v>
      </c>
      <c r="AL45" s="123"/>
      <c r="AM45" s="123"/>
      <c r="AN45" s="123"/>
      <c r="AO45" s="123"/>
      <c r="AP45" s="124"/>
      <c r="AQ45" s="123"/>
      <c r="AR45" s="52"/>
      <c r="AS45" s="123">
        <v>7</v>
      </c>
      <c r="AT45" s="123"/>
      <c r="AU45" s="123"/>
      <c r="AV45" s="123"/>
      <c r="AW45" s="123"/>
      <c r="AX45" s="124"/>
      <c r="AY45" s="123"/>
      <c r="AZ45" s="52"/>
      <c r="BA45" s="123">
        <v>7</v>
      </c>
      <c r="BB45" s="123"/>
      <c r="BC45" s="123"/>
      <c r="BD45" s="123"/>
      <c r="BE45" s="123"/>
      <c r="BF45" s="124"/>
      <c r="BG45" s="123"/>
      <c r="BH45" s="52"/>
      <c r="BI45" s="123">
        <v>7</v>
      </c>
      <c r="BJ45" s="123"/>
      <c r="BK45" s="123"/>
      <c r="BL45" s="123"/>
      <c r="BM45" s="123"/>
      <c r="BN45" s="124"/>
      <c r="BO45" s="123"/>
      <c r="BP45" s="52"/>
      <c r="BQ45" s="123">
        <v>7</v>
      </c>
      <c r="BR45" s="123"/>
      <c r="BS45" s="123"/>
      <c r="BT45" s="123"/>
      <c r="BU45" s="123"/>
      <c r="BV45" s="124"/>
      <c r="BW45" s="123"/>
      <c r="BX45" s="52"/>
      <c r="BY45" s="123">
        <v>7</v>
      </c>
      <c r="BZ45" s="123"/>
      <c r="CA45" s="123"/>
      <c r="CB45" s="123"/>
      <c r="CC45" s="123"/>
      <c r="CD45" s="124"/>
      <c r="CE45" s="123"/>
      <c r="CF45" s="52"/>
      <c r="CG45" s="123">
        <v>7</v>
      </c>
      <c r="CH45" s="123"/>
      <c r="CI45" s="123"/>
      <c r="CJ45" s="123"/>
      <c r="CK45" s="123"/>
      <c r="CL45" s="124"/>
      <c r="CM45" s="123"/>
      <c r="CN45" s="52"/>
      <c r="CO45" s="123">
        <v>7</v>
      </c>
      <c r="CP45" s="123"/>
      <c r="CQ45" s="123"/>
      <c r="CR45" s="123"/>
      <c r="CS45" s="123"/>
      <c r="CT45" s="124"/>
      <c r="CU45" s="123"/>
      <c r="CV45" s="52"/>
      <c r="CW45" s="123">
        <v>7</v>
      </c>
      <c r="CX45" s="123"/>
      <c r="CY45" s="123"/>
      <c r="CZ45" s="123"/>
      <c r="DA45" s="123"/>
      <c r="DB45" s="124"/>
      <c r="DC45" s="123"/>
    </row>
    <row r="46" spans="1:107" ht="15" customHeight="1" x14ac:dyDescent="0.25">
      <c r="A46" s="193"/>
      <c r="B46" s="122">
        <f t="shared" si="1"/>
        <v>44467</v>
      </c>
      <c r="C46" s="15"/>
      <c r="E46" s="123">
        <v>7</v>
      </c>
      <c r="F46" s="123"/>
      <c r="G46" s="123"/>
      <c r="H46" s="123"/>
      <c r="I46" s="123"/>
      <c r="J46" s="124"/>
      <c r="K46" s="123"/>
      <c r="M46" s="123">
        <v>7</v>
      </c>
      <c r="N46" s="123"/>
      <c r="O46" s="123"/>
      <c r="P46" s="123"/>
      <c r="Q46" s="123"/>
      <c r="R46" s="124"/>
      <c r="S46" s="123"/>
      <c r="U46" s="123">
        <v>7</v>
      </c>
      <c r="V46" s="123"/>
      <c r="W46" s="123"/>
      <c r="X46" s="123"/>
      <c r="Y46" s="123"/>
      <c r="Z46" s="124"/>
      <c r="AA46" s="123"/>
      <c r="AB46" s="52"/>
      <c r="AC46" s="123">
        <v>7</v>
      </c>
      <c r="AD46" s="123"/>
      <c r="AE46" s="123"/>
      <c r="AF46" s="123"/>
      <c r="AG46" s="123"/>
      <c r="AH46" s="124"/>
      <c r="AI46" s="123"/>
      <c r="AJ46" s="52"/>
      <c r="AK46" s="123">
        <v>7</v>
      </c>
      <c r="AL46" s="123"/>
      <c r="AM46" s="123"/>
      <c r="AN46" s="123"/>
      <c r="AO46" s="123"/>
      <c r="AP46" s="124"/>
      <c r="AQ46" s="123"/>
      <c r="AR46" s="52"/>
      <c r="AS46" s="123">
        <v>7</v>
      </c>
      <c r="AT46" s="123"/>
      <c r="AU46" s="123"/>
      <c r="AV46" s="123"/>
      <c r="AW46" s="123"/>
      <c r="AX46" s="124"/>
      <c r="AY46" s="123"/>
      <c r="AZ46" s="52"/>
      <c r="BA46" s="123">
        <v>7</v>
      </c>
      <c r="BB46" s="123"/>
      <c r="BC46" s="123"/>
      <c r="BD46" s="123"/>
      <c r="BE46" s="123"/>
      <c r="BF46" s="124"/>
      <c r="BG46" s="123"/>
      <c r="BH46" s="52"/>
      <c r="BI46" s="123">
        <v>7</v>
      </c>
      <c r="BJ46" s="123"/>
      <c r="BK46" s="123"/>
      <c r="BL46" s="123"/>
      <c r="BM46" s="123"/>
      <c r="BN46" s="124"/>
      <c r="BO46" s="123"/>
      <c r="BP46" s="52"/>
      <c r="BQ46" s="123">
        <v>7</v>
      </c>
      <c r="BR46" s="123"/>
      <c r="BS46" s="123"/>
      <c r="BT46" s="123"/>
      <c r="BU46" s="123"/>
      <c r="BV46" s="124"/>
      <c r="BW46" s="123"/>
      <c r="BX46" s="52"/>
      <c r="BY46" s="123">
        <v>7</v>
      </c>
      <c r="BZ46" s="123"/>
      <c r="CA46" s="123"/>
      <c r="CB46" s="123"/>
      <c r="CC46" s="123"/>
      <c r="CD46" s="124"/>
      <c r="CE46" s="123"/>
      <c r="CF46" s="52"/>
      <c r="CG46" s="123">
        <v>7</v>
      </c>
      <c r="CH46" s="123"/>
      <c r="CI46" s="123"/>
      <c r="CJ46" s="123"/>
      <c r="CK46" s="123"/>
      <c r="CL46" s="124"/>
      <c r="CM46" s="123"/>
      <c r="CN46" s="52"/>
      <c r="CO46" s="123">
        <v>7</v>
      </c>
      <c r="CP46" s="123"/>
      <c r="CQ46" s="123"/>
      <c r="CR46" s="123"/>
      <c r="CS46" s="123"/>
      <c r="CT46" s="124"/>
      <c r="CU46" s="123"/>
      <c r="CV46" s="52"/>
      <c r="CW46" s="123">
        <v>7</v>
      </c>
      <c r="CX46" s="123"/>
      <c r="CY46" s="123"/>
      <c r="CZ46" s="123"/>
      <c r="DA46" s="123"/>
      <c r="DB46" s="124"/>
      <c r="DC46" s="123"/>
    </row>
    <row r="47" spans="1:107" ht="15" customHeight="1" x14ac:dyDescent="0.25">
      <c r="A47" s="193"/>
      <c r="B47" s="122">
        <f t="shared" si="1"/>
        <v>44468</v>
      </c>
      <c r="C47" s="15"/>
      <c r="E47" s="123">
        <v>7</v>
      </c>
      <c r="F47" s="123"/>
      <c r="G47" s="123"/>
      <c r="H47" s="123"/>
      <c r="I47" s="123"/>
      <c r="J47" s="124"/>
      <c r="K47" s="123"/>
      <c r="M47" s="123">
        <v>7</v>
      </c>
      <c r="N47" s="123"/>
      <c r="O47" s="123"/>
      <c r="P47" s="123"/>
      <c r="Q47" s="123"/>
      <c r="R47" s="124"/>
      <c r="S47" s="123"/>
      <c r="U47" s="123">
        <v>7</v>
      </c>
      <c r="V47" s="123"/>
      <c r="W47" s="123"/>
      <c r="X47" s="123"/>
      <c r="Y47" s="123"/>
      <c r="Z47" s="124"/>
      <c r="AA47" s="123"/>
      <c r="AB47" s="52"/>
      <c r="AC47" s="123">
        <v>7</v>
      </c>
      <c r="AD47" s="123"/>
      <c r="AE47" s="123"/>
      <c r="AF47" s="123"/>
      <c r="AG47" s="123"/>
      <c r="AH47" s="124"/>
      <c r="AI47" s="123"/>
      <c r="AJ47" s="52"/>
      <c r="AK47" s="123">
        <v>7</v>
      </c>
      <c r="AL47" s="123"/>
      <c r="AM47" s="123"/>
      <c r="AN47" s="123"/>
      <c r="AO47" s="123"/>
      <c r="AP47" s="124"/>
      <c r="AQ47" s="123"/>
      <c r="AR47" s="52"/>
      <c r="AS47" s="123">
        <v>7</v>
      </c>
      <c r="AT47" s="123"/>
      <c r="AU47" s="123"/>
      <c r="AV47" s="123"/>
      <c r="AW47" s="123"/>
      <c r="AX47" s="124"/>
      <c r="AY47" s="123"/>
      <c r="AZ47" s="52"/>
      <c r="BA47" s="123">
        <v>7</v>
      </c>
      <c r="BB47" s="123"/>
      <c r="BC47" s="123"/>
      <c r="BD47" s="123"/>
      <c r="BE47" s="123"/>
      <c r="BF47" s="124"/>
      <c r="BG47" s="123"/>
      <c r="BH47" s="52"/>
      <c r="BI47" s="123">
        <v>7</v>
      </c>
      <c r="BJ47" s="123"/>
      <c r="BK47" s="123"/>
      <c r="BL47" s="123"/>
      <c r="BM47" s="123"/>
      <c r="BN47" s="124"/>
      <c r="BO47" s="123"/>
      <c r="BP47" s="52"/>
      <c r="BQ47" s="123">
        <v>7</v>
      </c>
      <c r="BR47" s="123"/>
      <c r="BS47" s="123"/>
      <c r="BT47" s="123"/>
      <c r="BU47" s="123"/>
      <c r="BV47" s="124"/>
      <c r="BW47" s="123"/>
      <c r="BX47" s="52"/>
      <c r="BY47" s="123">
        <v>7</v>
      </c>
      <c r="BZ47" s="123"/>
      <c r="CA47" s="123"/>
      <c r="CB47" s="123"/>
      <c r="CC47" s="123"/>
      <c r="CD47" s="124"/>
      <c r="CE47" s="123"/>
      <c r="CF47" s="52"/>
      <c r="CG47" s="123">
        <v>7</v>
      </c>
      <c r="CH47" s="123"/>
      <c r="CI47" s="123"/>
      <c r="CJ47" s="123"/>
      <c r="CK47" s="123"/>
      <c r="CL47" s="124"/>
      <c r="CM47" s="123"/>
      <c r="CN47" s="52"/>
      <c r="CO47" s="123">
        <v>7</v>
      </c>
      <c r="CP47" s="123"/>
      <c r="CQ47" s="123"/>
      <c r="CR47" s="123"/>
      <c r="CS47" s="123"/>
      <c r="CT47" s="124"/>
      <c r="CU47" s="123"/>
      <c r="CV47" s="52"/>
      <c r="CW47" s="123">
        <v>7</v>
      </c>
      <c r="CX47" s="123"/>
      <c r="CY47" s="123"/>
      <c r="CZ47" s="123"/>
      <c r="DA47" s="123"/>
      <c r="DB47" s="124"/>
      <c r="DC47" s="123"/>
    </row>
    <row r="48" spans="1:107" ht="15" customHeight="1" x14ac:dyDescent="0.25">
      <c r="A48" s="193"/>
      <c r="B48" s="122">
        <f t="shared" si="1"/>
        <v>44469</v>
      </c>
      <c r="C48" s="15"/>
      <c r="E48" s="123">
        <v>7</v>
      </c>
      <c r="F48" s="123"/>
      <c r="G48" s="123"/>
      <c r="H48" s="123"/>
      <c r="I48" s="123"/>
      <c r="J48" s="124"/>
      <c r="K48" s="123"/>
      <c r="M48" s="123">
        <v>7</v>
      </c>
      <c r="N48" s="123"/>
      <c r="O48" s="123"/>
      <c r="P48" s="123"/>
      <c r="Q48" s="123"/>
      <c r="R48" s="124"/>
      <c r="S48" s="123"/>
      <c r="U48" s="123">
        <v>7</v>
      </c>
      <c r="V48" s="123"/>
      <c r="W48" s="123"/>
      <c r="X48" s="123"/>
      <c r="Y48" s="123"/>
      <c r="Z48" s="124"/>
      <c r="AA48" s="123"/>
      <c r="AB48" s="52"/>
      <c r="AC48" s="123">
        <v>7</v>
      </c>
      <c r="AD48" s="123"/>
      <c r="AE48" s="123"/>
      <c r="AF48" s="123"/>
      <c r="AG48" s="123"/>
      <c r="AH48" s="124"/>
      <c r="AI48" s="123"/>
      <c r="AJ48" s="52"/>
      <c r="AK48" s="123">
        <v>7</v>
      </c>
      <c r="AL48" s="123"/>
      <c r="AM48" s="123"/>
      <c r="AN48" s="123"/>
      <c r="AO48" s="123"/>
      <c r="AP48" s="124"/>
      <c r="AQ48" s="123"/>
      <c r="AR48" s="52"/>
      <c r="AS48" s="123">
        <v>7</v>
      </c>
      <c r="AT48" s="123"/>
      <c r="AU48" s="123"/>
      <c r="AV48" s="123"/>
      <c r="AW48" s="123"/>
      <c r="AX48" s="124"/>
      <c r="AY48" s="123"/>
      <c r="AZ48" s="52"/>
      <c r="BA48" s="123">
        <v>7</v>
      </c>
      <c r="BB48" s="123"/>
      <c r="BC48" s="123"/>
      <c r="BD48" s="123"/>
      <c r="BE48" s="123"/>
      <c r="BF48" s="124"/>
      <c r="BG48" s="123"/>
      <c r="BH48" s="52"/>
      <c r="BI48" s="123">
        <v>7</v>
      </c>
      <c r="BJ48" s="123"/>
      <c r="BK48" s="123"/>
      <c r="BL48" s="123"/>
      <c r="BM48" s="123"/>
      <c r="BN48" s="124"/>
      <c r="BO48" s="123"/>
      <c r="BP48" s="52"/>
      <c r="BQ48" s="123">
        <v>7</v>
      </c>
      <c r="BR48" s="123"/>
      <c r="BS48" s="123"/>
      <c r="BT48" s="123"/>
      <c r="BU48" s="123"/>
      <c r="BV48" s="124"/>
      <c r="BW48" s="123"/>
      <c r="BX48" s="52"/>
      <c r="BY48" s="123">
        <v>7</v>
      </c>
      <c r="BZ48" s="123"/>
      <c r="CA48" s="123"/>
      <c r="CB48" s="123"/>
      <c r="CC48" s="123"/>
      <c r="CD48" s="124"/>
      <c r="CE48" s="123"/>
      <c r="CF48" s="52"/>
      <c r="CG48" s="123">
        <v>7</v>
      </c>
      <c r="CH48" s="123"/>
      <c r="CI48" s="123"/>
      <c r="CJ48" s="123"/>
      <c r="CK48" s="123"/>
      <c r="CL48" s="124"/>
      <c r="CM48" s="123"/>
      <c r="CN48" s="52"/>
      <c r="CO48" s="123">
        <v>7</v>
      </c>
      <c r="CP48" s="123"/>
      <c r="CQ48" s="123"/>
      <c r="CR48" s="123"/>
      <c r="CS48" s="123"/>
      <c r="CT48" s="124"/>
      <c r="CU48" s="123"/>
      <c r="CV48" s="52"/>
      <c r="CW48" s="123">
        <v>7</v>
      </c>
      <c r="CX48" s="123"/>
      <c r="CY48" s="123"/>
      <c r="CZ48" s="123"/>
      <c r="DA48" s="123"/>
      <c r="DB48" s="124"/>
      <c r="DC48" s="123"/>
    </row>
    <row r="49" spans="1:107" ht="15" customHeight="1" x14ac:dyDescent="0.25">
      <c r="A49" s="193"/>
      <c r="B49" s="122">
        <f t="shared" si="1"/>
        <v>44470</v>
      </c>
      <c r="C49" s="15"/>
      <c r="E49" s="123">
        <v>7</v>
      </c>
      <c r="F49" s="123"/>
      <c r="G49" s="123"/>
      <c r="H49" s="123"/>
      <c r="I49" s="123"/>
      <c r="J49" s="124"/>
      <c r="K49" s="123"/>
      <c r="M49" s="123">
        <v>7</v>
      </c>
      <c r="N49" s="123"/>
      <c r="O49" s="123"/>
      <c r="P49" s="123"/>
      <c r="Q49" s="123"/>
      <c r="R49" s="124"/>
      <c r="S49" s="123"/>
      <c r="U49" s="123">
        <v>7</v>
      </c>
      <c r="V49" s="123"/>
      <c r="W49" s="123"/>
      <c r="X49" s="123"/>
      <c r="Y49" s="123"/>
      <c r="Z49" s="124"/>
      <c r="AA49" s="123"/>
      <c r="AB49" s="52"/>
      <c r="AC49" s="123">
        <v>7</v>
      </c>
      <c r="AD49" s="123"/>
      <c r="AE49" s="123"/>
      <c r="AF49" s="123"/>
      <c r="AG49" s="123"/>
      <c r="AH49" s="124"/>
      <c r="AI49" s="123"/>
      <c r="AJ49" s="52"/>
      <c r="AK49" s="123">
        <v>7</v>
      </c>
      <c r="AL49" s="123"/>
      <c r="AM49" s="123"/>
      <c r="AN49" s="123"/>
      <c r="AO49" s="123"/>
      <c r="AP49" s="124"/>
      <c r="AQ49" s="123"/>
      <c r="AR49" s="52"/>
      <c r="AS49" s="123">
        <v>7</v>
      </c>
      <c r="AT49" s="123"/>
      <c r="AU49" s="123"/>
      <c r="AV49" s="123"/>
      <c r="AW49" s="123"/>
      <c r="AX49" s="124"/>
      <c r="AY49" s="123"/>
      <c r="AZ49" s="52"/>
      <c r="BA49" s="123">
        <v>7</v>
      </c>
      <c r="BB49" s="123"/>
      <c r="BC49" s="123"/>
      <c r="BD49" s="123"/>
      <c r="BE49" s="123"/>
      <c r="BF49" s="124"/>
      <c r="BG49" s="123"/>
      <c r="BH49" s="52"/>
      <c r="BI49" s="123">
        <v>7</v>
      </c>
      <c r="BJ49" s="123"/>
      <c r="BK49" s="123"/>
      <c r="BL49" s="123"/>
      <c r="BM49" s="123"/>
      <c r="BN49" s="124"/>
      <c r="BO49" s="123"/>
      <c r="BP49" s="52"/>
      <c r="BQ49" s="123">
        <v>7</v>
      </c>
      <c r="BR49" s="123"/>
      <c r="BS49" s="123"/>
      <c r="BT49" s="123"/>
      <c r="BU49" s="123"/>
      <c r="BV49" s="124"/>
      <c r="BW49" s="123"/>
      <c r="BX49" s="52"/>
      <c r="BY49" s="123">
        <v>7</v>
      </c>
      <c r="BZ49" s="123"/>
      <c r="CA49" s="123"/>
      <c r="CB49" s="123"/>
      <c r="CC49" s="123"/>
      <c r="CD49" s="124"/>
      <c r="CE49" s="123"/>
      <c r="CF49" s="52"/>
      <c r="CG49" s="123">
        <v>7</v>
      </c>
      <c r="CH49" s="123"/>
      <c r="CI49" s="123"/>
      <c r="CJ49" s="123"/>
      <c r="CK49" s="123"/>
      <c r="CL49" s="124"/>
      <c r="CM49" s="123"/>
      <c r="CN49" s="52"/>
      <c r="CO49" s="123">
        <v>7</v>
      </c>
      <c r="CP49" s="123"/>
      <c r="CQ49" s="123"/>
      <c r="CR49" s="123"/>
      <c r="CS49" s="123"/>
      <c r="CT49" s="124"/>
      <c r="CU49" s="123"/>
      <c r="CV49" s="52"/>
      <c r="CW49" s="123">
        <v>7</v>
      </c>
      <c r="CX49" s="123"/>
      <c r="CY49" s="123"/>
      <c r="CZ49" s="123"/>
      <c r="DA49" s="123"/>
      <c r="DB49" s="124"/>
      <c r="DC49" s="123"/>
    </row>
    <row r="50" spans="1:107" ht="15" customHeight="1" x14ac:dyDescent="0.25">
      <c r="A50" s="193"/>
      <c r="B50" s="122">
        <f t="shared" si="1"/>
        <v>44471</v>
      </c>
      <c r="C50" s="15"/>
      <c r="E50" s="123"/>
      <c r="F50" s="123"/>
      <c r="G50" s="123"/>
      <c r="H50" s="123"/>
      <c r="I50" s="123"/>
      <c r="J50" s="124"/>
      <c r="K50" s="123"/>
      <c r="M50" s="123"/>
      <c r="N50" s="123"/>
      <c r="O50" s="123"/>
      <c r="P50" s="123"/>
      <c r="Q50" s="123"/>
      <c r="R50" s="124"/>
      <c r="S50" s="123"/>
      <c r="U50" s="123"/>
      <c r="V50" s="123"/>
      <c r="W50" s="123"/>
      <c r="X50" s="123"/>
      <c r="Y50" s="123"/>
      <c r="Z50" s="124"/>
      <c r="AA50" s="123"/>
      <c r="AB50" s="52"/>
      <c r="AC50" s="123"/>
      <c r="AD50" s="123"/>
      <c r="AE50" s="123"/>
      <c r="AF50" s="123"/>
      <c r="AG50" s="123"/>
      <c r="AH50" s="124"/>
      <c r="AI50" s="123"/>
      <c r="AJ50" s="52"/>
      <c r="AK50" s="123"/>
      <c r="AL50" s="123"/>
      <c r="AM50" s="123"/>
      <c r="AN50" s="123"/>
      <c r="AO50" s="123"/>
      <c r="AP50" s="124"/>
      <c r="AQ50" s="123"/>
      <c r="AR50" s="52"/>
      <c r="AS50" s="123"/>
      <c r="AT50" s="123"/>
      <c r="AU50" s="123"/>
      <c r="AV50" s="123"/>
      <c r="AW50" s="123"/>
      <c r="AX50" s="124"/>
      <c r="AY50" s="123"/>
      <c r="AZ50" s="52"/>
      <c r="BA50" s="123"/>
      <c r="BB50" s="123"/>
      <c r="BC50" s="123"/>
      <c r="BD50" s="123"/>
      <c r="BE50" s="123"/>
      <c r="BF50" s="124"/>
      <c r="BG50" s="123"/>
      <c r="BH50" s="52"/>
      <c r="BI50" s="123"/>
      <c r="BJ50" s="123"/>
      <c r="BK50" s="123"/>
      <c r="BL50" s="123"/>
      <c r="BM50" s="123"/>
      <c r="BN50" s="124"/>
      <c r="BO50" s="123"/>
      <c r="BP50" s="52"/>
      <c r="BQ50" s="123"/>
      <c r="BR50" s="123"/>
      <c r="BS50" s="123"/>
      <c r="BT50" s="123"/>
      <c r="BU50" s="123"/>
      <c r="BV50" s="124"/>
      <c r="BW50" s="123"/>
      <c r="BX50" s="52"/>
      <c r="BY50" s="123"/>
      <c r="BZ50" s="123"/>
      <c r="CA50" s="123"/>
      <c r="CB50" s="123"/>
      <c r="CC50" s="123"/>
      <c r="CD50" s="124"/>
      <c r="CE50" s="123"/>
      <c r="CF50" s="52"/>
      <c r="CG50" s="123"/>
      <c r="CH50" s="123"/>
      <c r="CI50" s="123"/>
      <c r="CJ50" s="123"/>
      <c r="CK50" s="123"/>
      <c r="CL50" s="124"/>
      <c r="CM50" s="123"/>
      <c r="CN50" s="52"/>
      <c r="CO50" s="123"/>
      <c r="CP50" s="123"/>
      <c r="CQ50" s="123"/>
      <c r="CR50" s="123"/>
      <c r="CS50" s="123"/>
      <c r="CT50" s="124"/>
      <c r="CU50" s="123"/>
      <c r="CV50" s="52"/>
      <c r="CW50" s="123"/>
      <c r="CX50" s="123"/>
      <c r="CY50" s="123"/>
      <c r="CZ50" s="123"/>
      <c r="DA50" s="123"/>
      <c r="DB50" s="124"/>
      <c r="DC50" s="123"/>
    </row>
    <row r="51" spans="1:107" x14ac:dyDescent="0.25">
      <c r="U51" s="19"/>
      <c r="V51" s="19"/>
      <c r="W51" s="19"/>
      <c r="X51" s="19"/>
      <c r="Y51" s="19"/>
      <c r="Z51" s="19"/>
      <c r="AK51" s="19"/>
      <c r="AL51" s="19"/>
      <c r="AM51" s="19"/>
      <c r="AN51" s="19"/>
      <c r="AO51" s="19"/>
      <c r="AP51" s="19"/>
    </row>
    <row r="52" spans="1:107" x14ac:dyDescent="0.25">
      <c r="B52" s="14" t="s">
        <v>87</v>
      </c>
      <c r="E52" s="20">
        <f>SUM(E10:E44)</f>
        <v>70</v>
      </c>
      <c r="F52" s="20">
        <f>SUM(F10:F44)</f>
        <v>105</v>
      </c>
      <c r="G52" s="20">
        <f>SUM(G10:G44)</f>
        <v>1946.1999999999998</v>
      </c>
      <c r="H52" s="20">
        <f>SUM(H10:H44)</f>
        <v>0</v>
      </c>
      <c r="I52" s="20"/>
      <c r="J52" s="17"/>
      <c r="K52" s="17"/>
      <c r="M52" s="20">
        <f>SUM(M10:M44)</f>
        <v>28</v>
      </c>
      <c r="N52" s="20">
        <f>SUM(N10:N44)</f>
        <v>77</v>
      </c>
      <c r="O52" s="20">
        <f>SUM(O10:O44)</f>
        <v>1245</v>
      </c>
      <c r="P52" s="20">
        <f>SUM(P10:P44)</f>
        <v>0</v>
      </c>
      <c r="Q52" s="20"/>
      <c r="R52" s="17"/>
      <c r="S52" s="17"/>
      <c r="U52" s="20">
        <f>SUM(U10:U44)</f>
        <v>105</v>
      </c>
      <c r="V52" s="20">
        <f>SUM(V10:V44)</f>
        <v>70</v>
      </c>
      <c r="W52" s="20">
        <f>SUM(W10:W44)</f>
        <v>1881.7999999999997</v>
      </c>
      <c r="X52" s="20">
        <f>SUM(X10:X44)</f>
        <v>0</v>
      </c>
      <c r="Y52" s="20"/>
      <c r="Z52" s="17"/>
      <c r="AA52" s="17"/>
      <c r="AC52" s="20">
        <f>SUM(AC10:AC44)</f>
        <v>175</v>
      </c>
      <c r="AD52" s="20">
        <f>SUM(AD10:AD44)</f>
        <v>0</v>
      </c>
      <c r="AE52" s="20">
        <f>SUM(AE10:AE44)</f>
        <v>1752.9999999999998</v>
      </c>
      <c r="AF52" s="20">
        <f>SUM(AF10:AF44)</f>
        <v>0</v>
      </c>
      <c r="AG52" s="20"/>
      <c r="AH52" s="17"/>
      <c r="AI52" s="17"/>
      <c r="AK52" s="20">
        <f>SUM(AK10:AK44)</f>
        <v>147</v>
      </c>
      <c r="AL52" s="20">
        <f>SUM(AL10:AL44)</f>
        <v>28</v>
      </c>
      <c r="AM52" s="20">
        <f>SUM(AM10:AM44)</f>
        <v>1727.3999999999999</v>
      </c>
      <c r="AN52" s="20">
        <f>SUM(AN10:AN44)</f>
        <v>0</v>
      </c>
      <c r="AO52" s="20"/>
      <c r="AP52" s="17"/>
      <c r="AQ52" s="17"/>
      <c r="AS52" s="20">
        <f>SUM(AS10:AS44)</f>
        <v>91</v>
      </c>
      <c r="AT52" s="20">
        <f>SUM(AT10:AT44)</f>
        <v>91</v>
      </c>
      <c r="AU52" s="20">
        <f>SUM(AU10:AU44)</f>
        <v>2029.1999999999998</v>
      </c>
      <c r="AV52" s="20">
        <f>SUM(AV10:AV44)</f>
        <v>0</v>
      </c>
      <c r="AW52" s="20"/>
      <c r="AX52" s="17"/>
      <c r="AY52" s="17"/>
      <c r="BA52" s="20">
        <f>SUM(BA10:BA44)</f>
        <v>56</v>
      </c>
      <c r="BB52" s="20">
        <f>SUM(BB10:BB44)</f>
        <v>49</v>
      </c>
      <c r="BC52" s="20">
        <f>SUM(BC10:BC44)</f>
        <v>1014.6</v>
      </c>
      <c r="BD52" s="20">
        <f>SUM(BD10:BD44)</f>
        <v>0</v>
      </c>
      <c r="BE52" s="20"/>
      <c r="BF52" s="17"/>
      <c r="BG52" s="17"/>
      <c r="BI52" s="20">
        <f>SUM(BI10:BI44)</f>
        <v>151</v>
      </c>
      <c r="BJ52" s="20">
        <f>SUM(BJ10:BJ44)</f>
        <v>44</v>
      </c>
      <c r="BK52" s="20">
        <f>SUM(BK10:BK44)</f>
        <v>2674.6</v>
      </c>
      <c r="BL52" s="20">
        <f>SUM(BL10:BL44)</f>
        <v>0</v>
      </c>
      <c r="BM52" s="20"/>
      <c r="BN52" s="17"/>
      <c r="BO52" s="17"/>
      <c r="BQ52" s="20">
        <f>SUM(BQ10:BQ44)</f>
        <v>105</v>
      </c>
      <c r="BR52" s="20">
        <f>SUM(BR10:BR44)</f>
        <v>0</v>
      </c>
      <c r="BS52" s="20">
        <f>SUM(BS10:BS44)</f>
        <v>1051.8</v>
      </c>
      <c r="BT52" s="20">
        <f>SUM(BT10:BT44)</f>
        <v>0</v>
      </c>
      <c r="BU52" s="20"/>
      <c r="BV52" s="17"/>
      <c r="BW52" s="17"/>
      <c r="BY52" s="20">
        <f>SUM(BY10:BY44)</f>
        <v>21</v>
      </c>
      <c r="BZ52" s="20">
        <f>SUM(BZ10:BZ44)</f>
        <v>14</v>
      </c>
      <c r="CA52" s="20">
        <f>SUM(CA10:CA44)</f>
        <v>581</v>
      </c>
      <c r="CB52" s="20">
        <f>SUM(CB10:CB44)</f>
        <v>0</v>
      </c>
      <c r="CC52" s="20"/>
      <c r="CD52" s="17"/>
      <c r="CE52" s="17"/>
      <c r="CG52" s="20">
        <f>SUM(CG10:CG44)</f>
        <v>175</v>
      </c>
      <c r="CH52" s="20">
        <f>SUM(CH10:CH44)</f>
        <v>0</v>
      </c>
      <c r="CI52" s="20">
        <f>SUM(CI10:CI44)</f>
        <v>1752.9999999999998</v>
      </c>
      <c r="CJ52" s="20">
        <f>SUM(CJ10:CJ44)</f>
        <v>0</v>
      </c>
      <c r="CK52" s="20"/>
      <c r="CL52" s="17"/>
      <c r="CM52" s="17"/>
      <c r="CO52" s="20">
        <f>SUM(CO10:CO44)</f>
        <v>175</v>
      </c>
      <c r="CP52" s="20">
        <f>SUM(CP10:CP44)</f>
        <v>0</v>
      </c>
      <c r="CQ52" s="20">
        <f>SUM(CQ10:CQ44)</f>
        <v>2739</v>
      </c>
      <c r="CR52" s="20">
        <f>SUM(CR10:CR44)</f>
        <v>0</v>
      </c>
      <c r="CS52" s="20"/>
      <c r="CT52" s="17"/>
      <c r="CU52" s="17"/>
      <c r="CW52" s="20">
        <f>SUM(CW10:CW44)</f>
        <v>70</v>
      </c>
      <c r="CX52" s="20">
        <f>SUM(CX10:CX44)</f>
        <v>42</v>
      </c>
      <c r="CY52" s="20">
        <f>SUM(CY10:CY44)</f>
        <v>1346.6</v>
      </c>
      <c r="CZ52" s="20">
        <f>SUM(CZ10:CZ44)</f>
        <v>0</v>
      </c>
      <c r="DA52" s="20"/>
      <c r="DB52" s="17"/>
      <c r="DC52" s="17"/>
    </row>
  </sheetData>
  <mergeCells count="60">
    <mergeCell ref="AS8:AV8"/>
    <mergeCell ref="AW8:AX8"/>
    <mergeCell ref="AK8:AN8"/>
    <mergeCell ref="AO8:AP8"/>
    <mergeCell ref="AQ8:AQ9"/>
    <mergeCell ref="AC7:AI7"/>
    <mergeCell ref="AC8:AF8"/>
    <mergeCell ref="AG8:AH8"/>
    <mergeCell ref="AI8:AI9"/>
    <mergeCell ref="AK7:AQ7"/>
    <mergeCell ref="A45:A50"/>
    <mergeCell ref="M7:S7"/>
    <mergeCell ref="A38:A44"/>
    <mergeCell ref="A31:A37"/>
    <mergeCell ref="A24:A30"/>
    <mergeCell ref="A10:A16"/>
    <mergeCell ref="A17:A23"/>
    <mergeCell ref="M8:P8"/>
    <mergeCell ref="Q8:R8"/>
    <mergeCell ref="S8:S9"/>
    <mergeCell ref="E2:K2"/>
    <mergeCell ref="E4:K4"/>
    <mergeCell ref="BA8:BD8"/>
    <mergeCell ref="BA7:BG7"/>
    <mergeCell ref="BE8:BF8"/>
    <mergeCell ref="BG8:BG9"/>
    <mergeCell ref="AY8:AY9"/>
    <mergeCell ref="U7:AA7"/>
    <mergeCell ref="U8:X8"/>
    <mergeCell ref="Y8:Z8"/>
    <mergeCell ref="AA8:AA9"/>
    <mergeCell ref="E7:K7"/>
    <mergeCell ref="E8:H8"/>
    <mergeCell ref="I8:J8"/>
    <mergeCell ref="K8:K9"/>
    <mergeCell ref="AS7:AY7"/>
    <mergeCell ref="CW7:DC7"/>
    <mergeCell ref="CW8:CZ8"/>
    <mergeCell ref="DA8:DB8"/>
    <mergeCell ref="DC8:DC9"/>
    <mergeCell ref="CO7:CU7"/>
    <mergeCell ref="CO8:CR8"/>
    <mergeCell ref="CS8:CT8"/>
    <mergeCell ref="CU8:CU9"/>
    <mergeCell ref="BQ7:BW7"/>
    <mergeCell ref="BQ8:BT8"/>
    <mergeCell ref="BU8:BV8"/>
    <mergeCell ref="BW8:BW9"/>
    <mergeCell ref="BI7:BO7"/>
    <mergeCell ref="BO8:BO9"/>
    <mergeCell ref="BM8:BN8"/>
    <mergeCell ref="BI8:BL8"/>
    <mergeCell ref="CG7:CM7"/>
    <mergeCell ref="CG8:CJ8"/>
    <mergeCell ref="CK8:CL8"/>
    <mergeCell ref="CM8:CM9"/>
    <mergeCell ref="BY7:CE7"/>
    <mergeCell ref="BY8:CB8"/>
    <mergeCell ref="CC8:CD8"/>
    <mergeCell ref="CE8:CE9"/>
  </mergeCells>
  <phoneticPr fontId="26" type="noConversion"/>
  <pageMargins left="0.19685039370078741" right="0.19685039370078741" top="0.39370078740157483" bottom="0.39370078740157483" header="0.31496062992125984" footer="0.31496062992125984"/>
  <pageSetup paperSize="9" scale="39" orientation="landscape" r:id="rId1"/>
  <headerFooter>
    <oddFooter>&amp;R&amp;16Le &amp;D à &amp;T  -  &amp;P/&amp;N</oddFooter>
  </headerFooter>
  <colBreaks count="4" manualBreakCount="4">
    <brk id="27" max="51" man="1"/>
    <brk id="51" max="51" man="1"/>
    <brk id="75" max="51" man="1"/>
    <brk id="99" max="51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>
    <tabColor rgb="FF00B0F0"/>
    <pageSetUpPr fitToPage="1"/>
  </sheetPr>
  <dimension ref="A1:AH92"/>
  <sheetViews>
    <sheetView showGridLines="0" tabSelected="1" topLeftCell="H1" zoomScale="80" zoomScaleNormal="80" zoomScaleSheetLayoutView="90" workbookViewId="0">
      <pane ySplit="7" topLeftCell="A8" activePane="bottomLeft" state="frozenSplit"/>
      <selection activeCell="T52" sqref="T52"/>
      <selection pane="bottomLeft" activeCell="AF4" sqref="AF4"/>
    </sheetView>
  </sheetViews>
  <sheetFormatPr baseColWidth="10" defaultColWidth="9.140625" defaultRowHeight="15" x14ac:dyDescent="0.25"/>
  <cols>
    <col min="1" max="1" width="6.140625" style="63" customWidth="1"/>
    <col min="2" max="2" width="14.5703125" style="18" customWidth="1"/>
    <col min="3" max="3" width="4.5703125" style="18" customWidth="1"/>
    <col min="4" max="7" width="9.5703125" style="18" customWidth="1"/>
    <col min="8" max="8" width="38.5703125" style="18" customWidth="1"/>
    <col min="9" max="9" width="13.5703125" style="18" customWidth="1"/>
    <col min="10" max="10" width="25.5703125" style="3" hidden="1" customWidth="1"/>
    <col min="11" max="11" width="1.140625" style="18" customWidth="1"/>
    <col min="12" max="12" width="9.140625" style="87" bestFit="1" customWidth="1"/>
    <col min="13" max="14" width="7.5703125" style="87" customWidth="1"/>
    <col min="15" max="15" width="0.85546875" style="18" customWidth="1"/>
    <col min="16" max="17" width="7.5703125" style="87" customWidth="1"/>
    <col min="18" max="18" width="0.85546875" style="18" customWidth="1"/>
    <col min="19" max="20" width="7.5703125" style="88" customWidth="1"/>
    <col min="21" max="21" width="0.85546875" style="18" customWidth="1"/>
    <col min="22" max="24" width="7.5703125" style="89" customWidth="1"/>
    <col min="25" max="25" width="0.85546875" style="18" customWidth="1"/>
    <col min="26" max="26" width="7.5703125" style="18" customWidth="1"/>
    <col min="27" max="27" width="9.140625" style="18"/>
    <col min="28" max="28" width="19.42578125" style="18" bestFit="1" customWidth="1"/>
    <col min="29" max="29" width="9.140625" style="18" customWidth="1"/>
    <col min="30" max="30" width="17.85546875" style="71" bestFit="1" customWidth="1"/>
    <col min="31" max="31" width="9.140625" style="18"/>
    <col min="32" max="32" width="11.7109375" style="158" bestFit="1" customWidth="1"/>
    <col min="33" max="33" width="9.140625" style="18"/>
    <col min="34" max="34" width="12.42578125" style="18" bestFit="1" customWidth="1"/>
    <col min="35" max="16384" width="9.140625" style="18"/>
  </cols>
  <sheetData>
    <row r="1" spans="1:34" ht="14.25" x14ac:dyDescent="0.25">
      <c r="A1" s="63">
        <v>1</v>
      </c>
    </row>
    <row r="2" spans="1:34" x14ac:dyDescent="0.25">
      <c r="B2" s="3"/>
      <c r="L2" s="69"/>
      <c r="M2" s="69"/>
      <c r="N2" s="69"/>
      <c r="O2" s="19"/>
      <c r="P2" s="69"/>
      <c r="Q2" s="69"/>
      <c r="R2" s="19"/>
      <c r="S2" s="70"/>
      <c r="T2" s="70"/>
      <c r="U2" s="19"/>
      <c r="V2" s="52"/>
      <c r="W2" s="52"/>
      <c r="X2" s="52"/>
      <c r="Y2" s="19"/>
      <c r="Z2" s="19"/>
      <c r="AA2" s="19"/>
    </row>
    <row r="3" spans="1:34" ht="29.25" customHeight="1" x14ac:dyDescent="0.4">
      <c r="B3" s="3"/>
      <c r="D3" s="205" t="str">
        <f>+Base!D2:F2</f>
        <v>Pointages SEPTEMBRE 2021</v>
      </c>
      <c r="E3" s="205"/>
      <c r="F3" s="205"/>
      <c r="G3" s="205"/>
      <c r="H3" s="205"/>
      <c r="I3" s="205"/>
      <c r="J3" s="205"/>
      <c r="L3" s="136"/>
      <c r="M3" s="69"/>
      <c r="N3" s="69"/>
      <c r="O3" s="19"/>
      <c r="P3" s="69"/>
      <c r="Q3" s="69"/>
      <c r="R3" s="19"/>
      <c r="S3" s="70"/>
      <c r="T3" s="70"/>
      <c r="U3" s="19"/>
      <c r="V3" s="52"/>
      <c r="W3" s="52"/>
      <c r="X3" s="52"/>
      <c r="Y3" s="19"/>
      <c r="Z3" s="19"/>
      <c r="AA3" s="19"/>
    </row>
    <row r="4" spans="1:34" x14ac:dyDescent="0.25">
      <c r="B4" s="3"/>
      <c r="L4" s="69"/>
      <c r="M4" s="69"/>
      <c r="N4" s="69"/>
      <c r="O4" s="19"/>
      <c r="P4" s="69"/>
      <c r="Q4" s="69"/>
      <c r="R4" s="19"/>
      <c r="S4" s="70"/>
      <c r="T4" s="70"/>
      <c r="U4" s="19"/>
      <c r="V4" s="52"/>
      <c r="W4" s="52"/>
      <c r="X4" s="52"/>
      <c r="Y4" s="19"/>
      <c r="Z4" s="19"/>
      <c r="AA4" s="19"/>
    </row>
    <row r="5" spans="1:34" s="2" customFormat="1" ht="35.1" customHeight="1" x14ac:dyDescent="0.25">
      <c r="A5" s="64"/>
      <c r="D5" s="206" t="str">
        <f>RECAP!BQ7</f>
        <v>LAUVERGEAT Eddy - CHABRIS (36)</v>
      </c>
      <c r="E5" s="206"/>
      <c r="F5" s="206"/>
      <c r="G5" s="206"/>
      <c r="H5" s="206"/>
      <c r="I5" s="206"/>
      <c r="J5" s="206"/>
      <c r="L5" s="207" t="s">
        <v>88</v>
      </c>
      <c r="M5" s="207"/>
      <c r="N5" s="207"/>
      <c r="O5" s="15"/>
      <c r="P5" s="208" t="s">
        <v>89</v>
      </c>
      <c r="Q5" s="209"/>
      <c r="R5" s="15"/>
      <c r="S5" s="194" t="s">
        <v>90</v>
      </c>
      <c r="T5" s="195"/>
      <c r="U5" s="15"/>
      <c r="V5" s="148" t="s">
        <v>91</v>
      </c>
      <c r="W5" s="148" t="s">
        <v>91</v>
      </c>
      <c r="X5" s="28" t="s">
        <v>91</v>
      </c>
      <c r="Y5" s="15"/>
      <c r="Z5" s="28" t="s">
        <v>31</v>
      </c>
      <c r="AA5" s="15"/>
      <c r="AD5" s="21"/>
      <c r="AF5" s="159"/>
    </row>
    <row r="6" spans="1:34" s="15" customFormat="1" ht="21" customHeight="1" x14ac:dyDescent="0.25">
      <c r="A6" s="64"/>
      <c r="D6" s="196" t="s">
        <v>25</v>
      </c>
      <c r="E6" s="197"/>
      <c r="F6" s="197"/>
      <c r="G6" s="198"/>
      <c r="H6" s="199" t="s">
        <v>26</v>
      </c>
      <c r="I6" s="200"/>
      <c r="J6" s="201" t="s">
        <v>27</v>
      </c>
      <c r="L6" s="149"/>
      <c r="M6" s="149"/>
      <c r="N6" s="149"/>
      <c r="P6" s="146"/>
      <c r="Q6" s="147"/>
      <c r="S6" s="25"/>
      <c r="T6" s="26"/>
      <c r="V6" s="25"/>
      <c r="W6" s="25"/>
      <c r="X6" s="27"/>
      <c r="Z6" s="28"/>
      <c r="AD6" s="29"/>
      <c r="AF6" s="160"/>
    </row>
    <row r="7" spans="1:34" s="19" customFormat="1" ht="21" customHeight="1" x14ac:dyDescent="0.25">
      <c r="A7" s="63"/>
      <c r="B7" s="16"/>
      <c r="D7" s="30" t="s">
        <v>28</v>
      </c>
      <c r="E7" s="30" t="s">
        <v>29</v>
      </c>
      <c r="F7" s="30" t="s">
        <v>30</v>
      </c>
      <c r="G7" s="30" t="s">
        <v>31</v>
      </c>
      <c r="H7" s="31" t="s">
        <v>32</v>
      </c>
      <c r="I7" s="31" t="s">
        <v>33</v>
      </c>
      <c r="J7" s="202"/>
      <c r="L7" s="32" t="s">
        <v>92</v>
      </c>
      <c r="M7" s="33" t="s">
        <v>93</v>
      </c>
      <c r="N7" s="34" t="s">
        <v>94</v>
      </c>
      <c r="P7" s="35">
        <v>1.25</v>
      </c>
      <c r="Q7" s="35">
        <v>1.5</v>
      </c>
      <c r="S7" s="36">
        <v>0.25</v>
      </c>
      <c r="T7" s="36">
        <v>0.5</v>
      </c>
      <c r="V7" s="37">
        <v>0.5</v>
      </c>
      <c r="W7" s="37">
        <v>0.75</v>
      </c>
      <c r="X7" s="38">
        <v>1</v>
      </c>
      <c r="Z7" s="39">
        <v>1</v>
      </c>
      <c r="AD7" s="52"/>
      <c r="AF7" s="161"/>
    </row>
    <row r="8" spans="1:34" s="19" customFormat="1" ht="5.0999999999999996" customHeight="1" x14ac:dyDescent="0.25">
      <c r="A8" s="63"/>
      <c r="B8" s="16"/>
      <c r="D8" s="40"/>
      <c r="E8" s="40"/>
      <c r="F8" s="40"/>
      <c r="G8" s="40"/>
      <c r="H8" s="40"/>
      <c r="I8" s="40"/>
      <c r="J8" s="40"/>
      <c r="L8" s="40"/>
      <c r="M8" s="40"/>
      <c r="N8" s="40"/>
      <c r="P8" s="41"/>
      <c r="Q8" s="41"/>
      <c r="S8" s="42"/>
      <c r="T8" s="42"/>
      <c r="V8" s="43"/>
      <c r="W8" s="43"/>
      <c r="X8" s="44"/>
      <c r="AD8" s="52"/>
      <c r="AF8" s="161"/>
    </row>
    <row r="9" spans="1:34" s="19" customFormat="1" ht="20.100000000000001" customHeight="1" x14ac:dyDescent="0.25">
      <c r="A9" s="63"/>
      <c r="B9" s="45" t="s">
        <v>95</v>
      </c>
      <c r="C9" s="72"/>
      <c r="D9" s="46"/>
      <c r="E9" s="46"/>
      <c r="F9" s="46"/>
      <c r="G9" s="46"/>
      <c r="H9" s="46"/>
      <c r="I9" s="46"/>
      <c r="J9" s="47"/>
      <c r="L9" s="73"/>
      <c r="M9" s="73"/>
      <c r="N9" s="73"/>
      <c r="P9" s="73"/>
      <c r="Q9" s="73"/>
      <c r="S9" s="74"/>
      <c r="T9" s="74"/>
      <c r="V9" s="74"/>
      <c r="W9" s="74"/>
      <c r="X9" s="74"/>
      <c r="Z9" s="74"/>
      <c r="AB9" s="162" t="s">
        <v>111</v>
      </c>
      <c r="AC9" s="170" t="s">
        <v>88</v>
      </c>
      <c r="AD9" s="163" t="s">
        <v>190</v>
      </c>
      <c r="AE9" s="170" t="s">
        <v>112</v>
      </c>
      <c r="AF9" s="171" t="s">
        <v>113</v>
      </c>
      <c r="AG9" s="170" t="s">
        <v>116</v>
      </c>
      <c r="AH9" s="170" t="s">
        <v>117</v>
      </c>
    </row>
    <row r="10" spans="1:34" s="19" customFormat="1" ht="20.100000000000001" customHeight="1" x14ac:dyDescent="0.25">
      <c r="A10" s="203" t="str">
        <f>Base!A9</f>
        <v>S.34</v>
      </c>
      <c r="B10" s="58">
        <f>Base!B9</f>
        <v>44431</v>
      </c>
      <c r="C10" s="75"/>
      <c r="D10" s="50"/>
      <c r="E10" s="50"/>
      <c r="F10" s="50">
        <f>RECAP!BS10</f>
        <v>0</v>
      </c>
      <c r="G10" s="50">
        <f>RECAP!BT10</f>
        <v>0</v>
      </c>
      <c r="H10" s="60" t="str">
        <f>RECAP!BU10</f>
        <v>Accident du travail</v>
      </c>
      <c r="I10" s="162" t="s">
        <v>123</v>
      </c>
      <c r="J10" s="50">
        <f>RECAP!BO10</f>
        <v>0</v>
      </c>
      <c r="L10" s="169">
        <v>1</v>
      </c>
      <c r="M10" s="19">
        <v>2</v>
      </c>
      <c r="N10" s="19">
        <v>3</v>
      </c>
      <c r="P10" s="19">
        <v>4</v>
      </c>
      <c r="Q10" s="19">
        <v>5</v>
      </c>
      <c r="S10" s="19">
        <v>5</v>
      </c>
      <c r="T10" s="19">
        <v>6</v>
      </c>
      <c r="V10" s="91">
        <v>8</v>
      </c>
      <c r="W10" s="91">
        <v>9</v>
      </c>
      <c r="X10" s="91">
        <v>10</v>
      </c>
      <c r="Y10" s="91"/>
      <c r="Z10" s="91">
        <v>11</v>
      </c>
      <c r="AB10" s="162" t="s">
        <v>123</v>
      </c>
      <c r="AC10" s="162">
        <f>SUMPRODUCT(($I$10:$I$51=$AB10)*($D$10:$D$51+$E$10:$E$51+$G$10:$G$51))</f>
        <v>0</v>
      </c>
      <c r="AD10" s="163">
        <f>IF(I10=AB10,(($S$15+$S$22+$S$29+$S$36+$S$43)*0.25+($T$15+$T$22+$T$29+$T$36+$V$15+$V$22+$V$29+$V$36+$V$43+$T$43)*0.5+($W$15+$W$22+$W$29+$W$36+$W$43)*0.75+$X$15+$Z$15+$X$22+$Z$22+$X$29+$Z$29+$X$36+$Z$36+$X$43+$Z$43),"bof")</f>
        <v>20.75</v>
      </c>
      <c r="AE10" s="162">
        <f t="shared" ref="AE10:AE41" si="0">SUM(AC10:AD10)</f>
        <v>20.75</v>
      </c>
      <c r="AF10" s="155">
        <f ca="1">AE10/$AE$91</f>
        <v>0.11874105865522175</v>
      </c>
      <c r="AG10" s="162">
        <f ca="1">AF10*$I$57</f>
        <v>533.73274678111579</v>
      </c>
      <c r="AH10" s="162">
        <f ca="1">AF10*$I$58</f>
        <v>15.515894134477824</v>
      </c>
    </row>
    <row r="11" spans="1:34" s="19" customFormat="1" ht="20.100000000000001" customHeight="1" x14ac:dyDescent="0.25">
      <c r="A11" s="203"/>
      <c r="B11" s="58">
        <f>B10+1</f>
        <v>44432</v>
      </c>
      <c r="C11" s="75"/>
      <c r="D11" s="167"/>
      <c r="E11" s="167"/>
      <c r="F11" s="167">
        <f>RECAP!BS11</f>
        <v>0</v>
      </c>
      <c r="G11" s="167">
        <f>RECAP!BT11</f>
        <v>0</v>
      </c>
      <c r="H11" s="60" t="str">
        <f>RECAP!BU11</f>
        <v>Accident du travail</v>
      </c>
      <c r="I11" s="167">
        <f>RECAP!BV11</f>
        <v>0</v>
      </c>
      <c r="J11" s="50">
        <f>RECAP!BO11</f>
        <v>0</v>
      </c>
      <c r="L11" s="169"/>
      <c r="V11" s="91"/>
      <c r="W11" s="91"/>
      <c r="X11" s="91"/>
      <c r="Y11" s="91"/>
      <c r="Z11" s="91"/>
      <c r="AB11" s="162" t="s">
        <v>124</v>
      </c>
      <c r="AC11" s="162">
        <f t="shared" ref="AC11:AC74" si="1">SUMPRODUCT(($I$10:$I$51=$AB11)*($D$10:$D$51+$E$10:$E$51+$G$10:$G$51))</f>
        <v>0</v>
      </c>
      <c r="AD11" s="163" cm="1">
        <f t="array" aca="1" ref="AD11" ca="1">maj(AB11)</f>
        <v>0</v>
      </c>
      <c r="AE11" s="162">
        <f t="shared" ca="1" si="0"/>
        <v>0</v>
      </c>
      <c r="AF11" s="155">
        <f t="shared" ref="AF11:AF74" ca="1" si="2">AE11/$AE$91</f>
        <v>0</v>
      </c>
      <c r="AG11" s="162">
        <f t="shared" ref="AG11:AG74" ca="1" si="3">AF11*$I$57</f>
        <v>0</v>
      </c>
      <c r="AH11" s="162">
        <f t="shared" ref="AH11:AH73" ca="1" si="4">AF11*$I$58</f>
        <v>0</v>
      </c>
    </row>
    <row r="12" spans="1:34" s="19" customFormat="1" ht="20.100000000000001" customHeight="1" x14ac:dyDescent="0.25">
      <c r="A12" s="203"/>
      <c r="B12" s="59">
        <f t="shared" ref="B12:B51" si="5">B11+1</f>
        <v>44433</v>
      </c>
      <c r="C12" s="75"/>
      <c r="D12" s="167"/>
      <c r="E12" s="167"/>
      <c r="F12" s="167">
        <f>RECAP!BS12</f>
        <v>0</v>
      </c>
      <c r="G12" s="167">
        <f>RECAP!BT12</f>
        <v>0</v>
      </c>
      <c r="H12" s="60" t="str">
        <f>RECAP!BU12</f>
        <v>Accident du travail</v>
      </c>
      <c r="I12" s="167">
        <f>RECAP!BV12</f>
        <v>0</v>
      </c>
      <c r="J12" s="50">
        <f>RECAP!BO12</f>
        <v>0</v>
      </c>
      <c r="L12" s="169"/>
      <c r="M12" s="76"/>
      <c r="N12" s="76"/>
      <c r="P12" s="76"/>
      <c r="Q12" s="76"/>
      <c r="S12" s="77"/>
      <c r="T12" s="77"/>
      <c r="V12" s="90"/>
      <c r="W12" s="90"/>
      <c r="X12" s="90"/>
      <c r="Y12" s="91"/>
      <c r="Z12" s="91"/>
      <c r="AB12" s="162" t="s">
        <v>125</v>
      </c>
      <c r="AC12" s="162">
        <f t="shared" si="1"/>
        <v>0</v>
      </c>
      <c r="AD12" s="163" cm="1">
        <f t="array" aca="1" ref="AD12" ca="1">maj(AB12)</f>
        <v>0</v>
      </c>
      <c r="AE12" s="162">
        <f t="shared" ca="1" si="0"/>
        <v>0</v>
      </c>
      <c r="AF12" s="155">
        <f t="shared" ca="1" si="2"/>
        <v>0</v>
      </c>
      <c r="AG12" s="162">
        <f t="shared" ca="1" si="3"/>
        <v>0</v>
      </c>
      <c r="AH12" s="162">
        <f t="shared" ca="1" si="4"/>
        <v>0</v>
      </c>
    </row>
    <row r="13" spans="1:34" s="19" customFormat="1" ht="20.100000000000001" customHeight="1" x14ac:dyDescent="0.25">
      <c r="A13" s="203"/>
      <c r="B13" s="59">
        <f t="shared" si="5"/>
        <v>44434</v>
      </c>
      <c r="C13" s="75"/>
      <c r="D13" s="167"/>
      <c r="E13" s="167"/>
      <c r="F13" s="167">
        <f>RECAP!BS13</f>
        <v>0</v>
      </c>
      <c r="G13" s="167">
        <f>RECAP!BT13</f>
        <v>0</v>
      </c>
      <c r="H13" s="60" t="str">
        <f>RECAP!BU13</f>
        <v>Accident du travail</v>
      </c>
      <c r="I13" s="167">
        <f>RECAP!BV13</f>
        <v>0</v>
      </c>
      <c r="J13" s="50">
        <f>RECAP!BO13</f>
        <v>0</v>
      </c>
      <c r="L13" s="169"/>
      <c r="M13" s="76"/>
      <c r="N13" s="76"/>
      <c r="P13" s="76"/>
      <c r="Q13" s="76"/>
      <c r="S13" s="77"/>
      <c r="T13" s="77"/>
      <c r="V13" s="90"/>
      <c r="W13" s="90"/>
      <c r="X13" s="90"/>
      <c r="Y13" s="91"/>
      <c r="Z13" s="91"/>
      <c r="AB13" s="162" t="s">
        <v>122</v>
      </c>
      <c r="AC13" s="162">
        <f t="shared" si="1"/>
        <v>0</v>
      </c>
      <c r="AD13" s="163" cm="1">
        <f t="array" aca="1" ref="AD13" ca="1">maj(AB13)</f>
        <v>0</v>
      </c>
      <c r="AE13" s="162">
        <f t="shared" ca="1" si="0"/>
        <v>0</v>
      </c>
      <c r="AF13" s="155">
        <f t="shared" ca="1" si="2"/>
        <v>0</v>
      </c>
      <c r="AG13" s="162">
        <f t="shared" ca="1" si="3"/>
        <v>0</v>
      </c>
      <c r="AH13" s="162">
        <f t="shared" ca="1" si="4"/>
        <v>0</v>
      </c>
    </row>
    <row r="14" spans="1:34" s="19" customFormat="1" ht="20.100000000000001" customHeight="1" x14ac:dyDescent="0.25">
      <c r="A14" s="203"/>
      <c r="B14" s="59">
        <f t="shared" si="5"/>
        <v>44435</v>
      </c>
      <c r="C14" s="75"/>
      <c r="D14" s="167"/>
      <c r="E14" s="167"/>
      <c r="F14" s="167">
        <f>RECAP!BS14</f>
        <v>0</v>
      </c>
      <c r="G14" s="167">
        <f>RECAP!BT14</f>
        <v>0</v>
      </c>
      <c r="H14" s="60" t="str">
        <f>RECAP!BU14</f>
        <v>Accident du travail</v>
      </c>
      <c r="I14" s="167">
        <f>RECAP!BV14</f>
        <v>0</v>
      </c>
      <c r="J14" s="50">
        <f>RECAP!BO14</f>
        <v>0</v>
      </c>
      <c r="L14" s="169"/>
      <c r="M14" s="76"/>
      <c r="N14" s="76"/>
      <c r="P14" s="76"/>
      <c r="Q14" s="76"/>
      <c r="S14" s="77"/>
      <c r="T14" s="77"/>
      <c r="V14" s="90"/>
      <c r="W14" s="90"/>
      <c r="X14" s="90"/>
      <c r="Y14" s="91"/>
      <c r="Z14" s="91"/>
      <c r="AB14" s="162" t="s">
        <v>41</v>
      </c>
      <c r="AC14" s="162">
        <f t="shared" si="1"/>
        <v>42</v>
      </c>
      <c r="AD14" s="163" cm="1">
        <f t="array" aca="1" ref="AD14" ca="1">maj(AB14)</f>
        <v>0</v>
      </c>
      <c r="AE14" s="162">
        <f t="shared" ca="1" si="0"/>
        <v>42</v>
      </c>
      <c r="AF14" s="155">
        <f t="shared" ca="1" si="2"/>
        <v>0.24034334763948498</v>
      </c>
      <c r="AG14" s="162">
        <f t="shared" ca="1" si="3"/>
        <v>1080.32652360515</v>
      </c>
      <c r="AH14" s="162">
        <f ca="1">AF14*$I$58</f>
        <v>31.405665236051497</v>
      </c>
    </row>
    <row r="15" spans="1:34" s="19" customFormat="1" ht="20.100000000000001" customHeight="1" x14ac:dyDescent="0.25">
      <c r="A15" s="203"/>
      <c r="B15" s="48">
        <f t="shared" si="5"/>
        <v>44436</v>
      </c>
      <c r="C15" s="78"/>
      <c r="D15" s="166">
        <f>RECAP!BQ15</f>
        <v>0</v>
      </c>
      <c r="E15" s="166">
        <f>RECAP!BR15</f>
        <v>0</v>
      </c>
      <c r="F15" s="166">
        <f>RECAP!BS15</f>
        <v>0</v>
      </c>
      <c r="G15" s="166">
        <f>RECAP!BT15</f>
        <v>0</v>
      </c>
      <c r="H15" s="51" t="str">
        <f>RECAP!BU15</f>
        <v>Accident du travail</v>
      </c>
      <c r="I15" s="166">
        <f>RECAP!BV15</f>
        <v>0</v>
      </c>
      <c r="J15" s="49">
        <f>RECAP!BO15</f>
        <v>0</v>
      </c>
      <c r="L15" s="115">
        <f>SUM(D9:E15)+SUM(L9:L14)</f>
        <v>1</v>
      </c>
      <c r="M15" s="116">
        <f>IF(L15&lt;C15,C15-L15,0)</f>
        <v>0</v>
      </c>
      <c r="N15" s="117">
        <f>IF(L15&gt;C15,L15-C15,0)</f>
        <v>1</v>
      </c>
      <c r="P15" s="117">
        <f>IF(N15&gt;8,8,N15)</f>
        <v>1</v>
      </c>
      <c r="Q15" s="117">
        <f>IF(N15&gt;8,N15-P15,0)</f>
        <v>0</v>
      </c>
      <c r="S15" s="79">
        <f>IF(SUM(E9:E15)&gt;SUM(Q15:Q15),SUM(E9:E15)-Q15-T15,0)</f>
        <v>0</v>
      </c>
      <c r="T15" s="79">
        <v>0</v>
      </c>
      <c r="V15" s="80">
        <f>SUM(V9:V14)</f>
        <v>8</v>
      </c>
      <c r="W15" s="80">
        <f>SUM(W9:W14)</f>
        <v>9</v>
      </c>
      <c r="X15" s="80">
        <f>SUM(X9:X14)</f>
        <v>10</v>
      </c>
      <c r="Z15" s="81">
        <f>SUM(G9:G15)</f>
        <v>0</v>
      </c>
      <c r="AB15" s="162" t="s">
        <v>59</v>
      </c>
      <c r="AC15" s="162">
        <f t="shared" si="1"/>
        <v>42</v>
      </c>
      <c r="AD15" s="163" cm="1">
        <f t="array" aca="1" ref="AD15" ca="1">maj(AB15)</f>
        <v>0</v>
      </c>
      <c r="AE15" s="162">
        <f t="shared" ca="1" si="0"/>
        <v>42</v>
      </c>
      <c r="AF15" s="155">
        <f t="shared" ca="1" si="2"/>
        <v>0.24034334763948498</v>
      </c>
      <c r="AG15" s="162">
        <f t="shared" ca="1" si="3"/>
        <v>1080.32652360515</v>
      </c>
      <c r="AH15" s="162">
        <f t="shared" ca="1" si="4"/>
        <v>31.405665236051497</v>
      </c>
    </row>
    <row r="16" spans="1:34" s="19" customFormat="1" ht="20.100000000000001" customHeight="1" x14ac:dyDescent="0.25">
      <c r="A16" s="203"/>
      <c r="B16" s="48">
        <f t="shared" si="5"/>
        <v>44437</v>
      </c>
      <c r="C16" s="78">
        <f>Base!C15</f>
        <v>35</v>
      </c>
      <c r="D16" s="166">
        <f>RECAP!BQ16</f>
        <v>0</v>
      </c>
      <c r="E16" s="166">
        <f>RECAP!BR16</f>
        <v>0</v>
      </c>
      <c r="F16" s="166">
        <f>RECAP!BS16</f>
        <v>0</v>
      </c>
      <c r="G16" s="166">
        <f>RECAP!BT16</f>
        <v>0</v>
      </c>
      <c r="H16" s="51" t="str">
        <f>RECAP!BU16</f>
        <v>Accident du travail</v>
      </c>
      <c r="I16" s="166">
        <f>RECAP!BV16</f>
        <v>0</v>
      </c>
      <c r="J16" s="49">
        <f>RECAP!BO16</f>
        <v>0</v>
      </c>
      <c r="L16" s="115">
        <f>SUM(D10:E16)+SUM(L10:L15)</f>
        <v>2</v>
      </c>
      <c r="M16" s="116">
        <f>IF(L16&lt;C16,C16-L16,0)</f>
        <v>33</v>
      </c>
      <c r="N16" s="117">
        <f>IF(L16&gt;C16,L16-C16,0)</f>
        <v>0</v>
      </c>
      <c r="P16" s="117">
        <f>IF(N16&gt;8,8,N16)</f>
        <v>0</v>
      </c>
      <c r="Q16" s="117">
        <f>IF(N16&gt;8,N16-P16,0)</f>
        <v>0</v>
      </c>
      <c r="S16" s="79">
        <f>IF(SUM(E10:E16)&gt;SUM(Q16:Q16),SUM(E10:E16)-Q16-T16,0)</f>
        <v>0</v>
      </c>
      <c r="T16" s="79">
        <v>0</v>
      </c>
      <c r="V16" s="80">
        <f>SUM(V10:V15)</f>
        <v>16</v>
      </c>
      <c r="W16" s="80">
        <f>SUM(W10:W15)</f>
        <v>18</v>
      </c>
      <c r="X16" s="80">
        <f>SUM(X10:X15)</f>
        <v>20</v>
      </c>
      <c r="Z16" s="81">
        <f>SUM(G10:G16)</f>
        <v>0</v>
      </c>
      <c r="AB16" s="162" t="s">
        <v>39</v>
      </c>
      <c r="AC16" s="162">
        <f t="shared" si="1"/>
        <v>0</v>
      </c>
      <c r="AD16" s="163" cm="1">
        <f t="array" aca="1" ref="AD16" ca="1">maj(AB16)</f>
        <v>0</v>
      </c>
      <c r="AE16" s="162">
        <f t="shared" ca="1" si="0"/>
        <v>0</v>
      </c>
      <c r="AF16" s="155">
        <f t="shared" ca="1" si="2"/>
        <v>0</v>
      </c>
      <c r="AG16" s="162">
        <f t="shared" ca="1" si="3"/>
        <v>0</v>
      </c>
      <c r="AH16" s="162">
        <f t="shared" ca="1" si="4"/>
        <v>0</v>
      </c>
    </row>
    <row r="17" spans="1:34" s="19" customFormat="1" ht="20.100000000000001" customHeight="1" x14ac:dyDescent="0.25">
      <c r="A17" s="203" t="str">
        <f>Base!A16</f>
        <v>S.35</v>
      </c>
      <c r="B17" s="112">
        <f t="shared" si="5"/>
        <v>44438</v>
      </c>
      <c r="C17" s="16"/>
      <c r="D17" s="167">
        <f>RECAP!BQ17</f>
        <v>0</v>
      </c>
      <c r="E17" s="167">
        <f>RECAP!BR17</f>
        <v>0</v>
      </c>
      <c r="F17" s="167">
        <f>RECAP!BS17</f>
        <v>0</v>
      </c>
      <c r="G17" s="167">
        <f>RECAP!BT17</f>
        <v>0</v>
      </c>
      <c r="H17" s="60" t="str">
        <f>RECAP!BU17</f>
        <v>Accident du travail</v>
      </c>
      <c r="I17" s="167">
        <f>RECAP!BV17</f>
        <v>0</v>
      </c>
      <c r="J17" s="50">
        <f>RECAP!BO17</f>
        <v>0</v>
      </c>
      <c r="V17" s="91"/>
      <c r="W17" s="91"/>
      <c r="X17" s="91"/>
      <c r="Y17" s="91"/>
      <c r="Z17" s="91"/>
      <c r="AB17" s="162" t="s">
        <v>75</v>
      </c>
      <c r="AC17" s="162">
        <f t="shared" si="1"/>
        <v>0</v>
      </c>
      <c r="AD17" s="163" cm="1">
        <f t="array" aca="1" ref="AD17" ca="1">maj(AB17)</f>
        <v>0</v>
      </c>
      <c r="AE17" s="162">
        <f t="shared" ca="1" si="0"/>
        <v>0</v>
      </c>
      <c r="AF17" s="155">
        <f t="shared" ca="1" si="2"/>
        <v>0</v>
      </c>
      <c r="AG17" s="162">
        <f t="shared" ca="1" si="3"/>
        <v>0</v>
      </c>
      <c r="AH17" s="162">
        <f t="shared" ca="1" si="4"/>
        <v>0</v>
      </c>
    </row>
    <row r="18" spans="1:34" s="19" customFormat="1" ht="20.100000000000001" customHeight="1" x14ac:dyDescent="0.25">
      <c r="A18" s="203"/>
      <c r="B18" s="58">
        <f t="shared" si="5"/>
        <v>44439</v>
      </c>
      <c r="C18" s="75"/>
      <c r="D18" s="167">
        <f>RECAP!BQ18</f>
        <v>0</v>
      </c>
      <c r="E18" s="167">
        <f>RECAP!BR18</f>
        <v>0</v>
      </c>
      <c r="F18" s="167">
        <f>RECAP!BS18</f>
        <v>0</v>
      </c>
      <c r="G18" s="167">
        <f>RECAP!BT18</f>
        <v>0</v>
      </c>
      <c r="H18" s="60" t="str">
        <f>RECAP!BU18</f>
        <v>Accident du travail</v>
      </c>
      <c r="I18" s="167">
        <f>RECAP!BV18</f>
        <v>0</v>
      </c>
      <c r="J18" s="50">
        <f>RECAP!BO18</f>
        <v>0</v>
      </c>
      <c r="V18" s="91"/>
      <c r="W18" s="91"/>
      <c r="X18" s="91"/>
      <c r="Y18" s="91"/>
      <c r="Z18" s="91"/>
      <c r="AB18" s="162" t="s">
        <v>126</v>
      </c>
      <c r="AC18" s="162">
        <f t="shared" si="1"/>
        <v>0</v>
      </c>
      <c r="AD18" s="163" cm="1">
        <f t="array" aca="1" ref="AD18" ca="1">maj(AB18)</f>
        <v>0</v>
      </c>
      <c r="AE18" s="162">
        <f t="shared" ca="1" si="0"/>
        <v>0</v>
      </c>
      <c r="AF18" s="155">
        <f t="shared" ca="1" si="2"/>
        <v>0</v>
      </c>
      <c r="AG18" s="162">
        <f t="shared" ca="1" si="3"/>
        <v>0</v>
      </c>
      <c r="AH18" s="162">
        <f t="shared" ca="1" si="4"/>
        <v>0</v>
      </c>
    </row>
    <row r="19" spans="1:34" s="19" customFormat="1" ht="20.100000000000001" customHeight="1" x14ac:dyDescent="0.25">
      <c r="A19" s="203"/>
      <c r="B19" s="59">
        <f t="shared" si="5"/>
        <v>44440</v>
      </c>
      <c r="C19" s="75"/>
      <c r="D19" s="167">
        <f>RECAP!BQ19</f>
        <v>0</v>
      </c>
      <c r="E19" s="167">
        <f>RECAP!BR19</f>
        <v>0</v>
      </c>
      <c r="F19" s="167">
        <f>RECAP!BS19</f>
        <v>0</v>
      </c>
      <c r="G19" s="167">
        <f>RECAP!BT19</f>
        <v>0</v>
      </c>
      <c r="H19" s="60" t="str">
        <f>RECAP!BU19</f>
        <v>Accident du travail</v>
      </c>
      <c r="I19" s="167">
        <f>RECAP!BV19</f>
        <v>0</v>
      </c>
      <c r="J19" s="49">
        <f>RECAP!BO19</f>
        <v>0</v>
      </c>
      <c r="L19" s="76"/>
      <c r="M19" s="76"/>
      <c r="N19" s="76"/>
      <c r="P19" s="76"/>
      <c r="Q19" s="76"/>
      <c r="S19" s="77"/>
      <c r="T19" s="77"/>
      <c r="V19" s="90"/>
      <c r="W19" s="90"/>
      <c r="X19" s="90"/>
      <c r="Y19" s="91"/>
      <c r="Z19" s="91"/>
      <c r="AB19" s="162" t="s">
        <v>127</v>
      </c>
      <c r="AC19" s="162">
        <f t="shared" si="1"/>
        <v>0</v>
      </c>
      <c r="AD19" s="163" cm="1">
        <f t="array" aca="1" ref="AD19" ca="1">maj(AB19)</f>
        <v>0</v>
      </c>
      <c r="AE19" s="162">
        <f t="shared" ca="1" si="0"/>
        <v>0</v>
      </c>
      <c r="AF19" s="155">
        <f t="shared" ca="1" si="2"/>
        <v>0</v>
      </c>
      <c r="AG19" s="162">
        <f t="shared" ca="1" si="3"/>
        <v>0</v>
      </c>
      <c r="AH19" s="162">
        <f t="shared" ca="1" si="4"/>
        <v>0</v>
      </c>
    </row>
    <row r="20" spans="1:34" s="19" customFormat="1" ht="20.100000000000001" customHeight="1" x14ac:dyDescent="0.25">
      <c r="A20" s="203"/>
      <c r="B20" s="58">
        <f t="shared" si="5"/>
        <v>44441</v>
      </c>
      <c r="C20" s="75"/>
      <c r="D20" s="167">
        <f>RECAP!BQ20</f>
        <v>0</v>
      </c>
      <c r="E20" s="167">
        <f>RECAP!BR20</f>
        <v>0</v>
      </c>
      <c r="F20" s="167">
        <f>RECAP!BS20</f>
        <v>0</v>
      </c>
      <c r="G20" s="167">
        <f>RECAP!BT20</f>
        <v>0</v>
      </c>
      <c r="H20" s="60" t="str">
        <f>RECAP!BU20</f>
        <v>Accident du travail</v>
      </c>
      <c r="I20" s="167">
        <f>RECAP!BV20</f>
        <v>0</v>
      </c>
      <c r="J20" s="50">
        <f>RECAP!BO20</f>
        <v>0</v>
      </c>
      <c r="L20" s="76"/>
      <c r="M20" s="76"/>
      <c r="N20" s="76"/>
      <c r="P20" s="76"/>
      <c r="Q20" s="76"/>
      <c r="S20" s="77"/>
      <c r="T20" s="77"/>
      <c r="V20" s="90"/>
      <c r="W20" s="90"/>
      <c r="X20" s="90"/>
      <c r="Y20" s="91"/>
      <c r="Z20" s="91"/>
      <c r="AB20" s="162" t="s">
        <v>128</v>
      </c>
      <c r="AC20" s="162">
        <f t="shared" si="1"/>
        <v>0</v>
      </c>
      <c r="AD20" s="163" cm="1">
        <f t="array" aca="1" ref="AD20" ca="1">maj(AB20)</f>
        <v>0</v>
      </c>
      <c r="AE20" s="162">
        <f t="shared" ca="1" si="0"/>
        <v>0</v>
      </c>
      <c r="AF20" s="155">
        <f t="shared" ca="1" si="2"/>
        <v>0</v>
      </c>
      <c r="AG20" s="162">
        <f t="shared" ca="1" si="3"/>
        <v>0</v>
      </c>
      <c r="AH20" s="162">
        <f t="shared" ca="1" si="4"/>
        <v>0</v>
      </c>
    </row>
    <row r="21" spans="1:34" s="19" customFormat="1" ht="20.100000000000001" customHeight="1" x14ac:dyDescent="0.25">
      <c r="A21" s="203"/>
      <c r="B21" s="58">
        <f t="shared" si="5"/>
        <v>44442</v>
      </c>
      <c r="C21" s="75"/>
      <c r="D21" s="167">
        <f>RECAP!BQ21</f>
        <v>0</v>
      </c>
      <c r="E21" s="167">
        <f>RECAP!BR21</f>
        <v>0</v>
      </c>
      <c r="F21" s="167">
        <f>RECAP!BS21</f>
        <v>0</v>
      </c>
      <c r="G21" s="167">
        <f>RECAP!BT21</f>
        <v>0</v>
      </c>
      <c r="H21" s="60" t="str">
        <f>RECAP!BU21</f>
        <v>Accident du travail</v>
      </c>
      <c r="I21" s="167">
        <f>RECAP!BV21</f>
        <v>0</v>
      </c>
      <c r="J21" s="50">
        <f>RECAP!BO21</f>
        <v>0</v>
      </c>
      <c r="L21" s="76"/>
      <c r="M21" s="76"/>
      <c r="N21" s="76"/>
      <c r="P21" s="76"/>
      <c r="Q21" s="76"/>
      <c r="S21" s="77"/>
      <c r="T21" s="77"/>
      <c r="V21" s="90"/>
      <c r="W21" s="90"/>
      <c r="X21" s="90"/>
      <c r="Y21" s="91"/>
      <c r="Z21" s="91"/>
      <c r="AB21" s="162" t="s">
        <v>55</v>
      </c>
      <c r="AC21" s="162">
        <f t="shared" si="1"/>
        <v>49</v>
      </c>
      <c r="AD21" s="163" cm="1">
        <f t="array" aca="1" ref="AD21" ca="1">maj(AB21)</f>
        <v>0</v>
      </c>
      <c r="AE21" s="162">
        <f t="shared" ca="1" si="0"/>
        <v>49</v>
      </c>
      <c r="AF21" s="155">
        <f t="shared" ca="1" si="2"/>
        <v>0.28040057224606579</v>
      </c>
      <c r="AG21" s="162">
        <f t="shared" ca="1" si="3"/>
        <v>1260.3809442060083</v>
      </c>
      <c r="AH21" s="162">
        <f t="shared" ca="1" si="4"/>
        <v>36.639942775393415</v>
      </c>
    </row>
    <row r="22" spans="1:34" s="19" customFormat="1" ht="20.100000000000001" customHeight="1" x14ac:dyDescent="0.25">
      <c r="A22" s="203"/>
      <c r="B22" s="48">
        <f t="shared" si="5"/>
        <v>44443</v>
      </c>
      <c r="C22" s="78"/>
      <c r="D22" s="166">
        <f>RECAP!BQ22</f>
        <v>0</v>
      </c>
      <c r="E22" s="166">
        <f>RECAP!BR22</f>
        <v>0</v>
      </c>
      <c r="F22" s="166">
        <f>RECAP!BS22</f>
        <v>0</v>
      </c>
      <c r="G22" s="166">
        <f>RECAP!BT22</f>
        <v>0</v>
      </c>
      <c r="H22" s="51">
        <f>RECAP!BU22</f>
        <v>0</v>
      </c>
      <c r="I22" s="166">
        <f>RECAP!BV22</f>
        <v>0</v>
      </c>
      <c r="J22" s="49">
        <f>RECAP!BO22</f>
        <v>0</v>
      </c>
      <c r="L22" s="76"/>
      <c r="M22" s="76"/>
      <c r="N22" s="76"/>
      <c r="P22" s="76"/>
      <c r="Q22" s="76"/>
      <c r="S22" s="77"/>
      <c r="T22" s="77"/>
      <c r="V22" s="90"/>
      <c r="W22" s="90"/>
      <c r="X22" s="90"/>
      <c r="Y22" s="91"/>
      <c r="Z22" s="91"/>
      <c r="AB22" s="162" t="s">
        <v>129</v>
      </c>
      <c r="AC22" s="162">
        <f t="shared" si="1"/>
        <v>0</v>
      </c>
      <c r="AD22" s="163" cm="1">
        <f t="array" aca="1" ref="AD22" ca="1">maj(AB22)</f>
        <v>0</v>
      </c>
      <c r="AE22" s="162">
        <f t="shared" ca="1" si="0"/>
        <v>0</v>
      </c>
      <c r="AF22" s="155">
        <f t="shared" ca="1" si="2"/>
        <v>0</v>
      </c>
      <c r="AG22" s="162">
        <f t="shared" ca="1" si="3"/>
        <v>0</v>
      </c>
      <c r="AH22" s="162">
        <f t="shared" ca="1" si="4"/>
        <v>0</v>
      </c>
    </row>
    <row r="23" spans="1:34" s="19" customFormat="1" ht="20.100000000000001" customHeight="1" x14ac:dyDescent="0.25">
      <c r="A23" s="203"/>
      <c r="B23" s="48">
        <f t="shared" si="5"/>
        <v>44444</v>
      </c>
      <c r="C23" s="78">
        <f>Base!C22</f>
        <v>35</v>
      </c>
      <c r="D23" s="166">
        <f>RECAP!BQ23</f>
        <v>0</v>
      </c>
      <c r="E23" s="166">
        <f>RECAP!BR23</f>
        <v>0</v>
      </c>
      <c r="F23" s="166">
        <f>RECAP!BS23</f>
        <v>0</v>
      </c>
      <c r="G23" s="166">
        <f>RECAP!BT23</f>
        <v>0</v>
      </c>
      <c r="H23" s="51">
        <f>RECAP!BU23</f>
        <v>0</v>
      </c>
      <c r="I23" s="166">
        <f>RECAP!BV23</f>
        <v>0</v>
      </c>
      <c r="J23" s="49">
        <f>RECAP!BO23</f>
        <v>0</v>
      </c>
      <c r="L23" s="115">
        <f>SUM(D17:E23)+SUM(L17:L22)</f>
        <v>0</v>
      </c>
      <c r="M23" s="116">
        <f>IF(L23&lt;C23,C23-L23,0)</f>
        <v>35</v>
      </c>
      <c r="N23" s="117">
        <f>IF(L23&gt;C23,L23-C23,0)</f>
        <v>0</v>
      </c>
      <c r="P23" s="117">
        <f>IF(N23&gt;8,8,N23)</f>
        <v>0</v>
      </c>
      <c r="Q23" s="117">
        <f>IF(N23&gt;8,N23-P23,0)</f>
        <v>0</v>
      </c>
      <c r="S23" s="79">
        <f>IF(SUM(E17:E23)&gt;SUM(Q23:Q23),SUM(E17:E23)-Q23-T23,0)</f>
        <v>0</v>
      </c>
      <c r="T23" s="79">
        <f>IF(SUM(E17:E23)&gt;N23,SUM(E17:E23)-N23,0)</f>
        <v>0</v>
      </c>
      <c r="V23" s="80">
        <f>SUM(V17:V22)</f>
        <v>0</v>
      </c>
      <c r="W23" s="80">
        <f>SUM(W17:W22)</f>
        <v>0</v>
      </c>
      <c r="X23" s="80">
        <f>SUM(X17:X22)</f>
        <v>0</v>
      </c>
      <c r="Z23" s="81">
        <f>SUM(G17:G23)</f>
        <v>0</v>
      </c>
      <c r="AB23" s="162" t="s">
        <v>130</v>
      </c>
      <c r="AC23" s="162">
        <f t="shared" si="1"/>
        <v>0</v>
      </c>
      <c r="AD23" s="163" cm="1">
        <f t="array" aca="1" ref="AD23" ca="1">maj(AB23)</f>
        <v>0</v>
      </c>
      <c r="AE23" s="162">
        <f t="shared" ca="1" si="0"/>
        <v>0</v>
      </c>
      <c r="AF23" s="155">
        <f t="shared" ca="1" si="2"/>
        <v>0</v>
      </c>
      <c r="AG23" s="162">
        <f t="shared" ca="1" si="3"/>
        <v>0</v>
      </c>
      <c r="AH23" s="162">
        <f t="shared" ca="1" si="4"/>
        <v>0</v>
      </c>
    </row>
    <row r="24" spans="1:34" s="19" customFormat="1" ht="20.100000000000001" customHeight="1" x14ac:dyDescent="0.25">
      <c r="A24" s="203" t="str">
        <f>Base!A23</f>
        <v>S.36</v>
      </c>
      <c r="B24" s="58">
        <f t="shared" si="5"/>
        <v>44445</v>
      </c>
      <c r="C24" s="75"/>
      <c r="D24" s="167">
        <f>RECAP!BQ24</f>
        <v>7</v>
      </c>
      <c r="E24" s="167">
        <v>7</v>
      </c>
      <c r="F24" s="167">
        <f>RECAP!BS24</f>
        <v>83</v>
      </c>
      <c r="G24" s="167">
        <f>RECAP!BT24</f>
        <v>0</v>
      </c>
      <c r="H24" s="60" t="str">
        <f>RECAP!BU24</f>
        <v xml:space="preserve">UP NORD VITRY SUR SEINE </v>
      </c>
      <c r="I24" s="167" t="str">
        <f>RECAP!BV24</f>
        <v>CAT21005-01</v>
      </c>
      <c r="J24" s="50">
        <f>RECAP!BO24</f>
        <v>0</v>
      </c>
      <c r="V24" s="91"/>
      <c r="W24" s="91"/>
      <c r="X24" s="91"/>
      <c r="Y24" s="91"/>
      <c r="Z24" s="91"/>
      <c r="AB24" s="162" t="s">
        <v>131</v>
      </c>
      <c r="AC24" s="162">
        <f t="shared" si="1"/>
        <v>0</v>
      </c>
      <c r="AD24" s="163" cm="1">
        <f t="array" aca="1" ref="AD24" ca="1">maj(AB24)</f>
        <v>0</v>
      </c>
      <c r="AE24" s="162">
        <f t="shared" ca="1" si="0"/>
        <v>0</v>
      </c>
      <c r="AF24" s="155">
        <f t="shared" ca="1" si="2"/>
        <v>0</v>
      </c>
      <c r="AG24" s="162">
        <f t="shared" ca="1" si="3"/>
        <v>0</v>
      </c>
      <c r="AH24" s="162">
        <f t="shared" ca="1" si="4"/>
        <v>0</v>
      </c>
    </row>
    <row r="25" spans="1:34" s="19" customFormat="1" ht="20.100000000000001" customHeight="1" x14ac:dyDescent="0.25">
      <c r="A25" s="203"/>
      <c r="B25" s="58">
        <f t="shared" si="5"/>
        <v>44446</v>
      </c>
      <c r="C25" s="75"/>
      <c r="D25" s="167">
        <f>RECAP!BQ25</f>
        <v>7</v>
      </c>
      <c r="E25" s="167">
        <f>RECAP!BR25</f>
        <v>0</v>
      </c>
      <c r="F25" s="167">
        <f>RECAP!BS25</f>
        <v>83</v>
      </c>
      <c r="G25" s="167">
        <f>RECAP!BT25</f>
        <v>0</v>
      </c>
      <c r="H25" s="60" t="str">
        <f>RECAP!BU25</f>
        <v xml:space="preserve">UP NORD VITRY SUR SEINE </v>
      </c>
      <c r="I25" s="167" t="str">
        <f>RECAP!BV25</f>
        <v>CAT21005-01</v>
      </c>
      <c r="J25" s="50">
        <f>RECAP!BO25</f>
        <v>0</v>
      </c>
      <c r="V25" s="91"/>
      <c r="W25" s="91"/>
      <c r="X25" s="91"/>
      <c r="Y25" s="91"/>
      <c r="Z25" s="91"/>
      <c r="AB25" s="162" t="s">
        <v>132</v>
      </c>
      <c r="AC25" s="162">
        <f t="shared" si="1"/>
        <v>0</v>
      </c>
      <c r="AD25" s="163" cm="1">
        <f t="array" aca="1" ref="AD25" ca="1">maj(AB25)</f>
        <v>0</v>
      </c>
      <c r="AE25" s="162">
        <f t="shared" ca="1" si="0"/>
        <v>0</v>
      </c>
      <c r="AF25" s="155">
        <f t="shared" ca="1" si="2"/>
        <v>0</v>
      </c>
      <c r="AG25" s="162">
        <f t="shared" ca="1" si="3"/>
        <v>0</v>
      </c>
      <c r="AH25" s="162">
        <f t="shared" ca="1" si="4"/>
        <v>0</v>
      </c>
    </row>
    <row r="26" spans="1:34" s="19" customFormat="1" ht="20.100000000000001" customHeight="1" x14ac:dyDescent="0.25">
      <c r="A26" s="203"/>
      <c r="B26" s="58">
        <f t="shared" si="5"/>
        <v>44447</v>
      </c>
      <c r="C26" s="75"/>
      <c r="D26" s="167">
        <f>RECAP!BQ26</f>
        <v>7</v>
      </c>
      <c r="E26" s="167">
        <v>7</v>
      </c>
      <c r="F26" s="167">
        <f>RECAP!BS26</f>
        <v>83</v>
      </c>
      <c r="G26" s="167">
        <f>RECAP!BT26</f>
        <v>0</v>
      </c>
      <c r="H26" s="60" t="str">
        <f>RECAP!BU26</f>
        <v>DEPOT VSG</v>
      </c>
      <c r="I26" s="167" t="str">
        <f>RECAP!BV26</f>
        <v>CAT21005</v>
      </c>
      <c r="J26" s="50">
        <f>RECAP!BO26</f>
        <v>0</v>
      </c>
      <c r="L26" s="76"/>
      <c r="M26" s="76"/>
      <c r="N26" s="76"/>
      <c r="P26" s="76"/>
      <c r="Q26" s="76"/>
      <c r="S26" s="77"/>
      <c r="T26" s="77"/>
      <c r="V26" s="90"/>
      <c r="W26" s="90"/>
      <c r="X26" s="90"/>
      <c r="Y26" s="91"/>
      <c r="Z26" s="91"/>
      <c r="AB26" s="162" t="s">
        <v>133</v>
      </c>
      <c r="AC26" s="162">
        <f t="shared" si="1"/>
        <v>0</v>
      </c>
      <c r="AD26" s="163" cm="1">
        <f t="array" aca="1" ref="AD26" ca="1">maj(AB26)</f>
        <v>0</v>
      </c>
      <c r="AE26" s="162">
        <f t="shared" ca="1" si="0"/>
        <v>0</v>
      </c>
      <c r="AF26" s="155">
        <f t="shared" ca="1" si="2"/>
        <v>0</v>
      </c>
      <c r="AG26" s="162">
        <f t="shared" ca="1" si="3"/>
        <v>0</v>
      </c>
      <c r="AH26" s="162">
        <f t="shared" ca="1" si="4"/>
        <v>0</v>
      </c>
    </row>
    <row r="27" spans="1:34" s="19" customFormat="1" ht="20.100000000000001" customHeight="1" x14ac:dyDescent="0.25">
      <c r="A27" s="203"/>
      <c r="B27" s="58">
        <f t="shared" si="5"/>
        <v>44448</v>
      </c>
      <c r="C27" s="75"/>
      <c r="D27" s="167">
        <f>RECAP!BQ27</f>
        <v>7</v>
      </c>
      <c r="E27" s="167">
        <v>7</v>
      </c>
      <c r="F27" s="167">
        <f>RECAP!BS27</f>
        <v>83</v>
      </c>
      <c r="G27" s="167">
        <f>RECAP!BT27</f>
        <v>0</v>
      </c>
      <c r="H27" s="60" t="str">
        <f>RECAP!BU27</f>
        <v>DEPOT VSG</v>
      </c>
      <c r="I27" s="167" t="str">
        <f>RECAP!BV27</f>
        <v>CAT21005</v>
      </c>
      <c r="J27" s="50">
        <f>RECAP!BO27</f>
        <v>0</v>
      </c>
      <c r="L27" s="76"/>
      <c r="M27" s="76"/>
      <c r="N27" s="76"/>
      <c r="P27" s="76"/>
      <c r="Q27" s="76"/>
      <c r="S27" s="77"/>
      <c r="T27" s="77"/>
      <c r="V27" s="90"/>
      <c r="W27" s="90"/>
      <c r="X27" s="90"/>
      <c r="Y27" s="91"/>
      <c r="Z27" s="91"/>
      <c r="AB27" s="162" t="s">
        <v>134</v>
      </c>
      <c r="AC27" s="162">
        <f t="shared" si="1"/>
        <v>0</v>
      </c>
      <c r="AD27" s="163" cm="1">
        <f t="array" aca="1" ref="AD27" ca="1">maj(AB27)</f>
        <v>0</v>
      </c>
      <c r="AE27" s="162">
        <f t="shared" ca="1" si="0"/>
        <v>0</v>
      </c>
      <c r="AF27" s="155">
        <f t="shared" ca="1" si="2"/>
        <v>0</v>
      </c>
      <c r="AG27" s="162">
        <f t="shared" ca="1" si="3"/>
        <v>0</v>
      </c>
      <c r="AH27" s="162">
        <f t="shared" ca="1" si="4"/>
        <v>0</v>
      </c>
    </row>
    <row r="28" spans="1:34" s="19" customFormat="1" ht="20.100000000000001" customHeight="1" x14ac:dyDescent="0.25">
      <c r="A28" s="203"/>
      <c r="B28" s="58">
        <f t="shared" si="5"/>
        <v>44449</v>
      </c>
      <c r="C28" s="75"/>
      <c r="D28" s="167">
        <f>RECAP!BQ28</f>
        <v>7</v>
      </c>
      <c r="E28" s="167">
        <v>7</v>
      </c>
      <c r="F28" s="167">
        <f>RECAP!BS28</f>
        <v>18.600000000000001</v>
      </c>
      <c r="G28" s="167">
        <f>RECAP!BT28</f>
        <v>0</v>
      </c>
      <c r="H28" s="60" t="str">
        <f>RECAP!BU28</f>
        <v>HERSE VILLENEUVE ST GEORGES</v>
      </c>
      <c r="I28" s="167" t="str">
        <f>RECAP!BV28</f>
        <v>CAT21006-02</v>
      </c>
      <c r="J28" s="50">
        <f>RECAP!BO28</f>
        <v>0</v>
      </c>
      <c r="L28" s="76"/>
      <c r="M28" s="76"/>
      <c r="N28" s="76"/>
      <c r="P28" s="76"/>
      <c r="Q28" s="76"/>
      <c r="S28" s="77"/>
      <c r="T28" s="77"/>
      <c r="V28" s="90"/>
      <c r="W28" s="90"/>
      <c r="X28" s="90"/>
      <c r="Y28" s="91"/>
      <c r="Z28" s="91"/>
      <c r="AB28" s="162" t="s">
        <v>135</v>
      </c>
      <c r="AC28" s="162">
        <f t="shared" si="1"/>
        <v>0</v>
      </c>
      <c r="AD28" s="163" cm="1">
        <f t="array" aca="1" ref="AD28" ca="1">maj(AB28)</f>
        <v>0</v>
      </c>
      <c r="AE28" s="162">
        <f t="shared" ca="1" si="0"/>
        <v>0</v>
      </c>
      <c r="AF28" s="155">
        <f t="shared" ca="1" si="2"/>
        <v>0</v>
      </c>
      <c r="AG28" s="162">
        <f t="shared" ca="1" si="3"/>
        <v>0</v>
      </c>
      <c r="AH28" s="162">
        <f t="shared" ca="1" si="4"/>
        <v>0</v>
      </c>
    </row>
    <row r="29" spans="1:34" s="19" customFormat="1" ht="20.100000000000001" customHeight="1" x14ac:dyDescent="0.25">
      <c r="A29" s="203"/>
      <c r="B29" s="48">
        <f t="shared" si="5"/>
        <v>44450</v>
      </c>
      <c r="C29" s="78"/>
      <c r="D29" s="166">
        <f>RECAP!BQ29</f>
        <v>0</v>
      </c>
      <c r="E29" s="166"/>
      <c r="F29" s="166">
        <f>RECAP!BS29</f>
        <v>0</v>
      </c>
      <c r="G29" s="166">
        <f>RECAP!BT29</f>
        <v>0</v>
      </c>
      <c r="H29" s="51">
        <f>RECAP!BU29</f>
        <v>0</v>
      </c>
      <c r="I29" s="166" t="s">
        <v>41</v>
      </c>
      <c r="J29" s="49">
        <f>RECAP!BO29</f>
        <v>0</v>
      </c>
      <c r="L29" s="76"/>
      <c r="M29" s="76"/>
      <c r="N29" s="76"/>
      <c r="P29" s="76"/>
      <c r="Q29" s="76"/>
      <c r="S29" s="77"/>
      <c r="T29" s="77"/>
      <c r="V29" s="90"/>
      <c r="W29" s="90"/>
      <c r="X29" s="90"/>
      <c r="Y29" s="91"/>
      <c r="Z29" s="91"/>
      <c r="AB29" s="162" t="s">
        <v>136</v>
      </c>
      <c r="AC29" s="162">
        <f t="shared" si="1"/>
        <v>0</v>
      </c>
      <c r="AD29" s="163" cm="1">
        <f t="array" aca="1" ref="AD29" ca="1">maj(AB29)</f>
        <v>0</v>
      </c>
      <c r="AE29" s="162">
        <f t="shared" ca="1" si="0"/>
        <v>0</v>
      </c>
      <c r="AF29" s="155">
        <f t="shared" ca="1" si="2"/>
        <v>0</v>
      </c>
      <c r="AG29" s="162">
        <f t="shared" ca="1" si="3"/>
        <v>0</v>
      </c>
      <c r="AH29" s="162">
        <f t="shared" ca="1" si="4"/>
        <v>0</v>
      </c>
    </row>
    <row r="30" spans="1:34" s="19" customFormat="1" ht="20.100000000000001" customHeight="1" x14ac:dyDescent="0.25">
      <c r="A30" s="203"/>
      <c r="B30" s="48">
        <f t="shared" si="5"/>
        <v>44451</v>
      </c>
      <c r="C30" s="78">
        <f>Base!C29</f>
        <v>35</v>
      </c>
      <c r="D30" s="166">
        <f>RECAP!BQ30</f>
        <v>0</v>
      </c>
      <c r="E30" s="166"/>
      <c r="F30" s="166">
        <f>RECAP!BS30</f>
        <v>0</v>
      </c>
      <c r="G30" s="166">
        <f>RECAP!BT30</f>
        <v>0</v>
      </c>
      <c r="H30" s="51">
        <f>RECAP!BU30</f>
        <v>0</v>
      </c>
      <c r="I30" s="166">
        <f>RECAP!BV30</f>
        <v>0</v>
      </c>
      <c r="J30" s="49">
        <f>RECAP!BO30</f>
        <v>0</v>
      </c>
      <c r="L30" s="115">
        <f>SUM(D24:E30)+SUM(L24:L29)</f>
        <v>63</v>
      </c>
      <c r="M30" s="116">
        <f>IF(L30&lt;C30,C30-L30,0)</f>
        <v>0</v>
      </c>
      <c r="N30" s="117">
        <f>IF(L30&gt;C30,L30-C30,0)</f>
        <v>28</v>
      </c>
      <c r="P30" s="117">
        <f>IF(N30&gt;8,8,N30)</f>
        <v>8</v>
      </c>
      <c r="Q30" s="117">
        <f>IF(N30&gt;8,N30-P30,0)</f>
        <v>20</v>
      </c>
      <c r="S30" s="79">
        <f>IF(SUM(E24:E30)&gt;SUM(Q30:Q30),SUM(E24:E30)-Q30-T30,0)</f>
        <v>8</v>
      </c>
      <c r="T30" s="79">
        <f>IF(SUM(E24:E30)&gt;N30,SUM(E24:E30)-N30,0)</f>
        <v>0</v>
      </c>
      <c r="V30" s="80">
        <f>SUM(V24:V29)</f>
        <v>0</v>
      </c>
      <c r="W30" s="80">
        <f>SUM(W24:W29)</f>
        <v>0</v>
      </c>
      <c r="X30" s="80">
        <f>SUM(X24:X29)</f>
        <v>0</v>
      </c>
      <c r="Z30" s="81">
        <f>SUM(G24:G30)</f>
        <v>0</v>
      </c>
      <c r="AB30" s="162" t="s">
        <v>137</v>
      </c>
      <c r="AC30" s="162">
        <f t="shared" si="1"/>
        <v>0</v>
      </c>
      <c r="AD30" s="163" cm="1">
        <f t="array" aca="1" ref="AD30" ca="1">maj(AB30)</f>
        <v>0</v>
      </c>
      <c r="AE30" s="162">
        <f t="shared" ca="1" si="0"/>
        <v>0</v>
      </c>
      <c r="AF30" s="155">
        <f t="shared" ca="1" si="2"/>
        <v>0</v>
      </c>
      <c r="AG30" s="162">
        <f t="shared" ca="1" si="3"/>
        <v>0</v>
      </c>
      <c r="AH30" s="162">
        <f t="shared" ca="1" si="4"/>
        <v>0</v>
      </c>
    </row>
    <row r="31" spans="1:34" s="19" customFormat="1" ht="20.100000000000001" customHeight="1" x14ac:dyDescent="0.25">
      <c r="A31" s="203" t="str">
        <f>Base!A30</f>
        <v>S.37</v>
      </c>
      <c r="B31" s="58">
        <f t="shared" si="5"/>
        <v>44452</v>
      </c>
      <c r="C31" s="75"/>
      <c r="D31" s="167">
        <f>RECAP!BQ31</f>
        <v>7</v>
      </c>
      <c r="E31" s="167">
        <f>RECAP!BR31</f>
        <v>0</v>
      </c>
      <c r="F31" s="167">
        <f>RECAP!BS31</f>
        <v>83</v>
      </c>
      <c r="G31" s="167">
        <f>RECAP!BT31</f>
        <v>0</v>
      </c>
      <c r="H31" s="60" t="str">
        <f>RECAP!BU31</f>
        <v xml:space="preserve">UP NORD VITRY SUR SEINE </v>
      </c>
      <c r="I31" s="167" t="str">
        <f>RECAP!BV31</f>
        <v>CAT21005-01</v>
      </c>
      <c r="J31" s="50">
        <f>RECAP!BO31</f>
        <v>0</v>
      </c>
      <c r="V31" s="91"/>
      <c r="W31" s="91"/>
      <c r="X31" s="91"/>
      <c r="Y31" s="91"/>
      <c r="Z31" s="91"/>
      <c r="AB31" s="162" t="s">
        <v>138</v>
      </c>
      <c r="AC31" s="162">
        <f t="shared" si="1"/>
        <v>0</v>
      </c>
      <c r="AD31" s="163" cm="1">
        <f t="array" aca="1" ref="AD31" ca="1">maj(AB31)</f>
        <v>0</v>
      </c>
      <c r="AE31" s="162">
        <f t="shared" ca="1" si="0"/>
        <v>0</v>
      </c>
      <c r="AF31" s="155">
        <f t="shared" ca="1" si="2"/>
        <v>0</v>
      </c>
      <c r="AG31" s="162">
        <f t="shared" ca="1" si="3"/>
        <v>0</v>
      </c>
      <c r="AH31" s="162">
        <f t="shared" ca="1" si="4"/>
        <v>0</v>
      </c>
    </row>
    <row r="32" spans="1:34" s="19" customFormat="1" ht="20.100000000000001" customHeight="1" x14ac:dyDescent="0.25">
      <c r="A32" s="203"/>
      <c r="B32" s="58">
        <f t="shared" si="5"/>
        <v>44453</v>
      </c>
      <c r="C32" s="75"/>
      <c r="D32" s="167">
        <f>RECAP!BQ32</f>
        <v>7</v>
      </c>
      <c r="E32" s="167">
        <f>RECAP!BR32</f>
        <v>0</v>
      </c>
      <c r="F32" s="167">
        <f>RECAP!BS32</f>
        <v>83</v>
      </c>
      <c r="G32" s="167">
        <f>RECAP!BT32</f>
        <v>0</v>
      </c>
      <c r="H32" s="60" t="str">
        <f>RECAP!BU32</f>
        <v xml:space="preserve">UP NORD VITRY SUR SEINE </v>
      </c>
      <c r="I32" s="167" t="str">
        <f>RECAP!BV32</f>
        <v>CAT21005-01</v>
      </c>
      <c r="J32" s="50">
        <f>RECAP!BO32</f>
        <v>0</v>
      </c>
      <c r="V32" s="91"/>
      <c r="W32" s="91"/>
      <c r="X32" s="91"/>
      <c r="Y32" s="91"/>
      <c r="Z32" s="91"/>
      <c r="AB32" s="162" t="s">
        <v>139</v>
      </c>
      <c r="AC32" s="162">
        <f t="shared" si="1"/>
        <v>0</v>
      </c>
      <c r="AD32" s="163" cm="1">
        <f t="array" aca="1" ref="AD32" ca="1">maj(AB32)</f>
        <v>0</v>
      </c>
      <c r="AE32" s="162">
        <f t="shared" ca="1" si="0"/>
        <v>0</v>
      </c>
      <c r="AF32" s="155">
        <f t="shared" ca="1" si="2"/>
        <v>0</v>
      </c>
      <c r="AG32" s="162">
        <f t="shared" ca="1" si="3"/>
        <v>0</v>
      </c>
      <c r="AH32" s="162">
        <f t="shared" ca="1" si="4"/>
        <v>0</v>
      </c>
    </row>
    <row r="33" spans="1:34" s="19" customFormat="1" ht="20.100000000000001" customHeight="1" x14ac:dyDescent="0.25">
      <c r="A33" s="203"/>
      <c r="B33" s="58">
        <f t="shared" si="5"/>
        <v>44454</v>
      </c>
      <c r="C33" s="75"/>
      <c r="D33" s="167">
        <f>RECAP!BQ33</f>
        <v>7</v>
      </c>
      <c r="E33" s="167">
        <f>RECAP!BR33</f>
        <v>0</v>
      </c>
      <c r="F33" s="167">
        <f>RECAP!BS33</f>
        <v>83</v>
      </c>
      <c r="G33" s="167">
        <f>RECAP!BT33</f>
        <v>0</v>
      </c>
      <c r="H33" s="60" t="str">
        <f>RECAP!BU33</f>
        <v>UP MIXTE MONTREUIL</v>
      </c>
      <c r="I33" s="167" t="str">
        <f>RECAP!BV33</f>
        <v>CAT21005-01</v>
      </c>
      <c r="J33" s="50">
        <f>RECAP!BO33</f>
        <v>0</v>
      </c>
      <c r="L33" s="76"/>
      <c r="M33" s="76"/>
      <c r="N33" s="76"/>
      <c r="P33" s="76"/>
      <c r="Q33" s="76"/>
      <c r="S33" s="77"/>
      <c r="T33" s="77"/>
      <c r="V33" s="90"/>
      <c r="W33" s="90"/>
      <c r="X33" s="90"/>
      <c r="Y33" s="91"/>
      <c r="Z33" s="91"/>
      <c r="AB33" s="162" t="s">
        <v>140</v>
      </c>
      <c r="AC33" s="162">
        <f t="shared" si="1"/>
        <v>0</v>
      </c>
      <c r="AD33" s="163" cm="1">
        <f t="array" aca="1" ref="AD33" ca="1">maj(AB33)</f>
        <v>0</v>
      </c>
      <c r="AE33" s="162">
        <f t="shared" ca="1" si="0"/>
        <v>0</v>
      </c>
      <c r="AF33" s="155">
        <f t="shared" ca="1" si="2"/>
        <v>0</v>
      </c>
      <c r="AG33" s="162">
        <f t="shared" ca="1" si="3"/>
        <v>0</v>
      </c>
      <c r="AH33" s="162">
        <f t="shared" ca="1" si="4"/>
        <v>0</v>
      </c>
    </row>
    <row r="34" spans="1:34" s="19" customFormat="1" ht="20.100000000000001" customHeight="1" x14ac:dyDescent="0.25">
      <c r="A34" s="203"/>
      <c r="B34" s="59">
        <f t="shared" si="5"/>
        <v>44455</v>
      </c>
      <c r="C34" s="75"/>
      <c r="D34" s="167">
        <f>RECAP!BQ34</f>
        <v>7</v>
      </c>
      <c r="E34" s="167">
        <f>RECAP!BR34</f>
        <v>0</v>
      </c>
      <c r="F34" s="167">
        <f>RECAP!BS34</f>
        <v>83</v>
      </c>
      <c r="G34" s="167">
        <f>RECAP!BT34</f>
        <v>0</v>
      </c>
      <c r="H34" s="60" t="str">
        <f>RECAP!BU34</f>
        <v>DEPOT VSG</v>
      </c>
      <c r="I34" s="167" t="str">
        <f>RECAP!BV34</f>
        <v>CAT21005</v>
      </c>
      <c r="J34" s="50">
        <f>RECAP!BO34</f>
        <v>0</v>
      </c>
      <c r="L34" s="76"/>
      <c r="M34" s="76"/>
      <c r="N34" s="76"/>
      <c r="P34" s="76"/>
      <c r="Q34" s="76"/>
      <c r="S34" s="77"/>
      <c r="T34" s="77"/>
      <c r="V34" s="90"/>
      <c r="W34" s="90"/>
      <c r="X34" s="90"/>
      <c r="Y34" s="91"/>
      <c r="Z34" s="91"/>
      <c r="AB34" s="162" t="s">
        <v>141</v>
      </c>
      <c r="AC34" s="162">
        <f t="shared" si="1"/>
        <v>0</v>
      </c>
      <c r="AD34" s="163" cm="1">
        <f t="array" aca="1" ref="AD34" ca="1">maj(AB34)</f>
        <v>0</v>
      </c>
      <c r="AE34" s="162">
        <f t="shared" ca="1" si="0"/>
        <v>0</v>
      </c>
      <c r="AF34" s="155">
        <f t="shared" ca="1" si="2"/>
        <v>0</v>
      </c>
      <c r="AG34" s="162">
        <f t="shared" ca="1" si="3"/>
        <v>0</v>
      </c>
      <c r="AH34" s="162">
        <f t="shared" ca="1" si="4"/>
        <v>0</v>
      </c>
    </row>
    <row r="35" spans="1:34" s="19" customFormat="1" ht="20.100000000000001" customHeight="1" x14ac:dyDescent="0.25">
      <c r="A35" s="203"/>
      <c r="B35" s="58">
        <f t="shared" si="5"/>
        <v>44456</v>
      </c>
      <c r="C35" s="75"/>
      <c r="D35" s="167">
        <f>RECAP!BQ35</f>
        <v>7</v>
      </c>
      <c r="E35" s="167">
        <f>RECAP!BR35</f>
        <v>0</v>
      </c>
      <c r="F35" s="167">
        <f>RECAP!BS35</f>
        <v>18.600000000000001</v>
      </c>
      <c r="G35" s="167">
        <f>RECAP!BT35</f>
        <v>0</v>
      </c>
      <c r="H35" s="60" t="str">
        <f>RECAP!BU35</f>
        <v>DEPOT VSG</v>
      </c>
      <c r="I35" s="167" t="str">
        <f>RECAP!BV35</f>
        <v>CAT21005</v>
      </c>
      <c r="J35" s="50">
        <f>RECAP!BO35</f>
        <v>0</v>
      </c>
      <c r="L35" s="76"/>
      <c r="M35" s="76"/>
      <c r="N35" s="76"/>
      <c r="P35" s="76"/>
      <c r="Q35" s="76"/>
      <c r="S35" s="77"/>
      <c r="T35" s="77"/>
      <c r="V35" s="90"/>
      <c r="W35" s="90"/>
      <c r="X35" s="90"/>
      <c r="Y35" s="91"/>
      <c r="Z35" s="91"/>
      <c r="AB35" s="162" t="s">
        <v>142</v>
      </c>
      <c r="AC35" s="162">
        <f t="shared" si="1"/>
        <v>0</v>
      </c>
      <c r="AD35" s="163" cm="1">
        <f t="array" aca="1" ref="AD35" ca="1">maj(AB35)</f>
        <v>0</v>
      </c>
      <c r="AE35" s="162">
        <f t="shared" ca="1" si="0"/>
        <v>0</v>
      </c>
      <c r="AF35" s="155">
        <f t="shared" ca="1" si="2"/>
        <v>0</v>
      </c>
      <c r="AG35" s="162">
        <f t="shared" ca="1" si="3"/>
        <v>0</v>
      </c>
      <c r="AH35" s="162">
        <f t="shared" ca="1" si="4"/>
        <v>0</v>
      </c>
    </row>
    <row r="36" spans="1:34" s="19" customFormat="1" ht="20.100000000000001" customHeight="1" x14ac:dyDescent="0.25">
      <c r="A36" s="203"/>
      <c r="B36" s="48">
        <f t="shared" si="5"/>
        <v>44457</v>
      </c>
      <c r="C36" s="78"/>
      <c r="D36" s="166">
        <f>RECAP!BQ36</f>
        <v>0</v>
      </c>
      <c r="E36" s="166">
        <f>RECAP!BR36</f>
        <v>0</v>
      </c>
      <c r="F36" s="166">
        <f>RECAP!BS36</f>
        <v>0</v>
      </c>
      <c r="G36" s="166">
        <f>RECAP!BT36</f>
        <v>0</v>
      </c>
      <c r="H36" s="51">
        <f>RECAP!BU36</f>
        <v>0</v>
      </c>
      <c r="I36" s="166">
        <f>RECAP!BV36</f>
        <v>0</v>
      </c>
      <c r="J36" s="49">
        <f>RECAP!BO36</f>
        <v>0</v>
      </c>
      <c r="L36" s="76"/>
      <c r="M36" s="76"/>
      <c r="N36" s="76"/>
      <c r="P36" s="76"/>
      <c r="Q36" s="76"/>
      <c r="S36" s="77"/>
      <c r="T36" s="77"/>
      <c r="V36" s="90"/>
      <c r="W36" s="90"/>
      <c r="X36" s="90"/>
      <c r="Y36" s="91"/>
      <c r="Z36" s="91"/>
      <c r="AB36" s="162" t="s">
        <v>143</v>
      </c>
      <c r="AC36" s="162">
        <f t="shared" si="1"/>
        <v>0</v>
      </c>
      <c r="AD36" s="163" cm="1">
        <f t="array" aca="1" ref="AD36" ca="1">maj(AB36)</f>
        <v>0</v>
      </c>
      <c r="AE36" s="162">
        <f t="shared" ca="1" si="0"/>
        <v>0</v>
      </c>
      <c r="AF36" s="155">
        <f t="shared" ca="1" si="2"/>
        <v>0</v>
      </c>
      <c r="AG36" s="162">
        <f t="shared" ca="1" si="3"/>
        <v>0</v>
      </c>
      <c r="AH36" s="162">
        <f t="shared" ca="1" si="4"/>
        <v>0</v>
      </c>
    </row>
    <row r="37" spans="1:34" s="19" customFormat="1" ht="20.100000000000001" customHeight="1" x14ac:dyDescent="0.25">
      <c r="A37" s="203"/>
      <c r="B37" s="48">
        <f t="shared" si="5"/>
        <v>44458</v>
      </c>
      <c r="C37" s="78">
        <f>Base!C36</f>
        <v>35</v>
      </c>
      <c r="D37" s="166">
        <f>RECAP!BQ37</f>
        <v>0</v>
      </c>
      <c r="E37" s="166">
        <f>RECAP!BR37</f>
        <v>0</v>
      </c>
      <c r="F37" s="166">
        <f>RECAP!BS37</f>
        <v>0</v>
      </c>
      <c r="G37" s="166">
        <f>RECAP!BT37</f>
        <v>0</v>
      </c>
      <c r="H37" s="51">
        <f>RECAP!BU37</f>
        <v>0</v>
      </c>
      <c r="I37" s="166">
        <f>RECAP!BV37</f>
        <v>0</v>
      </c>
      <c r="J37" s="49">
        <f>RECAP!BO37</f>
        <v>0</v>
      </c>
      <c r="L37" s="115">
        <f>SUM(D31:E37)+SUM(L31:L36)</f>
        <v>35</v>
      </c>
      <c r="M37" s="116">
        <f>IF(L37&lt;C37,C37-L37,0)</f>
        <v>0</v>
      </c>
      <c r="N37" s="117">
        <f>IF(L37&gt;C37,L37-C37,0)</f>
        <v>0</v>
      </c>
      <c r="P37" s="117">
        <f>IF(N37&gt;8,8,N37)</f>
        <v>0</v>
      </c>
      <c r="Q37" s="117">
        <f>IF(N37&gt;8,N37-P37,0)</f>
        <v>0</v>
      </c>
      <c r="S37" s="79">
        <f>IF(SUM(E31:E37)&gt;SUM(Q37:Q37),SUM(E31:E37)-Q37-T37,0)</f>
        <v>0</v>
      </c>
      <c r="T37" s="79">
        <f>IF(SUM(E31:E37)&gt;N37,SUM(E31:E37)-N37,0)</f>
        <v>0</v>
      </c>
      <c r="V37" s="80">
        <f>SUM(V31:V36)</f>
        <v>0</v>
      </c>
      <c r="W37" s="80">
        <f>SUM(W31:W36)</f>
        <v>0</v>
      </c>
      <c r="X37" s="80">
        <f>SUM(X31:X36)</f>
        <v>0</v>
      </c>
      <c r="Z37" s="81">
        <f>SUM(G31:G37)</f>
        <v>0</v>
      </c>
      <c r="AB37" s="162" t="s">
        <v>144</v>
      </c>
      <c r="AC37" s="162">
        <f t="shared" si="1"/>
        <v>0</v>
      </c>
      <c r="AD37" s="163" cm="1">
        <f t="array" aca="1" ref="AD37" ca="1">maj(AB37)</f>
        <v>0</v>
      </c>
      <c r="AE37" s="162">
        <f t="shared" ca="1" si="0"/>
        <v>0</v>
      </c>
      <c r="AF37" s="155">
        <f t="shared" ca="1" si="2"/>
        <v>0</v>
      </c>
      <c r="AG37" s="162">
        <f t="shared" ca="1" si="3"/>
        <v>0</v>
      </c>
      <c r="AH37" s="162">
        <f t="shared" ca="1" si="4"/>
        <v>0</v>
      </c>
    </row>
    <row r="38" spans="1:34" s="19" customFormat="1" ht="20.100000000000001" customHeight="1" x14ac:dyDescent="0.25">
      <c r="A38" s="203" t="str">
        <f>Base!A37</f>
        <v>S.38</v>
      </c>
      <c r="B38" s="58">
        <f t="shared" si="5"/>
        <v>44459</v>
      </c>
      <c r="C38" s="75"/>
      <c r="D38" s="167">
        <f>RECAP!BQ38</f>
        <v>7</v>
      </c>
      <c r="E38" s="167">
        <f>RECAP!BR38</f>
        <v>0</v>
      </c>
      <c r="F38" s="167">
        <f>RECAP!BS38</f>
        <v>83</v>
      </c>
      <c r="G38" s="167">
        <f>RECAP!BT38</f>
        <v>0</v>
      </c>
      <c r="H38" s="60" t="str">
        <f>RECAP!BU38</f>
        <v>UP SUD ORLY</v>
      </c>
      <c r="I38" s="167" t="str">
        <f>RECAP!BV38</f>
        <v>CAT21006-02</v>
      </c>
      <c r="J38" s="50">
        <f>RECAP!BO38</f>
        <v>0</v>
      </c>
      <c r="V38" s="91"/>
      <c r="W38" s="91"/>
      <c r="X38" s="91"/>
      <c r="Y38" s="91"/>
      <c r="Z38" s="91"/>
      <c r="AB38" s="162" t="s">
        <v>145</v>
      </c>
      <c r="AC38" s="162">
        <f t="shared" si="1"/>
        <v>0</v>
      </c>
      <c r="AD38" s="163" cm="1">
        <f t="array" aca="1" ref="AD38" ca="1">maj(AB38)</f>
        <v>0</v>
      </c>
      <c r="AE38" s="162">
        <f t="shared" ca="1" si="0"/>
        <v>0</v>
      </c>
      <c r="AF38" s="155">
        <f t="shared" ca="1" si="2"/>
        <v>0</v>
      </c>
      <c r="AG38" s="162">
        <f t="shared" ca="1" si="3"/>
        <v>0</v>
      </c>
      <c r="AH38" s="162">
        <f t="shared" ca="1" si="4"/>
        <v>0</v>
      </c>
    </row>
    <row r="39" spans="1:34" s="19" customFormat="1" ht="20.100000000000001" customHeight="1" x14ac:dyDescent="0.25">
      <c r="A39" s="203"/>
      <c r="B39" s="58">
        <f t="shared" si="5"/>
        <v>44460</v>
      </c>
      <c r="C39" s="75"/>
      <c r="D39" s="167">
        <f>RECAP!BQ39</f>
        <v>7</v>
      </c>
      <c r="E39" s="167">
        <f>RECAP!BR39</f>
        <v>0</v>
      </c>
      <c r="F39" s="167">
        <f>RECAP!BS39</f>
        <v>83</v>
      </c>
      <c r="G39" s="167">
        <f>RECAP!BT39</f>
        <v>0</v>
      </c>
      <c r="H39" s="60" t="str">
        <f>RECAP!BU39</f>
        <v>UP SUD ORLY</v>
      </c>
      <c r="I39" s="167" t="str">
        <f>RECAP!BV39</f>
        <v>CAT21006-02</v>
      </c>
      <c r="J39" s="50">
        <f>RECAP!BO39</f>
        <v>0</v>
      </c>
      <c r="V39" s="91"/>
      <c r="W39" s="91"/>
      <c r="X39" s="91"/>
      <c r="Y39" s="91"/>
      <c r="Z39" s="91"/>
      <c r="AB39" s="162" t="s">
        <v>146</v>
      </c>
      <c r="AC39" s="162">
        <f t="shared" si="1"/>
        <v>0</v>
      </c>
      <c r="AD39" s="163" cm="1">
        <f t="array" aca="1" ref="AD39" ca="1">maj(AB39)</f>
        <v>0</v>
      </c>
      <c r="AE39" s="162">
        <f t="shared" ca="1" si="0"/>
        <v>0</v>
      </c>
      <c r="AF39" s="155">
        <f t="shared" ca="1" si="2"/>
        <v>0</v>
      </c>
      <c r="AG39" s="162">
        <f t="shared" ca="1" si="3"/>
        <v>0</v>
      </c>
      <c r="AH39" s="162">
        <f t="shared" ca="1" si="4"/>
        <v>0</v>
      </c>
    </row>
    <row r="40" spans="1:34" s="19" customFormat="1" ht="20.100000000000001" customHeight="1" x14ac:dyDescent="0.25">
      <c r="A40" s="203"/>
      <c r="B40" s="58">
        <f t="shared" si="5"/>
        <v>44461</v>
      </c>
      <c r="C40" s="75"/>
      <c r="D40" s="167">
        <f>RECAP!BQ40</f>
        <v>7</v>
      </c>
      <c r="E40" s="167">
        <f>RECAP!BR40</f>
        <v>0</v>
      </c>
      <c r="F40" s="167">
        <f>RECAP!BS40</f>
        <v>83</v>
      </c>
      <c r="G40" s="167">
        <f>RECAP!BT40</f>
        <v>0</v>
      </c>
      <c r="H40" s="60" t="str">
        <f>RECAP!BU40</f>
        <v>UP SUD ORLY</v>
      </c>
      <c r="I40" s="167" t="str">
        <f>RECAP!BV40</f>
        <v>CAT21006-02</v>
      </c>
      <c r="J40" s="50"/>
      <c r="L40" s="76"/>
      <c r="M40" s="76"/>
      <c r="N40" s="76"/>
      <c r="P40" s="76"/>
      <c r="Q40" s="76"/>
      <c r="S40" s="77"/>
      <c r="T40" s="77"/>
      <c r="V40" s="90"/>
      <c r="W40" s="90"/>
      <c r="X40" s="90"/>
      <c r="Y40" s="91"/>
      <c r="Z40" s="91"/>
      <c r="AB40" s="162" t="s">
        <v>147</v>
      </c>
      <c r="AC40" s="162">
        <f t="shared" si="1"/>
        <v>0</v>
      </c>
      <c r="AD40" s="163" cm="1">
        <f t="array" aca="1" ref="AD40" ca="1">maj(AB40)</f>
        <v>0</v>
      </c>
      <c r="AE40" s="162">
        <f t="shared" ca="1" si="0"/>
        <v>0</v>
      </c>
      <c r="AF40" s="155">
        <f t="shared" ca="1" si="2"/>
        <v>0</v>
      </c>
      <c r="AG40" s="162">
        <f t="shared" ca="1" si="3"/>
        <v>0</v>
      </c>
      <c r="AH40" s="162">
        <f t="shared" ca="1" si="4"/>
        <v>0</v>
      </c>
    </row>
    <row r="41" spans="1:34" s="19" customFormat="1" ht="20.100000000000001" customHeight="1" x14ac:dyDescent="0.25">
      <c r="A41" s="203"/>
      <c r="B41" s="59">
        <f t="shared" si="5"/>
        <v>44462</v>
      </c>
      <c r="C41" s="75"/>
      <c r="D41" s="167">
        <f>RECAP!BQ41</f>
        <v>7</v>
      </c>
      <c r="E41" s="167">
        <f>RECAP!BR41</f>
        <v>0</v>
      </c>
      <c r="F41" s="167">
        <f>RECAP!BS41</f>
        <v>83</v>
      </c>
      <c r="G41" s="167">
        <f>RECAP!BT41</f>
        <v>0</v>
      </c>
      <c r="H41" s="60" t="str">
        <f>RECAP!BU41</f>
        <v>UP SUD ORLY</v>
      </c>
      <c r="I41" s="167" t="str">
        <f>RECAP!BV41</f>
        <v>CAT21006-02</v>
      </c>
      <c r="J41" s="50"/>
      <c r="L41" s="76"/>
      <c r="M41" s="76"/>
      <c r="N41" s="76"/>
      <c r="P41" s="76"/>
      <c r="Q41" s="76"/>
      <c r="S41" s="77"/>
      <c r="T41" s="77"/>
      <c r="V41" s="90"/>
      <c r="W41" s="90"/>
      <c r="X41" s="90"/>
      <c r="Y41" s="91"/>
      <c r="Z41" s="91"/>
      <c r="AB41" s="162" t="s">
        <v>148</v>
      </c>
      <c r="AC41" s="162">
        <f t="shared" si="1"/>
        <v>0</v>
      </c>
      <c r="AD41" s="163" cm="1">
        <f t="array" aca="1" ref="AD41" ca="1">maj(AB41)</f>
        <v>0</v>
      </c>
      <c r="AE41" s="162">
        <f t="shared" ca="1" si="0"/>
        <v>0</v>
      </c>
      <c r="AF41" s="155">
        <f t="shared" ca="1" si="2"/>
        <v>0</v>
      </c>
      <c r="AG41" s="162">
        <f t="shared" ca="1" si="3"/>
        <v>0</v>
      </c>
      <c r="AH41" s="162">
        <f t="shared" ca="1" si="4"/>
        <v>0</v>
      </c>
    </row>
    <row r="42" spans="1:34" s="19" customFormat="1" ht="20.100000000000001" customHeight="1" x14ac:dyDescent="0.25">
      <c r="A42" s="203"/>
      <c r="B42" s="58">
        <f t="shared" si="5"/>
        <v>44463</v>
      </c>
      <c r="C42" s="75"/>
      <c r="D42" s="167">
        <f>RECAP!BQ42</f>
        <v>7</v>
      </c>
      <c r="E42" s="167">
        <f>RECAP!BR42</f>
        <v>0</v>
      </c>
      <c r="F42" s="167">
        <f>RECAP!BS42</f>
        <v>18.600000000000001</v>
      </c>
      <c r="G42" s="167">
        <f>RECAP!BT42</f>
        <v>0</v>
      </c>
      <c r="H42" s="60" t="str">
        <f>RECAP!BU42</f>
        <v>UP SUD ORLY</v>
      </c>
      <c r="I42" s="167" t="str">
        <f>RECAP!BV42</f>
        <v>CAT21006-02</v>
      </c>
      <c r="J42" s="50"/>
      <c r="L42" s="76"/>
      <c r="M42" s="76"/>
      <c r="N42" s="76"/>
      <c r="P42" s="76"/>
      <c r="Q42" s="76"/>
      <c r="S42" s="77"/>
      <c r="T42" s="77"/>
      <c r="V42" s="90"/>
      <c r="W42" s="90"/>
      <c r="X42" s="90"/>
      <c r="Y42" s="91"/>
      <c r="Z42" s="91"/>
      <c r="AB42" s="162" t="s">
        <v>149</v>
      </c>
      <c r="AC42" s="162">
        <f t="shared" si="1"/>
        <v>0</v>
      </c>
      <c r="AD42" s="163" cm="1">
        <f t="array" aca="1" ref="AD42" ca="1">maj(AB42)</f>
        <v>0</v>
      </c>
      <c r="AE42" s="162">
        <f t="shared" ref="AE42:AE73" ca="1" si="6">SUM(AC42:AD42)</f>
        <v>0</v>
      </c>
      <c r="AF42" s="155">
        <f t="shared" ca="1" si="2"/>
        <v>0</v>
      </c>
      <c r="AG42" s="162">
        <f t="shared" ca="1" si="3"/>
        <v>0</v>
      </c>
      <c r="AH42" s="162">
        <f t="shared" ca="1" si="4"/>
        <v>0</v>
      </c>
    </row>
    <row r="43" spans="1:34" s="19" customFormat="1" ht="20.100000000000001" customHeight="1" x14ac:dyDescent="0.25">
      <c r="A43" s="203"/>
      <c r="B43" s="48">
        <f t="shared" si="5"/>
        <v>44464</v>
      </c>
      <c r="C43" s="78"/>
      <c r="D43" s="166">
        <f>RECAP!BQ43</f>
        <v>0</v>
      </c>
      <c r="E43" s="166">
        <f>RECAP!BR43</f>
        <v>0</v>
      </c>
      <c r="F43" s="166">
        <f>RECAP!BS43</f>
        <v>0</v>
      </c>
      <c r="G43" s="166">
        <f>RECAP!BT43</f>
        <v>0</v>
      </c>
      <c r="H43" s="51">
        <f>RECAP!BU43</f>
        <v>0</v>
      </c>
      <c r="I43" s="166">
        <f>RECAP!BV43</f>
        <v>0</v>
      </c>
      <c r="J43" s="49"/>
      <c r="L43" s="76"/>
      <c r="M43" s="76"/>
      <c r="N43" s="76"/>
      <c r="P43" s="76"/>
      <c r="Q43" s="76"/>
      <c r="S43" s="77"/>
      <c r="T43" s="77"/>
      <c r="V43" s="90"/>
      <c r="W43" s="90"/>
      <c r="X43" s="90"/>
      <c r="Y43" s="91"/>
      <c r="Z43" s="91"/>
      <c r="AB43" s="162" t="s">
        <v>150</v>
      </c>
      <c r="AC43" s="162">
        <f t="shared" si="1"/>
        <v>0</v>
      </c>
      <c r="AD43" s="163" cm="1">
        <f t="array" aca="1" ref="AD43" ca="1">maj(AB43)</f>
        <v>0</v>
      </c>
      <c r="AE43" s="162">
        <f t="shared" ca="1" si="6"/>
        <v>0</v>
      </c>
      <c r="AF43" s="155">
        <f t="shared" ca="1" si="2"/>
        <v>0</v>
      </c>
      <c r="AG43" s="162">
        <f t="shared" ca="1" si="3"/>
        <v>0</v>
      </c>
      <c r="AH43" s="162">
        <f t="shared" ca="1" si="4"/>
        <v>0</v>
      </c>
    </row>
    <row r="44" spans="1:34" s="19" customFormat="1" ht="20.100000000000001" customHeight="1" x14ac:dyDescent="0.25">
      <c r="A44" s="203"/>
      <c r="B44" s="48">
        <f t="shared" si="5"/>
        <v>44465</v>
      </c>
      <c r="C44" s="78">
        <v>35</v>
      </c>
      <c r="D44" s="166">
        <f>RECAP!BQ44</f>
        <v>0</v>
      </c>
      <c r="E44" s="166">
        <f>RECAP!BR44</f>
        <v>0</v>
      </c>
      <c r="F44" s="166">
        <f>RECAP!BS44</f>
        <v>0</v>
      </c>
      <c r="G44" s="166">
        <f>RECAP!BT44</f>
        <v>0</v>
      </c>
      <c r="H44" s="51">
        <f>RECAP!BU44</f>
        <v>0</v>
      </c>
      <c r="I44" s="166">
        <f>RECAP!BV44</f>
        <v>0</v>
      </c>
      <c r="J44" s="49">
        <f>J43+1</f>
        <v>1</v>
      </c>
      <c r="K44" s="19">
        <f>Base!K43</f>
        <v>0</v>
      </c>
      <c r="L44" s="115">
        <f>SUM(D38:E44)+SUM(L38:L43)</f>
        <v>35</v>
      </c>
      <c r="M44" s="116">
        <f>IF(L44&lt;C44,C44-L44,0)</f>
        <v>0</v>
      </c>
      <c r="N44" s="117">
        <f>IF(L44&gt;C44,L44-C44,0)</f>
        <v>0</v>
      </c>
      <c r="P44" s="117">
        <f>IF(N44&gt;8,8,N44)</f>
        <v>0</v>
      </c>
      <c r="Q44" s="117">
        <f>IF(N44&gt;8,N44-P44,0)</f>
        <v>0</v>
      </c>
      <c r="S44" s="79">
        <f>IF(SUM(E38:E44)&gt;SUM(Q44:Q44),SUM(E38:E44)-Q44-T44,0)</f>
        <v>0</v>
      </c>
      <c r="T44" s="79">
        <f>IF(SUM(E38:E44)&gt;N44,SUM(E38:E44)-N44,0)</f>
        <v>0</v>
      </c>
      <c r="V44" s="80">
        <f>SUM(V38:V43)</f>
        <v>0</v>
      </c>
      <c r="W44" s="80">
        <f>SUM(W38:W43)</f>
        <v>0</v>
      </c>
      <c r="X44" s="80">
        <f>SUM(X38:X43)</f>
        <v>0</v>
      </c>
      <c r="Z44" s="81">
        <f>SUM(G38:G44)</f>
        <v>0</v>
      </c>
      <c r="AB44" s="162" t="s">
        <v>57</v>
      </c>
      <c r="AC44" s="162">
        <f t="shared" si="1"/>
        <v>0</v>
      </c>
      <c r="AD44" s="163" cm="1">
        <f t="array" aca="1" ref="AD44" ca="1">maj(AB44)</f>
        <v>0</v>
      </c>
      <c r="AE44" s="162">
        <f t="shared" ca="1" si="6"/>
        <v>0</v>
      </c>
      <c r="AF44" s="155">
        <f t="shared" ca="1" si="2"/>
        <v>0</v>
      </c>
      <c r="AG44" s="162">
        <f t="shared" ca="1" si="3"/>
        <v>0</v>
      </c>
      <c r="AH44" s="162">
        <f t="shared" ca="1" si="4"/>
        <v>0</v>
      </c>
    </row>
    <row r="45" spans="1:34" s="19" customFormat="1" ht="20.100000000000001" customHeight="1" x14ac:dyDescent="0.25">
      <c r="A45" s="204" t="str">
        <f>Base!A44</f>
        <v>S.39</v>
      </c>
      <c r="B45" s="128">
        <f t="shared" si="5"/>
        <v>44466</v>
      </c>
      <c r="C45" s="129"/>
      <c r="D45" s="167">
        <f>RECAP!BQ45</f>
        <v>7</v>
      </c>
      <c r="E45" s="167">
        <f>RECAP!BR45</f>
        <v>0</v>
      </c>
      <c r="F45" s="167">
        <f>RECAP!BS45</f>
        <v>0</v>
      </c>
      <c r="G45" s="167">
        <f>RECAP!BT45</f>
        <v>0</v>
      </c>
      <c r="H45" s="60">
        <f>RECAP!BU45</f>
        <v>0</v>
      </c>
      <c r="I45" s="167">
        <f>RECAP!BV45</f>
        <v>0</v>
      </c>
      <c r="J45" s="128">
        <f>J44+1</f>
        <v>2</v>
      </c>
      <c r="K45" s="129">
        <f>Base!K44</f>
        <v>0</v>
      </c>
      <c r="L45" s="132"/>
      <c r="M45" s="132"/>
      <c r="N45" s="132"/>
      <c r="O45" s="130"/>
      <c r="P45" s="132"/>
      <c r="Q45" s="132"/>
      <c r="R45" s="130"/>
      <c r="S45" s="133"/>
      <c r="T45" s="133"/>
      <c r="U45" s="130"/>
      <c r="V45" s="134"/>
      <c r="W45" s="134"/>
      <c r="X45" s="134"/>
      <c r="Y45" s="131"/>
      <c r="Z45" s="131"/>
      <c r="AB45" s="162" t="s">
        <v>151</v>
      </c>
      <c r="AC45" s="162">
        <f t="shared" si="1"/>
        <v>0</v>
      </c>
      <c r="AD45" s="163" cm="1">
        <f t="array" aca="1" ref="AD45" ca="1">maj(AB45)</f>
        <v>0</v>
      </c>
      <c r="AE45" s="162">
        <f t="shared" ca="1" si="6"/>
        <v>0</v>
      </c>
      <c r="AF45" s="155">
        <f t="shared" ca="1" si="2"/>
        <v>0</v>
      </c>
      <c r="AG45" s="162">
        <f t="shared" ca="1" si="3"/>
        <v>0</v>
      </c>
      <c r="AH45" s="162">
        <f t="shared" ca="1" si="4"/>
        <v>0</v>
      </c>
    </row>
    <row r="46" spans="1:34" s="19" customFormat="1" ht="20.100000000000001" customHeight="1" x14ac:dyDescent="0.25">
      <c r="A46" s="204"/>
      <c r="B46" s="128">
        <f t="shared" si="5"/>
        <v>44467</v>
      </c>
      <c r="C46" s="129"/>
      <c r="D46" s="167">
        <f>RECAP!BQ46</f>
        <v>7</v>
      </c>
      <c r="E46" s="167">
        <f>RECAP!BR46</f>
        <v>0</v>
      </c>
      <c r="F46" s="167">
        <f>RECAP!BS46</f>
        <v>0</v>
      </c>
      <c r="G46" s="167">
        <f>RECAP!BT46</f>
        <v>0</v>
      </c>
      <c r="H46" s="60">
        <f>RECAP!BU46</f>
        <v>0</v>
      </c>
      <c r="I46" s="167">
        <f>RECAP!BV46</f>
        <v>0</v>
      </c>
      <c r="J46" s="128">
        <f>J45+1</f>
        <v>3</v>
      </c>
      <c r="K46" s="129">
        <f>Base!K45</f>
        <v>0</v>
      </c>
      <c r="L46" s="132"/>
      <c r="M46" s="132"/>
      <c r="N46" s="132"/>
      <c r="O46" s="130"/>
      <c r="P46" s="132"/>
      <c r="Q46" s="132"/>
      <c r="R46" s="130"/>
      <c r="S46" s="133"/>
      <c r="T46" s="133"/>
      <c r="U46" s="130"/>
      <c r="V46" s="134"/>
      <c r="W46" s="134"/>
      <c r="X46" s="134"/>
      <c r="Y46" s="131"/>
      <c r="Z46" s="131"/>
      <c r="AB46" s="162" t="s">
        <v>48</v>
      </c>
      <c r="AC46" s="162">
        <f t="shared" si="1"/>
        <v>0</v>
      </c>
      <c r="AD46" s="163" cm="1">
        <f t="array" aca="1" ref="AD46" ca="1">maj(AB46)</f>
        <v>0</v>
      </c>
      <c r="AE46" s="162">
        <f t="shared" ca="1" si="6"/>
        <v>0</v>
      </c>
      <c r="AF46" s="155">
        <f t="shared" ca="1" si="2"/>
        <v>0</v>
      </c>
      <c r="AG46" s="162">
        <f t="shared" ca="1" si="3"/>
        <v>0</v>
      </c>
      <c r="AH46" s="162">
        <f t="shared" ca="1" si="4"/>
        <v>0</v>
      </c>
    </row>
    <row r="47" spans="1:34" s="19" customFormat="1" ht="20.100000000000001" customHeight="1" x14ac:dyDescent="0.25">
      <c r="A47" s="204"/>
      <c r="B47" s="128">
        <f t="shared" si="5"/>
        <v>44468</v>
      </c>
      <c r="C47" s="129"/>
      <c r="D47" s="167">
        <f>RECAP!BQ47</f>
        <v>7</v>
      </c>
      <c r="E47" s="167">
        <f>RECAP!BR47</f>
        <v>0</v>
      </c>
      <c r="F47" s="167">
        <f>RECAP!BS47</f>
        <v>0</v>
      </c>
      <c r="G47" s="167">
        <f>RECAP!BT47</f>
        <v>0</v>
      </c>
      <c r="H47" s="60">
        <f>RECAP!BU47</f>
        <v>0</v>
      </c>
      <c r="I47" s="167">
        <f>RECAP!BV47</f>
        <v>0</v>
      </c>
      <c r="J47" s="128">
        <f>J46+1</f>
        <v>4</v>
      </c>
      <c r="K47" s="129">
        <f>Base!K46</f>
        <v>0</v>
      </c>
      <c r="L47" s="132"/>
      <c r="M47" s="132"/>
      <c r="N47" s="132"/>
      <c r="O47" s="130"/>
      <c r="P47" s="132"/>
      <c r="Q47" s="132"/>
      <c r="R47" s="130"/>
      <c r="S47" s="133"/>
      <c r="T47" s="133"/>
      <c r="U47" s="130"/>
      <c r="V47" s="134"/>
      <c r="W47" s="134"/>
      <c r="X47" s="134"/>
      <c r="Y47" s="131"/>
      <c r="Z47" s="131"/>
      <c r="AB47" s="162" t="s">
        <v>152</v>
      </c>
      <c r="AC47" s="162">
        <f t="shared" si="1"/>
        <v>0</v>
      </c>
      <c r="AD47" s="163" cm="1">
        <f t="array" aca="1" ref="AD47" ca="1">maj(AB47)</f>
        <v>0</v>
      </c>
      <c r="AE47" s="162">
        <f t="shared" ca="1" si="6"/>
        <v>0</v>
      </c>
      <c r="AF47" s="155">
        <f t="shared" ca="1" si="2"/>
        <v>0</v>
      </c>
      <c r="AG47" s="162">
        <f t="shared" ca="1" si="3"/>
        <v>0</v>
      </c>
      <c r="AH47" s="162">
        <f t="shared" ca="1" si="4"/>
        <v>0</v>
      </c>
    </row>
    <row r="48" spans="1:34" s="19" customFormat="1" ht="20.100000000000001" customHeight="1" x14ac:dyDescent="0.25">
      <c r="A48" s="204"/>
      <c r="B48" s="128">
        <f t="shared" si="5"/>
        <v>44469</v>
      </c>
      <c r="C48" s="129"/>
      <c r="D48" s="167">
        <f>RECAP!BQ48</f>
        <v>7</v>
      </c>
      <c r="E48" s="167">
        <f>RECAP!BR48</f>
        <v>0</v>
      </c>
      <c r="F48" s="167">
        <f>RECAP!BS48</f>
        <v>0</v>
      </c>
      <c r="G48" s="167">
        <f>RECAP!BT48</f>
        <v>0</v>
      </c>
      <c r="H48" s="60">
        <f>RECAP!BU48</f>
        <v>0</v>
      </c>
      <c r="I48" s="167">
        <f>RECAP!BV48</f>
        <v>0</v>
      </c>
      <c r="J48" s="137"/>
      <c r="K48" s="129"/>
      <c r="L48" s="132"/>
      <c r="M48" s="132"/>
      <c r="N48" s="132"/>
      <c r="O48" s="130"/>
      <c r="P48" s="132"/>
      <c r="Q48" s="132"/>
      <c r="R48" s="130"/>
      <c r="S48" s="133"/>
      <c r="T48" s="133"/>
      <c r="U48" s="130"/>
      <c r="V48" s="134"/>
      <c r="W48" s="134"/>
      <c r="X48" s="134"/>
      <c r="Y48" s="131"/>
      <c r="Z48" s="131"/>
      <c r="AB48" s="162" t="s">
        <v>153</v>
      </c>
      <c r="AC48" s="162">
        <f t="shared" si="1"/>
        <v>0</v>
      </c>
      <c r="AD48" s="163" cm="1">
        <f t="array" aca="1" ref="AD48" ca="1">maj(AB48)</f>
        <v>0</v>
      </c>
      <c r="AE48" s="162">
        <f t="shared" ca="1" si="6"/>
        <v>0</v>
      </c>
      <c r="AF48" s="155">
        <f t="shared" ca="1" si="2"/>
        <v>0</v>
      </c>
      <c r="AG48" s="162">
        <f t="shared" ca="1" si="3"/>
        <v>0</v>
      </c>
      <c r="AH48" s="162">
        <f t="shared" ca="1" si="4"/>
        <v>0</v>
      </c>
    </row>
    <row r="49" spans="1:34" s="19" customFormat="1" ht="20.100000000000001" customHeight="1" x14ac:dyDescent="0.25">
      <c r="A49" s="204"/>
      <c r="B49" s="128">
        <f t="shared" si="5"/>
        <v>44470</v>
      </c>
      <c r="C49" s="129"/>
      <c r="D49" s="167">
        <f>RECAP!BQ49</f>
        <v>7</v>
      </c>
      <c r="E49" s="167">
        <f>RECAP!BR49</f>
        <v>0</v>
      </c>
      <c r="F49" s="167">
        <f>RECAP!BS49</f>
        <v>0</v>
      </c>
      <c r="G49" s="167">
        <f>RECAP!BT49</f>
        <v>0</v>
      </c>
      <c r="H49" s="60">
        <f>RECAP!BU49</f>
        <v>0</v>
      </c>
      <c r="I49" s="167">
        <f>RECAP!BV49</f>
        <v>0</v>
      </c>
      <c r="J49" s="137"/>
      <c r="K49" s="129"/>
      <c r="L49" s="132"/>
      <c r="M49" s="132"/>
      <c r="N49" s="132"/>
      <c r="O49" s="130"/>
      <c r="P49" s="132"/>
      <c r="Q49" s="132"/>
      <c r="R49" s="130"/>
      <c r="S49" s="133"/>
      <c r="T49" s="133"/>
      <c r="U49" s="130"/>
      <c r="V49" s="134"/>
      <c r="W49" s="134"/>
      <c r="X49" s="134"/>
      <c r="Y49" s="131"/>
      <c r="Z49" s="131"/>
      <c r="AB49" s="162" t="s">
        <v>154</v>
      </c>
      <c r="AC49" s="162">
        <f t="shared" si="1"/>
        <v>0</v>
      </c>
      <c r="AD49" s="163" cm="1">
        <f t="array" aca="1" ref="AD49" ca="1">maj(AB49)</f>
        <v>0</v>
      </c>
      <c r="AE49" s="162">
        <f t="shared" ca="1" si="6"/>
        <v>0</v>
      </c>
      <c r="AF49" s="155">
        <f t="shared" ca="1" si="2"/>
        <v>0</v>
      </c>
      <c r="AG49" s="162">
        <f t="shared" ca="1" si="3"/>
        <v>0</v>
      </c>
      <c r="AH49" s="162">
        <f t="shared" ca="1" si="4"/>
        <v>0</v>
      </c>
    </row>
    <row r="50" spans="1:34" s="19" customFormat="1" ht="20.100000000000001" customHeight="1" x14ac:dyDescent="0.25">
      <c r="A50" s="204"/>
      <c r="B50" s="128">
        <f t="shared" si="5"/>
        <v>44471</v>
      </c>
      <c r="C50" s="129"/>
      <c r="D50" s="167">
        <f>RECAP!BQ50</f>
        <v>0</v>
      </c>
      <c r="E50" s="167">
        <f>RECAP!BR50</f>
        <v>0</v>
      </c>
      <c r="F50" s="167">
        <f>RECAP!BS50</f>
        <v>0</v>
      </c>
      <c r="G50" s="167">
        <f>RECAP!BT50</f>
        <v>0</v>
      </c>
      <c r="H50" s="60">
        <f>RECAP!BU50</f>
        <v>0</v>
      </c>
      <c r="I50" s="167">
        <f>RECAP!BV50</f>
        <v>0</v>
      </c>
      <c r="J50" s="137"/>
      <c r="K50" s="129"/>
      <c r="L50" s="132"/>
      <c r="M50" s="132"/>
      <c r="N50" s="132"/>
      <c r="O50" s="130"/>
      <c r="P50" s="132"/>
      <c r="Q50" s="132"/>
      <c r="R50" s="130"/>
      <c r="S50" s="133"/>
      <c r="T50" s="133"/>
      <c r="U50" s="130"/>
      <c r="V50" s="134"/>
      <c r="W50" s="134"/>
      <c r="X50" s="134"/>
      <c r="Y50" s="131"/>
      <c r="Z50" s="131"/>
      <c r="AB50" s="162" t="s">
        <v>155</v>
      </c>
      <c r="AC50" s="162">
        <f t="shared" si="1"/>
        <v>0</v>
      </c>
      <c r="AD50" s="163" cm="1">
        <f t="array" aca="1" ref="AD50" ca="1">maj(AB50)</f>
        <v>0</v>
      </c>
      <c r="AE50" s="162">
        <f t="shared" ca="1" si="6"/>
        <v>0</v>
      </c>
      <c r="AF50" s="155">
        <f t="shared" ca="1" si="2"/>
        <v>0</v>
      </c>
      <c r="AG50" s="162">
        <f t="shared" ca="1" si="3"/>
        <v>0</v>
      </c>
      <c r="AH50" s="162">
        <f t="shared" ca="1" si="4"/>
        <v>0</v>
      </c>
    </row>
    <row r="51" spans="1:34" s="19" customFormat="1" ht="20.100000000000001" customHeight="1" x14ac:dyDescent="0.25">
      <c r="A51" s="204"/>
      <c r="B51" s="128">
        <f t="shared" si="5"/>
        <v>44472</v>
      </c>
      <c r="C51" s="129"/>
      <c r="D51" s="167">
        <f>RECAP!BQ51</f>
        <v>0</v>
      </c>
      <c r="E51" s="167">
        <f>RECAP!BR51</f>
        <v>0</v>
      </c>
      <c r="F51" s="167">
        <f>RECAP!BS51</f>
        <v>0</v>
      </c>
      <c r="G51" s="167">
        <f>RECAP!BT51</f>
        <v>0</v>
      </c>
      <c r="H51" s="60">
        <f>RECAP!BU51</f>
        <v>0</v>
      </c>
      <c r="I51" s="167">
        <f>RECAP!BV51</f>
        <v>0</v>
      </c>
      <c r="J51" s="137"/>
      <c r="K51" s="129"/>
      <c r="L51" s="132"/>
      <c r="M51" s="132"/>
      <c r="N51" s="132"/>
      <c r="O51" s="130"/>
      <c r="P51" s="132"/>
      <c r="Q51" s="132"/>
      <c r="R51" s="130"/>
      <c r="S51" s="133"/>
      <c r="T51" s="133"/>
      <c r="U51" s="130"/>
      <c r="V51" s="134"/>
      <c r="W51" s="134"/>
      <c r="X51" s="134"/>
      <c r="Y51" s="131"/>
      <c r="Z51" s="131"/>
      <c r="AB51" s="162" t="s">
        <v>156</v>
      </c>
      <c r="AC51" s="162">
        <f t="shared" si="1"/>
        <v>0</v>
      </c>
      <c r="AD51" s="163" cm="1">
        <f t="array" aca="1" ref="AD51" ca="1">maj(AB51)</f>
        <v>0</v>
      </c>
      <c r="AE51" s="162">
        <f t="shared" ca="1" si="6"/>
        <v>0</v>
      </c>
      <c r="AF51" s="155">
        <f t="shared" ca="1" si="2"/>
        <v>0</v>
      </c>
      <c r="AG51" s="162">
        <f t="shared" ca="1" si="3"/>
        <v>0</v>
      </c>
      <c r="AH51" s="162">
        <f t="shared" ca="1" si="4"/>
        <v>0</v>
      </c>
    </row>
    <row r="52" spans="1:34" s="19" customFormat="1" ht="20.100000000000001" customHeight="1" thickBot="1" x14ac:dyDescent="0.3">
      <c r="A52" s="63"/>
      <c r="B52" s="61"/>
      <c r="C52" s="75"/>
      <c r="D52" s="61"/>
      <c r="E52" s="61"/>
      <c r="F52" s="61"/>
      <c r="G52" s="61"/>
      <c r="H52" s="61"/>
      <c r="I52" s="61"/>
      <c r="J52" s="61"/>
      <c r="L52" s="92">
        <f>L16+L23+L30+L37+L44</f>
        <v>135</v>
      </c>
      <c r="AB52" s="162" t="s">
        <v>157</v>
      </c>
      <c r="AC52" s="162">
        <f t="shared" si="1"/>
        <v>0</v>
      </c>
      <c r="AD52" s="163" cm="1">
        <f t="array" aca="1" ref="AD52" ca="1">maj(AB52)</f>
        <v>0</v>
      </c>
      <c r="AE52" s="162">
        <f t="shared" ca="1" si="6"/>
        <v>0</v>
      </c>
      <c r="AF52" s="155">
        <f t="shared" ca="1" si="2"/>
        <v>0</v>
      </c>
      <c r="AG52" s="162">
        <f t="shared" ca="1" si="3"/>
        <v>0</v>
      </c>
      <c r="AH52" s="162">
        <f t="shared" ca="1" si="4"/>
        <v>0</v>
      </c>
    </row>
    <row r="53" spans="1:34" s="19" customFormat="1" ht="30" customHeight="1" thickBot="1" x14ac:dyDescent="0.3">
      <c r="A53" s="63"/>
      <c r="B53" s="82" t="s">
        <v>7</v>
      </c>
      <c r="C53" s="83"/>
      <c r="D53" s="93">
        <f>SUM(D10:D44)</f>
        <v>105</v>
      </c>
      <c r="E53" s="93">
        <f>SUM(E10:E44)</f>
        <v>28</v>
      </c>
      <c r="F53" s="93">
        <f>SUM(F10:F44)</f>
        <v>1051.8</v>
      </c>
      <c r="G53" s="93">
        <f>SUM(G10:G44)</f>
        <v>0</v>
      </c>
      <c r="H53" s="84"/>
      <c r="I53" s="84"/>
      <c r="J53" s="85"/>
      <c r="L53" s="94" t="s">
        <v>96</v>
      </c>
      <c r="M53" s="95">
        <f>M16+M23+M30+M37+M44</f>
        <v>68</v>
      </c>
      <c r="N53" s="96">
        <f>N16+N23+N30+N37+N44</f>
        <v>28</v>
      </c>
      <c r="O53" s="97">
        <f>O16+O23+O30+O37</f>
        <v>0</v>
      </c>
      <c r="P53" s="98">
        <f t="shared" ref="P53:Z53" si="7">P16+P23+P30+P37+P44</f>
        <v>8</v>
      </c>
      <c r="Q53" s="96">
        <f t="shared" si="7"/>
        <v>20</v>
      </c>
      <c r="R53" s="97">
        <f t="shared" si="7"/>
        <v>0</v>
      </c>
      <c r="S53" s="99">
        <f>S16+S23+S30+S37+S44</f>
        <v>8</v>
      </c>
      <c r="T53" s="100">
        <f t="shared" si="7"/>
        <v>0</v>
      </c>
      <c r="U53" s="97">
        <f t="shared" si="7"/>
        <v>0</v>
      </c>
      <c r="V53" s="101">
        <f t="shared" si="7"/>
        <v>16</v>
      </c>
      <c r="W53" s="102">
        <f t="shared" si="7"/>
        <v>18</v>
      </c>
      <c r="X53" s="103">
        <f t="shared" si="7"/>
        <v>20</v>
      </c>
      <c r="Y53" s="97">
        <f t="shared" si="7"/>
        <v>0</v>
      </c>
      <c r="Z53" s="104">
        <f t="shared" si="7"/>
        <v>0</v>
      </c>
      <c r="AB53" s="162" t="s">
        <v>158</v>
      </c>
      <c r="AC53" s="162">
        <f t="shared" si="1"/>
        <v>0</v>
      </c>
      <c r="AD53" s="163" cm="1">
        <f t="array" aca="1" ref="AD53" ca="1">maj(AB53)</f>
        <v>0</v>
      </c>
      <c r="AE53" s="162">
        <f t="shared" ca="1" si="6"/>
        <v>0</v>
      </c>
      <c r="AF53" s="155">
        <f t="shared" ca="1" si="2"/>
        <v>0</v>
      </c>
      <c r="AG53" s="162">
        <f t="shared" ca="1" si="3"/>
        <v>0</v>
      </c>
      <c r="AH53" s="162">
        <f t="shared" ca="1" si="4"/>
        <v>0</v>
      </c>
    </row>
    <row r="54" spans="1:34" s="19" customFormat="1" ht="20.25" customHeight="1" x14ac:dyDescent="0.25">
      <c r="A54" s="63"/>
      <c r="J54" s="16"/>
      <c r="S54" s="70"/>
      <c r="T54" s="70"/>
      <c r="V54" s="52"/>
      <c r="W54" s="52"/>
      <c r="X54" s="52"/>
      <c r="AB54" s="162" t="s">
        <v>159</v>
      </c>
      <c r="AC54" s="162">
        <f t="shared" si="1"/>
        <v>0</v>
      </c>
      <c r="AD54" s="163" cm="1">
        <f t="array" aca="1" ref="AD54" ca="1">maj(AB54)</f>
        <v>0</v>
      </c>
      <c r="AE54" s="162">
        <f t="shared" ca="1" si="6"/>
        <v>0</v>
      </c>
      <c r="AF54" s="155">
        <f t="shared" ca="1" si="2"/>
        <v>0</v>
      </c>
      <c r="AG54" s="162">
        <f t="shared" ca="1" si="3"/>
        <v>0</v>
      </c>
      <c r="AH54" s="162">
        <f t="shared" ca="1" si="4"/>
        <v>0</v>
      </c>
    </row>
    <row r="55" spans="1:34" s="19" customFormat="1" ht="20.25" customHeight="1" x14ac:dyDescent="0.25">
      <c r="A55" s="63"/>
      <c r="D55" s="86"/>
      <c r="J55" s="16"/>
      <c r="S55" s="70"/>
      <c r="T55" s="70"/>
      <c r="V55" s="52"/>
      <c r="W55" s="52"/>
      <c r="X55" s="52"/>
      <c r="AB55" s="162" t="s">
        <v>34</v>
      </c>
      <c r="AC55" s="162">
        <f t="shared" si="1"/>
        <v>0</v>
      </c>
      <c r="AD55" s="163" cm="1">
        <f t="array" aca="1" ref="AD55" ca="1">maj(AB55)</f>
        <v>0</v>
      </c>
      <c r="AE55" s="162">
        <f t="shared" ca="1" si="6"/>
        <v>0</v>
      </c>
      <c r="AF55" s="155">
        <f t="shared" ca="1" si="2"/>
        <v>0</v>
      </c>
      <c r="AG55" s="162">
        <f t="shared" ca="1" si="3"/>
        <v>0</v>
      </c>
      <c r="AH55" s="162">
        <f t="shared" ca="1" si="4"/>
        <v>0</v>
      </c>
    </row>
    <row r="56" spans="1:34" s="19" customFormat="1" ht="20.25" customHeight="1" x14ac:dyDescent="0.25">
      <c r="A56" s="63"/>
      <c r="AB56" s="162" t="s">
        <v>160</v>
      </c>
      <c r="AC56" s="162">
        <f t="shared" si="1"/>
        <v>0</v>
      </c>
      <c r="AD56" s="163" cm="1">
        <f t="array" aca="1" ref="AD56" ca="1">maj(AB56)</f>
        <v>0</v>
      </c>
      <c r="AE56" s="162">
        <f t="shared" ca="1" si="6"/>
        <v>0</v>
      </c>
      <c r="AF56" s="155">
        <f t="shared" ca="1" si="2"/>
        <v>0</v>
      </c>
      <c r="AG56" s="162">
        <f t="shared" ca="1" si="3"/>
        <v>0</v>
      </c>
      <c r="AH56" s="162">
        <f t="shared" ca="1" si="4"/>
        <v>0</v>
      </c>
    </row>
    <row r="57" spans="1:34" ht="20.25" customHeight="1" x14ac:dyDescent="0.25">
      <c r="H57" s="18" t="s">
        <v>114</v>
      </c>
      <c r="I57" s="18">
        <f>2149.21+1413.32+701.2+231.2</f>
        <v>4494.9299999999994</v>
      </c>
      <c r="J57" s="18"/>
      <c r="L57" s="18"/>
      <c r="M57" s="18"/>
      <c r="N57" s="18"/>
      <c r="P57" s="18"/>
      <c r="Q57" s="18"/>
      <c r="S57" s="18"/>
      <c r="T57" s="18"/>
      <c r="V57" s="18"/>
      <c r="W57" s="18"/>
      <c r="X57" s="18"/>
      <c r="AB57" s="162" t="s">
        <v>52</v>
      </c>
      <c r="AC57" s="162">
        <f t="shared" si="1"/>
        <v>0</v>
      </c>
      <c r="AD57" s="163" cm="1">
        <f t="array" aca="1" ref="AD57" ca="1">maj(AB57)</f>
        <v>0</v>
      </c>
      <c r="AE57" s="162">
        <f t="shared" ca="1" si="6"/>
        <v>0</v>
      </c>
      <c r="AF57" s="155">
        <f t="shared" ca="1" si="2"/>
        <v>0</v>
      </c>
      <c r="AG57" s="162">
        <f t="shared" ca="1" si="3"/>
        <v>0</v>
      </c>
      <c r="AH57" s="162">
        <f t="shared" ca="1" si="4"/>
        <v>0</v>
      </c>
    </row>
    <row r="58" spans="1:34" ht="20.25" customHeight="1" x14ac:dyDescent="0.25">
      <c r="H58" s="18" t="s">
        <v>115</v>
      </c>
      <c r="I58" s="18">
        <v>130.66999999999999</v>
      </c>
      <c r="J58" s="18"/>
      <c r="L58" s="18"/>
      <c r="M58" s="18"/>
      <c r="N58" s="18"/>
      <c r="P58" s="18"/>
      <c r="Q58" s="18"/>
      <c r="S58" s="18"/>
      <c r="T58" s="18"/>
      <c r="V58" s="18"/>
      <c r="W58" s="18"/>
      <c r="X58" s="18"/>
      <c r="AB58" s="162" t="s">
        <v>161</v>
      </c>
      <c r="AC58" s="162">
        <f t="shared" si="1"/>
        <v>0</v>
      </c>
      <c r="AD58" s="163" cm="1">
        <f t="array" aca="1" ref="AD58" ca="1">maj(AB58)</f>
        <v>0</v>
      </c>
      <c r="AE58" s="162">
        <f t="shared" ca="1" si="6"/>
        <v>0</v>
      </c>
      <c r="AF58" s="155">
        <f t="shared" ca="1" si="2"/>
        <v>0</v>
      </c>
      <c r="AG58" s="162">
        <f t="shared" ca="1" si="3"/>
        <v>0</v>
      </c>
      <c r="AH58" s="162">
        <f t="shared" ca="1" si="4"/>
        <v>0</v>
      </c>
    </row>
    <row r="59" spans="1:34" ht="20.25" customHeight="1" x14ac:dyDescent="0.25">
      <c r="J59" s="18"/>
      <c r="L59" s="18"/>
      <c r="M59" s="18"/>
      <c r="N59" s="18"/>
      <c r="P59" s="18"/>
      <c r="Q59" s="18"/>
      <c r="S59" s="18"/>
      <c r="T59" s="18"/>
      <c r="V59" s="18"/>
      <c r="W59" s="18"/>
      <c r="X59" s="18"/>
      <c r="AB59" s="162" t="s">
        <v>162</v>
      </c>
      <c r="AC59" s="162">
        <f t="shared" si="1"/>
        <v>0</v>
      </c>
      <c r="AD59" s="163" cm="1">
        <f t="array" aca="1" ref="AD59" ca="1">maj(AB59)</f>
        <v>0</v>
      </c>
      <c r="AE59" s="162">
        <f t="shared" ca="1" si="6"/>
        <v>0</v>
      </c>
      <c r="AF59" s="155">
        <f t="shared" ca="1" si="2"/>
        <v>0</v>
      </c>
      <c r="AG59" s="162">
        <f t="shared" ca="1" si="3"/>
        <v>0</v>
      </c>
      <c r="AH59" s="162">
        <f t="shared" ca="1" si="4"/>
        <v>0</v>
      </c>
    </row>
    <row r="60" spans="1:34" ht="20.25" customHeight="1" x14ac:dyDescent="0.25">
      <c r="J60" s="18"/>
      <c r="L60" s="18"/>
      <c r="M60" s="18"/>
      <c r="N60" s="18"/>
      <c r="P60" s="18"/>
      <c r="Q60" s="18"/>
      <c r="S60" s="18"/>
      <c r="T60" s="18"/>
      <c r="V60" s="18"/>
      <c r="W60" s="18"/>
      <c r="X60" s="18"/>
      <c r="AB60" s="162" t="s">
        <v>163</v>
      </c>
      <c r="AC60" s="162">
        <f t="shared" si="1"/>
        <v>0</v>
      </c>
      <c r="AD60" s="163" cm="1">
        <f t="array" aca="1" ref="AD60" ca="1">maj(AB60)</f>
        <v>0</v>
      </c>
      <c r="AE60" s="162">
        <f t="shared" ca="1" si="6"/>
        <v>0</v>
      </c>
      <c r="AF60" s="155">
        <f t="shared" ca="1" si="2"/>
        <v>0</v>
      </c>
      <c r="AG60" s="162">
        <f t="shared" ca="1" si="3"/>
        <v>0</v>
      </c>
      <c r="AH60" s="162">
        <f t="shared" ca="1" si="4"/>
        <v>0</v>
      </c>
    </row>
    <row r="61" spans="1:34" ht="20.25" customHeight="1" x14ac:dyDescent="0.25">
      <c r="J61" s="18"/>
      <c r="L61" s="18"/>
      <c r="M61" s="18"/>
      <c r="N61" s="18"/>
      <c r="P61" s="18"/>
      <c r="Q61" s="18"/>
      <c r="S61" s="18"/>
      <c r="T61" s="18"/>
      <c r="V61" s="18"/>
      <c r="W61" s="18"/>
      <c r="X61" s="18"/>
      <c r="AB61" s="162" t="s">
        <v>164</v>
      </c>
      <c r="AC61" s="162">
        <f t="shared" si="1"/>
        <v>0</v>
      </c>
      <c r="AD61" s="163" cm="1">
        <f t="array" aca="1" ref="AD61" ca="1">maj(AB61)</f>
        <v>0</v>
      </c>
      <c r="AE61" s="162">
        <f t="shared" ca="1" si="6"/>
        <v>0</v>
      </c>
      <c r="AF61" s="155">
        <f t="shared" ca="1" si="2"/>
        <v>0</v>
      </c>
      <c r="AG61" s="162">
        <f t="shared" ca="1" si="3"/>
        <v>0</v>
      </c>
      <c r="AH61" s="162">
        <f t="shared" ca="1" si="4"/>
        <v>0</v>
      </c>
    </row>
    <row r="62" spans="1:34" ht="20.25" customHeight="1" x14ac:dyDescent="0.25">
      <c r="J62" s="18"/>
      <c r="L62" s="18"/>
      <c r="M62" s="18"/>
      <c r="N62" s="18"/>
      <c r="P62" s="18"/>
      <c r="Q62" s="18"/>
      <c r="S62" s="18"/>
      <c r="T62" s="18"/>
      <c r="V62" s="18"/>
      <c r="W62" s="18"/>
      <c r="X62" s="18"/>
      <c r="AB62" s="162" t="s">
        <v>165</v>
      </c>
      <c r="AC62" s="162">
        <f t="shared" si="1"/>
        <v>0</v>
      </c>
      <c r="AD62" s="163" cm="1">
        <f t="array" aca="1" ref="AD62" ca="1">maj(AB62)</f>
        <v>0</v>
      </c>
      <c r="AE62" s="162">
        <f t="shared" ca="1" si="6"/>
        <v>0</v>
      </c>
      <c r="AF62" s="155">
        <f t="shared" ca="1" si="2"/>
        <v>0</v>
      </c>
      <c r="AG62" s="162">
        <f t="shared" ca="1" si="3"/>
        <v>0</v>
      </c>
      <c r="AH62" s="162">
        <f t="shared" ca="1" si="4"/>
        <v>0</v>
      </c>
    </row>
    <row r="63" spans="1:34" ht="20.25" customHeight="1" x14ac:dyDescent="0.25">
      <c r="J63" s="18"/>
      <c r="L63" s="18"/>
      <c r="M63" s="18"/>
      <c r="N63" s="18"/>
      <c r="P63" s="18"/>
      <c r="Q63" s="18"/>
      <c r="S63" s="18"/>
      <c r="T63" s="18"/>
      <c r="V63" s="18"/>
      <c r="W63" s="18"/>
      <c r="X63" s="18"/>
      <c r="AB63" s="162" t="s">
        <v>166</v>
      </c>
      <c r="AC63" s="162">
        <f t="shared" si="1"/>
        <v>0</v>
      </c>
      <c r="AD63" s="163" cm="1">
        <f t="array" aca="1" ref="AD63" ca="1">maj(AB63)</f>
        <v>0</v>
      </c>
      <c r="AE63" s="162">
        <f t="shared" ca="1" si="6"/>
        <v>0</v>
      </c>
      <c r="AF63" s="155">
        <f t="shared" ca="1" si="2"/>
        <v>0</v>
      </c>
      <c r="AG63" s="162">
        <f t="shared" ca="1" si="3"/>
        <v>0</v>
      </c>
      <c r="AH63" s="162">
        <f t="shared" ca="1" si="4"/>
        <v>0</v>
      </c>
    </row>
    <row r="64" spans="1:34" ht="20.25" customHeight="1" x14ac:dyDescent="0.25">
      <c r="AB64" s="162" t="s">
        <v>167</v>
      </c>
      <c r="AC64" s="162">
        <f t="shared" si="1"/>
        <v>0</v>
      </c>
      <c r="AD64" s="163" cm="1">
        <f t="array" aca="1" ref="AD64" ca="1">maj(AB64)</f>
        <v>0</v>
      </c>
      <c r="AE64" s="162">
        <f t="shared" ca="1" si="6"/>
        <v>0</v>
      </c>
      <c r="AF64" s="155">
        <f t="shared" ca="1" si="2"/>
        <v>0</v>
      </c>
      <c r="AG64" s="162">
        <f t="shared" ca="1" si="3"/>
        <v>0</v>
      </c>
      <c r="AH64" s="162">
        <f t="shared" ca="1" si="4"/>
        <v>0</v>
      </c>
    </row>
    <row r="65" spans="28:34" ht="20.25" customHeight="1" x14ac:dyDescent="0.25">
      <c r="AB65" s="162" t="s">
        <v>168</v>
      </c>
      <c r="AC65" s="162">
        <f t="shared" si="1"/>
        <v>0</v>
      </c>
      <c r="AD65" s="163" cm="1">
        <f t="array" aca="1" ref="AD65" ca="1">maj(AB65)</f>
        <v>0</v>
      </c>
      <c r="AE65" s="162">
        <f t="shared" ca="1" si="6"/>
        <v>0</v>
      </c>
      <c r="AF65" s="155">
        <f t="shared" ca="1" si="2"/>
        <v>0</v>
      </c>
      <c r="AG65" s="162">
        <f t="shared" ca="1" si="3"/>
        <v>0</v>
      </c>
      <c r="AH65" s="162">
        <f t="shared" ca="1" si="4"/>
        <v>0</v>
      </c>
    </row>
    <row r="66" spans="28:34" ht="20.25" customHeight="1" x14ac:dyDescent="0.25">
      <c r="AB66" s="162" t="s">
        <v>169</v>
      </c>
      <c r="AC66" s="162">
        <f t="shared" si="1"/>
        <v>0</v>
      </c>
      <c r="AD66" s="163" cm="1">
        <f t="array" aca="1" ref="AD66" ca="1">maj(AB66)</f>
        <v>0</v>
      </c>
      <c r="AE66" s="162">
        <f t="shared" ca="1" si="6"/>
        <v>0</v>
      </c>
      <c r="AF66" s="155">
        <f t="shared" ca="1" si="2"/>
        <v>0</v>
      </c>
      <c r="AG66" s="162">
        <f t="shared" ca="1" si="3"/>
        <v>0</v>
      </c>
      <c r="AH66" s="162">
        <f t="shared" ca="1" si="4"/>
        <v>0</v>
      </c>
    </row>
    <row r="67" spans="28:34" ht="20.25" customHeight="1" x14ac:dyDescent="0.25">
      <c r="AB67" s="162" t="s">
        <v>170</v>
      </c>
      <c r="AC67" s="162">
        <f t="shared" si="1"/>
        <v>0</v>
      </c>
      <c r="AD67" s="163" cm="1">
        <f t="array" aca="1" ref="AD67" ca="1">maj(AB67)</f>
        <v>0</v>
      </c>
      <c r="AE67" s="162">
        <f t="shared" ca="1" si="6"/>
        <v>0</v>
      </c>
      <c r="AF67" s="155">
        <f t="shared" ca="1" si="2"/>
        <v>0</v>
      </c>
      <c r="AG67" s="162">
        <f t="shared" ca="1" si="3"/>
        <v>0</v>
      </c>
      <c r="AH67" s="162">
        <f t="shared" ca="1" si="4"/>
        <v>0</v>
      </c>
    </row>
    <row r="68" spans="28:34" ht="20.25" customHeight="1" x14ac:dyDescent="0.25">
      <c r="AB68" s="162" t="s">
        <v>170</v>
      </c>
      <c r="AC68" s="162">
        <f t="shared" si="1"/>
        <v>0</v>
      </c>
      <c r="AD68" s="163" cm="1">
        <f t="array" aca="1" ref="AD68" ca="1">maj(AB68)</f>
        <v>0</v>
      </c>
      <c r="AE68" s="162">
        <f t="shared" ca="1" si="6"/>
        <v>0</v>
      </c>
      <c r="AF68" s="155">
        <f t="shared" ca="1" si="2"/>
        <v>0</v>
      </c>
      <c r="AG68" s="162">
        <f t="shared" ca="1" si="3"/>
        <v>0</v>
      </c>
      <c r="AH68" s="162">
        <f t="shared" ca="1" si="4"/>
        <v>0</v>
      </c>
    </row>
    <row r="69" spans="28:34" ht="20.25" customHeight="1" x14ac:dyDescent="0.25">
      <c r="AB69" s="162" t="s">
        <v>80</v>
      </c>
      <c r="AC69" s="162">
        <f t="shared" si="1"/>
        <v>0</v>
      </c>
      <c r="AD69" s="163" cm="1">
        <f t="array" aca="1" ref="AD69" ca="1">maj(AB69)</f>
        <v>0</v>
      </c>
      <c r="AE69" s="162">
        <f t="shared" ca="1" si="6"/>
        <v>0</v>
      </c>
      <c r="AF69" s="155">
        <f t="shared" ca="1" si="2"/>
        <v>0</v>
      </c>
      <c r="AG69" s="162">
        <f t="shared" ca="1" si="3"/>
        <v>0</v>
      </c>
      <c r="AH69" s="162">
        <f t="shared" ca="1" si="4"/>
        <v>0</v>
      </c>
    </row>
    <row r="70" spans="28:34" ht="20.25" customHeight="1" x14ac:dyDescent="0.25">
      <c r="AB70" s="162" t="s">
        <v>171</v>
      </c>
      <c r="AC70" s="162">
        <f t="shared" si="1"/>
        <v>0</v>
      </c>
      <c r="AD70" s="163" cm="1">
        <f t="array" aca="1" ref="AD70" ca="1">maj(AB70)</f>
        <v>0</v>
      </c>
      <c r="AE70" s="162">
        <f t="shared" ca="1" si="6"/>
        <v>0</v>
      </c>
      <c r="AF70" s="155">
        <f t="shared" ca="1" si="2"/>
        <v>0</v>
      </c>
      <c r="AG70" s="162">
        <f t="shared" ca="1" si="3"/>
        <v>0</v>
      </c>
      <c r="AH70" s="162">
        <f t="shared" ca="1" si="4"/>
        <v>0</v>
      </c>
    </row>
    <row r="71" spans="28:34" ht="20.25" customHeight="1" x14ac:dyDescent="0.25">
      <c r="AB71" s="162" t="s">
        <v>172</v>
      </c>
      <c r="AC71" s="162">
        <f t="shared" si="1"/>
        <v>0</v>
      </c>
      <c r="AD71" s="163" cm="1">
        <f t="array" aca="1" ref="AD71" ca="1">maj(AB71)</f>
        <v>0</v>
      </c>
      <c r="AE71" s="162">
        <f t="shared" ca="1" si="6"/>
        <v>0</v>
      </c>
      <c r="AF71" s="155">
        <f t="shared" ca="1" si="2"/>
        <v>0</v>
      </c>
      <c r="AG71" s="162">
        <f t="shared" ca="1" si="3"/>
        <v>0</v>
      </c>
      <c r="AH71" s="162">
        <f t="shared" ca="1" si="4"/>
        <v>0</v>
      </c>
    </row>
    <row r="72" spans="28:34" ht="20.25" customHeight="1" x14ac:dyDescent="0.25">
      <c r="AB72" s="162" t="s">
        <v>69</v>
      </c>
      <c r="AC72" s="162">
        <f t="shared" si="1"/>
        <v>0</v>
      </c>
      <c r="AD72" s="163" cm="1">
        <f t="array" aca="1" ref="AD72" ca="1">maj(AB72)</f>
        <v>0</v>
      </c>
      <c r="AE72" s="162">
        <f t="shared" ca="1" si="6"/>
        <v>0</v>
      </c>
      <c r="AF72" s="155">
        <f t="shared" ca="1" si="2"/>
        <v>0</v>
      </c>
      <c r="AG72" s="162">
        <f t="shared" ca="1" si="3"/>
        <v>0</v>
      </c>
      <c r="AH72" s="162">
        <f t="shared" ca="1" si="4"/>
        <v>0</v>
      </c>
    </row>
    <row r="73" spans="28:34" ht="20.25" customHeight="1" x14ac:dyDescent="0.25">
      <c r="AB73" s="162" t="s">
        <v>173</v>
      </c>
      <c r="AC73" s="162">
        <f t="shared" si="1"/>
        <v>0</v>
      </c>
      <c r="AD73" s="163" cm="1">
        <f t="array" aca="1" ref="AD73" ca="1">maj(AB73)</f>
        <v>0</v>
      </c>
      <c r="AE73" s="162">
        <f t="shared" ca="1" si="6"/>
        <v>0</v>
      </c>
      <c r="AF73" s="155">
        <f t="shared" ca="1" si="2"/>
        <v>0</v>
      </c>
      <c r="AG73" s="162">
        <f t="shared" ca="1" si="3"/>
        <v>0</v>
      </c>
      <c r="AH73" s="162">
        <f t="shared" ca="1" si="4"/>
        <v>0</v>
      </c>
    </row>
    <row r="74" spans="28:34" ht="20.25" customHeight="1" x14ac:dyDescent="0.25">
      <c r="AB74" s="162" t="s">
        <v>174</v>
      </c>
      <c r="AC74" s="162">
        <f t="shared" si="1"/>
        <v>0</v>
      </c>
      <c r="AD74" s="163" cm="1">
        <f t="array" aca="1" ref="AD74" ca="1">maj(AB74)</f>
        <v>0</v>
      </c>
      <c r="AE74" s="162">
        <f t="shared" ref="AE74:AE89" ca="1" si="8">SUM(AC74:AD74)</f>
        <v>0</v>
      </c>
      <c r="AF74" s="155">
        <f t="shared" ca="1" si="2"/>
        <v>0</v>
      </c>
      <c r="AG74" s="162">
        <f t="shared" ca="1" si="3"/>
        <v>0</v>
      </c>
      <c r="AH74" s="162">
        <f t="shared" ref="AH74:AH90" ca="1" si="9">AF74*$I$58</f>
        <v>0</v>
      </c>
    </row>
    <row r="75" spans="28:34" ht="20.25" customHeight="1" x14ac:dyDescent="0.25">
      <c r="AB75" s="162" t="s">
        <v>175</v>
      </c>
      <c r="AC75" s="162">
        <f t="shared" ref="AC75:AC89" si="10">SUMPRODUCT(($I$10:$I$51=$AB75)*($D$10:$D$51+$E$10:$E$51+$G$10:$G$51))</f>
        <v>0</v>
      </c>
      <c r="AD75" s="163" cm="1">
        <f t="array" aca="1" ref="AD75" ca="1">maj(AB75)</f>
        <v>0</v>
      </c>
      <c r="AE75" s="162">
        <f t="shared" ca="1" si="8"/>
        <v>0</v>
      </c>
      <c r="AF75" s="155">
        <f t="shared" ref="AF75:AF90" ca="1" si="11">AE75/$AE$91</f>
        <v>0</v>
      </c>
      <c r="AG75" s="162">
        <f t="shared" ref="AG75:AG90" ca="1" si="12">AF75*$I$57</f>
        <v>0</v>
      </c>
      <c r="AH75" s="162">
        <f t="shared" ca="1" si="9"/>
        <v>0</v>
      </c>
    </row>
    <row r="76" spans="28:34" ht="20.25" customHeight="1" x14ac:dyDescent="0.25">
      <c r="AB76" s="162" t="s">
        <v>176</v>
      </c>
      <c r="AC76" s="162">
        <f t="shared" si="10"/>
        <v>0</v>
      </c>
      <c r="AD76" s="163" cm="1">
        <f t="array" aca="1" ref="AD76" ca="1">maj(AB76)</f>
        <v>0</v>
      </c>
      <c r="AE76" s="162">
        <f t="shared" ca="1" si="8"/>
        <v>0</v>
      </c>
      <c r="AF76" s="155">
        <f t="shared" ca="1" si="11"/>
        <v>0</v>
      </c>
      <c r="AG76" s="162">
        <f t="shared" ca="1" si="12"/>
        <v>0</v>
      </c>
      <c r="AH76" s="162">
        <f t="shared" ca="1" si="9"/>
        <v>0</v>
      </c>
    </row>
    <row r="77" spans="28:34" ht="20.25" customHeight="1" x14ac:dyDescent="0.25">
      <c r="AB77" s="162" t="s">
        <v>177</v>
      </c>
      <c r="AC77" s="162">
        <f t="shared" si="10"/>
        <v>0</v>
      </c>
      <c r="AD77" s="163" cm="1">
        <f t="array" aca="1" ref="AD77" ca="1">maj(AB77)</f>
        <v>0</v>
      </c>
      <c r="AE77" s="162">
        <f t="shared" ca="1" si="8"/>
        <v>0</v>
      </c>
      <c r="AF77" s="155">
        <f t="shared" ca="1" si="11"/>
        <v>0</v>
      </c>
      <c r="AG77" s="162">
        <f t="shared" ca="1" si="12"/>
        <v>0</v>
      </c>
      <c r="AH77" s="162">
        <f t="shared" ca="1" si="9"/>
        <v>0</v>
      </c>
    </row>
    <row r="78" spans="28:34" ht="20.25" customHeight="1" x14ac:dyDescent="0.25">
      <c r="AB78" s="162" t="s">
        <v>178</v>
      </c>
      <c r="AC78" s="162">
        <f t="shared" si="10"/>
        <v>0</v>
      </c>
      <c r="AD78" s="163" cm="1">
        <f t="array" aca="1" ref="AD78" ca="1">maj(AB78)</f>
        <v>0</v>
      </c>
      <c r="AE78" s="162">
        <f t="shared" ca="1" si="8"/>
        <v>0</v>
      </c>
      <c r="AF78" s="155">
        <f t="shared" ca="1" si="11"/>
        <v>0</v>
      </c>
      <c r="AG78" s="162">
        <f t="shared" ca="1" si="12"/>
        <v>0</v>
      </c>
      <c r="AH78" s="162">
        <f t="shared" ca="1" si="9"/>
        <v>0</v>
      </c>
    </row>
    <row r="79" spans="28:34" ht="20.25" customHeight="1" x14ac:dyDescent="0.25">
      <c r="AB79" s="162" t="s">
        <v>179</v>
      </c>
      <c r="AC79" s="162">
        <f t="shared" si="10"/>
        <v>0</v>
      </c>
      <c r="AD79" s="163" cm="1">
        <f t="array" aca="1" ref="AD79" ca="1">maj(AB79)</f>
        <v>0</v>
      </c>
      <c r="AE79" s="162">
        <f t="shared" ca="1" si="8"/>
        <v>0</v>
      </c>
      <c r="AF79" s="155">
        <f t="shared" ca="1" si="11"/>
        <v>0</v>
      </c>
      <c r="AG79" s="162">
        <f t="shared" ca="1" si="12"/>
        <v>0</v>
      </c>
      <c r="AH79" s="162">
        <f t="shared" ca="1" si="9"/>
        <v>0</v>
      </c>
    </row>
    <row r="80" spans="28:34" ht="20.25" customHeight="1" x14ac:dyDescent="0.25">
      <c r="AB80" s="162" t="s">
        <v>180</v>
      </c>
      <c r="AC80" s="162">
        <f t="shared" si="10"/>
        <v>0</v>
      </c>
      <c r="AD80" s="163" cm="1">
        <f t="array" aca="1" ref="AD80" ca="1">maj(AB80)</f>
        <v>0</v>
      </c>
      <c r="AE80" s="162">
        <f t="shared" ca="1" si="8"/>
        <v>0</v>
      </c>
      <c r="AF80" s="155">
        <f t="shared" ca="1" si="11"/>
        <v>0</v>
      </c>
      <c r="AG80" s="162">
        <f t="shared" ca="1" si="12"/>
        <v>0</v>
      </c>
      <c r="AH80" s="162">
        <f t="shared" ca="1" si="9"/>
        <v>0</v>
      </c>
    </row>
    <row r="81" spans="28:34" ht="20.25" customHeight="1" x14ac:dyDescent="0.25">
      <c r="AB81" s="162" t="s">
        <v>181</v>
      </c>
      <c r="AC81" s="162">
        <f t="shared" si="10"/>
        <v>0</v>
      </c>
      <c r="AD81" s="163" cm="1">
        <f t="array" aca="1" ref="AD81" ca="1">maj(AB81)</f>
        <v>0</v>
      </c>
      <c r="AE81" s="162">
        <f t="shared" ca="1" si="8"/>
        <v>0</v>
      </c>
      <c r="AF81" s="155">
        <f t="shared" ca="1" si="11"/>
        <v>0</v>
      </c>
      <c r="AG81" s="162">
        <f t="shared" ca="1" si="12"/>
        <v>0</v>
      </c>
      <c r="AH81" s="162">
        <f t="shared" ca="1" si="9"/>
        <v>0</v>
      </c>
    </row>
    <row r="82" spans="28:34" ht="20.25" customHeight="1" x14ac:dyDescent="0.25">
      <c r="AB82" s="162" t="s">
        <v>182</v>
      </c>
      <c r="AC82" s="162">
        <f t="shared" si="10"/>
        <v>0</v>
      </c>
      <c r="AD82" s="163" cm="1">
        <f t="array" aca="1" ref="AD82" ca="1">maj(AB82)</f>
        <v>0</v>
      </c>
      <c r="AE82" s="162">
        <f t="shared" ca="1" si="8"/>
        <v>0</v>
      </c>
      <c r="AF82" s="155">
        <f t="shared" ca="1" si="11"/>
        <v>0</v>
      </c>
      <c r="AG82" s="162">
        <f t="shared" ca="1" si="12"/>
        <v>0</v>
      </c>
      <c r="AH82" s="162">
        <f t="shared" ca="1" si="9"/>
        <v>0</v>
      </c>
    </row>
    <row r="83" spans="28:34" ht="20.25" customHeight="1" x14ac:dyDescent="0.25">
      <c r="AB83" s="162" t="s">
        <v>183</v>
      </c>
      <c r="AC83" s="162">
        <f t="shared" si="10"/>
        <v>0</v>
      </c>
      <c r="AD83" s="163" cm="1">
        <f t="array" aca="1" ref="AD83" ca="1">maj(AB83)</f>
        <v>0</v>
      </c>
      <c r="AE83" s="162">
        <f t="shared" ca="1" si="8"/>
        <v>0</v>
      </c>
      <c r="AF83" s="155">
        <f t="shared" ca="1" si="11"/>
        <v>0</v>
      </c>
      <c r="AG83" s="162">
        <f t="shared" ca="1" si="12"/>
        <v>0</v>
      </c>
      <c r="AH83" s="162">
        <f t="shared" ca="1" si="9"/>
        <v>0</v>
      </c>
    </row>
    <row r="84" spans="28:34" ht="20.25" customHeight="1" x14ac:dyDescent="0.25">
      <c r="AB84" s="162" t="s">
        <v>184</v>
      </c>
      <c r="AC84" s="162">
        <f t="shared" si="10"/>
        <v>0</v>
      </c>
      <c r="AD84" s="163" cm="1">
        <f t="array" aca="1" ref="AD84" ca="1">maj(AB84)</f>
        <v>0</v>
      </c>
      <c r="AE84" s="162">
        <f t="shared" ca="1" si="8"/>
        <v>0</v>
      </c>
      <c r="AF84" s="155">
        <f t="shared" ca="1" si="11"/>
        <v>0</v>
      </c>
      <c r="AG84" s="162">
        <f t="shared" ca="1" si="12"/>
        <v>0</v>
      </c>
      <c r="AH84" s="162">
        <f t="shared" ca="1" si="9"/>
        <v>0</v>
      </c>
    </row>
    <row r="85" spans="28:34" ht="20.25" customHeight="1" x14ac:dyDescent="0.25">
      <c r="AB85" s="162" t="s">
        <v>185</v>
      </c>
      <c r="AC85" s="162">
        <f t="shared" si="10"/>
        <v>0</v>
      </c>
      <c r="AD85" s="163" cm="1">
        <f t="array" aca="1" ref="AD85" ca="1">maj(AB85)</f>
        <v>0</v>
      </c>
      <c r="AE85" s="162">
        <f t="shared" ca="1" si="8"/>
        <v>0</v>
      </c>
      <c r="AF85" s="155">
        <f t="shared" ca="1" si="11"/>
        <v>0</v>
      </c>
      <c r="AG85" s="162">
        <f t="shared" ca="1" si="12"/>
        <v>0</v>
      </c>
      <c r="AH85" s="162">
        <f t="shared" ca="1" si="9"/>
        <v>0</v>
      </c>
    </row>
    <row r="86" spans="28:34" ht="20.25" customHeight="1" x14ac:dyDescent="0.25">
      <c r="AB86" s="162" t="s">
        <v>186</v>
      </c>
      <c r="AC86" s="162">
        <f t="shared" si="10"/>
        <v>0</v>
      </c>
      <c r="AD86" s="163" cm="1">
        <f t="array" aca="1" ref="AD86" ca="1">maj(AB86)</f>
        <v>0</v>
      </c>
      <c r="AE86" s="162">
        <f t="shared" ca="1" si="8"/>
        <v>0</v>
      </c>
      <c r="AF86" s="155">
        <f t="shared" ca="1" si="11"/>
        <v>0</v>
      </c>
      <c r="AG86" s="162">
        <f t="shared" ca="1" si="12"/>
        <v>0</v>
      </c>
      <c r="AH86" s="162">
        <f t="shared" ca="1" si="9"/>
        <v>0</v>
      </c>
    </row>
    <row r="87" spans="28:34" ht="20.25" customHeight="1" x14ac:dyDescent="0.25">
      <c r="AB87" s="162" t="s">
        <v>187</v>
      </c>
      <c r="AC87" s="162">
        <f t="shared" si="10"/>
        <v>0</v>
      </c>
      <c r="AD87" s="163" cm="1">
        <f t="array" aca="1" ref="AD87" ca="1">maj(AB87)</f>
        <v>0</v>
      </c>
      <c r="AE87" s="162">
        <f t="shared" ca="1" si="8"/>
        <v>0</v>
      </c>
      <c r="AF87" s="155">
        <f t="shared" ca="1" si="11"/>
        <v>0</v>
      </c>
      <c r="AG87" s="162">
        <f t="shared" ca="1" si="12"/>
        <v>0</v>
      </c>
      <c r="AH87" s="162">
        <f t="shared" ca="1" si="9"/>
        <v>0</v>
      </c>
    </row>
    <row r="88" spans="28:34" ht="20.25" customHeight="1" x14ac:dyDescent="0.25">
      <c r="AB88" s="162" t="s">
        <v>188</v>
      </c>
      <c r="AC88" s="162">
        <f t="shared" si="10"/>
        <v>0</v>
      </c>
      <c r="AD88" s="163" cm="1">
        <f t="array" aca="1" ref="AD88" ca="1">maj(AB88)</f>
        <v>0</v>
      </c>
      <c r="AE88" s="162">
        <f t="shared" ca="1" si="8"/>
        <v>0</v>
      </c>
      <c r="AF88" s="155">
        <f t="shared" ca="1" si="11"/>
        <v>0</v>
      </c>
      <c r="AG88" s="162">
        <f t="shared" ca="1" si="12"/>
        <v>0</v>
      </c>
      <c r="AH88" s="162">
        <f t="shared" ca="1" si="9"/>
        <v>0</v>
      </c>
    </row>
    <row r="89" spans="28:34" ht="20.25" customHeight="1" x14ac:dyDescent="0.25">
      <c r="AB89" s="162" t="s">
        <v>189</v>
      </c>
      <c r="AC89" s="162">
        <f t="shared" si="10"/>
        <v>0</v>
      </c>
      <c r="AD89" s="163" cm="1">
        <f t="array" aca="1" ref="AD89" ca="1">maj(AB89)</f>
        <v>0</v>
      </c>
      <c r="AE89" s="162">
        <f t="shared" ca="1" si="8"/>
        <v>0</v>
      </c>
      <c r="AF89" s="155">
        <f t="shared" ca="1" si="11"/>
        <v>0</v>
      </c>
      <c r="AG89" s="162">
        <f t="shared" ca="1" si="12"/>
        <v>0</v>
      </c>
      <c r="AH89" s="162">
        <f t="shared" ca="1" si="9"/>
        <v>0</v>
      </c>
    </row>
    <row r="90" spans="28:34" ht="20.25" customHeight="1" x14ac:dyDescent="0.25">
      <c r="AB90" s="162" t="s">
        <v>102</v>
      </c>
      <c r="AC90" s="162">
        <v>21</v>
      </c>
      <c r="AD90" s="163" cm="1">
        <f t="array" aca="1" ref="AD90" ca="1">maj(AB90)</f>
        <v>0</v>
      </c>
      <c r="AE90" s="162">
        <f ca="1">SUM(AC90+AD90)</f>
        <v>21</v>
      </c>
      <c r="AF90" s="155">
        <f t="shared" ca="1" si="11"/>
        <v>0.12017167381974249</v>
      </c>
      <c r="AG90" s="162">
        <f t="shared" ca="1" si="12"/>
        <v>540.16326180257499</v>
      </c>
      <c r="AH90" s="162">
        <f t="shared" ca="1" si="9"/>
        <v>15.702832618025749</v>
      </c>
    </row>
    <row r="91" spans="28:34" x14ac:dyDescent="0.25">
      <c r="AB91" s="162" t="s">
        <v>112</v>
      </c>
      <c r="AC91" s="165"/>
      <c r="AD91" s="164"/>
      <c r="AE91" s="165">
        <f ca="1">SUM(AE10:AE90)</f>
        <v>174.75</v>
      </c>
      <c r="AF91" s="156">
        <f ca="1">SUM(AF10:AF90)</f>
        <v>1</v>
      </c>
      <c r="AG91" s="165">
        <f ca="1">SUM(AG10:AG90)</f>
        <v>4494.9299999999994</v>
      </c>
      <c r="AH91" s="165">
        <f ca="1">SUM(AH10:AH90)</f>
        <v>130.66999999999999</v>
      </c>
    </row>
    <row r="92" spans="28:34" x14ac:dyDescent="0.25">
      <c r="AB92" s="19"/>
    </row>
  </sheetData>
  <mergeCells count="14">
    <mergeCell ref="A45:A51"/>
    <mergeCell ref="D3:J3"/>
    <mergeCell ref="D5:J5"/>
    <mergeCell ref="L5:N5"/>
    <mergeCell ref="P5:Q5"/>
    <mergeCell ref="A10:A16"/>
    <mergeCell ref="A24:A30"/>
    <mergeCell ref="A31:A37"/>
    <mergeCell ref="A38:A44"/>
    <mergeCell ref="S5:T5"/>
    <mergeCell ref="D6:G6"/>
    <mergeCell ref="H6:I6"/>
    <mergeCell ref="J6:J7"/>
    <mergeCell ref="A17:A23"/>
  </mergeCells>
  <conditionalFormatting sqref="AG91">
    <cfRule type="expression" dxfId="1" priority="5">
      <formula>$AG$91=$I$57</formula>
    </cfRule>
  </conditionalFormatting>
  <conditionalFormatting sqref="AH91">
    <cfRule type="expression" dxfId="0" priority="4">
      <formula>$AH$91=$I$58</formula>
    </cfRule>
  </conditionalFormatting>
  <printOptions horizontalCentered="1"/>
  <pageMargins left="0.39370078740157483" right="0.39370078740157483" top="0.39370078740157483" bottom="0.39370078740157483" header="0.31496062992125984" footer="0.31496062992125984"/>
  <pageSetup paperSize="9" scale="46" orientation="portrait" r:id="rId1"/>
  <drawing r:id="rId2"/>
  <legacy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E11346285C7F644A18658E238564416" ma:contentTypeVersion="2" ma:contentTypeDescription="Crée un document." ma:contentTypeScope="" ma:versionID="1a7f13804a7ac10c6d6838399927fa83">
  <xsd:schema xmlns:xsd="http://www.w3.org/2001/XMLSchema" xmlns:xs="http://www.w3.org/2001/XMLSchema" xmlns:p="http://schemas.microsoft.com/office/2006/metadata/properties" xmlns:ns2="ec17f8a6-fc54-4f95-8b9b-ba4f0a07ff84" targetNamespace="http://schemas.microsoft.com/office/2006/metadata/properties" ma:root="true" ma:fieldsID="64e932a91eaad74414658204da5c17c5" ns2:_="">
    <xsd:import namespace="ec17f8a6-fc54-4f95-8b9b-ba4f0a07ff8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17f8a6-fc54-4f95-8b9b-ba4f0a07ff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C2E2B0E-C3E7-4FCE-AB95-B0D8D31A2AD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c17f8a6-fc54-4f95-8b9b-ba4f0a07ff8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F6086C8-E7DE-4EB2-99C5-27AE50FDD77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9F33A55-4182-44F7-AF6F-9415CF2A6123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base chantier</vt:lpstr>
      <vt:lpstr>Base</vt:lpstr>
      <vt:lpstr>RECAP</vt:lpstr>
      <vt:lpstr>LAUVERGEAT</vt:lpstr>
      <vt:lpstr>chantier</vt:lpstr>
      <vt:lpstr>RECAP!Impression_des_titres</vt:lpstr>
      <vt:lpstr>Base!Zone_d_impression</vt:lpstr>
      <vt:lpstr>LAUVERGEAT!Zone_d_impression</vt:lpstr>
      <vt:lpstr>RECAP!Zone_d_impression</vt:lpstr>
    </vt:vector>
  </TitlesOfParts>
  <Manager/>
  <Company>HP</Company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bhamidi</dc:creator>
  <cp:keywords/>
  <dc:description/>
  <cp:lastModifiedBy>yal</cp:lastModifiedBy>
  <cp:revision/>
  <cp:lastPrinted>2021-10-19T10:54:59Z</cp:lastPrinted>
  <dcterms:created xsi:type="dcterms:W3CDTF">2012-02-23T16:57:24Z</dcterms:created>
  <dcterms:modified xsi:type="dcterms:W3CDTF">2021-10-30T19:33:27Z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0x0101001E11346285C7F644A18658E238564416</vt:lpwstr>
  </property>
</Properties>
</file>