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780" yWindow="1005" windowWidth="27645" windowHeight="16440" activeTab="1"/>
  </bookViews>
  <sheets>
    <sheet name="Stats" sheetId="1" r:id="rId1"/>
    <sheet name="Stats (2)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7" i="2"/>
  <c r="Z8" i="2"/>
  <c r="Z9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E7" i="2" l="1"/>
  <c r="H7" i="2"/>
  <c r="K7" i="2"/>
  <c r="N7" i="2"/>
  <c r="Q7" i="2"/>
  <c r="Z7" i="2" s="1"/>
  <c r="E8" i="2"/>
  <c r="H8" i="2"/>
  <c r="K8" i="2"/>
  <c r="N8" i="2"/>
  <c r="O8" i="2"/>
  <c r="Q8" i="2"/>
  <c r="P8" i="2" s="1"/>
  <c r="AA8" i="2"/>
  <c r="AE8" i="2"/>
  <c r="AF8" i="2"/>
  <c r="E9" i="2"/>
  <c r="H9" i="2"/>
  <c r="K9" i="2"/>
  <c r="N9" i="2"/>
  <c r="O9" i="2"/>
  <c r="Q9" i="2"/>
  <c r="P9" i="2" s="1"/>
  <c r="AA9" i="2"/>
  <c r="AB9" i="2" s="1"/>
  <c r="AD9" i="2" s="1"/>
  <c r="AE9" i="2"/>
  <c r="E10" i="2"/>
  <c r="H10" i="2"/>
  <c r="K10" i="2"/>
  <c r="N10" i="2"/>
  <c r="O10" i="2"/>
  <c r="Q10" i="2"/>
  <c r="P10" i="2" s="1"/>
  <c r="AA10" i="2"/>
  <c r="AF10" i="2" s="1"/>
  <c r="AE10" i="2"/>
  <c r="E11" i="2"/>
  <c r="H11" i="2"/>
  <c r="K11" i="2"/>
  <c r="N11" i="2"/>
  <c r="O11" i="2"/>
  <c r="Q11" i="2"/>
  <c r="P11" i="2" s="1"/>
  <c r="AA11" i="2"/>
  <c r="AB11" i="2" s="1"/>
  <c r="AD11" i="2" s="1"/>
  <c r="AE11" i="2"/>
  <c r="E12" i="2"/>
  <c r="H12" i="2"/>
  <c r="K12" i="2"/>
  <c r="N12" i="2"/>
  <c r="O12" i="2"/>
  <c r="Q12" i="2"/>
  <c r="P12" i="2" s="1"/>
  <c r="AA12" i="2"/>
  <c r="AF12" i="2" s="1"/>
  <c r="AE12" i="2"/>
  <c r="E13" i="2"/>
  <c r="H13" i="2"/>
  <c r="K13" i="2"/>
  <c r="N13" i="2"/>
  <c r="O13" i="2"/>
  <c r="Q13" i="2"/>
  <c r="P13" i="2" s="1"/>
  <c r="AA13" i="2"/>
  <c r="AB13" i="2" s="1"/>
  <c r="AD13" i="2" s="1"/>
  <c r="AE13" i="2"/>
  <c r="E14" i="2"/>
  <c r="H14" i="2"/>
  <c r="K14" i="2"/>
  <c r="N14" i="2"/>
  <c r="O14" i="2"/>
  <c r="Q14" i="2"/>
  <c r="P14" i="2" s="1"/>
  <c r="AA14" i="2"/>
  <c r="AE14" i="2"/>
  <c r="AF14" i="2"/>
  <c r="E15" i="2"/>
  <c r="H15" i="2"/>
  <c r="K15" i="2"/>
  <c r="N15" i="2"/>
  <c r="O15" i="2"/>
  <c r="Q15" i="2"/>
  <c r="P15" i="2" s="1"/>
  <c r="AA15" i="2"/>
  <c r="AB15" i="2" s="1"/>
  <c r="AD15" i="2" s="1"/>
  <c r="AE15" i="2"/>
  <c r="E16" i="2"/>
  <c r="H16" i="2"/>
  <c r="K16" i="2"/>
  <c r="N16" i="2"/>
  <c r="O16" i="2"/>
  <c r="Q16" i="2"/>
  <c r="P16" i="2" s="1"/>
  <c r="AA16" i="2"/>
  <c r="AE16" i="2"/>
  <c r="AF16" i="2"/>
  <c r="E17" i="2"/>
  <c r="H17" i="2"/>
  <c r="K17" i="2"/>
  <c r="N17" i="2"/>
  <c r="O17" i="2"/>
  <c r="Q17" i="2"/>
  <c r="P17" i="2" s="1"/>
  <c r="AA17" i="2"/>
  <c r="AB17" i="2" s="1"/>
  <c r="AD17" i="2" s="1"/>
  <c r="AE17" i="2"/>
  <c r="E18" i="2"/>
  <c r="H18" i="2"/>
  <c r="K18" i="2"/>
  <c r="N18" i="2"/>
  <c r="O18" i="2"/>
  <c r="Q18" i="2"/>
  <c r="P18" i="2" s="1"/>
  <c r="AA18" i="2"/>
  <c r="AF18" i="2" s="1"/>
  <c r="AE18" i="2"/>
  <c r="E19" i="2"/>
  <c r="H19" i="2"/>
  <c r="K19" i="2"/>
  <c r="N19" i="2"/>
  <c r="O19" i="2"/>
  <c r="Q19" i="2"/>
  <c r="P19" i="2" s="1"/>
  <c r="AA19" i="2"/>
  <c r="AB19" i="2" s="1"/>
  <c r="AD19" i="2" s="1"/>
  <c r="AE19" i="2"/>
  <c r="E20" i="2"/>
  <c r="H20" i="2"/>
  <c r="K20" i="2"/>
  <c r="N20" i="2"/>
  <c r="O20" i="2"/>
  <c r="Q20" i="2"/>
  <c r="P20" i="2" s="1"/>
  <c r="AA20" i="2"/>
  <c r="AF20" i="2" s="1"/>
  <c r="AE20" i="2"/>
  <c r="E21" i="2"/>
  <c r="H21" i="2"/>
  <c r="K21" i="2"/>
  <c r="N21" i="2"/>
  <c r="O21" i="2"/>
  <c r="Q21" i="2"/>
  <c r="P21" i="2" s="1"/>
  <c r="AA21" i="2"/>
  <c r="AB21" i="2" s="1"/>
  <c r="AD21" i="2" s="1"/>
  <c r="AE21" i="2"/>
  <c r="E22" i="2"/>
  <c r="H22" i="2"/>
  <c r="K22" i="2"/>
  <c r="N22" i="2"/>
  <c r="O22" i="2"/>
  <c r="Q22" i="2"/>
  <c r="P22" i="2" s="1"/>
  <c r="AA22" i="2"/>
  <c r="AF22" i="2" s="1"/>
  <c r="AE22" i="2"/>
  <c r="E23" i="2"/>
  <c r="H23" i="2"/>
  <c r="K23" i="2"/>
  <c r="N23" i="2"/>
  <c r="O23" i="2"/>
  <c r="Q23" i="2"/>
  <c r="P23" i="2" s="1"/>
  <c r="AA23" i="2"/>
  <c r="AB23" i="2" s="1"/>
  <c r="AD23" i="2" s="1"/>
  <c r="AE23" i="2"/>
  <c r="E24" i="2"/>
  <c r="H24" i="2"/>
  <c r="K24" i="2"/>
  <c r="N24" i="2"/>
  <c r="O24" i="2"/>
  <c r="Q24" i="2"/>
  <c r="P24" i="2" s="1"/>
  <c r="AA24" i="2"/>
  <c r="AF24" i="2" s="1"/>
  <c r="AE24" i="2"/>
  <c r="E25" i="2"/>
  <c r="H25" i="2"/>
  <c r="K25" i="2"/>
  <c r="N25" i="2"/>
  <c r="O25" i="2"/>
  <c r="Q25" i="2"/>
  <c r="P25" i="2" s="1"/>
  <c r="AA25" i="2"/>
  <c r="AB25" i="2" s="1"/>
  <c r="AD25" i="2" s="1"/>
  <c r="AE25" i="2"/>
  <c r="E26" i="2"/>
  <c r="H26" i="2"/>
  <c r="K26" i="2"/>
  <c r="N26" i="2"/>
  <c r="O26" i="2"/>
  <c r="Q26" i="2"/>
  <c r="P26" i="2" s="1"/>
  <c r="AA26" i="2"/>
  <c r="AF26" i="2" s="1"/>
  <c r="AE26" i="2"/>
  <c r="E27" i="2"/>
  <c r="H27" i="2"/>
  <c r="K27" i="2"/>
  <c r="N27" i="2"/>
  <c r="O27" i="2"/>
  <c r="Q27" i="2"/>
  <c r="P27" i="2" s="1"/>
  <c r="AA27" i="2"/>
  <c r="AB27" i="2" s="1"/>
  <c r="AD27" i="2" s="1"/>
  <c r="AE27" i="2"/>
  <c r="E28" i="2"/>
  <c r="H28" i="2"/>
  <c r="K28" i="2"/>
  <c r="N28" i="2"/>
  <c r="O28" i="2"/>
  <c r="Q28" i="2"/>
  <c r="P28" i="2" s="1"/>
  <c r="AA28" i="2"/>
  <c r="AF28" i="2" s="1"/>
  <c r="AE28" i="2"/>
  <c r="E29" i="2"/>
  <c r="H29" i="2"/>
  <c r="K29" i="2"/>
  <c r="N29" i="2"/>
  <c r="O29" i="2"/>
  <c r="Q29" i="2"/>
  <c r="P29" i="2" s="1"/>
  <c r="AA29" i="2"/>
  <c r="AB29" i="2" s="1"/>
  <c r="AD29" i="2" s="1"/>
  <c r="AE29" i="2"/>
  <c r="E30" i="2"/>
  <c r="H30" i="2"/>
  <c r="K30" i="2"/>
  <c r="N30" i="2"/>
  <c r="O30" i="2"/>
  <c r="Q30" i="2"/>
  <c r="P30" i="2" s="1"/>
  <c r="AA30" i="2"/>
  <c r="AF30" i="2" s="1"/>
  <c r="AE30" i="2"/>
  <c r="G33" i="2"/>
  <c r="E33" i="2"/>
  <c r="AH33" i="2"/>
  <c r="AG33" i="2"/>
  <c r="AF33" i="2"/>
  <c r="AB33" i="2"/>
  <c r="X33" i="2"/>
  <c r="W33" i="2"/>
  <c r="V33" i="2"/>
  <c r="U33" i="2"/>
  <c r="T33" i="2"/>
  <c r="S33" i="2"/>
  <c r="R33" i="2"/>
  <c r="Q33" i="2"/>
  <c r="L33" i="2"/>
  <c r="K33" i="2"/>
  <c r="F33" i="2"/>
  <c r="C33" i="2"/>
  <c r="B33" i="2"/>
  <c r="AF32" i="2"/>
  <c r="AG32" i="2"/>
  <c r="AH32" i="2"/>
  <c r="AB32" i="2"/>
  <c r="X32" i="2"/>
  <c r="W32" i="2"/>
  <c r="V32" i="2"/>
  <c r="U32" i="2"/>
  <c r="T32" i="2"/>
  <c r="S32" i="2"/>
  <c r="R32" i="2"/>
  <c r="Q32" i="2"/>
  <c r="J6" i="2"/>
  <c r="I6" i="2"/>
  <c r="Q6" i="2"/>
  <c r="N6" i="2"/>
  <c r="H6" i="2"/>
  <c r="E6" i="2"/>
  <c r="M32" i="2"/>
  <c r="G32" i="2"/>
  <c r="D32" i="2"/>
  <c r="C32" i="2"/>
  <c r="E32" i="2"/>
  <c r="F32" i="2"/>
  <c r="K32" i="2"/>
  <c r="L32" i="2"/>
  <c r="B32" i="2"/>
  <c r="BA8" i="2"/>
  <c r="AX8" i="2"/>
  <c r="AT8" i="2"/>
  <c r="AS8" i="2"/>
  <c r="AR8" i="2"/>
  <c r="AO8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W7" i="2"/>
  <c r="AV7" i="2"/>
  <c r="AT7" i="2"/>
  <c r="AS7" i="2"/>
  <c r="AQ7" i="2"/>
  <c r="AP7" i="2"/>
  <c r="AN7" i="2"/>
  <c r="AM7" i="2"/>
  <c r="BA6" i="2"/>
  <c r="AX6" i="2"/>
  <c r="AT6" i="2"/>
  <c r="AS6" i="2"/>
  <c r="AR6" i="2"/>
  <c r="AO6" i="2"/>
  <c r="AB30" i="2" l="1"/>
  <c r="AD30" i="2" s="1"/>
  <c r="AF29" i="2"/>
  <c r="AB28" i="2"/>
  <c r="AD28" i="2" s="1"/>
  <c r="AF27" i="2"/>
  <c r="AB26" i="2"/>
  <c r="AD26" i="2" s="1"/>
  <c r="AF25" i="2"/>
  <c r="AB24" i="2"/>
  <c r="AD24" i="2" s="1"/>
  <c r="AF23" i="2"/>
  <c r="AB22" i="2"/>
  <c r="AD22" i="2" s="1"/>
  <c r="AF21" i="2"/>
  <c r="AB20" i="2"/>
  <c r="AD20" i="2" s="1"/>
  <c r="AF19" i="2"/>
  <c r="AB18" i="2"/>
  <c r="AD18" i="2" s="1"/>
  <c r="AF17" i="2"/>
  <c r="AB16" i="2"/>
  <c r="AD16" i="2" s="1"/>
  <c r="AF15" i="2"/>
  <c r="AB14" i="2"/>
  <c r="AD14" i="2" s="1"/>
  <c r="AF13" i="2"/>
  <c r="AB12" i="2"/>
  <c r="AD12" i="2" s="1"/>
  <c r="AF11" i="2"/>
  <c r="AB10" i="2"/>
  <c r="AD10" i="2" s="1"/>
  <c r="AF9" i="2"/>
  <c r="AB8" i="2"/>
  <c r="AD8" i="2" s="1"/>
  <c r="P7" i="2"/>
  <c r="AA7" i="2"/>
  <c r="O7" i="2"/>
  <c r="AE7" i="2"/>
  <c r="P6" i="2"/>
  <c r="N32" i="2"/>
  <c r="H33" i="2"/>
  <c r="P33" i="2"/>
  <c r="O6" i="2"/>
  <c r="I33" i="2"/>
  <c r="P32" i="2"/>
  <c r="O32" i="2"/>
  <c r="AE6" i="2"/>
  <c r="AA6" i="2"/>
  <c r="K6" i="2"/>
  <c r="Z6" i="2"/>
  <c r="J32" i="2"/>
  <c r="I32" i="2"/>
  <c r="H32" i="2"/>
  <c r="AX7" i="2"/>
  <c r="AO7" i="2"/>
  <c r="D33" i="2"/>
  <c r="AY6" i="2"/>
  <c r="AY7" i="2"/>
  <c r="AZ7" i="2"/>
  <c r="AU8" i="2"/>
  <c r="AR7" i="2"/>
  <c r="BO6" i="2"/>
  <c r="AY8" i="2"/>
  <c r="AU6" i="2"/>
  <c r="M33" i="2"/>
  <c r="BJ6" i="2"/>
  <c r="BK6" i="2"/>
  <c r="BP6" i="2" s="1"/>
  <c r="AU7" i="2"/>
  <c r="BJ8" i="2"/>
  <c r="BO8" i="2"/>
  <c r="AZ6" i="2"/>
  <c r="BK8" i="2"/>
  <c r="BP8" i="2" s="1"/>
  <c r="AZ8" i="2"/>
  <c r="AH30" i="1"/>
  <c r="AG30" i="1"/>
  <c r="AF30" i="1"/>
  <c r="X30" i="1"/>
  <c r="W30" i="1"/>
  <c r="V30" i="1"/>
  <c r="U30" i="1"/>
  <c r="T30" i="1"/>
  <c r="S30" i="1"/>
  <c r="R30" i="1"/>
  <c r="Q30" i="1"/>
  <c r="L30" i="1"/>
  <c r="K30" i="1"/>
  <c r="M30" i="1" s="1"/>
  <c r="F30" i="1"/>
  <c r="E30" i="1"/>
  <c r="G30" i="1" s="1"/>
  <c r="C30" i="1"/>
  <c r="B30" i="1"/>
  <c r="AH29" i="1"/>
  <c r="AG29" i="1"/>
  <c r="AF29" i="1"/>
  <c r="X29" i="1"/>
  <c r="W29" i="1"/>
  <c r="V29" i="1"/>
  <c r="U29" i="1"/>
  <c r="T29" i="1"/>
  <c r="S29" i="1"/>
  <c r="R29" i="1"/>
  <c r="Q29" i="1"/>
  <c r="L29" i="1"/>
  <c r="K29" i="1"/>
  <c r="F29" i="1"/>
  <c r="E29" i="1"/>
  <c r="C29" i="1"/>
  <c r="B29" i="1"/>
  <c r="D29" i="1" s="1"/>
  <c r="O28" i="1"/>
  <c r="N28" i="1"/>
  <c r="M28" i="1"/>
  <c r="J28" i="1"/>
  <c r="G28" i="1"/>
  <c r="D28" i="1"/>
  <c r="O27" i="1"/>
  <c r="N27" i="1"/>
  <c r="M27" i="1"/>
  <c r="J27" i="1"/>
  <c r="G27" i="1"/>
  <c r="D27" i="1"/>
  <c r="O26" i="1"/>
  <c r="N26" i="1"/>
  <c r="M26" i="1"/>
  <c r="J26" i="1"/>
  <c r="G26" i="1"/>
  <c r="D26" i="1"/>
  <c r="O25" i="1"/>
  <c r="N25" i="1"/>
  <c r="M25" i="1"/>
  <c r="J25" i="1"/>
  <c r="G25" i="1"/>
  <c r="D25" i="1"/>
  <c r="O24" i="1"/>
  <c r="N24" i="1"/>
  <c r="M24" i="1"/>
  <c r="J24" i="1"/>
  <c r="G24" i="1"/>
  <c r="D24" i="1"/>
  <c r="O23" i="1"/>
  <c r="N23" i="1"/>
  <c r="M23" i="1"/>
  <c r="J23" i="1"/>
  <c r="G23" i="1"/>
  <c r="D23" i="1"/>
  <c r="O22" i="1"/>
  <c r="N22" i="1"/>
  <c r="M22" i="1"/>
  <c r="J22" i="1"/>
  <c r="G22" i="1"/>
  <c r="D22" i="1"/>
  <c r="O21" i="1"/>
  <c r="N21" i="1"/>
  <c r="M21" i="1"/>
  <c r="J21" i="1"/>
  <c r="G21" i="1"/>
  <c r="D21" i="1"/>
  <c r="O20" i="1"/>
  <c r="N20" i="1"/>
  <c r="M20" i="1"/>
  <c r="J20" i="1"/>
  <c r="G20" i="1"/>
  <c r="D20" i="1"/>
  <c r="O19" i="1"/>
  <c r="N19" i="1"/>
  <c r="M19" i="1"/>
  <c r="J19" i="1"/>
  <c r="G19" i="1"/>
  <c r="D19" i="1"/>
  <c r="O18" i="1"/>
  <c r="N18" i="1"/>
  <c r="M18" i="1"/>
  <c r="J18" i="1"/>
  <c r="G18" i="1"/>
  <c r="D18" i="1"/>
  <c r="O17" i="1"/>
  <c r="N17" i="1"/>
  <c r="M17" i="1"/>
  <c r="J17" i="1"/>
  <c r="G17" i="1"/>
  <c r="D17" i="1"/>
  <c r="O16" i="1"/>
  <c r="N16" i="1"/>
  <c r="M16" i="1"/>
  <c r="J16" i="1"/>
  <c r="G16" i="1"/>
  <c r="D16" i="1"/>
  <c r="O15" i="1"/>
  <c r="N15" i="1"/>
  <c r="M15" i="1"/>
  <c r="J15" i="1"/>
  <c r="G15" i="1"/>
  <c r="D15" i="1"/>
  <c r="O14" i="1"/>
  <c r="N14" i="1"/>
  <c r="M14" i="1"/>
  <c r="J14" i="1"/>
  <c r="G14" i="1"/>
  <c r="D14" i="1"/>
  <c r="O13" i="1"/>
  <c r="N13" i="1"/>
  <c r="M13" i="1"/>
  <c r="J13" i="1"/>
  <c r="G13" i="1"/>
  <c r="D13" i="1"/>
  <c r="O12" i="1"/>
  <c r="N12" i="1"/>
  <c r="M12" i="1"/>
  <c r="J12" i="1"/>
  <c r="G12" i="1"/>
  <c r="D12" i="1"/>
  <c r="O11" i="1"/>
  <c r="N11" i="1"/>
  <c r="M11" i="1"/>
  <c r="J11" i="1"/>
  <c r="G11" i="1"/>
  <c r="D11" i="1"/>
  <c r="O10" i="1"/>
  <c r="N10" i="1"/>
  <c r="M10" i="1"/>
  <c r="J10" i="1"/>
  <c r="G10" i="1"/>
  <c r="D10" i="1"/>
  <c r="O9" i="1"/>
  <c r="N9" i="1"/>
  <c r="M9" i="1"/>
  <c r="J9" i="1"/>
  <c r="G9" i="1"/>
  <c r="D9" i="1"/>
  <c r="AZ8" i="1"/>
  <c r="AW8" i="1"/>
  <c r="AS8" i="1"/>
  <c r="AR8" i="1"/>
  <c r="AQ8" i="1"/>
  <c r="AN8" i="1"/>
  <c r="O8" i="1"/>
  <c r="N8" i="1"/>
  <c r="M8" i="1"/>
  <c r="J8" i="1"/>
  <c r="G8" i="1"/>
  <c r="D8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V7" i="1"/>
  <c r="AU7" i="1"/>
  <c r="AW7" i="1" s="1"/>
  <c r="AS7" i="1"/>
  <c r="AR7" i="1"/>
  <c r="AP7" i="1"/>
  <c r="AO7" i="1"/>
  <c r="AM7" i="1"/>
  <c r="AL7" i="1"/>
  <c r="P7" i="1"/>
  <c r="M7" i="1"/>
  <c r="I7" i="1"/>
  <c r="Z7" i="1" s="1"/>
  <c r="AE7" i="1" s="1"/>
  <c r="H7" i="1"/>
  <c r="G7" i="1"/>
  <c r="D7" i="1"/>
  <c r="AZ6" i="1"/>
  <c r="AW6" i="1"/>
  <c r="AS6" i="1"/>
  <c r="BJ6" i="1" s="1"/>
  <c r="BO6" i="1" s="1"/>
  <c r="AR6" i="1"/>
  <c r="AQ6" i="1"/>
  <c r="AN6" i="1"/>
  <c r="P6" i="1"/>
  <c r="M6" i="1"/>
  <c r="I6" i="1"/>
  <c r="H6" i="1"/>
  <c r="G6" i="1"/>
  <c r="D6" i="1"/>
  <c r="AB7" i="2" l="1"/>
  <c r="AD7" i="2" s="1"/>
  <c r="AF7" i="2"/>
  <c r="Z32" i="2"/>
  <c r="Z33" i="2"/>
  <c r="AD33" i="2"/>
  <c r="AD32" i="2"/>
  <c r="Y32" i="2"/>
  <c r="Y33" i="2"/>
  <c r="BL6" i="2"/>
  <c r="BN6" i="2" s="1"/>
  <c r="AF6" i="2"/>
  <c r="AB6" i="2"/>
  <c r="O33" i="2"/>
  <c r="BL8" i="2"/>
  <c r="BN8" i="2" s="1"/>
  <c r="N33" i="2"/>
  <c r="J33" i="2"/>
  <c r="AT7" i="1"/>
  <c r="O7" i="1"/>
  <c r="I30" i="1"/>
  <c r="BI8" i="1"/>
  <c r="M29" i="1"/>
  <c r="Y6" i="1"/>
  <c r="AY6" i="1"/>
  <c r="D30" i="1"/>
  <c r="G29" i="1"/>
  <c r="O6" i="1"/>
  <c r="BK6" i="1"/>
  <c r="BM6" i="1" s="1"/>
  <c r="AY8" i="1"/>
  <c r="Z6" i="1"/>
  <c r="Z30" i="1" s="1"/>
  <c r="BJ8" i="1"/>
  <c r="BO8" i="1" s="1"/>
  <c r="AY7" i="1"/>
  <c r="AN7" i="1"/>
  <c r="H29" i="1"/>
  <c r="AQ7" i="1"/>
  <c r="AX7" i="1"/>
  <c r="BI6" i="1"/>
  <c r="P29" i="1"/>
  <c r="J6" i="1"/>
  <c r="H30" i="1"/>
  <c r="AD6" i="1"/>
  <c r="N6" i="1"/>
  <c r="AA7" i="1"/>
  <c r="AC7" i="1" s="1"/>
  <c r="AX8" i="1"/>
  <c r="BN8" i="1"/>
  <c r="Y7" i="1"/>
  <c r="Y29" i="1" s="1"/>
  <c r="AT6" i="1"/>
  <c r="AX6" i="1"/>
  <c r="BN6" i="1"/>
  <c r="N7" i="1"/>
  <c r="J7" i="1"/>
  <c r="AT8" i="1"/>
  <c r="AA6" i="1"/>
  <c r="P30" i="1"/>
  <c r="O30" i="1" s="1"/>
  <c r="AD7" i="1"/>
  <c r="I29" i="1"/>
  <c r="J29" i="1" s="1"/>
  <c r="AA33" i="2" l="1"/>
  <c r="AD6" i="2"/>
  <c r="AC32" i="2" s="1"/>
  <c r="AE33" i="2"/>
  <c r="AA32" i="2"/>
  <c r="AE32" i="2"/>
  <c r="Z29" i="1"/>
  <c r="AE6" i="1"/>
  <c r="BK8" i="1"/>
  <c r="BM8" i="1" s="1"/>
  <c r="Y30" i="1"/>
  <c r="AA29" i="1"/>
  <c r="AA30" i="1"/>
  <c r="AD30" i="1"/>
  <c r="AD29" i="1"/>
  <c r="J30" i="1"/>
  <c r="N30" i="1"/>
  <c r="AE30" i="1"/>
  <c r="AE29" i="1"/>
  <c r="N29" i="1"/>
  <c r="O29" i="1"/>
  <c r="AC33" i="2" l="1"/>
  <c r="AC29" i="1"/>
  <c r="AC30" i="1"/>
  <c r="AB29" i="1"/>
  <c r="AB30" i="1"/>
</calcChain>
</file>

<file path=xl/sharedStrings.xml><?xml version="1.0" encoding="utf-8"?>
<sst xmlns="http://schemas.openxmlformats.org/spreadsheetml/2006/main" count="169" uniqueCount="58">
  <si>
    <t>MOYENNE selon V ou D</t>
  </si>
  <si>
    <t>MATCHS</t>
  </si>
  <si>
    <t>2 points</t>
  </si>
  <si>
    <t>3 points</t>
  </si>
  <si>
    <t>Total</t>
  </si>
  <si>
    <t>L.F</t>
  </si>
  <si>
    <t xml:space="preserve">e FG % </t>
  </si>
  <si>
    <t xml:space="preserve">True S % </t>
  </si>
  <si>
    <t>PTS</t>
  </si>
  <si>
    <t>INT</t>
  </si>
  <si>
    <t>BP</t>
  </si>
  <si>
    <t>PD</t>
  </si>
  <si>
    <t>CTRE</t>
  </si>
  <si>
    <t>RO</t>
  </si>
  <si>
    <t>RD</t>
  </si>
  <si>
    <t>FP</t>
  </si>
  <si>
    <t>Fpro</t>
  </si>
  <si>
    <t>EFF</t>
  </si>
  <si>
    <t>POSS</t>
  </si>
  <si>
    <t>Off RTG</t>
  </si>
  <si>
    <t>DEF RTG</t>
  </si>
  <si>
    <t>NET RTG</t>
  </si>
  <si>
    <t>% RO</t>
  </si>
  <si>
    <t>% TOV</t>
  </si>
  <si>
    <t>PTS INT</t>
  </si>
  <si>
    <t>PTS CA</t>
  </si>
  <si>
    <t>PTS APRES BP</t>
  </si>
  <si>
    <t>STATUTS</t>
  </si>
  <si>
    <t>NBRE MATCHS</t>
  </si>
  <si>
    <t>TR</t>
  </si>
  <si>
    <t>TT</t>
  </si>
  <si>
    <t>%</t>
  </si>
  <si>
    <t xml:space="preserve">% </t>
  </si>
  <si>
    <t>VICTOIRES</t>
  </si>
  <si>
    <t>Moy/Match</t>
  </si>
  <si>
    <t>DEFAITES</t>
  </si>
  <si>
    <t>TOTAL</t>
  </si>
  <si>
    <t>à PARIS</t>
  </si>
  <si>
    <t>vs  LILLE</t>
  </si>
  <si>
    <t>TR_2</t>
  </si>
  <si>
    <t>TT_2</t>
  </si>
  <si>
    <t>Ratio_2</t>
  </si>
  <si>
    <t>TR_3</t>
  </si>
  <si>
    <t>TT_3</t>
  </si>
  <si>
    <t>ratio_3</t>
  </si>
  <si>
    <t>total TR</t>
  </si>
  <si>
    <t>total TT</t>
  </si>
  <si>
    <t>LF_TR</t>
  </si>
  <si>
    <t>LF_TT</t>
  </si>
  <si>
    <t>e FG ratio</t>
  </si>
  <si>
    <t>True S ratio</t>
  </si>
  <si>
    <t>ratio2</t>
  </si>
  <si>
    <t>ratio total</t>
  </si>
  <si>
    <t>ratio TOV</t>
  </si>
  <si>
    <t>ratio RO</t>
  </si>
  <si>
    <t>Resultat</t>
  </si>
  <si>
    <t>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</si>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</sst>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%"/>
  </numFmts>
  <fonts count="9" x14ac:knownFonts="1"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theme="0"/>
      <name val="Arial"/>
    </font>
    <font>
      <sz val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20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medium">
        <color theme="1"/>
      </top>
      <bottom style="medium">
        <color theme="1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/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indexed="8"/>
      </top>
      <bottom style="medium">
        <color auto="1"/>
      </bottom>
      <diagonal/>
    </border>
    <border>
      <left/>
      <right/>
      <top style="thin">
        <color indexed="8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/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theme="1"/>
      </top>
      <bottom style="medium">
        <color theme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theme="6"/>
      </top>
      <bottom/>
      <diagonal/>
    </border>
    <border>
      <left style="thin">
        <color indexed="64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theme="6"/>
      </top>
      <bottom/>
      <diagonal/>
    </border>
    <border>
      <left style="thin">
        <color indexed="8"/>
      </left>
      <right/>
      <top style="thin">
        <color theme="6"/>
      </top>
      <bottom/>
      <diagonal/>
    </border>
    <border>
      <left style="medium">
        <color indexed="8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auto="1"/>
      </left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auto="1"/>
      </left>
      <right/>
      <top style="thin">
        <color indexed="64"/>
      </top>
      <bottom/>
      <diagonal/>
    </border>
    <border>
      <left style="medium">
        <color indexed="8"/>
      </left>
      <right/>
      <top style="medium">
        <color auto="1"/>
      </top>
      <bottom style="medium">
        <color indexed="8"/>
      </bottom>
      <diagonal/>
    </border>
    <border>
      <left style="thin">
        <color indexed="8"/>
      </left>
      <right/>
      <top style="medium">
        <color auto="1"/>
      </top>
      <bottom style="medium">
        <color indexed="8"/>
      </bottom>
      <diagonal/>
    </border>
    <border>
      <left style="thin">
        <color indexed="64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/>
      <top style="medium">
        <color theme="1"/>
      </top>
      <bottom style="medium">
        <color theme="1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 style="medium">
        <color auto="1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29">
    <xf numFmtId="0" fontId="0" fillId="0" borderId="0" xfId="0"/>
    <xf numFmtId="164" fontId="0" fillId="0" borderId="0" xfId="0" applyNumberFormat="1"/>
    <xf numFmtId="1" fontId="0" fillId="0" borderId="0" xfId="0" applyNumberFormat="1"/>
    <xf numFmtId="0" fontId="2" fillId="0" borderId="0" xfId="0" applyFont="1" applyAlignment="1">
      <alignment horizont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 shrinkToFit="1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65" fontId="2" fillId="0" borderId="29" xfId="0" applyNumberFormat="1" applyFont="1" applyBorder="1" applyAlignment="1">
      <alignment horizontal="center" vertical="center" shrinkToFit="1"/>
    </xf>
    <xf numFmtId="165" fontId="2" fillId="0" borderId="30" xfId="0" applyNumberFormat="1" applyFont="1" applyBorder="1" applyAlignment="1">
      <alignment horizontal="center" vertical="center" shrinkToFit="1"/>
    </xf>
    <xf numFmtId="1" fontId="2" fillId="0" borderId="25" xfId="0" applyNumberFormat="1" applyFont="1" applyBorder="1" applyAlignment="1">
      <alignment horizontal="center" vertical="center"/>
    </xf>
    <xf numFmtId="1" fontId="2" fillId="0" borderId="31" xfId="0" applyNumberFormat="1" applyFont="1" applyBorder="1" applyAlignment="1">
      <alignment horizontal="center"/>
    </xf>
    <xf numFmtId="164" fontId="5" fillId="0" borderId="32" xfId="0" applyNumberFormat="1" applyFont="1" applyBorder="1" applyAlignment="1">
      <alignment horizontal="center"/>
    </xf>
    <xf numFmtId="164" fontId="5" fillId="0" borderId="33" xfId="0" applyNumberFormat="1" applyFont="1" applyBorder="1" applyAlignment="1">
      <alignment horizontal="center"/>
    </xf>
    <xf numFmtId="1" fontId="6" fillId="0" borderId="32" xfId="0" applyNumberFormat="1" applyFont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2" fillId="0" borderId="35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165" fontId="2" fillId="0" borderId="29" xfId="0" applyNumberFormat="1" applyFont="1" applyBorder="1" applyAlignment="1">
      <alignment horizontal="center" shrinkToFit="1"/>
    </xf>
    <xf numFmtId="0" fontId="2" fillId="0" borderId="37" xfId="0" applyFont="1" applyBorder="1" applyAlignment="1">
      <alignment horizontal="center"/>
    </xf>
    <xf numFmtId="165" fontId="2" fillId="0" borderId="37" xfId="0" applyNumberFormat="1" applyFont="1" applyBorder="1" applyAlignment="1">
      <alignment horizontal="center" shrinkToFit="1"/>
    </xf>
    <xf numFmtId="165" fontId="2" fillId="0" borderId="37" xfId="0" applyNumberFormat="1" applyFont="1" applyBorder="1" applyAlignment="1">
      <alignment horizontal="center" vertical="center" shrinkToFit="1"/>
    </xf>
    <xf numFmtId="165" fontId="2" fillId="0" borderId="34" xfId="0" applyNumberFormat="1" applyFont="1" applyBorder="1" applyAlignment="1">
      <alignment horizontal="center" vertical="center" shrinkToFit="1"/>
    </xf>
    <xf numFmtId="1" fontId="2" fillId="0" borderId="25" xfId="0" applyNumberFormat="1" applyFont="1" applyBorder="1" applyAlignment="1">
      <alignment horizontal="center"/>
    </xf>
    <xf numFmtId="1" fontId="2" fillId="0" borderId="26" xfId="0" applyNumberFormat="1" applyFont="1" applyBorder="1" applyAlignment="1">
      <alignment horizontal="center"/>
    </xf>
    <xf numFmtId="1" fontId="2" fillId="0" borderId="34" xfId="0" applyNumberFormat="1" applyFont="1" applyBorder="1" applyAlignment="1">
      <alignment horizontal="center"/>
    </xf>
    <xf numFmtId="164" fontId="5" fillId="0" borderId="40" xfId="0" applyNumberFormat="1" applyFont="1" applyBorder="1" applyAlignment="1">
      <alignment horizontal="center"/>
    </xf>
    <xf numFmtId="164" fontId="5" fillId="0" borderId="19" xfId="0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shrinkToFit="1"/>
    </xf>
    <xf numFmtId="165" fontId="5" fillId="0" borderId="41" xfId="0" applyNumberFormat="1" applyFont="1" applyBorder="1" applyAlignment="1">
      <alignment horizontal="center" shrinkToFit="1"/>
    </xf>
    <xf numFmtId="165" fontId="5" fillId="0" borderId="42" xfId="0" applyNumberFormat="1" applyFont="1" applyBorder="1" applyAlignment="1">
      <alignment horizontal="center" vertical="center" shrinkToFit="1"/>
    </xf>
    <xf numFmtId="165" fontId="5" fillId="0" borderId="43" xfId="0" applyNumberFormat="1" applyFont="1" applyBorder="1" applyAlignment="1">
      <alignment horizontal="center" vertical="center" shrinkToFit="1"/>
    </xf>
    <xf numFmtId="164" fontId="5" fillId="0" borderId="19" xfId="0" applyNumberFormat="1" applyFont="1" applyBorder="1" applyAlignment="1">
      <alignment horizontal="center"/>
    </xf>
    <xf numFmtId="164" fontId="5" fillId="0" borderId="44" xfId="0" applyNumberFormat="1" applyFont="1" applyBorder="1" applyAlignment="1">
      <alignment horizontal="center"/>
    </xf>
    <xf numFmtId="164" fontId="5" fillId="0" borderId="45" xfId="0" applyNumberFormat="1" applyFont="1" applyBorder="1" applyAlignment="1">
      <alignment horizontal="center"/>
    </xf>
    <xf numFmtId="0" fontId="4" fillId="0" borderId="46" xfId="0" applyFont="1" applyBorder="1" applyAlignment="1">
      <alignment horizontal="center"/>
    </xf>
    <xf numFmtId="1" fontId="2" fillId="0" borderId="47" xfId="0" applyNumberFormat="1" applyFont="1" applyBorder="1" applyAlignment="1">
      <alignment horizontal="center"/>
    </xf>
    <xf numFmtId="164" fontId="2" fillId="0" borderId="32" xfId="0" applyNumberFormat="1" applyFont="1" applyBorder="1" applyAlignment="1">
      <alignment horizontal="center"/>
    </xf>
    <xf numFmtId="164" fontId="2" fillId="0" borderId="33" xfId="0" applyNumberFormat="1" applyFont="1" applyBorder="1" applyAlignment="1">
      <alignment horizontal="center"/>
    </xf>
    <xf numFmtId="1" fontId="2" fillId="0" borderId="32" xfId="0" applyNumberFormat="1" applyFont="1" applyBorder="1" applyAlignment="1">
      <alignment horizontal="center"/>
    </xf>
    <xf numFmtId="0" fontId="4" fillId="4" borderId="34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" fontId="2" fillId="0" borderId="48" xfId="0" applyNumberFormat="1" applyFont="1" applyBorder="1" applyAlignment="1">
      <alignment horizontal="center"/>
    </xf>
    <xf numFmtId="1" fontId="2" fillId="0" borderId="49" xfId="0" applyNumberFormat="1" applyFont="1" applyBorder="1" applyAlignment="1">
      <alignment horizontal="center"/>
    </xf>
    <xf numFmtId="1" fontId="2" fillId="0" borderId="50" xfId="0" applyNumberFormat="1" applyFont="1" applyBorder="1" applyAlignment="1">
      <alignment horizontal="center"/>
    </xf>
    <xf numFmtId="0" fontId="4" fillId="0" borderId="51" xfId="0" applyFont="1" applyBorder="1" applyAlignment="1">
      <alignment horizontal="center"/>
    </xf>
    <xf numFmtId="0" fontId="4" fillId="0" borderId="52" xfId="0" applyFont="1" applyBorder="1" applyAlignment="1">
      <alignment horizontal="center"/>
    </xf>
    <xf numFmtId="165" fontId="2" fillId="0" borderId="53" xfId="0" applyNumberFormat="1" applyFont="1" applyBorder="1" applyAlignment="1">
      <alignment horizontal="center" shrinkToFit="1"/>
    </xf>
    <xf numFmtId="164" fontId="2" fillId="0" borderId="48" xfId="0" applyNumberFormat="1" applyFont="1" applyBorder="1" applyAlignment="1">
      <alignment horizontal="center"/>
    </xf>
    <xf numFmtId="0" fontId="4" fillId="0" borderId="54" xfId="0" applyFont="1" applyBorder="1" applyAlignment="1">
      <alignment horizontal="center"/>
    </xf>
    <xf numFmtId="0" fontId="2" fillId="0" borderId="55" xfId="0" applyFont="1" applyBorder="1" applyAlignment="1">
      <alignment horizontal="center"/>
    </xf>
    <xf numFmtId="0" fontId="2" fillId="0" borderId="56" xfId="0" applyFont="1" applyBorder="1" applyAlignment="1">
      <alignment horizontal="center"/>
    </xf>
    <xf numFmtId="165" fontId="2" fillId="0" borderId="57" xfId="0" applyNumberFormat="1" applyFont="1" applyBorder="1" applyAlignment="1">
      <alignment horizontal="center" shrinkToFit="1"/>
    </xf>
    <xf numFmtId="0" fontId="2" fillId="0" borderId="58" xfId="0" applyFont="1" applyBorder="1" applyAlignment="1">
      <alignment horizontal="center"/>
    </xf>
    <xf numFmtId="0" fontId="2" fillId="0" borderId="57" xfId="0" applyFont="1" applyBorder="1" applyAlignment="1">
      <alignment horizontal="center"/>
    </xf>
    <xf numFmtId="165" fontId="2" fillId="0" borderId="53" xfId="0" applyNumberFormat="1" applyFont="1" applyBorder="1" applyAlignment="1">
      <alignment horizontal="center" vertical="center" shrinkToFit="1"/>
    </xf>
    <xf numFmtId="165" fontId="2" fillId="0" borderId="59" xfId="0" applyNumberFormat="1" applyFont="1" applyBorder="1" applyAlignment="1">
      <alignment horizontal="center" vertical="center" shrinkToFit="1"/>
    </xf>
    <xf numFmtId="1" fontId="2" fillId="0" borderId="60" xfId="0" applyNumberFormat="1" applyFont="1" applyBorder="1" applyAlignment="1">
      <alignment horizontal="center"/>
    </xf>
    <xf numFmtId="1" fontId="2" fillId="0" borderId="61" xfId="0" applyNumberFormat="1" applyFont="1" applyBorder="1" applyAlignment="1">
      <alignment horizontal="center"/>
    </xf>
    <xf numFmtId="164" fontId="2" fillId="0" borderId="62" xfId="0" applyNumberFormat="1" applyFont="1" applyBorder="1" applyAlignment="1">
      <alignment horizontal="center"/>
    </xf>
    <xf numFmtId="164" fontId="2" fillId="0" borderId="58" xfId="0" applyNumberFormat="1" applyFont="1" applyBorder="1" applyAlignment="1">
      <alignment horizontal="center"/>
    </xf>
    <xf numFmtId="164" fontId="2" fillId="0" borderId="63" xfId="0" applyNumberFormat="1" applyFont="1" applyBorder="1" applyAlignment="1">
      <alignment horizontal="center"/>
    </xf>
    <xf numFmtId="1" fontId="2" fillId="0" borderId="58" xfId="0" applyNumberFormat="1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64" xfId="0" applyFont="1" applyBorder="1" applyAlignment="1">
      <alignment horizontal="center" vertical="center"/>
    </xf>
    <xf numFmtId="0" fontId="5" fillId="0" borderId="65" xfId="0" applyFont="1" applyBorder="1" applyAlignment="1">
      <alignment horizontal="center"/>
    </xf>
    <xf numFmtId="0" fontId="5" fillId="0" borderId="66" xfId="0" applyFont="1" applyBorder="1" applyAlignment="1">
      <alignment horizontal="center"/>
    </xf>
    <xf numFmtId="165" fontId="5" fillId="0" borderId="66" xfId="0" applyNumberFormat="1" applyFont="1" applyBorder="1" applyAlignment="1">
      <alignment horizontal="center" shrinkToFit="1"/>
    </xf>
    <xf numFmtId="165" fontId="5" fillId="0" borderId="67" xfId="0" applyNumberFormat="1" applyFont="1" applyBorder="1" applyAlignment="1">
      <alignment horizontal="center" shrinkToFit="1"/>
    </xf>
    <xf numFmtId="1" fontId="5" fillId="0" borderId="66" xfId="0" applyNumberFormat="1" applyFont="1" applyBorder="1" applyAlignment="1">
      <alignment horizontal="center"/>
    </xf>
    <xf numFmtId="0" fontId="5" fillId="0" borderId="68" xfId="0" applyFont="1" applyBorder="1" applyAlignment="1">
      <alignment horizontal="center"/>
    </xf>
    <xf numFmtId="164" fontId="5" fillId="0" borderId="69" xfId="0" applyNumberFormat="1" applyFont="1" applyBorder="1" applyAlignment="1">
      <alignment horizontal="center"/>
    </xf>
    <xf numFmtId="1" fontId="5" fillId="0" borderId="69" xfId="0" applyNumberFormat="1" applyFont="1" applyBorder="1" applyAlignment="1">
      <alignment horizontal="center"/>
    </xf>
    <xf numFmtId="0" fontId="3" fillId="3" borderId="6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1" fontId="3" fillId="3" borderId="11" xfId="0" applyNumberFormat="1" applyFont="1" applyFill="1" applyBorder="1" applyAlignment="1">
      <alignment horizontal="center" vertical="center"/>
    </xf>
    <xf numFmtId="1" fontId="3" fillId="3" borderId="22" xfId="0" applyNumberFormat="1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164" fontId="3" fillId="3" borderId="7" xfId="0" applyNumberFormat="1" applyFont="1" applyFill="1" applyBorder="1" applyAlignment="1">
      <alignment horizontal="center" vertical="center"/>
    </xf>
    <xf numFmtId="164" fontId="3" fillId="3" borderId="16" xfId="0" applyNumberFormat="1" applyFont="1" applyFill="1" applyBorder="1" applyAlignment="1">
      <alignment horizontal="center" vertical="center"/>
    </xf>
    <xf numFmtId="164" fontId="3" fillId="3" borderId="8" xfId="0" applyNumberFormat="1" applyFont="1" applyFill="1" applyBorder="1" applyAlignment="1">
      <alignment horizontal="center" vertical="center"/>
    </xf>
    <xf numFmtId="164" fontId="3" fillId="3" borderId="17" xfId="0" applyNumberFormat="1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1" fontId="3" fillId="3" borderId="16" xfId="0" applyNumberFormat="1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70" xfId="0" applyFont="1" applyFill="1" applyBorder="1" applyAlignment="1">
      <alignment vertical="center"/>
    </xf>
    <xf numFmtId="0" fontId="3" fillId="3" borderId="71" xfId="0" applyFont="1" applyFill="1" applyBorder="1" applyAlignment="1">
      <alignment horizontal="center" vertical="center"/>
    </xf>
    <xf numFmtId="0" fontId="3" fillId="3" borderId="72" xfId="0" applyFont="1" applyFill="1" applyBorder="1" applyAlignment="1">
      <alignment horizontal="center" vertical="center"/>
    </xf>
    <xf numFmtId="0" fontId="3" fillId="3" borderId="73" xfId="0" applyFont="1" applyFill="1" applyBorder="1" applyAlignment="1">
      <alignment vertical="center"/>
    </xf>
    <xf numFmtId="0" fontId="3" fillId="3" borderId="74" xfId="0" applyFont="1" applyFill="1" applyBorder="1" applyAlignment="1">
      <alignment vertical="center"/>
    </xf>
    <xf numFmtId="0" fontId="3" fillId="3" borderId="75" xfId="0" applyFont="1" applyFill="1" applyBorder="1" applyAlignment="1">
      <alignment vertical="center"/>
    </xf>
    <xf numFmtId="164" fontId="3" fillId="3" borderId="73" xfId="0" applyNumberFormat="1" applyFont="1" applyFill="1" applyBorder="1" applyAlignment="1">
      <alignment vertical="center"/>
    </xf>
    <xf numFmtId="1" fontId="3" fillId="3" borderId="73" xfId="0" applyNumberFormat="1" applyFont="1" applyFill="1" applyBorder="1" applyAlignment="1">
      <alignment vertical="center"/>
    </xf>
    <xf numFmtId="0" fontId="4" fillId="4" borderId="70" xfId="0" applyFont="1" applyFill="1" applyBorder="1" applyAlignment="1">
      <alignment horizontal="center" vertical="center"/>
    </xf>
    <xf numFmtId="0" fontId="2" fillId="0" borderId="76" xfId="0" applyFont="1" applyBorder="1" applyAlignment="1">
      <alignment horizontal="center" vertical="center"/>
    </xf>
    <xf numFmtId="0" fontId="2" fillId="0" borderId="77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78" xfId="0" applyFont="1" applyBorder="1" applyAlignment="1">
      <alignment horizontal="center" vertical="center"/>
    </xf>
    <xf numFmtId="165" fontId="2" fillId="0" borderId="78" xfId="0" applyNumberFormat="1" applyFont="1" applyBorder="1" applyAlignment="1">
      <alignment horizontal="center" vertical="center" shrinkToFit="1"/>
    </xf>
    <xf numFmtId="165" fontId="2" fillId="0" borderId="79" xfId="0" applyNumberFormat="1" applyFont="1" applyBorder="1" applyAlignment="1">
      <alignment horizontal="center" vertical="center" shrinkToFit="1"/>
    </xf>
    <xf numFmtId="165" fontId="2" fillId="0" borderId="80" xfId="0" applyNumberFormat="1" applyFont="1" applyBorder="1" applyAlignment="1">
      <alignment horizontal="center" vertical="center" shrinkToFit="1"/>
    </xf>
    <xf numFmtId="1" fontId="2" fillId="0" borderId="81" xfId="0" applyNumberFormat="1" applyFont="1" applyBorder="1" applyAlignment="1">
      <alignment horizontal="center" vertical="center"/>
    </xf>
    <xf numFmtId="1" fontId="2" fillId="0" borderId="82" xfId="0" applyNumberFormat="1" applyFont="1" applyBorder="1" applyAlignment="1">
      <alignment horizontal="center" vertical="center"/>
    </xf>
    <xf numFmtId="1" fontId="2" fillId="0" borderId="75" xfId="0" applyNumberFormat="1" applyFont="1" applyBorder="1" applyAlignment="1">
      <alignment horizontal="center"/>
    </xf>
    <xf numFmtId="164" fontId="5" fillId="0" borderId="83" xfId="0" applyNumberFormat="1" applyFont="1" applyBorder="1" applyAlignment="1">
      <alignment horizontal="center"/>
    </xf>
    <xf numFmtId="164" fontId="5" fillId="0" borderId="84" xfId="0" applyNumberFormat="1" applyFont="1" applyBorder="1" applyAlignment="1">
      <alignment horizontal="center"/>
    </xf>
    <xf numFmtId="1" fontId="6" fillId="0" borderId="85" xfId="0" applyNumberFormat="1" applyFont="1" applyBorder="1" applyAlignment="1">
      <alignment horizontal="center" vertical="center"/>
    </xf>
    <xf numFmtId="1" fontId="6" fillId="0" borderId="84" xfId="0" applyNumberFormat="1" applyFont="1" applyBorder="1" applyAlignment="1">
      <alignment horizontal="center" vertical="center"/>
    </xf>
    <xf numFmtId="0" fontId="4" fillId="5" borderId="84" xfId="0" applyFont="1" applyFill="1" applyBorder="1" applyAlignment="1">
      <alignment horizontal="center" vertical="center"/>
    </xf>
    <xf numFmtId="0" fontId="2" fillId="0" borderId="86" xfId="0" applyFont="1" applyBorder="1" applyAlignment="1">
      <alignment horizontal="center"/>
    </xf>
    <xf numFmtId="0" fontId="2" fillId="0" borderId="87" xfId="0" applyFont="1" applyBorder="1" applyAlignment="1">
      <alignment horizontal="center"/>
    </xf>
    <xf numFmtId="165" fontId="2" fillId="0" borderId="79" xfId="0" applyNumberFormat="1" applyFont="1" applyBorder="1" applyAlignment="1">
      <alignment horizontal="center" shrinkToFit="1"/>
    </xf>
    <xf numFmtId="0" fontId="2" fillId="0" borderId="84" xfId="0" applyFont="1" applyBorder="1" applyAlignment="1">
      <alignment horizontal="center"/>
    </xf>
    <xf numFmtId="165" fontId="2" fillId="0" borderId="84" xfId="0" applyNumberFormat="1" applyFont="1" applyBorder="1" applyAlignment="1">
      <alignment horizontal="center" shrinkToFit="1"/>
    </xf>
    <xf numFmtId="165" fontId="2" fillId="0" borderId="84" xfId="0" applyNumberFormat="1" applyFont="1" applyBorder="1" applyAlignment="1">
      <alignment horizontal="center" vertical="center" shrinkToFit="1"/>
    </xf>
    <xf numFmtId="1" fontId="2" fillId="0" borderId="87" xfId="0" applyNumberFormat="1" applyFont="1" applyBorder="1" applyAlignment="1">
      <alignment horizontal="center"/>
    </xf>
    <xf numFmtId="1" fontId="2" fillId="0" borderId="88" xfId="0" applyNumberFormat="1" applyFont="1" applyBorder="1" applyAlignment="1">
      <alignment horizontal="center"/>
    </xf>
    <xf numFmtId="164" fontId="5" fillId="0" borderId="88" xfId="0" applyNumberFormat="1" applyFont="1" applyBorder="1" applyAlignment="1">
      <alignment horizontal="center"/>
    </xf>
    <xf numFmtId="1" fontId="6" fillId="0" borderId="89" xfId="0" applyNumberFormat="1" applyFont="1" applyBorder="1" applyAlignment="1">
      <alignment horizontal="center" vertical="center"/>
    </xf>
    <xf numFmtId="1" fontId="6" fillId="0" borderId="88" xfId="0" applyNumberFormat="1" applyFont="1" applyBorder="1" applyAlignment="1">
      <alignment horizontal="center" vertical="center"/>
    </xf>
    <xf numFmtId="0" fontId="4" fillId="0" borderId="90" xfId="0" applyFont="1" applyBorder="1" applyAlignment="1">
      <alignment horizontal="center"/>
    </xf>
    <xf numFmtId="0" fontId="2" fillId="0" borderId="90" xfId="0" applyFont="1" applyBorder="1" applyAlignment="1">
      <alignment horizontal="center"/>
    </xf>
    <xf numFmtId="0" fontId="2" fillId="0" borderId="91" xfId="0" applyFont="1" applyBorder="1" applyAlignment="1">
      <alignment horizontal="center"/>
    </xf>
    <xf numFmtId="165" fontId="2" fillId="0" borderId="92" xfId="0" applyNumberFormat="1" applyFont="1" applyBorder="1" applyAlignment="1">
      <alignment horizontal="center" shrinkToFit="1"/>
    </xf>
    <xf numFmtId="0" fontId="2" fillId="0" borderId="92" xfId="0" applyFont="1" applyBorder="1" applyAlignment="1">
      <alignment horizontal="center"/>
    </xf>
    <xf numFmtId="165" fontId="2" fillId="0" borderId="92" xfId="0" applyNumberFormat="1" applyFont="1" applyBorder="1" applyAlignment="1">
      <alignment horizontal="center" vertical="center" shrinkToFit="1"/>
    </xf>
    <xf numFmtId="1" fontId="2" fillId="0" borderId="91" xfId="0" applyNumberFormat="1" applyFont="1" applyBorder="1" applyAlignment="1">
      <alignment horizontal="center"/>
    </xf>
    <xf numFmtId="164" fontId="2" fillId="0" borderId="92" xfId="0" applyNumberFormat="1" applyFont="1" applyBorder="1" applyAlignment="1">
      <alignment horizontal="center"/>
    </xf>
    <xf numFmtId="1" fontId="2" fillId="0" borderId="93" xfId="0" applyNumberFormat="1" applyFont="1" applyBorder="1" applyAlignment="1">
      <alignment horizontal="center"/>
    </xf>
    <xf numFmtId="1" fontId="2" fillId="0" borderId="92" xfId="0" applyNumberFormat="1" applyFont="1" applyBorder="1" applyAlignment="1">
      <alignment horizontal="center"/>
    </xf>
    <xf numFmtId="0" fontId="4" fillId="0" borderId="94" xfId="0" applyFont="1" applyBorder="1" applyAlignment="1">
      <alignment horizontal="center"/>
    </xf>
    <xf numFmtId="0" fontId="2" fillId="0" borderId="94" xfId="0" applyFont="1" applyBorder="1" applyAlignment="1">
      <alignment horizontal="center"/>
    </xf>
    <xf numFmtId="0" fontId="2" fillId="0" borderId="95" xfId="0" applyFont="1" applyBorder="1" applyAlignment="1">
      <alignment horizontal="center"/>
    </xf>
    <xf numFmtId="165" fontId="2" fillId="0" borderId="96" xfId="0" applyNumberFormat="1" applyFont="1" applyBorder="1" applyAlignment="1">
      <alignment horizontal="center" shrinkToFit="1"/>
    </xf>
    <xf numFmtId="0" fontId="2" fillId="0" borderId="96" xfId="0" applyFont="1" applyBorder="1" applyAlignment="1">
      <alignment horizontal="center"/>
    </xf>
    <xf numFmtId="165" fontId="2" fillId="0" borderId="96" xfId="0" applyNumberFormat="1" applyFont="1" applyBorder="1" applyAlignment="1">
      <alignment horizontal="center" vertical="center" shrinkToFit="1"/>
    </xf>
    <xf numFmtId="1" fontId="2" fillId="0" borderId="95" xfId="0" applyNumberFormat="1" applyFont="1" applyBorder="1" applyAlignment="1">
      <alignment horizontal="center"/>
    </xf>
    <xf numFmtId="1" fontId="2" fillId="0" borderId="98" xfId="0" applyNumberFormat="1" applyFont="1" applyBorder="1" applyAlignment="1">
      <alignment horizontal="center"/>
    </xf>
    <xf numFmtId="0" fontId="4" fillId="0" borderId="97" xfId="0" applyFont="1" applyBorder="1" applyAlignment="1">
      <alignment horizontal="center"/>
    </xf>
    <xf numFmtId="0" fontId="2" fillId="0" borderId="97" xfId="0" applyFont="1" applyBorder="1" applyAlignment="1">
      <alignment horizontal="center"/>
    </xf>
    <xf numFmtId="0" fontId="4" fillId="0" borderId="93" xfId="0" applyFont="1" applyBorder="1" applyAlignment="1">
      <alignment horizontal="center"/>
    </xf>
    <xf numFmtId="164" fontId="2" fillId="0" borderId="99" xfId="0" applyNumberFormat="1" applyFont="1" applyBorder="1" applyAlignment="1">
      <alignment horizontal="center"/>
    </xf>
    <xf numFmtId="1" fontId="2" fillId="0" borderId="100" xfId="0" applyNumberFormat="1" applyFont="1" applyBorder="1" applyAlignment="1">
      <alignment horizontal="center"/>
    </xf>
    <xf numFmtId="1" fontId="2" fillId="0" borderId="96" xfId="0" applyNumberFormat="1" applyFont="1" applyBorder="1" applyAlignment="1">
      <alignment horizontal="center"/>
    </xf>
    <xf numFmtId="0" fontId="5" fillId="0" borderId="101" xfId="0" applyFont="1" applyBorder="1" applyAlignment="1">
      <alignment horizontal="center"/>
    </xf>
    <xf numFmtId="165" fontId="5" fillId="0" borderId="103" xfId="0" applyNumberFormat="1" applyFont="1" applyBorder="1" applyAlignment="1">
      <alignment horizontal="center" vertical="center" shrinkToFit="1"/>
    </xf>
    <xf numFmtId="165" fontId="5" fillId="0" borderId="104" xfId="0" applyNumberFormat="1" applyFont="1" applyBorder="1" applyAlignment="1">
      <alignment horizontal="center" vertical="center" shrinkToFit="1"/>
    </xf>
    <xf numFmtId="1" fontId="6" fillId="0" borderId="99" xfId="0" applyNumberFormat="1" applyFont="1" applyBorder="1" applyAlignment="1">
      <alignment horizontal="center" vertical="center"/>
    </xf>
    <xf numFmtId="1" fontId="2" fillId="0" borderId="99" xfId="0" applyNumberFormat="1" applyFont="1" applyBorder="1" applyAlignment="1">
      <alignment horizontal="center"/>
    </xf>
    <xf numFmtId="1" fontId="0" fillId="0" borderId="69" xfId="0" applyNumberFormat="1" applyFont="1" applyBorder="1" applyAlignment="1">
      <alignment horizontal="center"/>
    </xf>
    <xf numFmtId="164" fontId="0" fillId="0" borderId="69" xfId="0" applyNumberFormat="1" applyFont="1" applyBorder="1" applyAlignment="1">
      <alignment horizontal="center"/>
    </xf>
    <xf numFmtId="0" fontId="0" fillId="0" borderId="66" xfId="0" applyFont="1" applyBorder="1" applyAlignment="1">
      <alignment horizontal="center"/>
    </xf>
    <xf numFmtId="0" fontId="0" fillId="0" borderId="65" xfId="0" applyFont="1" applyBorder="1" applyAlignment="1">
      <alignment horizontal="center"/>
    </xf>
    <xf numFmtId="164" fontId="0" fillId="0" borderId="105" xfId="0" applyNumberFormat="1" applyFont="1" applyBorder="1" applyAlignment="1">
      <alignment horizontal="center"/>
    </xf>
    <xf numFmtId="164" fontId="0" fillId="0" borderId="102" xfId="0" applyNumberFormat="1" applyFont="1" applyBorder="1" applyAlignment="1">
      <alignment horizontal="center"/>
    </xf>
    <xf numFmtId="164" fontId="0" fillId="0" borderId="102" xfId="0" applyNumberFormat="1" applyFont="1" applyBorder="1" applyAlignment="1">
      <alignment horizontal="center" vertical="center"/>
    </xf>
    <xf numFmtId="164" fontId="0" fillId="0" borderId="101" xfId="0" applyNumberFormat="1" applyFont="1" applyBorder="1" applyAlignment="1">
      <alignment horizontal="center"/>
    </xf>
    <xf numFmtId="1" fontId="0" fillId="0" borderId="66" xfId="0" applyNumberFormat="1" applyFont="1" applyBorder="1" applyAlignment="1">
      <alignment horizontal="center"/>
    </xf>
    <xf numFmtId="164" fontId="8" fillId="0" borderId="84" xfId="0" applyNumberFormat="1" applyFont="1" applyBorder="1" applyAlignment="1">
      <alignment horizontal="center"/>
    </xf>
    <xf numFmtId="1" fontId="8" fillId="0" borderId="84" xfId="0" applyNumberFormat="1" applyFont="1" applyBorder="1" applyAlignment="1">
      <alignment horizontal="center"/>
    </xf>
    <xf numFmtId="0" fontId="0" fillId="0" borderId="68" xfId="0" applyFont="1" applyBorder="1" applyAlignment="1">
      <alignment horizontal="center"/>
    </xf>
    <xf numFmtId="0" fontId="7" fillId="0" borderId="109" xfId="0" applyFont="1" applyBorder="1" applyAlignment="1">
      <alignment horizontal="center"/>
    </xf>
    <xf numFmtId="0" fontId="8" fillId="0" borderId="106" xfId="0" applyFont="1" applyBorder="1" applyAlignment="1">
      <alignment horizontal="center"/>
    </xf>
    <xf numFmtId="0" fontId="8" fillId="0" borderId="107" xfId="0" applyFont="1" applyBorder="1" applyAlignment="1">
      <alignment horizontal="center"/>
    </xf>
    <xf numFmtId="165" fontId="8" fillId="0" borderId="110" xfId="0" applyNumberFormat="1" applyFont="1" applyBorder="1" applyAlignment="1">
      <alignment horizontal="center" shrinkToFit="1"/>
    </xf>
    <xf numFmtId="0" fontId="8" fillId="0" borderId="110" xfId="0" applyFont="1" applyBorder="1" applyAlignment="1">
      <alignment horizontal="center"/>
    </xf>
    <xf numFmtId="165" fontId="8" fillId="0" borderId="110" xfId="0" applyNumberFormat="1" applyFont="1" applyBorder="1" applyAlignment="1">
      <alignment horizontal="center" vertical="center" shrinkToFit="1"/>
    </xf>
    <xf numFmtId="1" fontId="8" fillId="0" borderId="107" xfId="0" applyNumberFormat="1" applyFont="1" applyBorder="1" applyAlignment="1">
      <alignment horizontal="center"/>
    </xf>
    <xf numFmtId="1" fontId="8" fillId="0" borderId="108" xfId="0" applyNumberFormat="1" applyFont="1" applyBorder="1" applyAlignment="1">
      <alignment horizontal="center"/>
    </xf>
    <xf numFmtId="0" fontId="2" fillId="0" borderId="112" xfId="0" applyFont="1" applyBorder="1" applyAlignment="1">
      <alignment horizontal="center"/>
    </xf>
    <xf numFmtId="1" fontId="2" fillId="0" borderId="112" xfId="0" applyNumberFormat="1" applyFont="1" applyBorder="1" applyAlignment="1">
      <alignment horizontal="center"/>
    </xf>
    <xf numFmtId="0" fontId="2" fillId="0" borderId="113" xfId="0" applyFont="1" applyBorder="1" applyAlignment="1">
      <alignment horizontal="center"/>
    </xf>
    <xf numFmtId="0" fontId="4" fillId="0" borderId="111" xfId="0" applyFont="1" applyBorder="1" applyAlignment="1">
      <alignment horizontal="center"/>
    </xf>
    <xf numFmtId="165" fontId="2" fillId="0" borderId="114" xfId="0" applyNumberFormat="1" applyFont="1" applyBorder="1" applyAlignment="1">
      <alignment horizontal="center" shrinkToFit="1"/>
    </xf>
    <xf numFmtId="0" fontId="2" fillId="0" borderId="114" xfId="0" applyFont="1" applyBorder="1" applyAlignment="1">
      <alignment horizontal="center"/>
    </xf>
    <xf numFmtId="165" fontId="2" fillId="0" borderId="114" xfId="0" applyNumberFormat="1" applyFont="1" applyBorder="1" applyAlignment="1">
      <alignment horizontal="center" vertical="center" shrinkToFit="1"/>
    </xf>
    <xf numFmtId="164" fontId="2" fillId="0" borderId="114" xfId="0" applyNumberFormat="1" applyFont="1" applyBorder="1" applyAlignment="1">
      <alignment horizontal="center"/>
    </xf>
    <xf numFmtId="1" fontId="2" fillId="0" borderId="114" xfId="0" applyNumberFormat="1" applyFont="1" applyBorder="1" applyAlignment="1">
      <alignment horizontal="center"/>
    </xf>
    <xf numFmtId="1" fontId="2" fillId="0" borderId="115" xfId="0" applyNumberFormat="1" applyFont="1" applyBorder="1" applyAlignment="1">
      <alignment horizontal="center"/>
    </xf>
    <xf numFmtId="164" fontId="3" fillId="3" borderId="7" xfId="0" applyNumberFormat="1" applyFont="1" applyFill="1" applyBorder="1" applyAlignment="1">
      <alignment horizontal="center" vertical="center"/>
    </xf>
    <xf numFmtId="164" fontId="3" fillId="3" borderId="16" xfId="0" applyNumberFormat="1" applyFont="1" applyFill="1" applyBorder="1" applyAlignment="1">
      <alignment horizontal="center" vertical="center"/>
    </xf>
    <xf numFmtId="164" fontId="3" fillId="3" borderId="8" xfId="0" applyNumberFormat="1" applyFont="1" applyFill="1" applyBorder="1" applyAlignment="1">
      <alignment horizontal="center" vertical="center"/>
    </xf>
    <xf numFmtId="164" fontId="3" fillId="3" borderId="17" xfId="0" applyNumberFormat="1" applyFont="1" applyFill="1" applyBorder="1" applyAlignment="1">
      <alignment horizontal="center" vertical="center"/>
    </xf>
    <xf numFmtId="1" fontId="3" fillId="3" borderId="11" xfId="0" applyNumberFormat="1" applyFont="1" applyFill="1" applyBorder="1" applyAlignment="1">
      <alignment horizontal="center" vertical="center"/>
    </xf>
    <xf numFmtId="1" fontId="3" fillId="3" borderId="22" xfId="0" applyNumberFormat="1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1" fontId="3" fillId="3" borderId="16" xfId="0" applyNumberFormat="1" applyFont="1" applyFill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3" borderId="116" xfId="0" applyFont="1" applyFill="1" applyBorder="1" applyAlignment="1">
      <alignment vertical="center"/>
    </xf>
    <xf numFmtId="0" fontId="2" fillId="0" borderId="118" xfId="0" applyFont="1" applyBorder="1" applyAlignment="1">
      <alignment horizontal="center"/>
    </xf>
    <xf numFmtId="0" fontId="2" fillId="0" borderId="117" xfId="0" applyFont="1" applyBorder="1" applyAlignment="1">
      <alignment horizontal="center"/>
    </xf>
    <xf numFmtId="0" fontId="2" fillId="0" borderId="119" xfId="0" applyFont="1" applyBorder="1" applyAlignment="1">
      <alignment horizontal="center"/>
    </xf>
  </cellXfs>
  <cellStyles count="1">
    <cellStyle name="Normal" xfId="0" builtinId="0"/>
  </cellStyles>
  <dxfs count="19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8"/>
        </top>
        <bottom/>
      </border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medium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medium">
          <color indexed="8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%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%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%"/>
      <alignment horizontal="center" vertical="bottom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%"/>
      <alignment horizontal="center" vertical="bottom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%"/>
      <alignment horizontal="center" vertical="bottom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0.0%"/>
      <alignment horizontal="center" vertical="bottom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/>
        <vertical/>
        <horizontal/>
      </border>
    </dxf>
    <dxf>
      <numFmt numFmtId="2" formatCode="0.0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solid">
          <fgColor indexed="64"/>
          <bgColor theme="3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5:AI30" headerRowDxfId="192" dataDxfId="191" totalsRowDxfId="189" tableBorderDxfId="190">
  <autoFilter ref="A5:AI30"/>
  <tableColumns count="35">
    <tableColumn id="1" name="MATCHS" totalsRowLabel="Total" dataDxfId="188" totalsRowDxfId="187"/>
    <tableColumn id="35" name="Resultat" dataDxfId="0"/>
    <tableColumn id="2" name="TR_2" totalsRowFunction="sum" dataDxfId="1" totalsRowDxfId="186"/>
    <tableColumn id="3" name="TT_2" totalsRowFunction="sum" dataDxfId="185" totalsRowDxfId="184"/>
    <tableColumn id="4" name="Ratio_2" totalsRowFunction="custom" dataDxfId="183" totalsRowDxfId="182">
      <calculatedColumnFormula>Tableau2[[#This Row],[TR_2]]/Tableau2[[#This Row],[TT_2]]</calculatedColumnFormula>
      <totalsRowFormula>AVERAGE(Tableau2[TR_2])/AVERAGE(Tableau2[TT_2])</totalsRowFormula>
    </tableColumn>
    <tableColumn id="5" name="TR_3" totalsRowFunction="sum" dataDxfId="181" totalsRowDxfId="180"/>
    <tableColumn id="6" name="TT_3" totalsRowFunction="sum" dataDxfId="179" totalsRowDxfId="178"/>
    <tableColumn id="7" name="ratio_3" totalsRowFunction="custom" dataDxfId="177" totalsRowDxfId="176">
      <calculatedColumnFormula>Tableau2[[#This Row],[TR_3]]/Tableau2[[#This Row],[TT_3]]</calculatedColumnFormula>
      <totalsRowFormula>AVERAGE(Tableau2[TR_3])/AVERAGE(Tableau2[TT_3])</totalsRowFormula>
    </tableColumn>
    <tableColumn id="8" name="total TR" totalsRowFunction="sum" dataDxfId="175" totalsRowDxfId="174"/>
    <tableColumn id="9" name="total TT" totalsRowFunction="sum" dataDxfId="173" totalsRowDxfId="172">
      <calculatedColumnFormula>Tableau2[[#This Row],[TT_2]]+Tableau2[[#This Row],[TT_3]]</calculatedColumnFormula>
    </tableColumn>
    <tableColumn id="10" name="ratio total" totalsRowFunction="custom" dataDxfId="171" totalsRowDxfId="170">
      <calculatedColumnFormula>Tableau2[[#This Row],[total TR]]/Tableau2[[#This Row],[total TT]]</calculatedColumnFormula>
      <totalsRowFormula>AVERAGE(Tableau2[total TR])/AVERAGE(Tableau2[total TT])</totalsRowFormula>
    </tableColumn>
    <tableColumn id="11" name="LF_TR" totalsRowFunction="sum" dataDxfId="169" totalsRowDxfId="168"/>
    <tableColumn id="12" name="LF_TT" totalsRowFunction="sum" dataDxfId="167" totalsRowDxfId="166"/>
    <tableColumn id="13" name="ratio2" totalsRowFunction="custom" dataDxfId="165" totalsRowDxfId="164">
      <calculatedColumnFormula>Tableau2[[#This Row],[LF_TR]]/Tableau2[[#This Row],[LF_TT]]</calculatedColumnFormula>
      <totalsRowFormula>AVERAGE(Tableau2[LF_TR])/AVERAGE(Tableau2[LF_TT])</totalsRowFormula>
    </tableColumn>
    <tableColumn id="14" name="e FG ratio" totalsRowFunction="custom" dataDxfId="163" totalsRowDxfId="162">
      <calculatedColumnFormula>((Tableau2[[#This Row],[total TR]]+0.5*Tableau2[[#This Row],[TR_3]])/Tableau2[[#This Row],[total TT]])</calculatedColumnFormula>
      <totalsRowFormula>((AVERAGE(Tableau2[total TR])+0.5*AVERAGE(Tableau2[TR_3]))/AVERAGE(Tableau2[total TT]))</totalsRowFormula>
    </tableColumn>
    <tableColumn id="15" name="True S ratio" dataDxfId="161" totalsRowDxfId="160">
      <calculatedColumnFormula>(Tableau2[[#This Row],[PTS]]/(2*(Tableau2[[#This Row],[total TT]]+(0.44*Tableau2[[#This Row],[LF_TT]]))))</calculatedColumnFormula>
    </tableColumn>
    <tableColumn id="16" name="PTS" dataDxfId="159" totalsRowDxfId="158"/>
    <tableColumn id="17" name="INT" dataDxfId="157" totalsRowDxfId="156"/>
    <tableColumn id="18" name="BP" dataDxfId="155" totalsRowDxfId="154"/>
    <tableColumn id="19" name="PD" dataDxfId="153" totalsRowDxfId="152"/>
    <tableColumn id="20" name="CTRE" dataDxfId="151" totalsRowDxfId="150"/>
    <tableColumn id="21" name="RO" dataDxfId="149" totalsRowDxfId="148"/>
    <tableColumn id="22" name="RD" dataDxfId="147" totalsRowDxfId="146"/>
    <tableColumn id="23" name="FP" dataDxfId="145" totalsRowDxfId="144"/>
    <tableColumn id="24" name="Fpro" dataDxfId="143" totalsRowDxfId="142"/>
    <tableColumn id="25" name="EFF" dataDxfId="141" totalsRowDxfId="140"/>
    <tableColumn id="26" name="POSS" dataDxfId="139" totalsRowDxfId="138">
      <calculatedColumnFormula>(Tableau2[[#This Row],[total TT]]+0.44*Tableau2[[#This Row],[LF_TT]])+(Tableau2[[#This Row],[BP]]-Tableau2[[#This Row],[RO]])</calculatedColumnFormula>
    </tableColumn>
    <tableColumn id="27" name="Off RTG" dataDxfId="137" totalsRowDxfId="136">
      <calculatedColumnFormula>100*(Tableau2[[#This Row],[PTS]]/Tableau2[[#This Row],[POSS]])</calculatedColumnFormula>
    </tableColumn>
    <tableColumn id="28" name="DEF RTG" dataDxfId="135" totalsRowDxfId="134"/>
    <tableColumn id="29" name="NET RTG" dataDxfId="133" totalsRowDxfId="132">
      <calculatedColumnFormula>Tableau2[[#This Row],[Off RTG]]-Tableau2[[#This Row],[DEF RTG]]</calculatedColumnFormula>
    </tableColumn>
    <tableColumn id="30" name="ratio RO" dataDxfId="131" totalsRowDxfId="130">
      <calculatedColumnFormula>(Tableau2[[#This Row],[RO]]/((Tableau2[[#This Row],[total TT]]-Tableau2[[#This Row],[total TR]])+(Tableau2[[#This Row],[LF_TT]]-Tableau2[[#This Row],[LF_TR]]))*100)</calculatedColumnFormula>
    </tableColumn>
    <tableColumn id="31" name="ratio TOV" dataDxfId="129" totalsRowDxfId="128">
      <calculatedColumnFormula>(Tableau2[[#This Row],[BP]]/Tableau2[[#This Row],[POSS]])*100</calculatedColumnFormula>
    </tableColumn>
    <tableColumn id="32" name="PTS INT" dataDxfId="127" totalsRowDxfId="126"/>
    <tableColumn id="33" name="PTS CA" dataDxfId="125" totalsRowDxfId="124"/>
    <tableColumn id="34" name="PTS APRES BP" totalsRowFunction="sum" dataDxfId="123" totalsRowDxfId="12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R30"/>
  <sheetViews>
    <sheetView zoomScaleNormal="100" workbookViewId="0">
      <selection activeCell="D30" sqref="D30"/>
    </sheetView>
  </sheetViews>
  <sheetFormatPr baseColWidth="10" defaultRowHeight="15.75" x14ac:dyDescent="0.25"/>
  <cols>
    <col min="1" max="1" width="12.375" customWidth="1"/>
    <col min="2" max="25" width="7.875" customWidth="1"/>
    <col min="26" max="31" width="7.875" style="1" customWidth="1"/>
    <col min="32" max="34" width="10.875" style="2"/>
    <col min="37" max="37" width="11.875" customWidth="1"/>
  </cols>
  <sheetData>
    <row r="3" spans="1:70" ht="24.95" customHeight="1" thickBot="1" x14ac:dyDescent="0.3">
      <c r="A3" s="224"/>
      <c r="B3" s="224"/>
      <c r="C3" s="224"/>
      <c r="D3" s="224"/>
      <c r="E3" s="224"/>
      <c r="F3" s="224"/>
      <c r="G3" s="3"/>
      <c r="H3" s="3"/>
      <c r="I3" s="3"/>
      <c r="J3" s="3"/>
      <c r="K3" s="3"/>
      <c r="L3" s="3"/>
      <c r="M3" s="3"/>
      <c r="P3" s="3"/>
      <c r="AJ3" t="s">
        <v>0</v>
      </c>
    </row>
    <row r="4" spans="1:70" x14ac:dyDescent="0.25">
      <c r="A4" s="219" t="s">
        <v>1</v>
      </c>
      <c r="B4" s="222" t="s">
        <v>2</v>
      </c>
      <c r="C4" s="223"/>
      <c r="D4" s="215"/>
      <c r="E4" s="207" t="s">
        <v>3</v>
      </c>
      <c r="F4" s="207"/>
      <c r="G4" s="207"/>
      <c r="H4" s="207" t="s">
        <v>4</v>
      </c>
      <c r="I4" s="207"/>
      <c r="J4" s="207"/>
      <c r="K4" s="207" t="s">
        <v>5</v>
      </c>
      <c r="L4" s="207"/>
      <c r="M4" s="207"/>
      <c r="N4" s="211" t="s">
        <v>6</v>
      </c>
      <c r="O4" s="213" t="s">
        <v>7</v>
      </c>
      <c r="P4" s="215" t="s">
        <v>8</v>
      </c>
      <c r="Q4" s="217" t="s">
        <v>9</v>
      </c>
      <c r="R4" s="217" t="s">
        <v>10</v>
      </c>
      <c r="S4" s="207" t="s">
        <v>11</v>
      </c>
      <c r="T4" s="207" t="s">
        <v>12</v>
      </c>
      <c r="U4" s="207" t="s">
        <v>13</v>
      </c>
      <c r="V4" s="207" t="s">
        <v>14</v>
      </c>
      <c r="W4" s="207" t="s">
        <v>15</v>
      </c>
      <c r="X4" s="207" t="s">
        <v>16</v>
      </c>
      <c r="Y4" s="209" t="s">
        <v>17</v>
      </c>
      <c r="Z4" s="197" t="s">
        <v>18</v>
      </c>
      <c r="AA4" s="197" t="s">
        <v>19</v>
      </c>
      <c r="AB4" s="197" t="s">
        <v>20</v>
      </c>
      <c r="AC4" s="197" t="s">
        <v>21</v>
      </c>
      <c r="AD4" s="197" t="s">
        <v>22</v>
      </c>
      <c r="AE4" s="199" t="s">
        <v>23</v>
      </c>
      <c r="AF4" s="201" t="s">
        <v>24</v>
      </c>
      <c r="AG4" s="203" t="s">
        <v>25</v>
      </c>
      <c r="AH4" s="203" t="s">
        <v>26</v>
      </c>
      <c r="AJ4" s="219" t="s">
        <v>27</v>
      </c>
      <c r="AK4" s="219" t="s">
        <v>28</v>
      </c>
      <c r="AL4" s="222" t="s">
        <v>2</v>
      </c>
      <c r="AM4" s="223"/>
      <c r="AN4" s="215"/>
      <c r="AO4" s="207" t="s">
        <v>3</v>
      </c>
      <c r="AP4" s="207"/>
      <c r="AQ4" s="207"/>
      <c r="AR4" s="207" t="s">
        <v>4</v>
      </c>
      <c r="AS4" s="207"/>
      <c r="AT4" s="207"/>
      <c r="AU4" s="207" t="s">
        <v>5</v>
      </c>
      <c r="AV4" s="207"/>
      <c r="AW4" s="207"/>
      <c r="AX4" s="211" t="s">
        <v>6</v>
      </c>
      <c r="AY4" s="213" t="s">
        <v>7</v>
      </c>
      <c r="AZ4" s="215" t="s">
        <v>8</v>
      </c>
      <c r="BA4" s="217" t="s">
        <v>9</v>
      </c>
      <c r="BB4" s="217" t="s">
        <v>10</v>
      </c>
      <c r="BC4" s="207" t="s">
        <v>11</v>
      </c>
      <c r="BD4" s="207" t="s">
        <v>12</v>
      </c>
      <c r="BE4" s="207" t="s">
        <v>13</v>
      </c>
      <c r="BF4" s="207" t="s">
        <v>14</v>
      </c>
      <c r="BG4" s="207" t="s">
        <v>15</v>
      </c>
      <c r="BH4" s="207" t="s">
        <v>16</v>
      </c>
      <c r="BI4" s="209" t="s">
        <v>17</v>
      </c>
      <c r="BJ4" s="197" t="s">
        <v>18</v>
      </c>
      <c r="BK4" s="197" t="s">
        <v>19</v>
      </c>
      <c r="BL4" s="197" t="s">
        <v>20</v>
      </c>
      <c r="BM4" s="197" t="s">
        <v>21</v>
      </c>
      <c r="BN4" s="197" t="s">
        <v>22</v>
      </c>
      <c r="BO4" s="199" t="s">
        <v>23</v>
      </c>
      <c r="BP4" s="201" t="s">
        <v>24</v>
      </c>
      <c r="BQ4" s="203" t="s">
        <v>25</v>
      </c>
      <c r="BR4" s="203" t="s">
        <v>26</v>
      </c>
    </row>
    <row r="5" spans="1:70" ht="16.5" thickBot="1" x14ac:dyDescent="0.3">
      <c r="A5" s="220"/>
      <c r="B5" s="4" t="s">
        <v>29</v>
      </c>
      <c r="C5" s="5" t="s">
        <v>30</v>
      </c>
      <c r="D5" s="6" t="s">
        <v>31</v>
      </c>
      <c r="E5" s="5" t="s">
        <v>29</v>
      </c>
      <c r="F5" s="5" t="s">
        <v>30</v>
      </c>
      <c r="G5" s="5" t="s">
        <v>32</v>
      </c>
      <c r="H5" s="5" t="s">
        <v>29</v>
      </c>
      <c r="I5" s="5" t="s">
        <v>30</v>
      </c>
      <c r="J5" s="5" t="s">
        <v>31</v>
      </c>
      <c r="K5" s="5" t="s">
        <v>29</v>
      </c>
      <c r="L5" s="5" t="s">
        <v>30</v>
      </c>
      <c r="M5" s="5" t="s">
        <v>31</v>
      </c>
      <c r="N5" s="212"/>
      <c r="O5" s="214"/>
      <c r="P5" s="216"/>
      <c r="Q5" s="218"/>
      <c r="R5" s="218"/>
      <c r="S5" s="208"/>
      <c r="T5" s="208"/>
      <c r="U5" s="208"/>
      <c r="V5" s="208"/>
      <c r="W5" s="208"/>
      <c r="X5" s="208"/>
      <c r="Y5" s="210"/>
      <c r="Z5" s="198"/>
      <c r="AA5" s="198"/>
      <c r="AB5" s="198"/>
      <c r="AC5" s="198"/>
      <c r="AD5" s="198"/>
      <c r="AE5" s="200"/>
      <c r="AF5" s="202"/>
      <c r="AG5" s="204"/>
      <c r="AH5" s="204"/>
      <c r="AJ5" s="220"/>
      <c r="AK5" s="221"/>
      <c r="AL5" s="4" t="s">
        <v>29</v>
      </c>
      <c r="AM5" s="5" t="s">
        <v>30</v>
      </c>
      <c r="AN5" s="6" t="s">
        <v>31</v>
      </c>
      <c r="AO5" s="5" t="s">
        <v>29</v>
      </c>
      <c r="AP5" s="5" t="s">
        <v>30</v>
      </c>
      <c r="AQ5" s="5" t="s">
        <v>32</v>
      </c>
      <c r="AR5" s="5" t="s">
        <v>29</v>
      </c>
      <c r="AS5" s="5" t="s">
        <v>30</v>
      </c>
      <c r="AT5" s="5" t="s">
        <v>31</v>
      </c>
      <c r="AU5" s="5" t="s">
        <v>29</v>
      </c>
      <c r="AV5" s="5" t="s">
        <v>30</v>
      </c>
      <c r="AW5" s="5" t="s">
        <v>31</v>
      </c>
      <c r="AX5" s="212"/>
      <c r="AY5" s="214"/>
      <c r="AZ5" s="216"/>
      <c r="BA5" s="218"/>
      <c r="BB5" s="218"/>
      <c r="BC5" s="208"/>
      <c r="BD5" s="208"/>
      <c r="BE5" s="208"/>
      <c r="BF5" s="208"/>
      <c r="BG5" s="208"/>
      <c r="BH5" s="208"/>
      <c r="BI5" s="210"/>
      <c r="BJ5" s="198"/>
      <c r="BK5" s="198"/>
      <c r="BL5" s="198"/>
      <c r="BM5" s="198"/>
      <c r="BN5" s="198"/>
      <c r="BO5" s="200"/>
      <c r="BP5" s="202"/>
      <c r="BQ5" s="204"/>
      <c r="BR5" s="204"/>
    </row>
    <row r="6" spans="1:70" ht="16.5" thickBot="1" x14ac:dyDescent="0.3">
      <c r="A6" s="7" t="s">
        <v>37</v>
      </c>
      <c r="B6" s="8">
        <v>27</v>
      </c>
      <c r="C6" s="9">
        <v>51</v>
      </c>
      <c r="D6" s="10">
        <f t="shared" ref="D6:D30" si="0">B6/C6</f>
        <v>0.52941176470588236</v>
      </c>
      <c r="E6" s="11">
        <v>4</v>
      </c>
      <c r="F6" s="12">
        <v>19</v>
      </c>
      <c r="G6" s="13">
        <f t="shared" ref="G6:G30" si="1">E6/F6</f>
        <v>0.21052631578947367</v>
      </c>
      <c r="H6" s="12">
        <f>B6+E6</f>
        <v>31</v>
      </c>
      <c r="I6" s="12">
        <f>C6+F6</f>
        <v>70</v>
      </c>
      <c r="J6" s="13">
        <f t="shared" ref="J6:J30" si="2">H6/I6</f>
        <v>0.44285714285714284</v>
      </c>
      <c r="K6" s="12">
        <v>14</v>
      </c>
      <c r="L6" s="12">
        <v>19</v>
      </c>
      <c r="M6" s="13">
        <f t="shared" ref="M6:M30" si="3">K6/L6</f>
        <v>0.73684210526315785</v>
      </c>
      <c r="N6" s="13">
        <f>((H6+0.5*E6)/I6)</f>
        <v>0.47142857142857142</v>
      </c>
      <c r="O6" s="14">
        <f>(P6/(2*(I6+(0.44*L6))))</f>
        <v>0.51046452271567122</v>
      </c>
      <c r="P6" s="15">
        <f>(B6*2)+(E6*3)+(K6)</f>
        <v>80</v>
      </c>
      <c r="Q6" s="15">
        <v>7</v>
      </c>
      <c r="R6" s="15">
        <v>14</v>
      </c>
      <c r="S6" s="15">
        <v>23</v>
      </c>
      <c r="T6" s="15">
        <v>4</v>
      </c>
      <c r="U6" s="15">
        <v>15</v>
      </c>
      <c r="V6" s="15">
        <v>25</v>
      </c>
      <c r="W6" s="15">
        <v>22</v>
      </c>
      <c r="X6" s="15">
        <v>21</v>
      </c>
      <c r="Y6" s="16">
        <f>(P6+Q6+S6+T6+U6+V6)-((I6-H6)+(L6-K6)+R6)</f>
        <v>96</v>
      </c>
      <c r="Z6" s="17">
        <f>(I6+0.44*L6)+(R6-U6)</f>
        <v>77.36</v>
      </c>
      <c r="AA6" s="17">
        <f>100*(P6/Z6)</f>
        <v>103.41261633919339</v>
      </c>
      <c r="AB6" s="17"/>
      <c r="AC6" s="17"/>
      <c r="AD6" s="17">
        <f>(U6/((I6-H6)+(L6-K6))*100)</f>
        <v>34.090909090909086</v>
      </c>
      <c r="AE6" s="18">
        <f>(R6/Z6)*100</f>
        <v>18.097207859358839</v>
      </c>
      <c r="AF6" s="19">
        <v>38</v>
      </c>
      <c r="AG6" s="19">
        <v>2</v>
      </c>
      <c r="AH6" s="19">
        <v>27</v>
      </c>
      <c r="AJ6" s="20" t="s">
        <v>33</v>
      </c>
      <c r="AK6" s="21"/>
      <c r="AL6" s="8"/>
      <c r="AM6" s="9"/>
      <c r="AN6" s="10" t="e">
        <f t="shared" ref="AN6:AN7" si="4">AL6/AM6</f>
        <v>#DIV/0!</v>
      </c>
      <c r="AO6" s="11"/>
      <c r="AP6" s="12"/>
      <c r="AQ6" s="13" t="e">
        <f t="shared" ref="AQ6:AQ7" si="5">AO6/AP6</f>
        <v>#DIV/0!</v>
      </c>
      <c r="AR6" s="12">
        <f>AL6+AO6</f>
        <v>0</v>
      </c>
      <c r="AS6" s="12">
        <f>AM6+AP6</f>
        <v>0</v>
      </c>
      <c r="AT6" s="13" t="e">
        <f t="shared" ref="AT6:AT7" si="6">AR6/AS6</f>
        <v>#DIV/0!</v>
      </c>
      <c r="AU6" s="12"/>
      <c r="AV6" s="12"/>
      <c r="AW6" s="13" t="e">
        <f t="shared" ref="AW6:AW7" si="7">AU6/AV6</f>
        <v>#DIV/0!</v>
      </c>
      <c r="AX6" s="13" t="e">
        <f>((AR6+0.5*AO6)/AS6)</f>
        <v>#DIV/0!</v>
      </c>
      <c r="AY6" s="14" t="e">
        <f>(AZ6/(2*(AS6+(0.44*AV6))))</f>
        <v>#DIV/0!</v>
      </c>
      <c r="AZ6" s="15">
        <f>(AL6*2)+(AO6*3)+(AU6)</f>
        <v>0</v>
      </c>
      <c r="BA6" s="15"/>
      <c r="BB6" s="15"/>
      <c r="BC6" s="15"/>
      <c r="BD6" s="15"/>
      <c r="BE6" s="15"/>
      <c r="BF6" s="15"/>
      <c r="BG6" s="15"/>
      <c r="BH6" s="15"/>
      <c r="BI6" s="16">
        <f>(AZ6+BA6+BC6+BD6+BE6+BF6)-((AS6-AR6)+(AV6-AU6)+BB6)</f>
        <v>0</v>
      </c>
      <c r="BJ6" s="17">
        <f>(AS6+0.44*AV6)+(BB6-BE6)</f>
        <v>0</v>
      </c>
      <c r="BK6" s="17" t="e">
        <f>100*(AZ6/BJ6)</f>
        <v>#DIV/0!</v>
      </c>
      <c r="BL6" s="17"/>
      <c r="BM6" s="17" t="e">
        <f>BK6-BL6</f>
        <v>#DIV/0!</v>
      </c>
      <c r="BN6" s="17" t="e">
        <f>(BE6/((AS6-AR6)+(AV6-AU6))*100)</f>
        <v>#DIV/0!</v>
      </c>
      <c r="BO6" s="18" t="e">
        <f>(BB6/BJ6)*100</f>
        <v>#DIV/0!</v>
      </c>
      <c r="BP6" s="19"/>
      <c r="BQ6" s="19"/>
      <c r="BR6" s="19"/>
    </row>
    <row r="7" spans="1:70" ht="16.5" thickBot="1" x14ac:dyDescent="0.3">
      <c r="A7" s="22" t="s">
        <v>38</v>
      </c>
      <c r="B7" s="23">
        <v>24</v>
      </c>
      <c r="C7" s="24">
        <v>48</v>
      </c>
      <c r="D7" s="25">
        <f t="shared" si="0"/>
        <v>0.5</v>
      </c>
      <c r="E7" s="26">
        <v>5</v>
      </c>
      <c r="F7" s="26">
        <v>18</v>
      </c>
      <c r="G7" s="27">
        <f t="shared" si="1"/>
        <v>0.27777777777777779</v>
      </c>
      <c r="H7" s="12">
        <f>B7+E7</f>
        <v>29</v>
      </c>
      <c r="I7" s="12">
        <f>C7+F7</f>
        <v>66</v>
      </c>
      <c r="J7" s="27">
        <f t="shared" si="2"/>
        <v>0.43939393939393939</v>
      </c>
      <c r="K7" s="26">
        <v>15</v>
      </c>
      <c r="L7" s="26">
        <v>16</v>
      </c>
      <c r="M7" s="27">
        <f t="shared" si="3"/>
        <v>0.9375</v>
      </c>
      <c r="N7" s="28">
        <f t="shared" ref="N7:N30" si="8">((H7+0.5*E7)/I7)</f>
        <v>0.47727272727272729</v>
      </c>
      <c r="O7" s="29">
        <f t="shared" ref="O7:O30" si="9">(P7/(2*(I7+(0.44*L7))))</f>
        <v>0.53395399780941943</v>
      </c>
      <c r="P7" s="15">
        <f>(B7*2)+(E7*3)+(K7)</f>
        <v>78</v>
      </c>
      <c r="Q7" s="30">
        <v>12</v>
      </c>
      <c r="R7" s="30">
        <v>18</v>
      </c>
      <c r="S7" s="30">
        <v>18</v>
      </c>
      <c r="T7" s="30">
        <v>4</v>
      </c>
      <c r="U7" s="30">
        <v>16</v>
      </c>
      <c r="V7" s="30">
        <v>28</v>
      </c>
      <c r="W7" s="30">
        <v>17</v>
      </c>
      <c r="X7" s="31">
        <v>20</v>
      </c>
      <c r="Y7" s="32">
        <f>(P7+Q7+S7+T7+U7+V7)-((I7-H7)+(L7-K7)+R7)</f>
        <v>100</v>
      </c>
      <c r="Z7" s="17">
        <f>(I7+0.44*L7)+(R7-U7)</f>
        <v>75.040000000000006</v>
      </c>
      <c r="AA7" s="17">
        <f>100*(P7/Z7)</f>
        <v>103.94456289978677</v>
      </c>
      <c r="AB7" s="17">
        <v>84.2</v>
      </c>
      <c r="AC7" s="17">
        <f>AA7-AB7</f>
        <v>19.744562899786771</v>
      </c>
      <c r="AD7" s="17">
        <f>(U7/((I7-H7)+(L7-K7))*100)</f>
        <v>42.105263157894733</v>
      </c>
      <c r="AE7" s="18">
        <f>(R7/Z7)*100</f>
        <v>23.987206823027716</v>
      </c>
      <c r="AF7" s="19">
        <v>40</v>
      </c>
      <c r="AG7" s="19">
        <v>8</v>
      </c>
      <c r="AH7" s="19">
        <v>29</v>
      </c>
      <c r="AJ7" s="205" t="s">
        <v>34</v>
      </c>
      <c r="AK7" s="206"/>
      <c r="AL7" s="33" t="e">
        <f>AVERAGE(#REF!)</f>
        <v>#REF!</v>
      </c>
      <c r="AM7" s="34" t="e">
        <f>AVERAGE(#REF!)</f>
        <v>#REF!</v>
      </c>
      <c r="AN7" s="35" t="e">
        <f t="shared" si="4"/>
        <v>#REF!</v>
      </c>
      <c r="AO7" s="34" t="e">
        <f>AVERAGE(#REF!)</f>
        <v>#REF!</v>
      </c>
      <c r="AP7" s="34" t="e">
        <f>AVERAGE(#REF!)</f>
        <v>#REF!</v>
      </c>
      <c r="AQ7" s="35" t="e">
        <f t="shared" si="5"/>
        <v>#REF!</v>
      </c>
      <c r="AR7" s="34" t="e">
        <f>AVERAGE(#REF!)</f>
        <v>#REF!</v>
      </c>
      <c r="AS7" s="34" t="e">
        <f>AVERAGE(#REF!)</f>
        <v>#REF!</v>
      </c>
      <c r="AT7" s="35" t="e">
        <f t="shared" si="6"/>
        <v>#REF!</v>
      </c>
      <c r="AU7" s="34" t="e">
        <f>AVERAGE(#REF!)</f>
        <v>#REF!</v>
      </c>
      <c r="AV7" s="34" t="e">
        <f>AVERAGE(#REF!)</f>
        <v>#REF!</v>
      </c>
      <c r="AW7" s="36" t="e">
        <f t="shared" si="7"/>
        <v>#REF!</v>
      </c>
      <c r="AX7" s="37" t="e">
        <f t="shared" ref="AX7:AX8" si="10">((AR7+0.5*AO7)/AS7)</f>
        <v>#REF!</v>
      </c>
      <c r="AY7" s="38" t="e">
        <f t="shared" ref="AY7:AY8" si="11">(AZ7/(2*(AS7+(0.44*AV7))))</f>
        <v>#REF!</v>
      </c>
      <c r="AZ7" s="34" t="e">
        <f t="shared" ref="AZ7:BR7" si="12">AVERAGE(#REF!)</f>
        <v>#REF!</v>
      </c>
      <c r="BA7" s="39" t="e">
        <f t="shared" si="12"/>
        <v>#REF!</v>
      </c>
      <c r="BB7" s="39" t="e">
        <f t="shared" si="12"/>
        <v>#REF!</v>
      </c>
      <c r="BC7" s="39" t="e">
        <f t="shared" si="12"/>
        <v>#REF!</v>
      </c>
      <c r="BD7" s="39" t="e">
        <f t="shared" si="12"/>
        <v>#REF!</v>
      </c>
      <c r="BE7" s="39" t="e">
        <f t="shared" si="12"/>
        <v>#REF!</v>
      </c>
      <c r="BF7" s="39" t="e">
        <f t="shared" si="12"/>
        <v>#REF!</v>
      </c>
      <c r="BG7" s="39" t="e">
        <f t="shared" si="12"/>
        <v>#REF!</v>
      </c>
      <c r="BH7" s="39" t="e">
        <f t="shared" si="12"/>
        <v>#REF!</v>
      </c>
      <c r="BI7" s="40" t="e">
        <f t="shared" si="12"/>
        <v>#REF!</v>
      </c>
      <c r="BJ7" s="41" t="e">
        <f t="shared" si="12"/>
        <v>#REF!</v>
      </c>
      <c r="BK7" s="41" t="e">
        <f t="shared" si="12"/>
        <v>#REF!</v>
      </c>
      <c r="BL7" s="41" t="e">
        <f t="shared" si="12"/>
        <v>#REF!</v>
      </c>
      <c r="BM7" s="41" t="e">
        <f t="shared" si="12"/>
        <v>#REF!</v>
      </c>
      <c r="BN7" s="41" t="e">
        <f t="shared" si="12"/>
        <v>#REF!</v>
      </c>
      <c r="BO7" s="41" t="e">
        <f t="shared" si="12"/>
        <v>#REF!</v>
      </c>
      <c r="BP7" s="41" t="e">
        <f t="shared" si="12"/>
        <v>#REF!</v>
      </c>
      <c r="BQ7" s="41" t="e">
        <f t="shared" si="12"/>
        <v>#REF!</v>
      </c>
      <c r="BR7" s="41" t="e">
        <f t="shared" si="12"/>
        <v>#REF!</v>
      </c>
    </row>
    <row r="8" spans="1:70" x14ac:dyDescent="0.25">
      <c r="A8" s="42"/>
      <c r="B8" s="23"/>
      <c r="C8" s="24"/>
      <c r="D8" s="27" t="e">
        <f t="shared" si="0"/>
        <v>#DIV/0!</v>
      </c>
      <c r="E8" s="26"/>
      <c r="F8" s="26"/>
      <c r="G8" s="27" t="e">
        <f t="shared" si="1"/>
        <v>#DIV/0!</v>
      </c>
      <c r="H8" s="26"/>
      <c r="I8" s="26"/>
      <c r="J8" s="27" t="e">
        <f t="shared" si="2"/>
        <v>#DIV/0!</v>
      </c>
      <c r="K8" s="26"/>
      <c r="L8" s="26"/>
      <c r="M8" s="27" t="e">
        <f t="shared" si="3"/>
        <v>#DIV/0!</v>
      </c>
      <c r="N8" s="28" t="e">
        <f t="shared" si="8"/>
        <v>#DIV/0!</v>
      </c>
      <c r="O8" s="29" t="e">
        <f t="shared" si="9"/>
        <v>#DIV/0!</v>
      </c>
      <c r="P8" s="30"/>
      <c r="Q8" s="30"/>
      <c r="R8" s="30"/>
      <c r="S8" s="30"/>
      <c r="T8" s="30"/>
      <c r="U8" s="30"/>
      <c r="V8" s="30"/>
      <c r="W8" s="30"/>
      <c r="X8" s="30"/>
      <c r="Y8" s="43"/>
      <c r="Z8" s="44"/>
      <c r="AA8" s="44"/>
      <c r="AB8" s="44"/>
      <c r="AC8" s="44"/>
      <c r="AD8" s="44"/>
      <c r="AE8" s="45"/>
      <c r="AF8" s="46"/>
      <c r="AG8" s="46"/>
      <c r="AH8" s="46"/>
      <c r="AJ8" s="47" t="s">
        <v>35</v>
      </c>
      <c r="AK8" s="48"/>
      <c r="AL8" s="23"/>
      <c r="AM8" s="24"/>
      <c r="AN8" s="25" t="e">
        <f>AL8/AM8</f>
        <v>#DIV/0!</v>
      </c>
      <c r="AO8" s="26"/>
      <c r="AP8" s="26"/>
      <c r="AQ8" s="27" t="e">
        <f>AO8/AP8</f>
        <v>#DIV/0!</v>
      </c>
      <c r="AR8" s="12">
        <f>AL8+AO8</f>
        <v>0</v>
      </c>
      <c r="AS8" s="12">
        <f>AM8+AP8</f>
        <v>0</v>
      </c>
      <c r="AT8" s="27" t="e">
        <f>AR8/AS8</f>
        <v>#DIV/0!</v>
      </c>
      <c r="AU8" s="26"/>
      <c r="AV8" s="26"/>
      <c r="AW8" s="27" t="e">
        <f>AU8/AV8</f>
        <v>#DIV/0!</v>
      </c>
      <c r="AX8" s="28" t="e">
        <f t="shared" si="10"/>
        <v>#DIV/0!</v>
      </c>
      <c r="AY8" s="29" t="e">
        <f t="shared" si="11"/>
        <v>#DIV/0!</v>
      </c>
      <c r="AZ8" s="15">
        <f>(AL8*2)+(AO8*3)+(AU8)</f>
        <v>0</v>
      </c>
      <c r="BA8" s="30"/>
      <c r="BB8" s="30"/>
      <c r="BC8" s="30"/>
      <c r="BD8" s="30"/>
      <c r="BE8" s="30"/>
      <c r="BF8" s="30"/>
      <c r="BG8" s="30"/>
      <c r="BH8" s="31"/>
      <c r="BI8" s="32">
        <f>(AZ8+BA8+BC8+BD8+BE8+BF8)-((AS8-AR8)+(AV8-AU8)+BB8)</f>
        <v>0</v>
      </c>
      <c r="BJ8" s="17">
        <f>(AS8+0.44*AV8)+(BB8-BE8)</f>
        <v>0</v>
      </c>
      <c r="BK8" s="17" t="e">
        <f>100*(AZ8/BJ8)</f>
        <v>#DIV/0!</v>
      </c>
      <c r="BL8" s="17"/>
      <c r="BM8" s="17" t="e">
        <f>BK8-BL8</f>
        <v>#DIV/0!</v>
      </c>
      <c r="BN8" s="17" t="e">
        <f>(BE8/((AS8-AR8)+(AV8-AU8))*100)</f>
        <v>#DIV/0!</v>
      </c>
      <c r="BO8" s="18" t="e">
        <f>(BB8/BJ8)*100</f>
        <v>#DIV/0!</v>
      </c>
      <c r="BP8" s="19"/>
      <c r="BQ8" s="19"/>
      <c r="BR8" s="19"/>
    </row>
    <row r="9" spans="1:70" x14ac:dyDescent="0.25">
      <c r="A9" s="42"/>
      <c r="B9" s="23"/>
      <c r="C9" s="24"/>
      <c r="D9" s="27" t="e">
        <f t="shared" si="0"/>
        <v>#DIV/0!</v>
      </c>
      <c r="E9" s="26"/>
      <c r="F9" s="26"/>
      <c r="G9" s="27" t="e">
        <f t="shared" si="1"/>
        <v>#DIV/0!</v>
      </c>
      <c r="H9" s="26"/>
      <c r="I9" s="26"/>
      <c r="J9" s="27" t="e">
        <f t="shared" si="2"/>
        <v>#DIV/0!</v>
      </c>
      <c r="K9" s="26"/>
      <c r="L9" s="26"/>
      <c r="M9" s="27" t="e">
        <f t="shared" si="3"/>
        <v>#DIV/0!</v>
      </c>
      <c r="N9" s="28" t="e">
        <f t="shared" si="8"/>
        <v>#DIV/0!</v>
      </c>
      <c r="O9" s="29" t="e">
        <f t="shared" si="9"/>
        <v>#DIV/0!</v>
      </c>
      <c r="P9" s="30"/>
      <c r="Q9" s="30"/>
      <c r="R9" s="30"/>
      <c r="S9" s="30"/>
      <c r="T9" s="30"/>
      <c r="U9" s="30"/>
      <c r="V9" s="30"/>
      <c r="W9" s="30"/>
      <c r="X9" s="30"/>
      <c r="Y9" s="43"/>
      <c r="Z9" s="44"/>
      <c r="AA9" s="44"/>
      <c r="AB9" s="44"/>
      <c r="AC9" s="44"/>
      <c r="AD9" s="44"/>
      <c r="AE9" s="45"/>
      <c r="AF9" s="46"/>
      <c r="AG9" s="46"/>
      <c r="AH9" s="46"/>
    </row>
    <row r="10" spans="1:70" x14ac:dyDescent="0.25">
      <c r="A10" s="42"/>
      <c r="B10" s="23"/>
      <c r="C10" s="24"/>
      <c r="D10" s="27" t="e">
        <f t="shared" si="0"/>
        <v>#DIV/0!</v>
      </c>
      <c r="E10" s="26"/>
      <c r="F10" s="26"/>
      <c r="G10" s="27" t="e">
        <f t="shared" si="1"/>
        <v>#DIV/0!</v>
      </c>
      <c r="H10" s="26"/>
      <c r="I10" s="26"/>
      <c r="J10" s="27" t="e">
        <f t="shared" si="2"/>
        <v>#DIV/0!</v>
      </c>
      <c r="K10" s="26"/>
      <c r="L10" s="26"/>
      <c r="M10" s="27" t="e">
        <f t="shared" si="3"/>
        <v>#DIV/0!</v>
      </c>
      <c r="N10" s="28" t="e">
        <f t="shared" si="8"/>
        <v>#DIV/0!</v>
      </c>
      <c r="O10" s="29" t="e">
        <f t="shared" si="9"/>
        <v>#DIV/0!</v>
      </c>
      <c r="P10" s="30"/>
      <c r="Q10" s="30"/>
      <c r="R10" s="30"/>
      <c r="S10" s="30"/>
      <c r="T10" s="30"/>
      <c r="U10" s="30"/>
      <c r="V10" s="30"/>
      <c r="W10" s="30"/>
      <c r="X10" s="30"/>
      <c r="Y10" s="43"/>
      <c r="Z10" s="44"/>
      <c r="AA10" s="44"/>
      <c r="AB10" s="44"/>
      <c r="AC10" s="44"/>
      <c r="AD10" s="44"/>
      <c r="AE10" s="45"/>
      <c r="AF10" s="49"/>
      <c r="AG10" s="49"/>
      <c r="AH10" s="49"/>
    </row>
    <row r="11" spans="1:70" x14ac:dyDescent="0.25">
      <c r="A11" s="42"/>
      <c r="B11" s="23"/>
      <c r="C11" s="24"/>
      <c r="D11" s="27" t="e">
        <f t="shared" si="0"/>
        <v>#DIV/0!</v>
      </c>
      <c r="E11" s="26"/>
      <c r="F11" s="26"/>
      <c r="G11" s="27" t="e">
        <f t="shared" si="1"/>
        <v>#DIV/0!</v>
      </c>
      <c r="H11" s="26"/>
      <c r="I11" s="26"/>
      <c r="J11" s="27" t="e">
        <f t="shared" si="2"/>
        <v>#DIV/0!</v>
      </c>
      <c r="K11" s="26"/>
      <c r="L11" s="26"/>
      <c r="M11" s="27" t="e">
        <f t="shared" si="3"/>
        <v>#DIV/0!</v>
      </c>
      <c r="N11" s="28" t="e">
        <f t="shared" si="8"/>
        <v>#DIV/0!</v>
      </c>
      <c r="O11" s="29" t="e">
        <f t="shared" si="9"/>
        <v>#DIV/0!</v>
      </c>
      <c r="P11" s="30"/>
      <c r="Q11" s="30"/>
      <c r="R11" s="30"/>
      <c r="S11" s="30"/>
      <c r="T11" s="30"/>
      <c r="U11" s="30"/>
      <c r="V11" s="30"/>
      <c r="W11" s="30"/>
      <c r="X11" s="30"/>
      <c r="Y11" s="43"/>
      <c r="Z11" s="44"/>
      <c r="AA11" s="44"/>
      <c r="AB11" s="44"/>
      <c r="AC11" s="44"/>
      <c r="AD11" s="44"/>
      <c r="AE11" s="45"/>
      <c r="AF11" s="46"/>
      <c r="AG11" s="46"/>
      <c r="AH11" s="46"/>
    </row>
    <row r="12" spans="1:70" x14ac:dyDescent="0.25">
      <c r="A12" s="42"/>
      <c r="B12" s="23"/>
      <c r="C12" s="24"/>
      <c r="D12" s="27" t="e">
        <f t="shared" si="0"/>
        <v>#DIV/0!</v>
      </c>
      <c r="E12" s="26"/>
      <c r="F12" s="26"/>
      <c r="G12" s="27" t="e">
        <f t="shared" si="1"/>
        <v>#DIV/0!</v>
      </c>
      <c r="H12" s="26"/>
      <c r="I12" s="26"/>
      <c r="J12" s="27" t="e">
        <f t="shared" si="2"/>
        <v>#DIV/0!</v>
      </c>
      <c r="K12" s="26"/>
      <c r="L12" s="26"/>
      <c r="M12" s="27" t="e">
        <f t="shared" si="3"/>
        <v>#DIV/0!</v>
      </c>
      <c r="N12" s="28" t="e">
        <f t="shared" si="8"/>
        <v>#DIV/0!</v>
      </c>
      <c r="O12" s="29" t="e">
        <f t="shared" si="9"/>
        <v>#DIV/0!</v>
      </c>
      <c r="P12" s="30"/>
      <c r="Q12" s="30"/>
      <c r="R12" s="30"/>
      <c r="S12" s="30"/>
      <c r="T12" s="30"/>
      <c r="U12" s="30"/>
      <c r="V12" s="30"/>
      <c r="W12" s="30"/>
      <c r="X12" s="30"/>
      <c r="Y12" s="43"/>
      <c r="Z12" s="44"/>
      <c r="AA12" s="44"/>
      <c r="AB12" s="44"/>
      <c r="AC12" s="44"/>
      <c r="AD12" s="44"/>
      <c r="AE12" s="45"/>
      <c r="AF12" s="46"/>
      <c r="AG12" s="46"/>
      <c r="AH12" s="46"/>
    </row>
    <row r="13" spans="1:70" x14ac:dyDescent="0.25">
      <c r="A13" s="42"/>
      <c r="B13" s="23"/>
      <c r="C13" s="24"/>
      <c r="D13" s="27" t="e">
        <f t="shared" si="0"/>
        <v>#DIV/0!</v>
      </c>
      <c r="E13" s="26"/>
      <c r="F13" s="26"/>
      <c r="G13" s="27" t="e">
        <f t="shared" si="1"/>
        <v>#DIV/0!</v>
      </c>
      <c r="H13" s="26"/>
      <c r="I13" s="26"/>
      <c r="J13" s="27" t="e">
        <f t="shared" si="2"/>
        <v>#DIV/0!</v>
      </c>
      <c r="K13" s="26"/>
      <c r="L13" s="26"/>
      <c r="M13" s="27" t="e">
        <f t="shared" si="3"/>
        <v>#DIV/0!</v>
      </c>
      <c r="N13" s="28" t="e">
        <f t="shared" si="8"/>
        <v>#DIV/0!</v>
      </c>
      <c r="O13" s="29" t="e">
        <f t="shared" si="9"/>
        <v>#DIV/0!</v>
      </c>
      <c r="P13" s="30"/>
      <c r="Q13" s="30"/>
      <c r="R13" s="30"/>
      <c r="S13" s="30"/>
      <c r="T13" s="30"/>
      <c r="U13" s="30"/>
      <c r="V13" s="30"/>
      <c r="W13" s="30"/>
      <c r="X13" s="30"/>
      <c r="Y13" s="50"/>
      <c r="Z13" s="44"/>
      <c r="AA13" s="44"/>
      <c r="AB13" s="44"/>
      <c r="AC13" s="44"/>
      <c r="AD13" s="44"/>
      <c r="AE13" s="45"/>
      <c r="AF13" s="46"/>
      <c r="AG13" s="46"/>
      <c r="AH13" s="46"/>
    </row>
    <row r="14" spans="1:70" x14ac:dyDescent="0.25">
      <c r="A14" s="42"/>
      <c r="B14" s="23"/>
      <c r="C14" s="24"/>
      <c r="D14" s="27" t="e">
        <f t="shared" si="0"/>
        <v>#DIV/0!</v>
      </c>
      <c r="E14" s="26"/>
      <c r="F14" s="26"/>
      <c r="G14" s="27" t="e">
        <f t="shared" si="1"/>
        <v>#DIV/0!</v>
      </c>
      <c r="H14" s="26"/>
      <c r="I14" s="26"/>
      <c r="J14" s="27" t="e">
        <f t="shared" si="2"/>
        <v>#DIV/0!</v>
      </c>
      <c r="K14" s="26"/>
      <c r="L14" s="26"/>
      <c r="M14" s="27" t="e">
        <f t="shared" si="3"/>
        <v>#DIV/0!</v>
      </c>
      <c r="N14" s="28" t="e">
        <f t="shared" si="8"/>
        <v>#DIV/0!</v>
      </c>
      <c r="O14" s="29" t="e">
        <f t="shared" si="9"/>
        <v>#DIV/0!</v>
      </c>
      <c r="P14" s="30"/>
      <c r="Q14" s="30"/>
      <c r="R14" s="30"/>
      <c r="S14" s="30"/>
      <c r="T14" s="30"/>
      <c r="U14" s="30"/>
      <c r="V14" s="30"/>
      <c r="W14" s="30"/>
      <c r="X14" s="30"/>
      <c r="Y14" s="51"/>
      <c r="Z14" s="44"/>
      <c r="AA14" s="44"/>
      <c r="AB14" s="44"/>
      <c r="AC14" s="44"/>
      <c r="AD14" s="44"/>
      <c r="AE14" s="45"/>
      <c r="AF14" s="46"/>
      <c r="AG14" s="46"/>
      <c r="AH14" s="46"/>
    </row>
    <row r="15" spans="1:70" x14ac:dyDescent="0.25">
      <c r="A15" s="42"/>
      <c r="B15" s="23"/>
      <c r="C15" s="24"/>
      <c r="D15" s="27" t="e">
        <f t="shared" si="0"/>
        <v>#DIV/0!</v>
      </c>
      <c r="E15" s="26"/>
      <c r="F15" s="26"/>
      <c r="G15" s="27" t="e">
        <f t="shared" si="1"/>
        <v>#DIV/0!</v>
      </c>
      <c r="H15" s="26"/>
      <c r="I15" s="26"/>
      <c r="J15" s="27" t="e">
        <f t="shared" si="2"/>
        <v>#DIV/0!</v>
      </c>
      <c r="K15" s="26"/>
      <c r="L15" s="26"/>
      <c r="M15" s="27" t="e">
        <f t="shared" si="3"/>
        <v>#DIV/0!</v>
      </c>
      <c r="N15" s="28" t="e">
        <f t="shared" si="8"/>
        <v>#DIV/0!</v>
      </c>
      <c r="O15" s="29" t="e">
        <f t="shared" si="9"/>
        <v>#DIV/0!</v>
      </c>
      <c r="P15" s="30"/>
      <c r="Q15" s="30"/>
      <c r="R15" s="30"/>
      <c r="S15" s="30"/>
      <c r="T15" s="30"/>
      <c r="U15" s="30"/>
      <c r="V15" s="30"/>
      <c r="W15" s="30"/>
      <c r="X15" s="30"/>
      <c r="Y15" s="51"/>
      <c r="Z15" s="44"/>
      <c r="AA15" s="44"/>
      <c r="AB15" s="44"/>
      <c r="AC15" s="44"/>
      <c r="AD15" s="44"/>
      <c r="AE15" s="45"/>
      <c r="AF15" s="46"/>
      <c r="AG15" s="46"/>
      <c r="AH15" s="46"/>
    </row>
    <row r="16" spans="1:70" x14ac:dyDescent="0.25">
      <c r="A16" s="42"/>
      <c r="B16" s="23"/>
      <c r="C16" s="24"/>
      <c r="D16" s="27" t="e">
        <f t="shared" si="0"/>
        <v>#DIV/0!</v>
      </c>
      <c r="E16" s="26"/>
      <c r="F16" s="26"/>
      <c r="G16" s="27" t="e">
        <f t="shared" si="1"/>
        <v>#DIV/0!</v>
      </c>
      <c r="H16" s="26"/>
      <c r="I16" s="26"/>
      <c r="J16" s="27" t="e">
        <f t="shared" si="2"/>
        <v>#DIV/0!</v>
      </c>
      <c r="K16" s="26"/>
      <c r="L16" s="26"/>
      <c r="M16" s="27" t="e">
        <f t="shared" si="3"/>
        <v>#DIV/0!</v>
      </c>
      <c r="N16" s="28" t="e">
        <f t="shared" si="8"/>
        <v>#DIV/0!</v>
      </c>
      <c r="O16" s="29" t="e">
        <f t="shared" si="9"/>
        <v>#DIV/0!</v>
      </c>
      <c r="P16" s="30"/>
      <c r="Q16" s="30"/>
      <c r="R16" s="30"/>
      <c r="S16" s="30"/>
      <c r="T16" s="30"/>
      <c r="U16" s="30"/>
      <c r="V16" s="30"/>
      <c r="W16" s="30"/>
      <c r="X16" s="30"/>
      <c r="Y16" s="51"/>
      <c r="Z16" s="44"/>
      <c r="AA16" s="44"/>
      <c r="AB16" s="44"/>
      <c r="AC16" s="44"/>
      <c r="AD16" s="44"/>
      <c r="AE16" s="45"/>
      <c r="AF16" s="46"/>
      <c r="AG16" s="46"/>
      <c r="AH16" s="46"/>
    </row>
    <row r="17" spans="1:34" x14ac:dyDescent="0.25">
      <c r="A17" s="42"/>
      <c r="B17" s="23"/>
      <c r="C17" s="24"/>
      <c r="D17" s="27" t="e">
        <f t="shared" si="0"/>
        <v>#DIV/0!</v>
      </c>
      <c r="E17" s="26"/>
      <c r="F17" s="26"/>
      <c r="G17" s="27" t="e">
        <f t="shared" si="1"/>
        <v>#DIV/0!</v>
      </c>
      <c r="H17" s="26"/>
      <c r="I17" s="26"/>
      <c r="J17" s="27" t="e">
        <f t="shared" si="2"/>
        <v>#DIV/0!</v>
      </c>
      <c r="K17" s="26"/>
      <c r="L17" s="26"/>
      <c r="M17" s="27" t="e">
        <f t="shared" si="3"/>
        <v>#DIV/0!</v>
      </c>
      <c r="N17" s="28" t="e">
        <f t="shared" si="8"/>
        <v>#DIV/0!</v>
      </c>
      <c r="O17" s="29" t="e">
        <f t="shared" si="9"/>
        <v>#DIV/0!</v>
      </c>
      <c r="P17" s="30"/>
      <c r="Q17" s="30"/>
      <c r="R17" s="30"/>
      <c r="S17" s="30"/>
      <c r="T17" s="30"/>
      <c r="U17" s="30"/>
      <c r="V17" s="30"/>
      <c r="W17" s="30"/>
      <c r="X17" s="30"/>
      <c r="Y17" s="51"/>
      <c r="Z17" s="44"/>
      <c r="AA17" s="44"/>
      <c r="AB17" s="44"/>
      <c r="AC17" s="44"/>
      <c r="AD17" s="44"/>
      <c r="AE17" s="45"/>
      <c r="AF17" s="46"/>
      <c r="AG17" s="46"/>
      <c r="AH17" s="46"/>
    </row>
    <row r="18" spans="1:34" x14ac:dyDescent="0.25">
      <c r="A18" s="42"/>
      <c r="B18" s="23"/>
      <c r="C18" s="24"/>
      <c r="D18" s="27" t="e">
        <f t="shared" si="0"/>
        <v>#DIV/0!</v>
      </c>
      <c r="E18" s="26"/>
      <c r="F18" s="26"/>
      <c r="G18" s="27" t="e">
        <f t="shared" si="1"/>
        <v>#DIV/0!</v>
      </c>
      <c r="H18" s="26"/>
      <c r="I18" s="26"/>
      <c r="J18" s="27" t="e">
        <f t="shared" si="2"/>
        <v>#DIV/0!</v>
      </c>
      <c r="K18" s="26"/>
      <c r="L18" s="26"/>
      <c r="M18" s="27" t="e">
        <f t="shared" si="3"/>
        <v>#DIV/0!</v>
      </c>
      <c r="N18" s="28" t="e">
        <f t="shared" si="8"/>
        <v>#DIV/0!</v>
      </c>
      <c r="O18" s="29" t="e">
        <f t="shared" si="9"/>
        <v>#DIV/0!</v>
      </c>
      <c r="P18" s="30"/>
      <c r="Q18" s="30"/>
      <c r="R18" s="30"/>
      <c r="S18" s="30"/>
      <c r="T18" s="30"/>
      <c r="U18" s="30"/>
      <c r="V18" s="30"/>
      <c r="W18" s="30"/>
      <c r="X18" s="30"/>
      <c r="Y18" s="51"/>
      <c r="Z18" s="44"/>
      <c r="AA18" s="44"/>
      <c r="AB18" s="44"/>
      <c r="AC18" s="44"/>
      <c r="AD18" s="44"/>
      <c r="AE18" s="45"/>
      <c r="AF18" s="46"/>
      <c r="AG18" s="46"/>
      <c r="AH18" s="46"/>
    </row>
    <row r="19" spans="1:34" x14ac:dyDescent="0.25">
      <c r="A19" s="42"/>
      <c r="B19" s="23"/>
      <c r="C19" s="24"/>
      <c r="D19" s="27" t="e">
        <f t="shared" si="0"/>
        <v>#DIV/0!</v>
      </c>
      <c r="E19" s="26"/>
      <c r="F19" s="26"/>
      <c r="G19" s="27" t="e">
        <f t="shared" si="1"/>
        <v>#DIV/0!</v>
      </c>
      <c r="H19" s="26"/>
      <c r="I19" s="26"/>
      <c r="J19" s="27" t="e">
        <f t="shared" si="2"/>
        <v>#DIV/0!</v>
      </c>
      <c r="K19" s="26"/>
      <c r="L19" s="26"/>
      <c r="M19" s="27" t="e">
        <f t="shared" si="3"/>
        <v>#DIV/0!</v>
      </c>
      <c r="N19" s="28" t="e">
        <f t="shared" si="8"/>
        <v>#DIV/0!</v>
      </c>
      <c r="O19" s="29" t="e">
        <f t="shared" si="9"/>
        <v>#DIV/0!</v>
      </c>
      <c r="P19" s="30"/>
      <c r="Q19" s="30"/>
      <c r="R19" s="30"/>
      <c r="S19" s="30"/>
      <c r="T19" s="30"/>
      <c r="U19" s="30"/>
      <c r="V19" s="30"/>
      <c r="W19" s="30"/>
      <c r="X19" s="30"/>
      <c r="Y19" s="43"/>
      <c r="Z19" s="44"/>
      <c r="AA19" s="44"/>
      <c r="AB19" s="44"/>
      <c r="AC19" s="44"/>
      <c r="AD19" s="44"/>
      <c r="AE19" s="45"/>
      <c r="AF19" s="46"/>
      <c r="AG19" s="46"/>
      <c r="AH19" s="46"/>
    </row>
    <row r="20" spans="1:34" x14ac:dyDescent="0.25">
      <c r="A20" s="42"/>
      <c r="B20" s="23"/>
      <c r="C20" s="24"/>
      <c r="D20" s="27" t="e">
        <f t="shared" si="0"/>
        <v>#DIV/0!</v>
      </c>
      <c r="E20" s="26"/>
      <c r="F20" s="26"/>
      <c r="G20" s="27" t="e">
        <f t="shared" si="1"/>
        <v>#DIV/0!</v>
      </c>
      <c r="H20" s="26"/>
      <c r="I20" s="26"/>
      <c r="J20" s="27" t="e">
        <f t="shared" si="2"/>
        <v>#DIV/0!</v>
      </c>
      <c r="K20" s="26"/>
      <c r="L20" s="26"/>
      <c r="M20" s="27" t="e">
        <f t="shared" si="3"/>
        <v>#DIV/0!</v>
      </c>
      <c r="N20" s="28" t="e">
        <f t="shared" si="8"/>
        <v>#DIV/0!</v>
      </c>
      <c r="O20" s="29" t="e">
        <f t="shared" si="9"/>
        <v>#DIV/0!</v>
      </c>
      <c r="P20" s="30"/>
      <c r="Q20" s="30"/>
      <c r="R20" s="30"/>
      <c r="S20" s="30"/>
      <c r="T20" s="30"/>
      <c r="U20" s="30"/>
      <c r="V20" s="30"/>
      <c r="W20" s="30"/>
      <c r="X20" s="30"/>
      <c r="Y20" s="43"/>
      <c r="Z20" s="44"/>
      <c r="AA20" s="44"/>
      <c r="AB20" s="44"/>
      <c r="AC20" s="44"/>
      <c r="AD20" s="44"/>
      <c r="AE20" s="45"/>
      <c r="AF20" s="46"/>
      <c r="AG20" s="46"/>
      <c r="AH20" s="46"/>
    </row>
    <row r="21" spans="1:34" x14ac:dyDescent="0.25">
      <c r="A21" s="42"/>
      <c r="B21" s="23"/>
      <c r="C21" s="24"/>
      <c r="D21" s="27" t="e">
        <f t="shared" si="0"/>
        <v>#DIV/0!</v>
      </c>
      <c r="E21" s="26"/>
      <c r="F21" s="26"/>
      <c r="G21" s="27" t="e">
        <f t="shared" si="1"/>
        <v>#DIV/0!</v>
      </c>
      <c r="H21" s="26"/>
      <c r="I21" s="26"/>
      <c r="J21" s="27" t="e">
        <f t="shared" si="2"/>
        <v>#DIV/0!</v>
      </c>
      <c r="K21" s="26"/>
      <c r="L21" s="26"/>
      <c r="M21" s="27" t="e">
        <f t="shared" si="3"/>
        <v>#DIV/0!</v>
      </c>
      <c r="N21" s="28" t="e">
        <f t="shared" si="8"/>
        <v>#DIV/0!</v>
      </c>
      <c r="O21" s="29" t="e">
        <f t="shared" si="9"/>
        <v>#DIV/0!</v>
      </c>
      <c r="P21" s="30"/>
      <c r="Q21" s="30"/>
      <c r="R21" s="30"/>
      <c r="S21" s="30"/>
      <c r="T21" s="30"/>
      <c r="U21" s="30"/>
      <c r="V21" s="30"/>
      <c r="W21" s="30"/>
      <c r="X21" s="30"/>
      <c r="Y21" s="43"/>
      <c r="Z21" s="44"/>
      <c r="AA21" s="44"/>
      <c r="AB21" s="44"/>
      <c r="AC21" s="44"/>
      <c r="AD21" s="44"/>
      <c r="AE21" s="45"/>
      <c r="AF21" s="46"/>
      <c r="AG21" s="46"/>
      <c r="AH21" s="46"/>
    </row>
    <row r="22" spans="1:34" x14ac:dyDescent="0.25">
      <c r="A22" s="42"/>
      <c r="B22" s="23"/>
      <c r="C22" s="24"/>
      <c r="D22" s="27" t="e">
        <f t="shared" si="0"/>
        <v>#DIV/0!</v>
      </c>
      <c r="E22" s="26"/>
      <c r="F22" s="26"/>
      <c r="G22" s="27" t="e">
        <f t="shared" si="1"/>
        <v>#DIV/0!</v>
      </c>
      <c r="H22" s="26"/>
      <c r="I22" s="26"/>
      <c r="J22" s="27" t="e">
        <f t="shared" si="2"/>
        <v>#DIV/0!</v>
      </c>
      <c r="K22" s="26"/>
      <c r="L22" s="26"/>
      <c r="M22" s="27" t="e">
        <f t="shared" si="3"/>
        <v>#DIV/0!</v>
      </c>
      <c r="N22" s="28" t="e">
        <f t="shared" si="8"/>
        <v>#DIV/0!</v>
      </c>
      <c r="O22" s="29" t="e">
        <f t="shared" si="9"/>
        <v>#DIV/0!</v>
      </c>
      <c r="P22" s="30"/>
      <c r="Q22" s="30"/>
      <c r="R22" s="30"/>
      <c r="S22" s="30"/>
      <c r="T22" s="30"/>
      <c r="U22" s="30"/>
      <c r="V22" s="30"/>
      <c r="W22" s="30"/>
      <c r="X22" s="30"/>
      <c r="Y22" s="43"/>
      <c r="Z22" s="44"/>
      <c r="AA22" s="44"/>
      <c r="AB22" s="44"/>
      <c r="AC22" s="44"/>
      <c r="AD22" s="44"/>
      <c r="AE22" s="45"/>
      <c r="AF22" s="46"/>
      <c r="AG22" s="46"/>
      <c r="AH22" s="46"/>
    </row>
    <row r="23" spans="1:34" x14ac:dyDescent="0.25">
      <c r="A23" s="52"/>
      <c r="B23" s="23"/>
      <c r="C23" s="24"/>
      <c r="D23" s="27" t="e">
        <f t="shared" si="0"/>
        <v>#DIV/0!</v>
      </c>
      <c r="E23" s="26"/>
      <c r="F23" s="26"/>
      <c r="G23" s="27" t="e">
        <f t="shared" si="1"/>
        <v>#DIV/0!</v>
      </c>
      <c r="H23" s="26"/>
      <c r="I23" s="26"/>
      <c r="J23" s="27" t="e">
        <f t="shared" si="2"/>
        <v>#DIV/0!</v>
      </c>
      <c r="K23" s="26"/>
      <c r="L23" s="26"/>
      <c r="M23" s="27" t="e">
        <f t="shared" si="3"/>
        <v>#DIV/0!</v>
      </c>
      <c r="N23" s="28" t="e">
        <f t="shared" si="8"/>
        <v>#DIV/0!</v>
      </c>
      <c r="O23" s="29" t="e">
        <f t="shared" si="9"/>
        <v>#DIV/0!</v>
      </c>
      <c r="P23" s="30"/>
      <c r="Q23" s="30"/>
      <c r="R23" s="30"/>
      <c r="S23" s="30"/>
      <c r="T23" s="30"/>
      <c r="U23" s="30"/>
      <c r="V23" s="30"/>
      <c r="W23" s="30"/>
      <c r="X23" s="30"/>
      <c r="Y23" s="43"/>
      <c r="Z23" s="44"/>
      <c r="AA23" s="44"/>
      <c r="AB23" s="44"/>
      <c r="AC23" s="44"/>
      <c r="AD23" s="44"/>
      <c r="AE23" s="45"/>
      <c r="AF23" s="49"/>
      <c r="AG23" s="49"/>
      <c r="AH23" s="49"/>
    </row>
    <row r="24" spans="1:34" x14ac:dyDescent="0.25">
      <c r="A24" s="53"/>
      <c r="B24" s="23"/>
      <c r="C24" s="24"/>
      <c r="D24" s="27" t="e">
        <f t="shared" si="0"/>
        <v>#DIV/0!</v>
      </c>
      <c r="E24" s="26"/>
      <c r="F24" s="26"/>
      <c r="G24" s="27" t="e">
        <f t="shared" si="1"/>
        <v>#DIV/0!</v>
      </c>
      <c r="H24" s="26"/>
      <c r="I24" s="26"/>
      <c r="J24" s="27" t="e">
        <f t="shared" si="2"/>
        <v>#DIV/0!</v>
      </c>
      <c r="K24" s="26"/>
      <c r="L24" s="26"/>
      <c r="M24" s="27" t="e">
        <f t="shared" si="3"/>
        <v>#DIV/0!</v>
      </c>
      <c r="N24" s="28" t="e">
        <f t="shared" si="8"/>
        <v>#DIV/0!</v>
      </c>
      <c r="O24" s="29" t="e">
        <f t="shared" si="9"/>
        <v>#DIV/0!</v>
      </c>
      <c r="P24" s="30"/>
      <c r="Q24" s="30"/>
      <c r="R24" s="30"/>
      <c r="S24" s="30"/>
      <c r="T24" s="30"/>
      <c r="U24" s="30"/>
      <c r="V24" s="30"/>
      <c r="W24" s="30"/>
      <c r="X24" s="30"/>
      <c r="Y24" s="43"/>
      <c r="Z24" s="44"/>
      <c r="AA24" s="44"/>
      <c r="AB24" s="44"/>
      <c r="AC24" s="44"/>
      <c r="AD24" s="44"/>
      <c r="AE24" s="45"/>
      <c r="AF24" s="46"/>
      <c r="AG24" s="46"/>
      <c r="AH24" s="46"/>
    </row>
    <row r="25" spans="1:34" x14ac:dyDescent="0.25">
      <c r="A25" s="52"/>
      <c r="B25" s="23"/>
      <c r="C25" s="24"/>
      <c r="D25" s="27" t="e">
        <f t="shared" si="0"/>
        <v>#DIV/0!</v>
      </c>
      <c r="E25" s="26"/>
      <c r="F25" s="26"/>
      <c r="G25" s="27" t="e">
        <f t="shared" si="1"/>
        <v>#DIV/0!</v>
      </c>
      <c r="H25" s="26"/>
      <c r="I25" s="26"/>
      <c r="J25" s="27" t="e">
        <f t="shared" si="2"/>
        <v>#DIV/0!</v>
      </c>
      <c r="K25" s="26"/>
      <c r="L25" s="26"/>
      <c r="M25" s="27" t="e">
        <f t="shared" si="3"/>
        <v>#DIV/0!</v>
      </c>
      <c r="N25" s="28" t="e">
        <f t="shared" si="8"/>
        <v>#DIV/0!</v>
      </c>
      <c r="O25" s="29" t="e">
        <f t="shared" si="9"/>
        <v>#DIV/0!</v>
      </c>
      <c r="P25" s="30"/>
      <c r="Q25" s="30"/>
      <c r="R25" s="30"/>
      <c r="S25" s="30"/>
      <c r="T25" s="30"/>
      <c r="U25" s="30"/>
      <c r="V25" s="30"/>
      <c r="W25" s="30"/>
      <c r="X25" s="30"/>
      <c r="Y25" s="43"/>
      <c r="Z25" s="44"/>
      <c r="AA25" s="44"/>
      <c r="AB25" s="44"/>
      <c r="AC25" s="44"/>
      <c r="AD25" s="44"/>
      <c r="AE25" s="45"/>
      <c r="AF25" s="46"/>
      <c r="AG25" s="46"/>
      <c r="AH25" s="46"/>
    </row>
    <row r="26" spans="1:34" x14ac:dyDescent="0.25">
      <c r="A26" s="53"/>
      <c r="B26" s="23"/>
      <c r="C26" s="24"/>
      <c r="D26" s="27" t="e">
        <f t="shared" si="0"/>
        <v>#DIV/0!</v>
      </c>
      <c r="E26" s="26"/>
      <c r="F26" s="26"/>
      <c r="G26" s="27" t="e">
        <f t="shared" si="1"/>
        <v>#DIV/0!</v>
      </c>
      <c r="H26" s="26"/>
      <c r="I26" s="26"/>
      <c r="J26" s="27" t="e">
        <f t="shared" si="2"/>
        <v>#DIV/0!</v>
      </c>
      <c r="K26" s="26"/>
      <c r="L26" s="26"/>
      <c r="M26" s="27" t="e">
        <f t="shared" si="3"/>
        <v>#DIV/0!</v>
      </c>
      <c r="N26" s="28" t="e">
        <f t="shared" si="8"/>
        <v>#DIV/0!</v>
      </c>
      <c r="O26" s="29" t="e">
        <f t="shared" si="9"/>
        <v>#DIV/0!</v>
      </c>
      <c r="P26" s="30"/>
      <c r="Q26" s="30"/>
      <c r="R26" s="30"/>
      <c r="S26" s="30"/>
      <c r="T26" s="30"/>
      <c r="U26" s="30"/>
      <c r="V26" s="30"/>
      <c r="W26" s="30"/>
      <c r="X26" s="30"/>
      <c r="Y26" s="43"/>
      <c r="Z26" s="44"/>
      <c r="AA26" s="44"/>
      <c r="AB26" s="44"/>
      <c r="AC26" s="44"/>
      <c r="AD26" s="44"/>
      <c r="AE26" s="45"/>
      <c r="AF26" s="46"/>
      <c r="AG26" s="46"/>
      <c r="AH26" s="46"/>
    </row>
    <row r="27" spans="1:34" x14ac:dyDescent="0.25">
      <c r="A27" s="52"/>
      <c r="B27" s="23"/>
      <c r="C27" s="24"/>
      <c r="D27" s="54" t="e">
        <f t="shared" si="0"/>
        <v>#DIV/0!</v>
      </c>
      <c r="E27" s="26"/>
      <c r="F27" s="26"/>
      <c r="G27" s="27" t="e">
        <f t="shared" si="1"/>
        <v>#DIV/0!</v>
      </c>
      <c r="H27" s="26"/>
      <c r="I27" s="26"/>
      <c r="J27" s="27" t="e">
        <f t="shared" si="2"/>
        <v>#DIV/0!</v>
      </c>
      <c r="K27" s="26"/>
      <c r="L27" s="26"/>
      <c r="M27" s="27" t="e">
        <f t="shared" si="3"/>
        <v>#DIV/0!</v>
      </c>
      <c r="N27" s="28" t="e">
        <f t="shared" si="8"/>
        <v>#DIV/0!</v>
      </c>
      <c r="O27" s="29" t="e">
        <f t="shared" si="9"/>
        <v>#DIV/0!</v>
      </c>
      <c r="P27" s="30"/>
      <c r="Q27" s="30"/>
      <c r="R27" s="30"/>
      <c r="S27" s="30"/>
      <c r="T27" s="30"/>
      <c r="U27" s="30"/>
      <c r="V27" s="30"/>
      <c r="W27" s="30"/>
      <c r="X27" s="30"/>
      <c r="Y27" s="43"/>
      <c r="Z27" s="55"/>
      <c r="AA27" s="55"/>
      <c r="AB27" s="55"/>
      <c r="AC27" s="55"/>
      <c r="AD27" s="55"/>
      <c r="AE27" s="45"/>
      <c r="AF27" s="49"/>
      <c r="AG27" s="49"/>
      <c r="AH27" s="49"/>
    </row>
    <row r="28" spans="1:34" ht="16.5" thickBot="1" x14ac:dyDescent="0.3">
      <c r="A28" s="56"/>
      <c r="B28" s="57"/>
      <c r="C28" s="58"/>
      <c r="D28" s="59" t="e">
        <f t="shared" si="0"/>
        <v>#DIV/0!</v>
      </c>
      <c r="E28" s="60"/>
      <c r="F28" s="61"/>
      <c r="G28" s="59" t="e">
        <f t="shared" si="1"/>
        <v>#DIV/0!</v>
      </c>
      <c r="H28" s="61"/>
      <c r="I28" s="61"/>
      <c r="J28" s="59" t="e">
        <f t="shared" si="2"/>
        <v>#DIV/0!</v>
      </c>
      <c r="K28" s="61"/>
      <c r="L28" s="61"/>
      <c r="M28" s="54" t="e">
        <f t="shared" si="3"/>
        <v>#DIV/0!</v>
      </c>
      <c r="N28" s="62" t="e">
        <f t="shared" si="8"/>
        <v>#DIV/0!</v>
      </c>
      <c r="O28" s="63" t="e">
        <f t="shared" si="9"/>
        <v>#DIV/0!</v>
      </c>
      <c r="P28" s="64"/>
      <c r="Q28" s="64"/>
      <c r="R28" s="64"/>
      <c r="S28" s="64"/>
      <c r="T28" s="64"/>
      <c r="U28" s="64"/>
      <c r="V28" s="64"/>
      <c r="W28" s="64"/>
      <c r="X28" s="64"/>
      <c r="Y28" s="65"/>
      <c r="Z28" s="66"/>
      <c r="AA28" s="67"/>
      <c r="AB28" s="67"/>
      <c r="AC28" s="67"/>
      <c r="AD28" s="67"/>
      <c r="AE28" s="68"/>
      <c r="AF28" s="69"/>
      <c r="AG28" s="69"/>
      <c r="AH28" s="69"/>
    </row>
    <row r="29" spans="1:34" ht="16.5" thickBot="1" x14ac:dyDescent="0.3">
      <c r="A29" s="70" t="s">
        <v>34</v>
      </c>
      <c r="B29" s="33">
        <f>AVERAGE(B6:B28)</f>
        <v>25.5</v>
      </c>
      <c r="C29" s="34">
        <f>AVERAGE(C6:C28)</f>
        <v>49.5</v>
      </c>
      <c r="D29" s="35">
        <f t="shared" si="0"/>
        <v>0.51515151515151514</v>
      </c>
      <c r="E29" s="34">
        <f>AVERAGE(E6:E28)</f>
        <v>4.5</v>
      </c>
      <c r="F29" s="34">
        <f>AVERAGE(F6:F28)</f>
        <v>18.5</v>
      </c>
      <c r="G29" s="35">
        <f t="shared" si="1"/>
        <v>0.24324324324324326</v>
      </c>
      <c r="H29" s="34">
        <f>AVERAGE(H6:H28)</f>
        <v>30</v>
      </c>
      <c r="I29" s="34">
        <f>AVERAGE(I6:I28)</f>
        <v>68</v>
      </c>
      <c r="J29" s="35">
        <f t="shared" si="2"/>
        <v>0.44117647058823528</v>
      </c>
      <c r="K29" s="34">
        <f>AVERAGE(K6:K28)</f>
        <v>14.5</v>
      </c>
      <c r="L29" s="34">
        <f>AVERAGE(L6:L28)</f>
        <v>17.5</v>
      </c>
      <c r="M29" s="36">
        <f t="shared" si="3"/>
        <v>0.82857142857142863</v>
      </c>
      <c r="N29" s="37">
        <f t="shared" si="8"/>
        <v>0.47426470588235292</v>
      </c>
      <c r="O29" s="38">
        <f t="shared" si="9"/>
        <v>0.5217965653896961</v>
      </c>
      <c r="P29" s="34">
        <f t="shared" ref="P29:AH29" si="13">AVERAGE(P6:P28)</f>
        <v>79</v>
      </c>
      <c r="Q29" s="39">
        <f t="shared" si="13"/>
        <v>9.5</v>
      </c>
      <c r="R29" s="39">
        <f t="shared" si="13"/>
        <v>16</v>
      </c>
      <c r="S29" s="39">
        <f t="shared" si="13"/>
        <v>20.5</v>
      </c>
      <c r="T29" s="39">
        <f t="shared" si="13"/>
        <v>4</v>
      </c>
      <c r="U29" s="39">
        <f t="shared" si="13"/>
        <v>15.5</v>
      </c>
      <c r="V29" s="39">
        <f t="shared" si="13"/>
        <v>26.5</v>
      </c>
      <c r="W29" s="39">
        <f t="shared" si="13"/>
        <v>19.5</v>
      </c>
      <c r="X29" s="39">
        <f t="shared" si="13"/>
        <v>20.5</v>
      </c>
      <c r="Y29" s="40">
        <f t="shared" si="13"/>
        <v>98</v>
      </c>
      <c r="Z29" s="41">
        <f t="shared" si="13"/>
        <v>76.2</v>
      </c>
      <c r="AA29" s="41">
        <f t="shared" si="13"/>
        <v>103.67858961949008</v>
      </c>
      <c r="AB29" s="41">
        <f t="shared" si="13"/>
        <v>84.2</v>
      </c>
      <c r="AC29" s="41">
        <f t="shared" si="13"/>
        <v>19.744562899786771</v>
      </c>
      <c r="AD29" s="41">
        <f t="shared" si="13"/>
        <v>38.09808612440191</v>
      </c>
      <c r="AE29" s="41">
        <f t="shared" si="13"/>
        <v>21.042207341193276</v>
      </c>
      <c r="AF29" s="41">
        <f t="shared" si="13"/>
        <v>39</v>
      </c>
      <c r="AG29" s="41">
        <f t="shared" si="13"/>
        <v>5</v>
      </c>
      <c r="AH29" s="41">
        <f t="shared" si="13"/>
        <v>28</v>
      </c>
    </row>
    <row r="30" spans="1:34" ht="16.5" thickBot="1" x14ac:dyDescent="0.3">
      <c r="A30" s="71" t="s">
        <v>36</v>
      </c>
      <c r="B30" s="72">
        <f>SUM(B6:B28)</f>
        <v>51</v>
      </c>
      <c r="C30" s="73">
        <f>SUM(C6:C28)</f>
        <v>99</v>
      </c>
      <c r="D30" s="74">
        <f t="shared" si="0"/>
        <v>0.51515151515151514</v>
      </c>
      <c r="E30" s="73">
        <f>SUM(E6:E28)</f>
        <v>9</v>
      </c>
      <c r="F30" s="73">
        <f>SUM(F6:F28)</f>
        <v>37</v>
      </c>
      <c r="G30" s="74">
        <f t="shared" si="1"/>
        <v>0.24324324324324326</v>
      </c>
      <c r="H30" s="73">
        <f>SUM(H6:H28)</f>
        <v>60</v>
      </c>
      <c r="I30" s="73">
        <f>SUM(I6:I28)</f>
        <v>136</v>
      </c>
      <c r="J30" s="74">
        <f t="shared" si="2"/>
        <v>0.44117647058823528</v>
      </c>
      <c r="K30" s="73">
        <f>SUM(K6:K28)</f>
        <v>29</v>
      </c>
      <c r="L30" s="73">
        <f>SUM(L6:L28)</f>
        <v>35</v>
      </c>
      <c r="M30" s="74">
        <f t="shared" si="3"/>
        <v>0.82857142857142863</v>
      </c>
      <c r="N30" s="74">
        <f t="shared" si="8"/>
        <v>0.47426470588235292</v>
      </c>
      <c r="O30" s="75">
        <f t="shared" si="9"/>
        <v>0.5217965653896961</v>
      </c>
      <c r="P30" s="76">
        <f t="shared" ref="P30:AH30" si="14">SUM(P6:P28)</f>
        <v>158</v>
      </c>
      <c r="Q30" s="73">
        <f t="shared" si="14"/>
        <v>19</v>
      </c>
      <c r="R30" s="73">
        <f t="shared" si="14"/>
        <v>32</v>
      </c>
      <c r="S30" s="73">
        <f t="shared" si="14"/>
        <v>41</v>
      </c>
      <c r="T30" s="73">
        <f t="shared" si="14"/>
        <v>8</v>
      </c>
      <c r="U30" s="73">
        <f t="shared" si="14"/>
        <v>31</v>
      </c>
      <c r="V30" s="73">
        <f t="shared" si="14"/>
        <v>53</v>
      </c>
      <c r="W30" s="73">
        <f t="shared" si="14"/>
        <v>39</v>
      </c>
      <c r="X30" s="73">
        <f t="shared" si="14"/>
        <v>41</v>
      </c>
      <c r="Y30" s="77">
        <f t="shared" si="14"/>
        <v>196</v>
      </c>
      <c r="Z30" s="78">
        <f t="shared" si="14"/>
        <v>152.4</v>
      </c>
      <c r="AA30" s="78">
        <f t="shared" si="14"/>
        <v>207.35717923898017</v>
      </c>
      <c r="AB30" s="78">
        <f t="shared" si="14"/>
        <v>84.2</v>
      </c>
      <c r="AC30" s="78">
        <f t="shared" si="14"/>
        <v>19.744562899786771</v>
      </c>
      <c r="AD30" s="78">
        <f t="shared" si="14"/>
        <v>76.196172248803819</v>
      </c>
      <c r="AE30" s="78">
        <f t="shared" si="14"/>
        <v>42.084414682386551</v>
      </c>
      <c r="AF30" s="79">
        <f t="shared" si="14"/>
        <v>78</v>
      </c>
      <c r="AG30" s="79">
        <f t="shared" si="14"/>
        <v>10</v>
      </c>
      <c r="AH30" s="79">
        <f t="shared" si="14"/>
        <v>56</v>
      </c>
    </row>
  </sheetData>
  <mergeCells count="55">
    <mergeCell ref="A3:F3"/>
    <mergeCell ref="T4:T5"/>
    <mergeCell ref="A4:A5"/>
    <mergeCell ref="B4:D4"/>
    <mergeCell ref="E4:G4"/>
    <mergeCell ref="H4:J4"/>
    <mergeCell ref="K4:M4"/>
    <mergeCell ref="N4:N5"/>
    <mergeCell ref="O4:O5"/>
    <mergeCell ref="P4:P5"/>
    <mergeCell ref="Q4:Q5"/>
    <mergeCell ref="R4:R5"/>
    <mergeCell ref="S4:S5"/>
    <mergeCell ref="AF4:AF5"/>
    <mergeCell ref="U4:U5"/>
    <mergeCell ref="V4:V5"/>
    <mergeCell ref="W4:W5"/>
    <mergeCell ref="X4:X5"/>
    <mergeCell ref="Y4:Y5"/>
    <mergeCell ref="Z4:Z5"/>
    <mergeCell ref="AA4:AA5"/>
    <mergeCell ref="AB4:AB5"/>
    <mergeCell ref="AC4:AC5"/>
    <mergeCell ref="AD4:AD5"/>
    <mergeCell ref="AE4:AE5"/>
    <mergeCell ref="AG4:AG5"/>
    <mergeCell ref="AH4:AH5"/>
    <mergeCell ref="AJ4:AJ5"/>
    <mergeCell ref="AK4:AK5"/>
    <mergeCell ref="AL4:AN4"/>
    <mergeCell ref="BL4:BL5"/>
    <mergeCell ref="BM4:BM5"/>
    <mergeCell ref="BB4:BB5"/>
    <mergeCell ref="BC4:BC5"/>
    <mergeCell ref="BD4:BD5"/>
    <mergeCell ref="BE4:BE5"/>
    <mergeCell ref="BF4:BF5"/>
    <mergeCell ref="BG4:BG5"/>
    <mergeCell ref="AJ7:AK7"/>
    <mergeCell ref="BH4:BH5"/>
    <mergeCell ref="BI4:BI5"/>
    <mergeCell ref="BJ4:BJ5"/>
    <mergeCell ref="BK4:BK5"/>
    <mergeCell ref="AR4:AT4"/>
    <mergeCell ref="AU4:AW4"/>
    <mergeCell ref="AX4:AX5"/>
    <mergeCell ref="AY4:AY5"/>
    <mergeCell ref="AZ4:AZ5"/>
    <mergeCell ref="BA4:BA5"/>
    <mergeCell ref="AO4:AQ4"/>
    <mergeCell ref="BN4:BN5"/>
    <mergeCell ref="BO4:BO5"/>
    <mergeCell ref="BP4:BP5"/>
    <mergeCell ref="BQ4:BQ5"/>
    <mergeCell ref="BR4:BR5"/>
  </mergeCells>
  <conditionalFormatting sqref="D6:D28 AN6 AN8 AQ6 AQ8 AT6 AT8 AW6:AY6 AW8:AY8">
    <cfRule type="cellIs" dxfId="121" priority="494" stopIfTrue="1" operator="between">
      <formula>76%</formula>
      <formula>100%</formula>
    </cfRule>
    <cfRule type="cellIs" dxfId="120" priority="495" stopIfTrue="1" operator="between">
      <formula>61%</formula>
      <formula>75.99%</formula>
    </cfRule>
    <cfRule type="cellIs" dxfId="119" priority="496" stopIfTrue="1" operator="between">
      <formula>51%</formula>
      <formula>60.99%</formula>
    </cfRule>
    <cfRule type="cellIs" dxfId="118" priority="497" stopIfTrue="1" operator="between">
      <formula>41%</formula>
      <formula>50.99%</formula>
    </cfRule>
    <cfRule type="cellIs" dxfId="117" priority="498" stopIfTrue="1" operator="between">
      <formula>0%</formula>
      <formula>30.99%</formula>
    </cfRule>
  </conditionalFormatting>
  <conditionalFormatting sqref="D6:D28 AN6 AN8 AQ6 AQ8 AT6 AT8 AW6:AY6 AW8:AY8">
    <cfRule type="cellIs" dxfId="116" priority="493" stopIfTrue="1" operator="between">
      <formula>31%</formula>
      <formula>40.99%</formula>
    </cfRule>
  </conditionalFormatting>
  <conditionalFormatting sqref="G6:G29">
    <cfRule type="cellIs" dxfId="115" priority="488" stopIfTrue="1" operator="between">
      <formula>76%</formula>
      <formula>100%</formula>
    </cfRule>
    <cfRule type="cellIs" dxfId="114" priority="489" stopIfTrue="1" operator="between">
      <formula>61%</formula>
      <formula>75.99%</formula>
    </cfRule>
    <cfRule type="cellIs" dxfId="113" priority="490" stopIfTrue="1" operator="between">
      <formula>51%</formula>
      <formula>60.99%</formula>
    </cfRule>
    <cfRule type="cellIs" dxfId="112" priority="491" stopIfTrue="1" operator="between">
      <formula>41%</formula>
      <formula>50.99%</formula>
    </cfRule>
    <cfRule type="cellIs" dxfId="111" priority="492" stopIfTrue="1" operator="between">
      <formula>0%</formula>
      <formula>30.99%</formula>
    </cfRule>
  </conditionalFormatting>
  <conditionalFormatting sqref="G6:G29">
    <cfRule type="cellIs" dxfId="110" priority="487" stopIfTrue="1" operator="between">
      <formula>31%</formula>
      <formula>40.99%</formula>
    </cfRule>
  </conditionalFormatting>
  <conditionalFormatting sqref="J6:J29">
    <cfRule type="cellIs" dxfId="109" priority="482" stopIfTrue="1" operator="between">
      <formula>76%</formula>
      <formula>100%</formula>
    </cfRule>
    <cfRule type="cellIs" dxfId="108" priority="483" stopIfTrue="1" operator="between">
      <formula>61%</formula>
      <formula>75.99%</formula>
    </cfRule>
    <cfRule type="cellIs" dxfId="107" priority="484" stopIfTrue="1" operator="between">
      <formula>51%</formula>
      <formula>60.99%</formula>
    </cfRule>
    <cfRule type="cellIs" dxfId="106" priority="485" stopIfTrue="1" operator="between">
      <formula>41%</formula>
      <formula>50.99%</formula>
    </cfRule>
    <cfRule type="cellIs" dxfId="105" priority="486" stopIfTrue="1" operator="between">
      <formula>0%</formula>
      <formula>30.99%</formula>
    </cfRule>
  </conditionalFormatting>
  <conditionalFormatting sqref="J6:J29">
    <cfRule type="cellIs" dxfId="104" priority="481" stopIfTrue="1" operator="between">
      <formula>31%</formula>
      <formula>40.99%</formula>
    </cfRule>
  </conditionalFormatting>
  <conditionalFormatting sqref="M6:M29">
    <cfRule type="cellIs" dxfId="103" priority="476" stopIfTrue="1" operator="between">
      <formula>76%</formula>
      <formula>100%</formula>
    </cfRule>
    <cfRule type="cellIs" dxfId="102" priority="477" stopIfTrue="1" operator="between">
      <formula>61%</formula>
      <formula>75.99%</formula>
    </cfRule>
    <cfRule type="cellIs" dxfId="101" priority="478" stopIfTrue="1" operator="between">
      <formula>51%</formula>
      <formula>60.99%</formula>
    </cfRule>
    <cfRule type="cellIs" dxfId="100" priority="479" stopIfTrue="1" operator="between">
      <formula>41%</formula>
      <formula>50.99%</formula>
    </cfRule>
    <cfRule type="cellIs" dxfId="99" priority="480" stopIfTrue="1" operator="between">
      <formula>0%</formula>
      <formula>30.99%</formula>
    </cfRule>
  </conditionalFormatting>
  <conditionalFormatting sqref="M6:M29">
    <cfRule type="cellIs" dxfId="98" priority="475" stopIfTrue="1" operator="between">
      <formula>31%</formula>
      <formula>40.99%</formula>
    </cfRule>
  </conditionalFormatting>
  <conditionalFormatting sqref="D29">
    <cfRule type="cellIs" dxfId="97" priority="470" stopIfTrue="1" operator="between">
      <formula>76%</formula>
      <formula>100%</formula>
    </cfRule>
    <cfRule type="cellIs" dxfId="96" priority="471" stopIfTrue="1" operator="between">
      <formula>61%</formula>
      <formula>75.99%</formula>
    </cfRule>
    <cfRule type="cellIs" dxfId="95" priority="472" stopIfTrue="1" operator="between">
      <formula>51%</formula>
      <formula>60.99%</formula>
    </cfRule>
    <cfRule type="cellIs" dxfId="94" priority="473" stopIfTrue="1" operator="between">
      <formula>41%</formula>
      <formula>50.99%</formula>
    </cfRule>
    <cfRule type="cellIs" dxfId="93" priority="474" stopIfTrue="1" operator="between">
      <formula>0%</formula>
      <formula>30.99%</formula>
    </cfRule>
  </conditionalFormatting>
  <conditionalFormatting sqref="D29">
    <cfRule type="cellIs" dxfId="92" priority="469" stopIfTrue="1" operator="between">
      <formula>31%</formula>
      <formula>40.99%</formula>
    </cfRule>
  </conditionalFormatting>
  <conditionalFormatting sqref="N6:N29">
    <cfRule type="cellIs" dxfId="91" priority="194" stopIfTrue="1" operator="between">
      <formula>76%</formula>
      <formula>100%</formula>
    </cfRule>
    <cfRule type="cellIs" dxfId="90" priority="195" stopIfTrue="1" operator="between">
      <formula>61%</formula>
      <formula>75.99%</formula>
    </cfRule>
    <cfRule type="cellIs" dxfId="89" priority="196" stopIfTrue="1" operator="between">
      <formula>51%</formula>
      <formula>60.99%</formula>
    </cfRule>
    <cfRule type="cellIs" dxfId="88" priority="197" stopIfTrue="1" operator="between">
      <formula>41%</formula>
      <formula>50.99%</formula>
    </cfRule>
    <cfRule type="cellIs" dxfId="87" priority="198" stopIfTrue="1" operator="between">
      <formula>0%</formula>
      <formula>30.99%</formula>
    </cfRule>
  </conditionalFormatting>
  <conditionalFormatting sqref="N6:N29">
    <cfRule type="cellIs" dxfId="86" priority="193" stopIfTrue="1" operator="between">
      <formula>31%</formula>
      <formula>40.99%</formula>
    </cfRule>
  </conditionalFormatting>
  <conditionalFormatting sqref="O6:O29">
    <cfRule type="cellIs" dxfId="85" priority="188" stopIfTrue="1" operator="between">
      <formula>76%</formula>
      <formula>100%</formula>
    </cfRule>
    <cfRule type="cellIs" dxfId="84" priority="189" stopIfTrue="1" operator="between">
      <formula>61%</formula>
      <formula>75.99%</formula>
    </cfRule>
    <cfRule type="cellIs" dxfId="83" priority="190" stopIfTrue="1" operator="between">
      <formula>51%</formula>
      <formula>60.99%</formula>
    </cfRule>
    <cfRule type="cellIs" dxfId="82" priority="191" stopIfTrue="1" operator="between">
      <formula>41%</formula>
      <formula>50.99%</formula>
    </cfRule>
    <cfRule type="cellIs" dxfId="81" priority="192" stopIfTrue="1" operator="between">
      <formula>0%</formula>
      <formula>30.99%</formula>
    </cfRule>
  </conditionalFormatting>
  <conditionalFormatting sqref="O6:O29">
    <cfRule type="cellIs" dxfId="80" priority="187" stopIfTrue="1" operator="between">
      <formula>31%</formula>
      <formula>40.99%</formula>
    </cfRule>
  </conditionalFormatting>
  <conditionalFormatting sqref="AQ7">
    <cfRule type="cellIs" dxfId="79" priority="32" stopIfTrue="1" operator="between">
      <formula>76%</formula>
      <formula>100%</formula>
    </cfRule>
    <cfRule type="cellIs" dxfId="78" priority="33" stopIfTrue="1" operator="between">
      <formula>61%</formula>
      <formula>75.99%</formula>
    </cfRule>
    <cfRule type="cellIs" dxfId="77" priority="34" stopIfTrue="1" operator="between">
      <formula>51%</formula>
      <formula>60.99%</formula>
    </cfRule>
    <cfRule type="cellIs" dxfId="76" priority="35" stopIfTrue="1" operator="between">
      <formula>41%</formula>
      <formula>50.99%</formula>
    </cfRule>
    <cfRule type="cellIs" dxfId="75" priority="36" stopIfTrue="1" operator="between">
      <formula>0%</formula>
      <formula>30.99%</formula>
    </cfRule>
  </conditionalFormatting>
  <conditionalFormatting sqref="AQ7">
    <cfRule type="cellIs" dxfId="74" priority="31" stopIfTrue="1" operator="between">
      <formula>31%</formula>
      <formula>40.99%</formula>
    </cfRule>
  </conditionalFormatting>
  <conditionalFormatting sqref="AT7">
    <cfRule type="cellIs" dxfId="73" priority="26" stopIfTrue="1" operator="between">
      <formula>76%</formula>
      <formula>100%</formula>
    </cfRule>
    <cfRule type="cellIs" dxfId="72" priority="27" stopIfTrue="1" operator="between">
      <formula>61%</formula>
      <formula>75.99%</formula>
    </cfRule>
    <cfRule type="cellIs" dxfId="71" priority="28" stopIfTrue="1" operator="between">
      <formula>51%</formula>
      <formula>60.99%</formula>
    </cfRule>
    <cfRule type="cellIs" dxfId="70" priority="29" stopIfTrue="1" operator="between">
      <formula>41%</formula>
      <formula>50.99%</formula>
    </cfRule>
    <cfRule type="cellIs" dxfId="69" priority="30" stopIfTrue="1" operator="between">
      <formula>0%</formula>
      <formula>30.99%</formula>
    </cfRule>
  </conditionalFormatting>
  <conditionalFormatting sqref="AT7">
    <cfRule type="cellIs" dxfId="68" priority="25" stopIfTrue="1" operator="between">
      <formula>31%</formula>
      <formula>40.99%</formula>
    </cfRule>
  </conditionalFormatting>
  <conditionalFormatting sqref="AW7">
    <cfRule type="cellIs" dxfId="67" priority="20" stopIfTrue="1" operator="between">
      <formula>76%</formula>
      <formula>100%</formula>
    </cfRule>
    <cfRule type="cellIs" dxfId="66" priority="21" stopIfTrue="1" operator="between">
      <formula>61%</formula>
      <formula>75.99%</formula>
    </cfRule>
    <cfRule type="cellIs" dxfId="65" priority="22" stopIfTrue="1" operator="between">
      <formula>51%</formula>
      <formula>60.99%</formula>
    </cfRule>
    <cfRule type="cellIs" dxfId="64" priority="23" stopIfTrue="1" operator="between">
      <formula>41%</formula>
      <formula>50.99%</formula>
    </cfRule>
    <cfRule type="cellIs" dxfId="63" priority="24" stopIfTrue="1" operator="between">
      <formula>0%</formula>
      <formula>30.99%</formula>
    </cfRule>
  </conditionalFormatting>
  <conditionalFormatting sqref="AW7">
    <cfRule type="cellIs" dxfId="62" priority="19" stopIfTrue="1" operator="between">
      <formula>31%</formula>
      <formula>40.99%</formula>
    </cfRule>
  </conditionalFormatting>
  <conditionalFormatting sqref="AN7">
    <cfRule type="cellIs" dxfId="61" priority="14" stopIfTrue="1" operator="between">
      <formula>76%</formula>
      <formula>100%</formula>
    </cfRule>
    <cfRule type="cellIs" dxfId="60" priority="15" stopIfTrue="1" operator="between">
      <formula>61%</formula>
      <formula>75.99%</formula>
    </cfRule>
    <cfRule type="cellIs" dxfId="59" priority="16" stopIfTrue="1" operator="between">
      <formula>51%</formula>
      <formula>60.99%</formula>
    </cfRule>
    <cfRule type="cellIs" dxfId="58" priority="17" stopIfTrue="1" operator="between">
      <formula>41%</formula>
      <formula>50.99%</formula>
    </cfRule>
    <cfRule type="cellIs" dxfId="57" priority="18" stopIfTrue="1" operator="between">
      <formula>0%</formula>
      <formula>30.99%</formula>
    </cfRule>
  </conditionalFormatting>
  <conditionalFormatting sqref="AN7">
    <cfRule type="cellIs" dxfId="56" priority="13" stopIfTrue="1" operator="between">
      <formula>31%</formula>
      <formula>40.99%</formula>
    </cfRule>
  </conditionalFormatting>
  <conditionalFormatting sqref="AX7">
    <cfRule type="cellIs" dxfId="55" priority="8" stopIfTrue="1" operator="between">
      <formula>76%</formula>
      <formula>100%</formula>
    </cfRule>
    <cfRule type="cellIs" dxfId="54" priority="9" stopIfTrue="1" operator="between">
      <formula>61%</formula>
      <formula>75.99%</formula>
    </cfRule>
    <cfRule type="cellIs" dxfId="53" priority="10" stopIfTrue="1" operator="between">
      <formula>51%</formula>
      <formula>60.99%</formula>
    </cfRule>
    <cfRule type="cellIs" dxfId="52" priority="11" stopIfTrue="1" operator="between">
      <formula>41%</formula>
      <formula>50.99%</formula>
    </cfRule>
    <cfRule type="cellIs" dxfId="51" priority="12" stopIfTrue="1" operator="between">
      <formula>0%</formula>
      <formula>30.99%</formula>
    </cfRule>
  </conditionalFormatting>
  <conditionalFormatting sqref="AX7">
    <cfRule type="cellIs" dxfId="50" priority="7" stopIfTrue="1" operator="between">
      <formula>31%</formula>
      <formula>40.99%</formula>
    </cfRule>
  </conditionalFormatting>
  <conditionalFormatting sqref="AY7">
    <cfRule type="cellIs" dxfId="49" priority="2" stopIfTrue="1" operator="between">
      <formula>76%</formula>
      <formula>100%</formula>
    </cfRule>
    <cfRule type="cellIs" dxfId="48" priority="3" stopIfTrue="1" operator="between">
      <formula>61%</formula>
      <formula>75.99%</formula>
    </cfRule>
    <cfRule type="cellIs" dxfId="47" priority="4" stopIfTrue="1" operator="between">
      <formula>51%</formula>
      <formula>60.99%</formula>
    </cfRule>
    <cfRule type="cellIs" dxfId="46" priority="5" stopIfTrue="1" operator="between">
      <formula>41%</formula>
      <formula>50.99%</formula>
    </cfRule>
    <cfRule type="cellIs" dxfId="45" priority="6" stopIfTrue="1" operator="between">
      <formula>0%</formula>
      <formula>30.99%</formula>
    </cfRule>
  </conditionalFormatting>
  <conditionalFormatting sqref="AY7">
    <cfRule type="cellIs" dxfId="44" priority="1" stopIfTrue="1" operator="between">
      <formula>31%</formula>
      <formula>40.99%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S33"/>
  <sheetViews>
    <sheetView tabSelected="1" topLeftCell="W1" zoomScaleNormal="100" workbookViewId="0">
      <selection activeCell="D2" sqref="D2"/>
    </sheetView>
  </sheetViews>
  <sheetFormatPr baseColWidth="10" defaultRowHeight="15.75" x14ac:dyDescent="0.25"/>
  <cols>
    <col min="1" max="1" width="9.375" bestFit="1" customWidth="1"/>
    <col min="2" max="3" width="8.125" bestFit="1" customWidth="1"/>
    <col min="4" max="4" width="9.75" bestFit="1" customWidth="1"/>
    <col min="5" max="6" width="8.125" bestFit="1" customWidth="1"/>
    <col min="7" max="7" width="9.5" bestFit="1" customWidth="1"/>
    <col min="8" max="9" width="10" bestFit="1" customWidth="1"/>
    <col min="10" max="10" width="11.375" bestFit="1" customWidth="1"/>
    <col min="11" max="12" width="9" bestFit="1" customWidth="1"/>
    <col min="13" max="13" width="8.75" bestFit="1" customWidth="1"/>
    <col min="14" max="14" width="9.375" bestFit="1" customWidth="1"/>
    <col min="15" max="15" width="10.875" bestFit="1" customWidth="1"/>
    <col min="16" max="16" width="5.5" bestFit="1" customWidth="1"/>
    <col min="17" max="17" width="5" bestFit="1" customWidth="1"/>
    <col min="18" max="19" width="4.625" bestFit="1" customWidth="1"/>
    <col min="20" max="20" width="6.375" bestFit="1" customWidth="1"/>
    <col min="21" max="21" width="4.75" bestFit="1" customWidth="1"/>
    <col min="22" max="22" width="4.625" bestFit="1" customWidth="1"/>
    <col min="23" max="23" width="4.5" bestFit="1" customWidth="1"/>
    <col min="24" max="24" width="6" bestFit="1" customWidth="1"/>
    <col min="25" max="25" width="5.125" bestFit="1" customWidth="1"/>
    <col min="26" max="26" width="6.5" style="1" bestFit="1" customWidth="1"/>
    <col min="27" max="27" width="8" style="1" bestFit="1" customWidth="1"/>
    <col min="28" max="28" width="8.375" style="1" bestFit="1" customWidth="1"/>
    <col min="29" max="29" width="8.5" style="1" bestFit="1" customWidth="1"/>
    <col min="30" max="30" width="8.25" style="1" bestFit="1" customWidth="1"/>
    <col min="31" max="31" width="9.25" style="1" bestFit="1" customWidth="1"/>
    <col min="32" max="32" width="8" style="2" bestFit="1" customWidth="1"/>
    <col min="33" max="33" width="7.875" style="2" bestFit="1" customWidth="1"/>
    <col min="34" max="34" width="12.375" style="2" bestFit="1" customWidth="1"/>
    <col min="36" max="36" width="20.25" bestFit="1" customWidth="1"/>
    <col min="37" max="37" width="11.875" customWidth="1"/>
  </cols>
  <sheetData>
    <row r="3" spans="1:71" ht="24.95" customHeight="1" thickBot="1" x14ac:dyDescent="0.3">
      <c r="G3" s="3"/>
      <c r="H3" s="3"/>
      <c r="I3" s="3"/>
      <c r="J3" s="3"/>
      <c r="K3" s="3"/>
      <c r="L3" s="3"/>
      <c r="M3" s="3"/>
      <c r="P3" s="3"/>
      <c r="AJ3" t="s">
        <v>0</v>
      </c>
    </row>
    <row r="4" spans="1:71" ht="16.5" thickBot="1" x14ac:dyDescent="0.3">
      <c r="AJ4" s="82" t="s">
        <v>27</v>
      </c>
      <c r="AK4" s="82" t="s">
        <v>28</v>
      </c>
      <c r="AL4" s="222" t="s">
        <v>2</v>
      </c>
      <c r="AM4" s="223"/>
      <c r="AN4" s="215"/>
      <c r="AO4" s="207" t="s">
        <v>3</v>
      </c>
      <c r="AP4" s="207"/>
      <c r="AQ4" s="207"/>
      <c r="AR4" s="207" t="s">
        <v>4</v>
      </c>
      <c r="AS4" s="207"/>
      <c r="AT4" s="207"/>
      <c r="AU4" s="207" t="s">
        <v>5</v>
      </c>
      <c r="AV4" s="207"/>
      <c r="AW4" s="207"/>
      <c r="AX4" s="85" t="s">
        <v>6</v>
      </c>
      <c r="AY4" s="87" t="s">
        <v>7</v>
      </c>
      <c r="AZ4" s="84" t="s">
        <v>8</v>
      </c>
      <c r="BA4" s="90" t="s">
        <v>9</v>
      </c>
      <c r="BB4" s="90" t="s">
        <v>10</v>
      </c>
      <c r="BC4" s="80" t="s">
        <v>11</v>
      </c>
      <c r="BD4" s="80" t="s">
        <v>12</v>
      </c>
      <c r="BE4" s="80" t="s">
        <v>13</v>
      </c>
      <c r="BF4" s="80" t="s">
        <v>14</v>
      </c>
      <c r="BG4" s="80" t="s">
        <v>15</v>
      </c>
      <c r="BH4" s="80" t="s">
        <v>16</v>
      </c>
      <c r="BI4" s="94" t="s">
        <v>17</v>
      </c>
      <c r="BJ4" s="96" t="s">
        <v>18</v>
      </c>
      <c r="BK4" s="96" t="s">
        <v>19</v>
      </c>
      <c r="BL4" s="96" t="s">
        <v>20</v>
      </c>
      <c r="BM4" s="96" t="s">
        <v>21</v>
      </c>
      <c r="BN4" s="96" t="s">
        <v>22</v>
      </c>
      <c r="BO4" s="98" t="s">
        <v>23</v>
      </c>
      <c r="BP4" s="92" t="s">
        <v>24</v>
      </c>
      <c r="BQ4" s="100" t="s">
        <v>25</v>
      </c>
      <c r="BR4" s="100" t="s">
        <v>26</v>
      </c>
    </row>
    <row r="5" spans="1:71" ht="16.5" thickBot="1" x14ac:dyDescent="0.3">
      <c r="A5" s="103" t="s">
        <v>1</v>
      </c>
      <c r="B5" s="225" t="s">
        <v>55</v>
      </c>
      <c r="C5" s="104" t="s">
        <v>39</v>
      </c>
      <c r="D5" s="105" t="s">
        <v>40</v>
      </c>
      <c r="E5" s="105" t="s">
        <v>41</v>
      </c>
      <c r="F5" s="105" t="s">
        <v>42</v>
      </c>
      <c r="G5" s="105" t="s">
        <v>43</v>
      </c>
      <c r="H5" s="105" t="s">
        <v>44</v>
      </c>
      <c r="I5" s="105" t="s">
        <v>45</v>
      </c>
      <c r="J5" s="105" t="s">
        <v>46</v>
      </c>
      <c r="K5" s="105" t="s">
        <v>52</v>
      </c>
      <c r="L5" s="105" t="s">
        <v>47</v>
      </c>
      <c r="M5" s="105" t="s">
        <v>48</v>
      </c>
      <c r="N5" s="105" t="s">
        <v>51</v>
      </c>
      <c r="O5" s="106" t="s">
        <v>49</v>
      </c>
      <c r="P5" s="106" t="s">
        <v>50</v>
      </c>
      <c r="Q5" s="107" t="s">
        <v>8</v>
      </c>
      <c r="R5" s="108" t="s">
        <v>9</v>
      </c>
      <c r="S5" s="108" t="s">
        <v>10</v>
      </c>
      <c r="T5" s="108" t="s">
        <v>11</v>
      </c>
      <c r="U5" s="108" t="s">
        <v>12</v>
      </c>
      <c r="V5" s="108" t="s">
        <v>13</v>
      </c>
      <c r="W5" s="108" t="s">
        <v>14</v>
      </c>
      <c r="X5" s="108" t="s">
        <v>15</v>
      </c>
      <c r="Y5" s="108" t="s">
        <v>16</v>
      </c>
      <c r="Z5" s="108" t="s">
        <v>17</v>
      </c>
      <c r="AA5" s="109" t="s">
        <v>18</v>
      </c>
      <c r="AB5" s="109" t="s">
        <v>19</v>
      </c>
      <c r="AC5" s="109" t="s">
        <v>20</v>
      </c>
      <c r="AD5" s="109" t="s">
        <v>21</v>
      </c>
      <c r="AE5" s="109" t="s">
        <v>54</v>
      </c>
      <c r="AF5" s="109" t="s">
        <v>53</v>
      </c>
      <c r="AG5" s="110" t="s">
        <v>24</v>
      </c>
      <c r="AH5" s="110" t="s">
        <v>25</v>
      </c>
      <c r="AI5" s="110" t="s">
        <v>26</v>
      </c>
      <c r="AK5" s="83"/>
      <c r="AL5" s="102"/>
      <c r="AM5" s="4" t="s">
        <v>29</v>
      </c>
      <c r="AN5" s="5" t="s">
        <v>30</v>
      </c>
      <c r="AO5" s="6" t="s">
        <v>31</v>
      </c>
      <c r="AP5" s="5" t="s">
        <v>29</v>
      </c>
      <c r="AQ5" s="5" t="s">
        <v>30</v>
      </c>
      <c r="AR5" s="5" t="s">
        <v>32</v>
      </c>
      <c r="AS5" s="5" t="s">
        <v>29</v>
      </c>
      <c r="AT5" s="5" t="s">
        <v>30</v>
      </c>
      <c r="AU5" s="5" t="s">
        <v>31</v>
      </c>
      <c r="AV5" s="5" t="s">
        <v>29</v>
      </c>
      <c r="AW5" s="5" t="s">
        <v>30</v>
      </c>
      <c r="AX5" s="5" t="s">
        <v>31</v>
      </c>
      <c r="AY5" s="86"/>
      <c r="AZ5" s="88"/>
      <c r="BA5" s="89"/>
      <c r="BB5" s="91"/>
      <c r="BC5" s="91"/>
      <c r="BD5" s="81"/>
      <c r="BE5" s="81"/>
      <c r="BF5" s="81"/>
      <c r="BG5" s="81"/>
      <c r="BH5" s="81"/>
      <c r="BI5" s="81"/>
      <c r="BJ5" s="95"/>
      <c r="BK5" s="97"/>
      <c r="BL5" s="97"/>
      <c r="BM5" s="97"/>
      <c r="BN5" s="97"/>
      <c r="BO5" s="97"/>
      <c r="BP5" s="99"/>
      <c r="BQ5" s="93"/>
      <c r="BR5" s="101"/>
      <c r="BS5" s="101"/>
    </row>
    <row r="6" spans="1:71" ht="16.5" thickBot="1" x14ac:dyDescent="0.3">
      <c r="A6" s="111" t="s">
        <v>37</v>
      </c>
      <c r="B6" s="227" t="s">
        <v>56</v>
      </c>
      <c r="C6" s="112">
        <v>27</v>
      </c>
      <c r="D6" s="113">
        <v>51</v>
      </c>
      <c r="E6" s="10">
        <f>Tableau2[[#This Row],[TR_2]]/Tableau2[[#This Row],[TT_2]]</f>
        <v>0.52941176470588236</v>
      </c>
      <c r="F6" s="114">
        <v>4</v>
      </c>
      <c r="G6" s="115">
        <v>19</v>
      </c>
      <c r="H6" s="116">
        <f>Tableau2[[#This Row],[TR_3]]/Tableau2[[#This Row],[TT_3]]</f>
        <v>0.21052631578947367</v>
      </c>
      <c r="I6" s="115">
        <f>Tableau2[[#This Row],[TR_2]]+Tableau2[[#This Row],[TR_3]]</f>
        <v>31</v>
      </c>
      <c r="J6" s="115">
        <f>Tableau2[[#This Row],[TT_2]]+Tableau2[[#This Row],[TT_3]]</f>
        <v>70</v>
      </c>
      <c r="K6" s="116">
        <f>Tableau2[[#This Row],[total TR]]/Tableau2[[#This Row],[total TT]]</f>
        <v>0.44285714285714284</v>
      </c>
      <c r="L6" s="115">
        <v>14</v>
      </c>
      <c r="M6" s="115">
        <v>19</v>
      </c>
      <c r="N6" s="116">
        <f>Tableau2[[#This Row],[LF_TR]]/Tableau2[[#This Row],[LF_TT]]</f>
        <v>0.73684210526315785</v>
      </c>
      <c r="O6" s="117">
        <f>((Tableau2[[#This Row],[total TR]]+0.5*Tableau2[[#This Row],[TR_3]])/Tableau2[[#This Row],[total TT]])</f>
        <v>0.47142857142857142</v>
      </c>
      <c r="P6" s="118">
        <f>(Tableau2[[#This Row],[PTS]]/(2*(Tableau2[[#This Row],[total TT]]+(0.44*Tableau2[[#This Row],[LF_TT]]))))</f>
        <v>0.51046452271567122</v>
      </c>
      <c r="Q6" s="119">
        <f>(Tableau2[[#This Row],[TR_2]]*2)+(Tableau2[[#This Row],[TR_3]]*3)+(Tableau2[[#This Row],[LF_TR]])</f>
        <v>80</v>
      </c>
      <c r="R6" s="120">
        <v>7</v>
      </c>
      <c r="S6" s="120">
        <v>14</v>
      </c>
      <c r="T6" s="120">
        <v>23</v>
      </c>
      <c r="U6" s="120">
        <v>4</v>
      </c>
      <c r="V6" s="120">
        <v>15</v>
      </c>
      <c r="W6" s="120">
        <v>25</v>
      </c>
      <c r="X6" s="120">
        <v>22</v>
      </c>
      <c r="Y6" s="120">
        <v>21</v>
      </c>
      <c r="Z6" s="121">
        <f>(Tableau2[[#This Row],[PTS]]+Tableau2[[#This Row],[INT]]+Tableau2[[#This Row],[PD]]+Tableau2[[#This Row],[CTRE]]+Tableau2[[#This Row],[RO]]+Tableau2[[#This Row],[RD]])-((Tableau2[[#This Row],[total TT]]-Tableau2[[#This Row],[total TR]])+(Tableau2[[#This Row],[LF_TT]]-Tableau2[[#This Row],[LF_TR]])+Tableau2[[#This Row],[BP]])</f>
        <v>96</v>
      </c>
      <c r="AA6" s="122">
        <f>(Tableau2[[#This Row],[total TT]]+0.44*Tableau2[[#This Row],[LF_TT]])+(Tableau2[[#This Row],[BP]]-Tableau2[[#This Row],[RO]])</f>
        <v>77.36</v>
      </c>
      <c r="AB6" s="123">
        <f>100*(Tableau2[[#This Row],[PTS]]/Tableau2[[#This Row],[POSS]])</f>
        <v>103.41261633919339</v>
      </c>
      <c r="AC6" s="123"/>
      <c r="AD6" s="135">
        <f>Tableau2[[#This Row],[Off RTG]]-Tableau2[[#This Row],[DEF RTG]]</f>
        <v>103.41261633919339</v>
      </c>
      <c r="AE6" s="123">
        <f>(Tableau2[[#This Row],[RO]]/((Tableau2[[#This Row],[total TT]]-Tableau2[[#This Row],[total TR]])+(Tableau2[[#This Row],[LF_TT]]-Tableau2[[#This Row],[LF_TR]]))*100)</f>
        <v>34.090909090909086</v>
      </c>
      <c r="AF6" s="123">
        <f>(Tableau2[[#This Row],[BP]]/Tableau2[[#This Row],[POSS]])*100</f>
        <v>18.097207859358839</v>
      </c>
      <c r="AG6" s="124">
        <v>38</v>
      </c>
      <c r="AH6" s="125">
        <v>2</v>
      </c>
      <c r="AI6" s="165">
        <v>27</v>
      </c>
      <c r="AK6" s="20" t="s">
        <v>33</v>
      </c>
      <c r="AL6" s="21"/>
      <c r="AM6" s="8"/>
      <c r="AN6" s="9"/>
      <c r="AO6" s="10" t="e">
        <f t="shared" ref="AO6:AO7" si="0">AM6/AN6</f>
        <v>#DIV/0!</v>
      </c>
      <c r="AP6" s="11"/>
      <c r="AQ6" s="12"/>
      <c r="AR6" s="13" t="e">
        <f t="shared" ref="AR6:AR7" si="1">AP6/AQ6</f>
        <v>#DIV/0!</v>
      </c>
      <c r="AS6" s="12">
        <f>AM6+AP6</f>
        <v>0</v>
      </c>
      <c r="AT6" s="12">
        <f>AN6+AQ6</f>
        <v>0</v>
      </c>
      <c r="AU6" s="13" t="e">
        <f t="shared" ref="AU6:AU7" si="2">AS6/AT6</f>
        <v>#DIV/0!</v>
      </c>
      <c r="AV6" s="12"/>
      <c r="AW6" s="12"/>
      <c r="AX6" s="13" t="e">
        <f t="shared" ref="AX6:AX7" si="3">AV6/AW6</f>
        <v>#DIV/0!</v>
      </c>
      <c r="AY6" s="13" t="e">
        <f>((AS6+0.5*AP6)/AT6)</f>
        <v>#DIV/0!</v>
      </c>
      <c r="AZ6" s="14" t="e">
        <f>(BA6/(2*(AT6+(0.44*AW6))))</f>
        <v>#DIV/0!</v>
      </c>
      <c r="BA6" s="15">
        <f>(AM6*2)+(AP6*3)+(AV6)</f>
        <v>0</v>
      </c>
      <c r="BB6" s="15"/>
      <c r="BC6" s="15"/>
      <c r="BD6" s="15"/>
      <c r="BE6" s="15"/>
      <c r="BF6" s="15"/>
      <c r="BG6" s="15"/>
      <c r="BH6" s="15"/>
      <c r="BI6" s="15"/>
      <c r="BJ6" s="16">
        <f>(BA6+BB6+BD6+BE6+BF6+BG6)-((AT6-AS6)+(AW6-AV6)+BC6)</f>
        <v>0</v>
      </c>
      <c r="BK6" s="17">
        <f>(AT6+0.44*AW6)+(BC6-BF6)</f>
        <v>0</v>
      </c>
      <c r="BL6" s="17" t="e">
        <f>100*(BA6/BK6)</f>
        <v>#DIV/0!</v>
      </c>
      <c r="BM6" s="17"/>
      <c r="BN6" s="17" t="e">
        <f>BL6-BM6</f>
        <v>#DIV/0!</v>
      </c>
      <c r="BO6" s="17" t="e">
        <f>(BF6/((AT6-AS6)+(AW6-AV6))*100)</f>
        <v>#DIV/0!</v>
      </c>
      <c r="BP6" s="18" t="e">
        <f>(BC6/BK6)*100</f>
        <v>#DIV/0!</v>
      </c>
      <c r="BQ6" s="19"/>
      <c r="BR6" s="19"/>
      <c r="BS6" s="19"/>
    </row>
    <row r="7" spans="1:71" ht="16.5" thickBot="1" x14ac:dyDescent="0.3">
      <c r="A7" s="126" t="s">
        <v>38</v>
      </c>
      <c r="B7" s="227" t="s">
        <v>57</v>
      </c>
      <c r="C7" s="127">
        <v>24</v>
      </c>
      <c r="D7" s="128">
        <v>48</v>
      </c>
      <c r="E7" s="129">
        <f>Tableau2[[#This Row],[TR_2]]/Tableau2[[#This Row],[TT_2]]</f>
        <v>0.5</v>
      </c>
      <c r="F7" s="130">
        <v>5</v>
      </c>
      <c r="G7" s="130">
        <v>18</v>
      </c>
      <c r="H7" s="131">
        <f>Tableau2[[#This Row],[TR_3]]/Tableau2[[#This Row],[TT_3]]</f>
        <v>0.27777777777777779</v>
      </c>
      <c r="I7" s="115">
        <f>Tableau2[[#This Row],[TR_2]]+Tableau2[[#This Row],[TR_3]]</f>
        <v>29</v>
      </c>
      <c r="J7" s="115">
        <f>Tableau2[[#This Row],[TT_2]]+Tableau2[[#This Row],[TT_3]]</f>
        <v>66</v>
      </c>
      <c r="K7" s="131">
        <f>Tableau2[[#This Row],[total TR]]/Tableau2[[#This Row],[total TT]]</f>
        <v>0.43939393939393939</v>
      </c>
      <c r="L7" s="130">
        <v>15</v>
      </c>
      <c r="M7" s="130">
        <v>16</v>
      </c>
      <c r="N7" s="131">
        <f>Tableau2[[#This Row],[LF_TR]]/Tableau2[[#This Row],[LF_TT]]</f>
        <v>0.9375</v>
      </c>
      <c r="O7" s="132">
        <f>((Tableau2[[#This Row],[total TR]]+0.5*Tableau2[[#This Row],[TR_3]])/Tableau2[[#This Row],[total TT]])</f>
        <v>0.47727272727272729</v>
      </c>
      <c r="P7" s="132">
        <f>(Tableau2[[#This Row],[PTS]]/(2*(Tableau2[[#This Row],[total TT]]+(0.44*Tableau2[[#This Row],[LF_TT]]))))</f>
        <v>0.53395399780941943</v>
      </c>
      <c r="Q7" s="119">
        <f>(Tableau2[[#This Row],[TR_2]]*2)+(Tableau2[[#This Row],[TR_3]]*3)+(Tableau2[[#This Row],[LF_TR]])</f>
        <v>78</v>
      </c>
      <c r="R7" s="133">
        <v>12</v>
      </c>
      <c r="S7" s="133">
        <v>18</v>
      </c>
      <c r="T7" s="133">
        <v>18</v>
      </c>
      <c r="U7" s="133">
        <v>4</v>
      </c>
      <c r="V7" s="133">
        <v>16</v>
      </c>
      <c r="W7" s="133">
        <v>28</v>
      </c>
      <c r="X7" s="133">
        <v>17</v>
      </c>
      <c r="Y7" s="133">
        <v>20</v>
      </c>
      <c r="Z7" s="134">
        <f>(Q7+R7+T7+U7+V7+W7)-((J7-I7)+(M7-L7)+S7)</f>
        <v>100</v>
      </c>
      <c r="AA7" s="122">
        <f>(Tableau2[[#This Row],[total TT]]+0.44*Tableau2[[#This Row],[LF_TT]])+(Tableau2[[#This Row],[BP]]-Tableau2[[#This Row],[RO]])</f>
        <v>75.040000000000006</v>
      </c>
      <c r="AB7" s="123">
        <f>100*(Tableau2[[#This Row],[PTS]]/Tableau2[[#This Row],[POSS]])</f>
        <v>103.94456289978677</v>
      </c>
      <c r="AC7" s="135">
        <v>84.2</v>
      </c>
      <c r="AD7" s="135">
        <f>Tableau2[[#This Row],[Off RTG]]-Tableau2[[#This Row],[DEF RTG]]</f>
        <v>19.744562899786771</v>
      </c>
      <c r="AE7" s="123">
        <f>(Tableau2[[#This Row],[RO]]/((Tableau2[[#This Row],[total TT]]-Tableau2[[#This Row],[total TR]])+(Tableau2[[#This Row],[LF_TT]]-Tableau2[[#This Row],[LF_TR]]))*100)</f>
        <v>42.105263157894733</v>
      </c>
      <c r="AF7" s="123">
        <f>(Tableau2[[#This Row],[BP]]/Tableau2[[#This Row],[POSS]])*100</f>
        <v>23.987206823027716</v>
      </c>
      <c r="AG7" s="136">
        <v>40</v>
      </c>
      <c r="AH7" s="137">
        <v>8</v>
      </c>
      <c r="AI7" s="165">
        <v>29</v>
      </c>
      <c r="AK7" s="205" t="s">
        <v>34</v>
      </c>
      <c r="AL7" s="206"/>
      <c r="AM7" s="33" t="e">
        <f>AVERAGE(#REF!)</f>
        <v>#REF!</v>
      </c>
      <c r="AN7" s="34" t="e">
        <f>AVERAGE(#REF!)</f>
        <v>#REF!</v>
      </c>
      <c r="AO7" s="35" t="e">
        <f t="shared" si="0"/>
        <v>#REF!</v>
      </c>
      <c r="AP7" s="34" t="e">
        <f>AVERAGE(#REF!)</f>
        <v>#REF!</v>
      </c>
      <c r="AQ7" s="34" t="e">
        <f>AVERAGE(#REF!)</f>
        <v>#REF!</v>
      </c>
      <c r="AR7" s="35" t="e">
        <f t="shared" si="1"/>
        <v>#REF!</v>
      </c>
      <c r="AS7" s="34" t="e">
        <f>AVERAGE(#REF!)</f>
        <v>#REF!</v>
      </c>
      <c r="AT7" s="34" t="e">
        <f>AVERAGE(#REF!)</f>
        <v>#REF!</v>
      </c>
      <c r="AU7" s="35" t="e">
        <f t="shared" si="2"/>
        <v>#REF!</v>
      </c>
      <c r="AV7" s="34" t="e">
        <f>AVERAGE(#REF!)</f>
        <v>#REF!</v>
      </c>
      <c r="AW7" s="34" t="e">
        <f>AVERAGE(#REF!)</f>
        <v>#REF!</v>
      </c>
      <c r="AX7" s="36" t="e">
        <f t="shared" si="3"/>
        <v>#REF!</v>
      </c>
      <c r="AY7" s="37" t="e">
        <f t="shared" ref="AY7:AY8" si="4">((AS7+0.5*AP7)/AT7)</f>
        <v>#REF!</v>
      </c>
      <c r="AZ7" s="38" t="e">
        <f t="shared" ref="AZ7:AZ8" si="5">(BA7/(2*(AT7+(0.44*AW7))))</f>
        <v>#REF!</v>
      </c>
      <c r="BA7" s="34" t="e">
        <f t="shared" ref="BA7:BS7" si="6">AVERAGE(#REF!)</f>
        <v>#REF!</v>
      </c>
      <c r="BB7" s="39" t="e">
        <f t="shared" si="6"/>
        <v>#REF!</v>
      </c>
      <c r="BC7" s="39" t="e">
        <f t="shared" si="6"/>
        <v>#REF!</v>
      </c>
      <c r="BD7" s="39" t="e">
        <f t="shared" si="6"/>
        <v>#REF!</v>
      </c>
      <c r="BE7" s="39" t="e">
        <f t="shared" si="6"/>
        <v>#REF!</v>
      </c>
      <c r="BF7" s="39" t="e">
        <f t="shared" si="6"/>
        <v>#REF!</v>
      </c>
      <c r="BG7" s="39" t="e">
        <f t="shared" si="6"/>
        <v>#REF!</v>
      </c>
      <c r="BH7" s="39" t="e">
        <f t="shared" si="6"/>
        <v>#REF!</v>
      </c>
      <c r="BI7" s="39" t="e">
        <f t="shared" si="6"/>
        <v>#REF!</v>
      </c>
      <c r="BJ7" s="40" t="e">
        <f t="shared" si="6"/>
        <v>#REF!</v>
      </c>
      <c r="BK7" s="41" t="e">
        <f t="shared" si="6"/>
        <v>#REF!</v>
      </c>
      <c r="BL7" s="41" t="e">
        <f t="shared" si="6"/>
        <v>#REF!</v>
      </c>
      <c r="BM7" s="41" t="e">
        <f t="shared" si="6"/>
        <v>#REF!</v>
      </c>
      <c r="BN7" s="41" t="e">
        <f t="shared" si="6"/>
        <v>#REF!</v>
      </c>
      <c r="BO7" s="41" t="e">
        <f t="shared" si="6"/>
        <v>#REF!</v>
      </c>
      <c r="BP7" s="41" t="e">
        <f t="shared" si="6"/>
        <v>#REF!</v>
      </c>
      <c r="BQ7" s="41" t="e">
        <f t="shared" si="6"/>
        <v>#REF!</v>
      </c>
      <c r="BR7" s="41" t="e">
        <f t="shared" si="6"/>
        <v>#REF!</v>
      </c>
      <c r="BS7" s="41" t="e">
        <f t="shared" si="6"/>
        <v>#REF!</v>
      </c>
    </row>
    <row r="8" spans="1:71" ht="16.5" thickBot="1" x14ac:dyDescent="0.3">
      <c r="A8" s="138"/>
      <c r="B8" s="227"/>
      <c r="C8" s="139"/>
      <c r="D8" s="140"/>
      <c r="E8" s="141" t="e">
        <f>Tableau2[[#This Row],[TR_2]]/Tableau2[[#This Row],[TT_2]]</f>
        <v>#DIV/0!</v>
      </c>
      <c r="F8" s="142"/>
      <c r="G8" s="142"/>
      <c r="H8" s="141" t="e">
        <f>Tableau2[[#This Row],[TR_3]]/Tableau2[[#This Row],[TT_3]]</f>
        <v>#DIV/0!</v>
      </c>
      <c r="I8" s="115">
        <f>Tableau2[[#This Row],[TR_2]]+Tableau2[[#This Row],[TR_3]]</f>
        <v>0</v>
      </c>
      <c r="J8" s="115">
        <f>Tableau2[[#This Row],[TT_2]]+Tableau2[[#This Row],[TT_3]]</f>
        <v>0</v>
      </c>
      <c r="K8" s="141" t="e">
        <f>Tableau2[[#This Row],[total TR]]/Tableau2[[#This Row],[total TT]]</f>
        <v>#DIV/0!</v>
      </c>
      <c r="L8" s="142"/>
      <c r="M8" s="142"/>
      <c r="N8" s="141" t="e">
        <f>Tableau2[[#This Row],[LF_TR]]/Tableau2[[#This Row],[LF_TT]]</f>
        <v>#DIV/0!</v>
      </c>
      <c r="O8" s="143" t="e">
        <f>((Tableau2[[#This Row],[total TR]]+0.5*Tableau2[[#This Row],[TR_3]])/Tableau2[[#This Row],[total TT]])</f>
        <v>#DIV/0!</v>
      </c>
      <c r="P8" s="143" t="e">
        <f>(Tableau2[[#This Row],[PTS]]/(2*(Tableau2[[#This Row],[total TT]]+(0.44*Tableau2[[#This Row],[LF_TT]]))))</f>
        <v>#DIV/0!</v>
      </c>
      <c r="Q8" s="119">
        <f>(Tableau2[[#This Row],[TR_2]]*2)+(Tableau2[[#This Row],[TR_3]]*3)+(Tableau2[[#This Row],[LF_TR]])</f>
        <v>0</v>
      </c>
      <c r="R8" s="144"/>
      <c r="S8" s="144"/>
      <c r="T8" s="144"/>
      <c r="U8" s="144"/>
      <c r="V8" s="144"/>
      <c r="W8" s="144"/>
      <c r="X8" s="144"/>
      <c r="Y8" s="144"/>
      <c r="Z8" s="134">
        <f t="shared" ref="Z8:Z30" si="7">(Q8+R8+T8+U8+V8+W8)-((J8-I8)+(M8-L8)+S8)</f>
        <v>0</v>
      </c>
      <c r="AA8" s="122">
        <f>(Tableau2[[#This Row],[total TT]]+0.44*Tableau2[[#This Row],[LF_TT]])+(Tableau2[[#This Row],[BP]]-Tableau2[[#This Row],[RO]])</f>
        <v>0</v>
      </c>
      <c r="AB8" s="123" t="e">
        <f>100*(Tableau2[[#This Row],[PTS]]/Tableau2[[#This Row],[POSS]])</f>
        <v>#DIV/0!</v>
      </c>
      <c r="AC8" s="145"/>
      <c r="AD8" s="135" t="e">
        <f>Tableau2[[#This Row],[Off RTG]]-Tableau2[[#This Row],[DEF RTG]]</f>
        <v>#DIV/0!</v>
      </c>
      <c r="AE8" s="123" t="e">
        <f>(Tableau2[[#This Row],[RO]]/((Tableau2[[#This Row],[total TT]]-Tableau2[[#This Row],[total TR]])+(Tableau2[[#This Row],[LF_TT]]-Tableau2[[#This Row],[LF_TR]]))*100)</f>
        <v>#DIV/0!</v>
      </c>
      <c r="AF8" s="123" t="e">
        <f>(Tableau2[[#This Row],[BP]]/Tableau2[[#This Row],[POSS]])*100</f>
        <v>#DIV/0!</v>
      </c>
      <c r="AG8" s="146"/>
      <c r="AH8" s="147"/>
      <c r="AI8" s="166"/>
      <c r="AK8" s="47" t="s">
        <v>35</v>
      </c>
      <c r="AL8" s="48"/>
      <c r="AM8" s="23"/>
      <c r="AN8" s="24"/>
      <c r="AO8" s="25" t="e">
        <f>AM8/AN8</f>
        <v>#DIV/0!</v>
      </c>
      <c r="AP8" s="26"/>
      <c r="AQ8" s="26"/>
      <c r="AR8" s="27" t="e">
        <f>AP8/AQ8</f>
        <v>#DIV/0!</v>
      </c>
      <c r="AS8" s="12">
        <f>AM8+AP8</f>
        <v>0</v>
      </c>
      <c r="AT8" s="12">
        <f>AN8+AQ8</f>
        <v>0</v>
      </c>
      <c r="AU8" s="27" t="e">
        <f>AS8/AT8</f>
        <v>#DIV/0!</v>
      </c>
      <c r="AV8" s="26"/>
      <c r="AW8" s="26"/>
      <c r="AX8" s="27" t="e">
        <f>AV8/AW8</f>
        <v>#DIV/0!</v>
      </c>
      <c r="AY8" s="28" t="e">
        <f t="shared" si="4"/>
        <v>#DIV/0!</v>
      </c>
      <c r="AZ8" s="29" t="e">
        <f t="shared" si="5"/>
        <v>#DIV/0!</v>
      </c>
      <c r="BA8" s="15">
        <f>(AM8*2)+(AP8*3)+(AV8)</f>
        <v>0</v>
      </c>
      <c r="BB8" s="30"/>
      <c r="BC8" s="30"/>
      <c r="BD8" s="30"/>
      <c r="BE8" s="30"/>
      <c r="BF8" s="30"/>
      <c r="BG8" s="30"/>
      <c r="BH8" s="30"/>
      <c r="BI8" s="31"/>
      <c r="BJ8" s="32">
        <f>(BA8+BB8+BD8+BE8+BF8+BG8)-((AT8-AS8)+(AW8-AV8)+BC8)</f>
        <v>0</v>
      </c>
      <c r="BK8" s="17">
        <f>(AT8+0.44*AW8)+(BC8-BF8)</f>
        <v>0</v>
      </c>
      <c r="BL8" s="17" t="e">
        <f>100*(BA8/BK8)</f>
        <v>#DIV/0!</v>
      </c>
      <c r="BM8" s="17"/>
      <c r="BN8" s="17" t="e">
        <f>BL8-BM8</f>
        <v>#DIV/0!</v>
      </c>
      <c r="BO8" s="17" t="e">
        <f>(BF8/((AT8-AS8)+(AW8-AV8))*100)</f>
        <v>#DIV/0!</v>
      </c>
      <c r="BP8" s="18" t="e">
        <f>(BC8/BK8)*100</f>
        <v>#DIV/0!</v>
      </c>
      <c r="BQ8" s="19"/>
      <c r="BR8" s="19"/>
      <c r="BS8" s="19"/>
    </row>
    <row r="9" spans="1:71" ht="16.5" thickBot="1" x14ac:dyDescent="0.3">
      <c r="A9" s="148"/>
      <c r="B9" s="227"/>
      <c r="C9" s="149"/>
      <c r="D9" s="150"/>
      <c r="E9" s="151" t="e">
        <f>Tableau2[[#This Row],[TR_2]]/Tableau2[[#This Row],[TT_2]]</f>
        <v>#DIV/0!</v>
      </c>
      <c r="F9" s="152"/>
      <c r="G9" s="152"/>
      <c r="H9" s="151" t="e">
        <f>Tableau2[[#This Row],[TR_3]]/Tableau2[[#This Row],[TT_3]]</f>
        <v>#DIV/0!</v>
      </c>
      <c r="I9" s="115">
        <f>Tableau2[[#This Row],[TR_2]]+Tableau2[[#This Row],[TR_3]]</f>
        <v>0</v>
      </c>
      <c r="J9" s="115">
        <f>Tableau2[[#This Row],[TT_2]]+Tableau2[[#This Row],[TT_3]]</f>
        <v>0</v>
      </c>
      <c r="K9" s="151" t="e">
        <f>Tableau2[[#This Row],[total TR]]/Tableau2[[#This Row],[total TT]]</f>
        <v>#DIV/0!</v>
      </c>
      <c r="L9" s="152"/>
      <c r="M9" s="152"/>
      <c r="N9" s="151" t="e">
        <f>Tableau2[[#This Row],[LF_TR]]/Tableau2[[#This Row],[LF_TT]]</f>
        <v>#DIV/0!</v>
      </c>
      <c r="O9" s="153" t="e">
        <f>((Tableau2[[#This Row],[total TR]]+0.5*Tableau2[[#This Row],[TR_3]])/Tableau2[[#This Row],[total TT]])</f>
        <v>#DIV/0!</v>
      </c>
      <c r="P9" s="153" t="e">
        <f>(Tableau2[[#This Row],[PTS]]/(2*(Tableau2[[#This Row],[total TT]]+(0.44*Tableau2[[#This Row],[LF_TT]]))))</f>
        <v>#DIV/0!</v>
      </c>
      <c r="Q9" s="119">
        <f>(Tableau2[[#This Row],[TR_2]]*2)+(Tableau2[[#This Row],[TR_3]]*3)+(Tableau2[[#This Row],[LF_TR]])</f>
        <v>0</v>
      </c>
      <c r="R9" s="154"/>
      <c r="S9" s="154"/>
      <c r="T9" s="154"/>
      <c r="U9" s="154"/>
      <c r="V9" s="154"/>
      <c r="W9" s="154"/>
      <c r="X9" s="154"/>
      <c r="Y9" s="154"/>
      <c r="Z9" s="134">
        <f t="shared" si="7"/>
        <v>0</v>
      </c>
      <c r="AA9" s="122">
        <f>(Tableau2[[#This Row],[total TT]]+0.44*Tableau2[[#This Row],[LF_TT]])+(Tableau2[[#This Row],[BP]]-Tableau2[[#This Row],[RO]])</f>
        <v>0</v>
      </c>
      <c r="AB9" s="123" t="e">
        <f>100*(Tableau2[[#This Row],[PTS]]/Tableau2[[#This Row],[POSS]])</f>
        <v>#DIV/0!</v>
      </c>
      <c r="AC9" s="145"/>
      <c r="AD9" s="135" t="e">
        <f>Tableau2[[#This Row],[Off RTG]]-Tableau2[[#This Row],[DEF RTG]]</f>
        <v>#DIV/0!</v>
      </c>
      <c r="AE9" s="123" t="e">
        <f>(Tableau2[[#This Row],[RO]]/((Tableau2[[#This Row],[total TT]]-Tableau2[[#This Row],[total TR]])+(Tableau2[[#This Row],[LF_TT]]-Tableau2[[#This Row],[LF_TR]]))*100)</f>
        <v>#DIV/0!</v>
      </c>
      <c r="AF9" s="123" t="e">
        <f>(Tableau2[[#This Row],[BP]]/Tableau2[[#This Row],[POSS]])*100</f>
        <v>#DIV/0!</v>
      </c>
      <c r="AG9" s="146"/>
      <c r="AH9" s="147"/>
      <c r="AI9" s="166"/>
    </row>
    <row r="10" spans="1:71" ht="16.5" thickBot="1" x14ac:dyDescent="0.3">
      <c r="A10" s="148"/>
      <c r="B10" s="227"/>
      <c r="C10" s="149"/>
      <c r="D10" s="150"/>
      <c r="E10" s="151" t="e">
        <f>Tableau2[[#This Row],[TR_2]]/Tableau2[[#This Row],[TT_2]]</f>
        <v>#DIV/0!</v>
      </c>
      <c r="F10" s="152"/>
      <c r="G10" s="152"/>
      <c r="H10" s="151" t="e">
        <f>Tableau2[[#This Row],[TR_3]]/Tableau2[[#This Row],[TT_3]]</f>
        <v>#DIV/0!</v>
      </c>
      <c r="I10" s="115">
        <f>Tableau2[[#This Row],[TR_2]]+Tableau2[[#This Row],[TR_3]]</f>
        <v>0</v>
      </c>
      <c r="J10" s="115">
        <f>Tableau2[[#This Row],[TT_2]]+Tableau2[[#This Row],[TT_3]]</f>
        <v>0</v>
      </c>
      <c r="K10" s="151" t="e">
        <f>Tableau2[[#This Row],[total TR]]/Tableau2[[#This Row],[total TT]]</f>
        <v>#DIV/0!</v>
      </c>
      <c r="L10" s="152"/>
      <c r="M10" s="152"/>
      <c r="N10" s="151" t="e">
        <f>Tableau2[[#This Row],[LF_TR]]/Tableau2[[#This Row],[LF_TT]]</f>
        <v>#DIV/0!</v>
      </c>
      <c r="O10" s="153" t="e">
        <f>((Tableau2[[#This Row],[total TR]]+0.5*Tableau2[[#This Row],[TR_3]])/Tableau2[[#This Row],[total TT]])</f>
        <v>#DIV/0!</v>
      </c>
      <c r="P10" s="153" t="e">
        <f>(Tableau2[[#This Row],[PTS]]/(2*(Tableau2[[#This Row],[total TT]]+(0.44*Tableau2[[#This Row],[LF_TT]]))))</f>
        <v>#DIV/0!</v>
      </c>
      <c r="Q10" s="119">
        <f>(Tableau2[[#This Row],[TR_2]]*2)+(Tableau2[[#This Row],[TR_3]]*3)+(Tableau2[[#This Row],[LF_TR]])</f>
        <v>0</v>
      </c>
      <c r="R10" s="154"/>
      <c r="S10" s="154"/>
      <c r="T10" s="154"/>
      <c r="U10" s="154"/>
      <c r="V10" s="154"/>
      <c r="W10" s="154"/>
      <c r="X10" s="154"/>
      <c r="Y10" s="154"/>
      <c r="Z10" s="134">
        <f t="shared" si="7"/>
        <v>0</v>
      </c>
      <c r="AA10" s="122">
        <f>(Tableau2[[#This Row],[total TT]]+0.44*Tableau2[[#This Row],[LF_TT]])+(Tableau2[[#This Row],[BP]]-Tableau2[[#This Row],[RO]])</f>
        <v>0</v>
      </c>
      <c r="AB10" s="123" t="e">
        <f>100*(Tableau2[[#This Row],[PTS]]/Tableau2[[#This Row],[POSS]])</f>
        <v>#DIV/0!</v>
      </c>
      <c r="AC10" s="145"/>
      <c r="AD10" s="135" t="e">
        <f>Tableau2[[#This Row],[Off RTG]]-Tableau2[[#This Row],[DEF RTG]]</f>
        <v>#DIV/0!</v>
      </c>
      <c r="AE10" s="123" t="e">
        <f>(Tableau2[[#This Row],[RO]]/((Tableau2[[#This Row],[total TT]]-Tableau2[[#This Row],[total TR]])+(Tableau2[[#This Row],[LF_TT]]-Tableau2[[#This Row],[LF_TR]]))*100)</f>
        <v>#DIV/0!</v>
      </c>
      <c r="AF10" s="123" t="e">
        <f>(Tableau2[[#This Row],[BP]]/Tableau2[[#This Row],[POSS]])*100</f>
        <v>#DIV/0!</v>
      </c>
      <c r="AG10" s="146"/>
      <c r="AH10" s="147"/>
      <c r="AI10" s="166"/>
    </row>
    <row r="11" spans="1:71" ht="16.5" thickBot="1" x14ac:dyDescent="0.3">
      <c r="A11" s="148"/>
      <c r="B11" s="227"/>
      <c r="C11" s="149"/>
      <c r="D11" s="150"/>
      <c r="E11" s="151" t="e">
        <f>Tableau2[[#This Row],[TR_2]]/Tableau2[[#This Row],[TT_2]]</f>
        <v>#DIV/0!</v>
      </c>
      <c r="F11" s="152"/>
      <c r="G11" s="152"/>
      <c r="H11" s="151" t="e">
        <f>Tableau2[[#This Row],[TR_3]]/Tableau2[[#This Row],[TT_3]]</f>
        <v>#DIV/0!</v>
      </c>
      <c r="I11" s="115">
        <f>Tableau2[[#This Row],[TR_2]]+Tableau2[[#This Row],[TR_3]]</f>
        <v>0</v>
      </c>
      <c r="J11" s="115">
        <f>Tableau2[[#This Row],[TT_2]]+Tableau2[[#This Row],[TT_3]]</f>
        <v>0</v>
      </c>
      <c r="K11" s="151" t="e">
        <f>Tableau2[[#This Row],[total TR]]/Tableau2[[#This Row],[total TT]]</f>
        <v>#DIV/0!</v>
      </c>
      <c r="L11" s="152"/>
      <c r="M11" s="152"/>
      <c r="N11" s="151" t="e">
        <f>Tableau2[[#This Row],[LF_TR]]/Tableau2[[#This Row],[LF_TT]]</f>
        <v>#DIV/0!</v>
      </c>
      <c r="O11" s="153" t="e">
        <f>((Tableau2[[#This Row],[total TR]]+0.5*Tableau2[[#This Row],[TR_3]])/Tableau2[[#This Row],[total TT]])</f>
        <v>#DIV/0!</v>
      </c>
      <c r="P11" s="153" t="e">
        <f>(Tableau2[[#This Row],[PTS]]/(2*(Tableau2[[#This Row],[total TT]]+(0.44*Tableau2[[#This Row],[LF_TT]]))))</f>
        <v>#DIV/0!</v>
      </c>
      <c r="Q11" s="119">
        <f>(Tableau2[[#This Row],[TR_2]]*2)+(Tableau2[[#This Row],[TR_3]]*3)+(Tableau2[[#This Row],[LF_TR]])</f>
        <v>0</v>
      </c>
      <c r="R11" s="154"/>
      <c r="S11" s="154"/>
      <c r="T11" s="154"/>
      <c r="U11" s="154"/>
      <c r="V11" s="154"/>
      <c r="W11" s="154"/>
      <c r="X11" s="154"/>
      <c r="Y11" s="154"/>
      <c r="Z11" s="134">
        <f t="shared" si="7"/>
        <v>0</v>
      </c>
      <c r="AA11" s="122">
        <f>(Tableau2[[#This Row],[total TT]]+0.44*Tableau2[[#This Row],[LF_TT]])+(Tableau2[[#This Row],[BP]]-Tableau2[[#This Row],[RO]])</f>
        <v>0</v>
      </c>
      <c r="AB11" s="123" t="e">
        <f>100*(Tableau2[[#This Row],[PTS]]/Tableau2[[#This Row],[POSS]])</f>
        <v>#DIV/0!</v>
      </c>
      <c r="AC11" s="145"/>
      <c r="AD11" s="135" t="e">
        <f>Tableau2[[#This Row],[Off RTG]]-Tableau2[[#This Row],[DEF RTG]]</f>
        <v>#DIV/0!</v>
      </c>
      <c r="AE11" s="123" t="e">
        <f>(Tableau2[[#This Row],[RO]]/((Tableau2[[#This Row],[total TT]]-Tableau2[[#This Row],[total TR]])+(Tableau2[[#This Row],[LF_TT]]-Tableau2[[#This Row],[LF_TR]]))*100)</f>
        <v>#DIV/0!</v>
      </c>
      <c r="AF11" s="123" t="e">
        <f>(Tableau2[[#This Row],[BP]]/Tableau2[[#This Row],[POSS]])*100</f>
        <v>#DIV/0!</v>
      </c>
      <c r="AG11" s="155"/>
      <c r="AH11" s="147"/>
      <c r="AI11" s="166"/>
    </row>
    <row r="12" spans="1:71" ht="16.5" thickBot="1" x14ac:dyDescent="0.3">
      <c r="A12" s="148"/>
      <c r="B12" s="227"/>
      <c r="C12" s="149"/>
      <c r="D12" s="150"/>
      <c r="E12" s="151" t="e">
        <f>Tableau2[[#This Row],[TR_2]]/Tableau2[[#This Row],[TT_2]]</f>
        <v>#DIV/0!</v>
      </c>
      <c r="F12" s="152"/>
      <c r="G12" s="152"/>
      <c r="H12" s="151" t="e">
        <f>Tableau2[[#This Row],[TR_3]]/Tableau2[[#This Row],[TT_3]]</f>
        <v>#DIV/0!</v>
      </c>
      <c r="I12" s="115">
        <f>Tableau2[[#This Row],[TR_2]]+Tableau2[[#This Row],[TR_3]]</f>
        <v>0</v>
      </c>
      <c r="J12" s="115">
        <f>Tableau2[[#This Row],[TT_2]]+Tableau2[[#This Row],[TT_3]]</f>
        <v>0</v>
      </c>
      <c r="K12" s="151" t="e">
        <f>Tableau2[[#This Row],[total TR]]/Tableau2[[#This Row],[total TT]]</f>
        <v>#DIV/0!</v>
      </c>
      <c r="L12" s="152"/>
      <c r="M12" s="152"/>
      <c r="N12" s="151" t="e">
        <f>Tableau2[[#This Row],[LF_TR]]/Tableau2[[#This Row],[LF_TT]]</f>
        <v>#DIV/0!</v>
      </c>
      <c r="O12" s="153" t="e">
        <f>((Tableau2[[#This Row],[total TR]]+0.5*Tableau2[[#This Row],[TR_3]])/Tableau2[[#This Row],[total TT]])</f>
        <v>#DIV/0!</v>
      </c>
      <c r="P12" s="153" t="e">
        <f>(Tableau2[[#This Row],[PTS]]/(2*(Tableau2[[#This Row],[total TT]]+(0.44*Tableau2[[#This Row],[LF_TT]]))))</f>
        <v>#DIV/0!</v>
      </c>
      <c r="Q12" s="119">
        <f>(Tableau2[[#This Row],[TR_2]]*2)+(Tableau2[[#This Row],[TR_3]]*3)+(Tableau2[[#This Row],[LF_TR]])</f>
        <v>0</v>
      </c>
      <c r="R12" s="154"/>
      <c r="S12" s="154"/>
      <c r="T12" s="154"/>
      <c r="U12" s="154"/>
      <c r="V12" s="154"/>
      <c r="W12" s="154"/>
      <c r="X12" s="154"/>
      <c r="Y12" s="154"/>
      <c r="Z12" s="134">
        <f t="shared" si="7"/>
        <v>0</v>
      </c>
      <c r="AA12" s="122">
        <f>(Tableau2[[#This Row],[total TT]]+0.44*Tableau2[[#This Row],[LF_TT]])+(Tableau2[[#This Row],[BP]]-Tableau2[[#This Row],[RO]])</f>
        <v>0</v>
      </c>
      <c r="AB12" s="123" t="e">
        <f>100*(Tableau2[[#This Row],[PTS]]/Tableau2[[#This Row],[POSS]])</f>
        <v>#DIV/0!</v>
      </c>
      <c r="AC12" s="145"/>
      <c r="AD12" s="135" t="e">
        <f>Tableau2[[#This Row],[Off RTG]]-Tableau2[[#This Row],[DEF RTG]]</f>
        <v>#DIV/0!</v>
      </c>
      <c r="AE12" s="123" t="e">
        <f>(Tableau2[[#This Row],[RO]]/((Tableau2[[#This Row],[total TT]]-Tableau2[[#This Row],[total TR]])+(Tableau2[[#This Row],[LF_TT]]-Tableau2[[#This Row],[LF_TR]]))*100)</f>
        <v>#DIV/0!</v>
      </c>
      <c r="AF12" s="123" t="e">
        <f>(Tableau2[[#This Row],[BP]]/Tableau2[[#This Row],[POSS]])*100</f>
        <v>#DIV/0!</v>
      </c>
      <c r="AG12" s="146"/>
      <c r="AH12" s="147"/>
      <c r="AI12" s="166"/>
    </row>
    <row r="13" spans="1:71" ht="16.5" thickBot="1" x14ac:dyDescent="0.3">
      <c r="A13" s="148"/>
      <c r="B13" s="227"/>
      <c r="C13" s="149"/>
      <c r="D13" s="150"/>
      <c r="E13" s="151" t="e">
        <f>Tableau2[[#This Row],[TR_2]]/Tableau2[[#This Row],[TT_2]]</f>
        <v>#DIV/0!</v>
      </c>
      <c r="F13" s="152"/>
      <c r="G13" s="152"/>
      <c r="H13" s="151" t="e">
        <f>Tableau2[[#This Row],[TR_3]]/Tableau2[[#This Row],[TT_3]]</f>
        <v>#DIV/0!</v>
      </c>
      <c r="I13" s="115">
        <f>Tableau2[[#This Row],[TR_2]]+Tableau2[[#This Row],[TR_3]]</f>
        <v>0</v>
      </c>
      <c r="J13" s="115">
        <f>Tableau2[[#This Row],[TT_2]]+Tableau2[[#This Row],[TT_3]]</f>
        <v>0</v>
      </c>
      <c r="K13" s="151" t="e">
        <f>Tableau2[[#This Row],[total TR]]/Tableau2[[#This Row],[total TT]]</f>
        <v>#DIV/0!</v>
      </c>
      <c r="L13" s="152"/>
      <c r="M13" s="152"/>
      <c r="N13" s="151" t="e">
        <f>Tableau2[[#This Row],[LF_TR]]/Tableau2[[#This Row],[LF_TT]]</f>
        <v>#DIV/0!</v>
      </c>
      <c r="O13" s="153" t="e">
        <f>((Tableau2[[#This Row],[total TR]]+0.5*Tableau2[[#This Row],[TR_3]])/Tableau2[[#This Row],[total TT]])</f>
        <v>#DIV/0!</v>
      </c>
      <c r="P13" s="153" t="e">
        <f>(Tableau2[[#This Row],[PTS]]/(2*(Tableau2[[#This Row],[total TT]]+(0.44*Tableau2[[#This Row],[LF_TT]]))))</f>
        <v>#DIV/0!</v>
      </c>
      <c r="Q13" s="119">
        <f>(Tableau2[[#This Row],[TR_2]]*2)+(Tableau2[[#This Row],[TR_3]]*3)+(Tableau2[[#This Row],[LF_TR]])</f>
        <v>0</v>
      </c>
      <c r="R13" s="154"/>
      <c r="S13" s="154"/>
      <c r="T13" s="154"/>
      <c r="U13" s="154"/>
      <c r="V13" s="154"/>
      <c r="W13" s="154"/>
      <c r="X13" s="154"/>
      <c r="Y13" s="154"/>
      <c r="Z13" s="134">
        <f t="shared" si="7"/>
        <v>0</v>
      </c>
      <c r="AA13" s="122">
        <f>(Tableau2[[#This Row],[total TT]]+0.44*Tableau2[[#This Row],[LF_TT]])+(Tableau2[[#This Row],[BP]]-Tableau2[[#This Row],[RO]])</f>
        <v>0</v>
      </c>
      <c r="AB13" s="123" t="e">
        <f>100*(Tableau2[[#This Row],[PTS]]/Tableau2[[#This Row],[POSS]])</f>
        <v>#DIV/0!</v>
      </c>
      <c r="AC13" s="145"/>
      <c r="AD13" s="135" t="e">
        <f>Tableau2[[#This Row],[Off RTG]]-Tableau2[[#This Row],[DEF RTG]]</f>
        <v>#DIV/0!</v>
      </c>
      <c r="AE13" s="123" t="e">
        <f>(Tableau2[[#This Row],[RO]]/((Tableau2[[#This Row],[total TT]]-Tableau2[[#This Row],[total TR]])+(Tableau2[[#This Row],[LF_TT]]-Tableau2[[#This Row],[LF_TR]]))*100)</f>
        <v>#DIV/0!</v>
      </c>
      <c r="AF13" s="123" t="e">
        <f>(Tableau2[[#This Row],[BP]]/Tableau2[[#This Row],[POSS]])*100</f>
        <v>#DIV/0!</v>
      </c>
      <c r="AG13" s="146"/>
      <c r="AH13" s="147"/>
      <c r="AI13" s="166"/>
    </row>
    <row r="14" spans="1:71" ht="16.5" thickBot="1" x14ac:dyDescent="0.3">
      <c r="A14" s="148"/>
      <c r="B14" s="227"/>
      <c r="C14" s="149"/>
      <c r="D14" s="150"/>
      <c r="E14" s="151" t="e">
        <f>Tableau2[[#This Row],[TR_2]]/Tableau2[[#This Row],[TT_2]]</f>
        <v>#DIV/0!</v>
      </c>
      <c r="F14" s="152"/>
      <c r="G14" s="152"/>
      <c r="H14" s="151" t="e">
        <f>Tableau2[[#This Row],[TR_3]]/Tableau2[[#This Row],[TT_3]]</f>
        <v>#DIV/0!</v>
      </c>
      <c r="I14" s="115">
        <f>Tableau2[[#This Row],[TR_2]]+Tableau2[[#This Row],[TR_3]]</f>
        <v>0</v>
      </c>
      <c r="J14" s="115">
        <f>Tableau2[[#This Row],[TT_2]]+Tableau2[[#This Row],[TT_3]]</f>
        <v>0</v>
      </c>
      <c r="K14" s="151" t="e">
        <f>Tableau2[[#This Row],[total TR]]/Tableau2[[#This Row],[total TT]]</f>
        <v>#DIV/0!</v>
      </c>
      <c r="L14" s="152"/>
      <c r="M14" s="152"/>
      <c r="N14" s="151" t="e">
        <f>Tableau2[[#This Row],[LF_TR]]/Tableau2[[#This Row],[LF_TT]]</f>
        <v>#DIV/0!</v>
      </c>
      <c r="O14" s="153" t="e">
        <f>((Tableau2[[#This Row],[total TR]]+0.5*Tableau2[[#This Row],[TR_3]])/Tableau2[[#This Row],[total TT]])</f>
        <v>#DIV/0!</v>
      </c>
      <c r="P14" s="153" t="e">
        <f>(Tableau2[[#This Row],[PTS]]/(2*(Tableau2[[#This Row],[total TT]]+(0.44*Tableau2[[#This Row],[LF_TT]]))))</f>
        <v>#DIV/0!</v>
      </c>
      <c r="Q14" s="119">
        <f>(Tableau2[[#This Row],[TR_2]]*2)+(Tableau2[[#This Row],[TR_3]]*3)+(Tableau2[[#This Row],[LF_TR]])</f>
        <v>0</v>
      </c>
      <c r="R14" s="154"/>
      <c r="S14" s="154"/>
      <c r="T14" s="154"/>
      <c r="U14" s="154"/>
      <c r="V14" s="154"/>
      <c r="W14" s="154"/>
      <c r="X14" s="154"/>
      <c r="Y14" s="154"/>
      <c r="Z14" s="134">
        <f t="shared" si="7"/>
        <v>0</v>
      </c>
      <c r="AA14" s="122">
        <f>(Tableau2[[#This Row],[total TT]]+0.44*Tableau2[[#This Row],[LF_TT]])+(Tableau2[[#This Row],[BP]]-Tableau2[[#This Row],[RO]])</f>
        <v>0</v>
      </c>
      <c r="AB14" s="123" t="e">
        <f>100*(Tableau2[[#This Row],[PTS]]/Tableau2[[#This Row],[POSS]])</f>
        <v>#DIV/0!</v>
      </c>
      <c r="AC14" s="145"/>
      <c r="AD14" s="135" t="e">
        <f>Tableau2[[#This Row],[Off RTG]]-Tableau2[[#This Row],[DEF RTG]]</f>
        <v>#DIV/0!</v>
      </c>
      <c r="AE14" s="123" t="e">
        <f>(Tableau2[[#This Row],[RO]]/((Tableau2[[#This Row],[total TT]]-Tableau2[[#This Row],[total TR]])+(Tableau2[[#This Row],[LF_TT]]-Tableau2[[#This Row],[LF_TR]]))*100)</f>
        <v>#DIV/0!</v>
      </c>
      <c r="AF14" s="123" t="e">
        <f>(Tableau2[[#This Row],[BP]]/Tableau2[[#This Row],[POSS]])*100</f>
        <v>#DIV/0!</v>
      </c>
      <c r="AG14" s="146"/>
      <c r="AH14" s="147"/>
      <c r="AI14" s="166"/>
    </row>
    <row r="15" spans="1:71" ht="16.5" thickBot="1" x14ac:dyDescent="0.3">
      <c r="A15" s="148"/>
      <c r="B15" s="227"/>
      <c r="C15" s="149"/>
      <c r="D15" s="150"/>
      <c r="E15" s="151" t="e">
        <f>Tableau2[[#This Row],[TR_2]]/Tableau2[[#This Row],[TT_2]]</f>
        <v>#DIV/0!</v>
      </c>
      <c r="F15" s="152"/>
      <c r="G15" s="152"/>
      <c r="H15" s="151" t="e">
        <f>Tableau2[[#This Row],[TR_3]]/Tableau2[[#This Row],[TT_3]]</f>
        <v>#DIV/0!</v>
      </c>
      <c r="I15" s="115">
        <f>Tableau2[[#This Row],[TR_2]]+Tableau2[[#This Row],[TR_3]]</f>
        <v>0</v>
      </c>
      <c r="J15" s="115">
        <f>Tableau2[[#This Row],[TT_2]]+Tableau2[[#This Row],[TT_3]]</f>
        <v>0</v>
      </c>
      <c r="K15" s="151" t="e">
        <f>Tableau2[[#This Row],[total TR]]/Tableau2[[#This Row],[total TT]]</f>
        <v>#DIV/0!</v>
      </c>
      <c r="L15" s="152"/>
      <c r="M15" s="152"/>
      <c r="N15" s="151" t="e">
        <f>Tableau2[[#This Row],[LF_TR]]/Tableau2[[#This Row],[LF_TT]]</f>
        <v>#DIV/0!</v>
      </c>
      <c r="O15" s="153" t="e">
        <f>((Tableau2[[#This Row],[total TR]]+0.5*Tableau2[[#This Row],[TR_3]])/Tableau2[[#This Row],[total TT]])</f>
        <v>#DIV/0!</v>
      </c>
      <c r="P15" s="153" t="e">
        <f>(Tableau2[[#This Row],[PTS]]/(2*(Tableau2[[#This Row],[total TT]]+(0.44*Tableau2[[#This Row],[LF_TT]]))))</f>
        <v>#DIV/0!</v>
      </c>
      <c r="Q15" s="119">
        <f>(Tableau2[[#This Row],[TR_2]]*2)+(Tableau2[[#This Row],[TR_3]]*3)+(Tableau2[[#This Row],[LF_TR]])</f>
        <v>0</v>
      </c>
      <c r="R15" s="154"/>
      <c r="S15" s="154"/>
      <c r="T15" s="154"/>
      <c r="U15" s="154"/>
      <c r="V15" s="154"/>
      <c r="W15" s="154"/>
      <c r="X15" s="154"/>
      <c r="Y15" s="154"/>
      <c r="Z15" s="134">
        <f t="shared" si="7"/>
        <v>0</v>
      </c>
      <c r="AA15" s="122">
        <f>(Tableau2[[#This Row],[total TT]]+0.44*Tableau2[[#This Row],[LF_TT]])+(Tableau2[[#This Row],[BP]]-Tableau2[[#This Row],[RO]])</f>
        <v>0</v>
      </c>
      <c r="AB15" s="123" t="e">
        <f>100*(Tableau2[[#This Row],[PTS]]/Tableau2[[#This Row],[POSS]])</f>
        <v>#DIV/0!</v>
      </c>
      <c r="AC15" s="145"/>
      <c r="AD15" s="135" t="e">
        <f>Tableau2[[#This Row],[Off RTG]]-Tableau2[[#This Row],[DEF RTG]]</f>
        <v>#DIV/0!</v>
      </c>
      <c r="AE15" s="123" t="e">
        <f>(Tableau2[[#This Row],[RO]]/((Tableau2[[#This Row],[total TT]]-Tableau2[[#This Row],[total TR]])+(Tableau2[[#This Row],[LF_TT]]-Tableau2[[#This Row],[LF_TR]]))*100)</f>
        <v>#DIV/0!</v>
      </c>
      <c r="AF15" s="123" t="e">
        <f>(Tableau2[[#This Row],[BP]]/Tableau2[[#This Row],[POSS]])*100</f>
        <v>#DIV/0!</v>
      </c>
      <c r="AG15" s="146"/>
      <c r="AH15" s="147"/>
      <c r="AI15" s="166"/>
    </row>
    <row r="16" spans="1:71" ht="16.5" thickBot="1" x14ac:dyDescent="0.3">
      <c r="A16" s="148"/>
      <c r="B16" s="227"/>
      <c r="C16" s="149"/>
      <c r="D16" s="150"/>
      <c r="E16" s="151" t="e">
        <f>Tableau2[[#This Row],[TR_2]]/Tableau2[[#This Row],[TT_2]]</f>
        <v>#DIV/0!</v>
      </c>
      <c r="F16" s="152"/>
      <c r="G16" s="152"/>
      <c r="H16" s="151" t="e">
        <f>Tableau2[[#This Row],[TR_3]]/Tableau2[[#This Row],[TT_3]]</f>
        <v>#DIV/0!</v>
      </c>
      <c r="I16" s="115">
        <f>Tableau2[[#This Row],[TR_2]]+Tableau2[[#This Row],[TR_3]]</f>
        <v>0</v>
      </c>
      <c r="J16" s="115">
        <f>Tableau2[[#This Row],[TT_2]]+Tableau2[[#This Row],[TT_3]]</f>
        <v>0</v>
      </c>
      <c r="K16" s="151" t="e">
        <f>Tableau2[[#This Row],[total TR]]/Tableau2[[#This Row],[total TT]]</f>
        <v>#DIV/0!</v>
      </c>
      <c r="L16" s="152"/>
      <c r="M16" s="152"/>
      <c r="N16" s="151" t="e">
        <f>Tableau2[[#This Row],[LF_TR]]/Tableau2[[#This Row],[LF_TT]]</f>
        <v>#DIV/0!</v>
      </c>
      <c r="O16" s="153" t="e">
        <f>((Tableau2[[#This Row],[total TR]]+0.5*Tableau2[[#This Row],[TR_3]])/Tableau2[[#This Row],[total TT]])</f>
        <v>#DIV/0!</v>
      </c>
      <c r="P16" s="153" t="e">
        <f>(Tableau2[[#This Row],[PTS]]/(2*(Tableau2[[#This Row],[total TT]]+(0.44*Tableau2[[#This Row],[LF_TT]]))))</f>
        <v>#DIV/0!</v>
      </c>
      <c r="Q16" s="119">
        <f>(Tableau2[[#This Row],[TR_2]]*2)+(Tableau2[[#This Row],[TR_3]]*3)+(Tableau2[[#This Row],[LF_TR]])</f>
        <v>0</v>
      </c>
      <c r="R16" s="154"/>
      <c r="S16" s="154"/>
      <c r="T16" s="154"/>
      <c r="U16" s="154"/>
      <c r="V16" s="154"/>
      <c r="W16" s="154"/>
      <c r="X16" s="154"/>
      <c r="Y16" s="154"/>
      <c r="Z16" s="134">
        <f t="shared" si="7"/>
        <v>0</v>
      </c>
      <c r="AA16" s="122">
        <f>(Tableau2[[#This Row],[total TT]]+0.44*Tableau2[[#This Row],[LF_TT]])+(Tableau2[[#This Row],[BP]]-Tableau2[[#This Row],[RO]])</f>
        <v>0</v>
      </c>
      <c r="AB16" s="123" t="e">
        <f>100*(Tableau2[[#This Row],[PTS]]/Tableau2[[#This Row],[POSS]])</f>
        <v>#DIV/0!</v>
      </c>
      <c r="AC16" s="145"/>
      <c r="AD16" s="135" t="e">
        <f>Tableau2[[#This Row],[Off RTG]]-Tableau2[[#This Row],[DEF RTG]]</f>
        <v>#DIV/0!</v>
      </c>
      <c r="AE16" s="123" t="e">
        <f>(Tableau2[[#This Row],[RO]]/((Tableau2[[#This Row],[total TT]]-Tableau2[[#This Row],[total TR]])+(Tableau2[[#This Row],[LF_TT]]-Tableau2[[#This Row],[LF_TR]]))*100)</f>
        <v>#DIV/0!</v>
      </c>
      <c r="AF16" s="123" t="e">
        <f>(Tableau2[[#This Row],[BP]]/Tableau2[[#This Row],[POSS]])*100</f>
        <v>#DIV/0!</v>
      </c>
      <c r="AG16" s="146"/>
      <c r="AH16" s="147"/>
      <c r="AI16" s="166"/>
    </row>
    <row r="17" spans="1:35" ht="16.5" thickBot="1" x14ac:dyDescent="0.3">
      <c r="A17" s="148"/>
      <c r="B17" s="227"/>
      <c r="C17" s="149"/>
      <c r="D17" s="150"/>
      <c r="E17" s="151" t="e">
        <f>Tableau2[[#This Row],[TR_2]]/Tableau2[[#This Row],[TT_2]]</f>
        <v>#DIV/0!</v>
      </c>
      <c r="F17" s="152"/>
      <c r="G17" s="152"/>
      <c r="H17" s="151" t="e">
        <f>Tableau2[[#This Row],[TR_3]]/Tableau2[[#This Row],[TT_3]]</f>
        <v>#DIV/0!</v>
      </c>
      <c r="I17" s="115">
        <f>Tableau2[[#This Row],[TR_2]]+Tableau2[[#This Row],[TR_3]]</f>
        <v>0</v>
      </c>
      <c r="J17" s="115">
        <f>Tableau2[[#This Row],[TT_2]]+Tableau2[[#This Row],[TT_3]]</f>
        <v>0</v>
      </c>
      <c r="K17" s="151" t="e">
        <f>Tableau2[[#This Row],[total TR]]/Tableau2[[#This Row],[total TT]]</f>
        <v>#DIV/0!</v>
      </c>
      <c r="L17" s="152"/>
      <c r="M17" s="152"/>
      <c r="N17" s="151" t="e">
        <f>Tableau2[[#This Row],[LF_TR]]/Tableau2[[#This Row],[LF_TT]]</f>
        <v>#DIV/0!</v>
      </c>
      <c r="O17" s="153" t="e">
        <f>((Tableau2[[#This Row],[total TR]]+0.5*Tableau2[[#This Row],[TR_3]])/Tableau2[[#This Row],[total TT]])</f>
        <v>#DIV/0!</v>
      </c>
      <c r="P17" s="153" t="e">
        <f>(Tableau2[[#This Row],[PTS]]/(2*(Tableau2[[#This Row],[total TT]]+(0.44*Tableau2[[#This Row],[LF_TT]]))))</f>
        <v>#DIV/0!</v>
      </c>
      <c r="Q17" s="119">
        <f>(Tableau2[[#This Row],[TR_2]]*2)+(Tableau2[[#This Row],[TR_3]]*3)+(Tableau2[[#This Row],[LF_TR]])</f>
        <v>0</v>
      </c>
      <c r="R17" s="154"/>
      <c r="S17" s="154"/>
      <c r="T17" s="154"/>
      <c r="U17" s="154"/>
      <c r="V17" s="154"/>
      <c r="W17" s="154"/>
      <c r="X17" s="154"/>
      <c r="Y17" s="154"/>
      <c r="Z17" s="134">
        <f t="shared" si="7"/>
        <v>0</v>
      </c>
      <c r="AA17" s="122">
        <f>(Tableau2[[#This Row],[total TT]]+0.44*Tableau2[[#This Row],[LF_TT]])+(Tableau2[[#This Row],[BP]]-Tableau2[[#This Row],[RO]])</f>
        <v>0</v>
      </c>
      <c r="AB17" s="123" t="e">
        <f>100*(Tableau2[[#This Row],[PTS]]/Tableau2[[#This Row],[POSS]])</f>
        <v>#DIV/0!</v>
      </c>
      <c r="AC17" s="145"/>
      <c r="AD17" s="135" t="e">
        <f>Tableau2[[#This Row],[Off RTG]]-Tableau2[[#This Row],[DEF RTG]]</f>
        <v>#DIV/0!</v>
      </c>
      <c r="AE17" s="123" t="e">
        <f>(Tableau2[[#This Row],[RO]]/((Tableau2[[#This Row],[total TT]]-Tableau2[[#This Row],[total TR]])+(Tableau2[[#This Row],[LF_TT]]-Tableau2[[#This Row],[LF_TR]]))*100)</f>
        <v>#DIV/0!</v>
      </c>
      <c r="AF17" s="123" t="e">
        <f>(Tableau2[[#This Row],[BP]]/Tableau2[[#This Row],[POSS]])*100</f>
        <v>#DIV/0!</v>
      </c>
      <c r="AG17" s="146"/>
      <c r="AH17" s="147"/>
      <c r="AI17" s="166"/>
    </row>
    <row r="18" spans="1:35" ht="16.5" thickBot="1" x14ac:dyDescent="0.3">
      <c r="A18" s="148"/>
      <c r="B18" s="227"/>
      <c r="C18" s="149"/>
      <c r="D18" s="150"/>
      <c r="E18" s="151" t="e">
        <f>Tableau2[[#This Row],[TR_2]]/Tableau2[[#This Row],[TT_2]]</f>
        <v>#DIV/0!</v>
      </c>
      <c r="F18" s="152"/>
      <c r="G18" s="152"/>
      <c r="H18" s="151" t="e">
        <f>Tableau2[[#This Row],[TR_3]]/Tableau2[[#This Row],[TT_3]]</f>
        <v>#DIV/0!</v>
      </c>
      <c r="I18" s="115">
        <f>Tableau2[[#This Row],[TR_2]]+Tableau2[[#This Row],[TR_3]]</f>
        <v>0</v>
      </c>
      <c r="J18" s="115">
        <f>Tableau2[[#This Row],[TT_2]]+Tableau2[[#This Row],[TT_3]]</f>
        <v>0</v>
      </c>
      <c r="K18" s="151" t="e">
        <f>Tableau2[[#This Row],[total TR]]/Tableau2[[#This Row],[total TT]]</f>
        <v>#DIV/0!</v>
      </c>
      <c r="L18" s="152"/>
      <c r="M18" s="152"/>
      <c r="N18" s="151" t="e">
        <f>Tableau2[[#This Row],[LF_TR]]/Tableau2[[#This Row],[LF_TT]]</f>
        <v>#DIV/0!</v>
      </c>
      <c r="O18" s="153" t="e">
        <f>((Tableau2[[#This Row],[total TR]]+0.5*Tableau2[[#This Row],[TR_3]])/Tableau2[[#This Row],[total TT]])</f>
        <v>#DIV/0!</v>
      </c>
      <c r="P18" s="153" t="e">
        <f>(Tableau2[[#This Row],[PTS]]/(2*(Tableau2[[#This Row],[total TT]]+(0.44*Tableau2[[#This Row],[LF_TT]]))))</f>
        <v>#DIV/0!</v>
      </c>
      <c r="Q18" s="119">
        <f>(Tableau2[[#This Row],[TR_2]]*2)+(Tableau2[[#This Row],[TR_3]]*3)+(Tableau2[[#This Row],[LF_TR]])</f>
        <v>0</v>
      </c>
      <c r="R18" s="154"/>
      <c r="S18" s="154"/>
      <c r="T18" s="154"/>
      <c r="U18" s="154"/>
      <c r="V18" s="154"/>
      <c r="W18" s="154"/>
      <c r="X18" s="154"/>
      <c r="Y18" s="154"/>
      <c r="Z18" s="134">
        <f t="shared" si="7"/>
        <v>0</v>
      </c>
      <c r="AA18" s="122">
        <f>(Tableau2[[#This Row],[total TT]]+0.44*Tableau2[[#This Row],[LF_TT]])+(Tableau2[[#This Row],[BP]]-Tableau2[[#This Row],[RO]])</f>
        <v>0</v>
      </c>
      <c r="AB18" s="123" t="e">
        <f>100*(Tableau2[[#This Row],[PTS]]/Tableau2[[#This Row],[POSS]])</f>
        <v>#DIV/0!</v>
      </c>
      <c r="AC18" s="145"/>
      <c r="AD18" s="135" t="e">
        <f>Tableau2[[#This Row],[Off RTG]]-Tableau2[[#This Row],[DEF RTG]]</f>
        <v>#DIV/0!</v>
      </c>
      <c r="AE18" s="123" t="e">
        <f>(Tableau2[[#This Row],[RO]]/((Tableau2[[#This Row],[total TT]]-Tableau2[[#This Row],[total TR]])+(Tableau2[[#This Row],[LF_TT]]-Tableau2[[#This Row],[LF_TR]]))*100)</f>
        <v>#DIV/0!</v>
      </c>
      <c r="AF18" s="123" t="e">
        <f>(Tableau2[[#This Row],[BP]]/Tableau2[[#This Row],[POSS]])*100</f>
        <v>#DIV/0!</v>
      </c>
      <c r="AG18" s="146"/>
      <c r="AH18" s="147"/>
      <c r="AI18" s="166"/>
    </row>
    <row r="19" spans="1:35" ht="16.5" thickBot="1" x14ac:dyDescent="0.3">
      <c r="A19" s="148"/>
      <c r="B19" s="227"/>
      <c r="C19" s="149"/>
      <c r="D19" s="150"/>
      <c r="E19" s="151" t="e">
        <f>Tableau2[[#This Row],[TR_2]]/Tableau2[[#This Row],[TT_2]]</f>
        <v>#DIV/0!</v>
      </c>
      <c r="F19" s="152"/>
      <c r="G19" s="152"/>
      <c r="H19" s="151" t="e">
        <f>Tableau2[[#This Row],[TR_3]]/Tableau2[[#This Row],[TT_3]]</f>
        <v>#DIV/0!</v>
      </c>
      <c r="I19" s="115">
        <f>Tableau2[[#This Row],[TR_2]]+Tableau2[[#This Row],[TR_3]]</f>
        <v>0</v>
      </c>
      <c r="J19" s="115">
        <f>Tableau2[[#This Row],[TT_2]]+Tableau2[[#This Row],[TT_3]]</f>
        <v>0</v>
      </c>
      <c r="K19" s="151" t="e">
        <f>Tableau2[[#This Row],[total TR]]/Tableau2[[#This Row],[total TT]]</f>
        <v>#DIV/0!</v>
      </c>
      <c r="L19" s="152"/>
      <c r="M19" s="152"/>
      <c r="N19" s="151" t="e">
        <f>Tableau2[[#This Row],[LF_TR]]/Tableau2[[#This Row],[LF_TT]]</f>
        <v>#DIV/0!</v>
      </c>
      <c r="O19" s="153" t="e">
        <f>((Tableau2[[#This Row],[total TR]]+0.5*Tableau2[[#This Row],[TR_3]])/Tableau2[[#This Row],[total TT]])</f>
        <v>#DIV/0!</v>
      </c>
      <c r="P19" s="153" t="e">
        <f>(Tableau2[[#This Row],[PTS]]/(2*(Tableau2[[#This Row],[total TT]]+(0.44*Tableau2[[#This Row],[LF_TT]]))))</f>
        <v>#DIV/0!</v>
      </c>
      <c r="Q19" s="119">
        <f>(Tableau2[[#This Row],[TR_2]]*2)+(Tableau2[[#This Row],[TR_3]]*3)+(Tableau2[[#This Row],[LF_TR]])</f>
        <v>0</v>
      </c>
      <c r="R19" s="154"/>
      <c r="S19" s="154"/>
      <c r="T19" s="154"/>
      <c r="U19" s="154"/>
      <c r="V19" s="154"/>
      <c r="W19" s="154"/>
      <c r="X19" s="154"/>
      <c r="Y19" s="154"/>
      <c r="Z19" s="134">
        <f t="shared" si="7"/>
        <v>0</v>
      </c>
      <c r="AA19" s="122">
        <f>(Tableau2[[#This Row],[total TT]]+0.44*Tableau2[[#This Row],[LF_TT]])+(Tableau2[[#This Row],[BP]]-Tableau2[[#This Row],[RO]])</f>
        <v>0</v>
      </c>
      <c r="AB19" s="123" t="e">
        <f>100*(Tableau2[[#This Row],[PTS]]/Tableau2[[#This Row],[POSS]])</f>
        <v>#DIV/0!</v>
      </c>
      <c r="AC19" s="145"/>
      <c r="AD19" s="135" t="e">
        <f>Tableau2[[#This Row],[Off RTG]]-Tableau2[[#This Row],[DEF RTG]]</f>
        <v>#DIV/0!</v>
      </c>
      <c r="AE19" s="123" t="e">
        <f>(Tableau2[[#This Row],[RO]]/((Tableau2[[#This Row],[total TT]]-Tableau2[[#This Row],[total TR]])+(Tableau2[[#This Row],[LF_TT]]-Tableau2[[#This Row],[LF_TR]]))*100)</f>
        <v>#DIV/0!</v>
      </c>
      <c r="AF19" s="123" t="e">
        <f>(Tableau2[[#This Row],[BP]]/Tableau2[[#This Row],[POSS]])*100</f>
        <v>#DIV/0!</v>
      </c>
      <c r="AG19" s="146"/>
      <c r="AH19" s="147"/>
      <c r="AI19" s="166"/>
    </row>
    <row r="20" spans="1:35" ht="16.5" thickBot="1" x14ac:dyDescent="0.3">
      <c r="A20" s="148"/>
      <c r="B20" s="227"/>
      <c r="C20" s="149"/>
      <c r="D20" s="150"/>
      <c r="E20" s="151" t="e">
        <f>Tableau2[[#This Row],[TR_2]]/Tableau2[[#This Row],[TT_2]]</f>
        <v>#DIV/0!</v>
      </c>
      <c r="F20" s="152"/>
      <c r="G20" s="152"/>
      <c r="H20" s="151" t="e">
        <f>Tableau2[[#This Row],[TR_3]]/Tableau2[[#This Row],[TT_3]]</f>
        <v>#DIV/0!</v>
      </c>
      <c r="I20" s="115">
        <f>Tableau2[[#This Row],[TR_2]]+Tableau2[[#This Row],[TR_3]]</f>
        <v>0</v>
      </c>
      <c r="J20" s="115">
        <f>Tableau2[[#This Row],[TT_2]]+Tableau2[[#This Row],[TT_3]]</f>
        <v>0</v>
      </c>
      <c r="K20" s="151" t="e">
        <f>Tableau2[[#This Row],[total TR]]/Tableau2[[#This Row],[total TT]]</f>
        <v>#DIV/0!</v>
      </c>
      <c r="L20" s="152"/>
      <c r="M20" s="152"/>
      <c r="N20" s="151" t="e">
        <f>Tableau2[[#This Row],[LF_TR]]/Tableau2[[#This Row],[LF_TT]]</f>
        <v>#DIV/0!</v>
      </c>
      <c r="O20" s="153" t="e">
        <f>((Tableau2[[#This Row],[total TR]]+0.5*Tableau2[[#This Row],[TR_3]])/Tableau2[[#This Row],[total TT]])</f>
        <v>#DIV/0!</v>
      </c>
      <c r="P20" s="153" t="e">
        <f>(Tableau2[[#This Row],[PTS]]/(2*(Tableau2[[#This Row],[total TT]]+(0.44*Tableau2[[#This Row],[LF_TT]]))))</f>
        <v>#DIV/0!</v>
      </c>
      <c r="Q20" s="119">
        <f>(Tableau2[[#This Row],[TR_2]]*2)+(Tableau2[[#This Row],[TR_3]]*3)+(Tableau2[[#This Row],[LF_TR]])</f>
        <v>0</v>
      </c>
      <c r="R20" s="154"/>
      <c r="S20" s="154"/>
      <c r="T20" s="154"/>
      <c r="U20" s="154"/>
      <c r="V20" s="154"/>
      <c r="W20" s="154"/>
      <c r="X20" s="154"/>
      <c r="Y20" s="154"/>
      <c r="Z20" s="134">
        <f t="shared" si="7"/>
        <v>0</v>
      </c>
      <c r="AA20" s="122">
        <f>(Tableau2[[#This Row],[total TT]]+0.44*Tableau2[[#This Row],[LF_TT]])+(Tableau2[[#This Row],[BP]]-Tableau2[[#This Row],[RO]])</f>
        <v>0</v>
      </c>
      <c r="AB20" s="123" t="e">
        <f>100*(Tableau2[[#This Row],[PTS]]/Tableau2[[#This Row],[POSS]])</f>
        <v>#DIV/0!</v>
      </c>
      <c r="AC20" s="145"/>
      <c r="AD20" s="135" t="e">
        <f>Tableau2[[#This Row],[Off RTG]]-Tableau2[[#This Row],[DEF RTG]]</f>
        <v>#DIV/0!</v>
      </c>
      <c r="AE20" s="123" t="e">
        <f>(Tableau2[[#This Row],[RO]]/((Tableau2[[#This Row],[total TT]]-Tableau2[[#This Row],[total TR]])+(Tableau2[[#This Row],[LF_TT]]-Tableau2[[#This Row],[LF_TR]]))*100)</f>
        <v>#DIV/0!</v>
      </c>
      <c r="AF20" s="123" t="e">
        <f>(Tableau2[[#This Row],[BP]]/Tableau2[[#This Row],[POSS]])*100</f>
        <v>#DIV/0!</v>
      </c>
      <c r="AG20" s="146"/>
      <c r="AH20" s="147"/>
      <c r="AI20" s="166"/>
    </row>
    <row r="21" spans="1:35" ht="16.5" thickBot="1" x14ac:dyDescent="0.3">
      <c r="A21" s="148"/>
      <c r="B21" s="227"/>
      <c r="C21" s="149"/>
      <c r="D21" s="150"/>
      <c r="E21" s="151" t="e">
        <f>Tableau2[[#This Row],[TR_2]]/Tableau2[[#This Row],[TT_2]]</f>
        <v>#DIV/0!</v>
      </c>
      <c r="F21" s="152"/>
      <c r="G21" s="152"/>
      <c r="H21" s="151" t="e">
        <f>Tableau2[[#This Row],[TR_3]]/Tableau2[[#This Row],[TT_3]]</f>
        <v>#DIV/0!</v>
      </c>
      <c r="I21" s="115">
        <f>Tableau2[[#This Row],[TR_2]]+Tableau2[[#This Row],[TR_3]]</f>
        <v>0</v>
      </c>
      <c r="J21" s="115">
        <f>Tableau2[[#This Row],[TT_2]]+Tableau2[[#This Row],[TT_3]]</f>
        <v>0</v>
      </c>
      <c r="K21" s="151" t="e">
        <f>Tableau2[[#This Row],[total TR]]/Tableau2[[#This Row],[total TT]]</f>
        <v>#DIV/0!</v>
      </c>
      <c r="L21" s="152"/>
      <c r="M21" s="152"/>
      <c r="N21" s="151" t="e">
        <f>Tableau2[[#This Row],[LF_TR]]/Tableau2[[#This Row],[LF_TT]]</f>
        <v>#DIV/0!</v>
      </c>
      <c r="O21" s="153" t="e">
        <f>((Tableau2[[#This Row],[total TR]]+0.5*Tableau2[[#This Row],[TR_3]])/Tableau2[[#This Row],[total TT]])</f>
        <v>#DIV/0!</v>
      </c>
      <c r="P21" s="153" t="e">
        <f>(Tableau2[[#This Row],[PTS]]/(2*(Tableau2[[#This Row],[total TT]]+(0.44*Tableau2[[#This Row],[LF_TT]]))))</f>
        <v>#DIV/0!</v>
      </c>
      <c r="Q21" s="119">
        <f>(Tableau2[[#This Row],[TR_2]]*2)+(Tableau2[[#This Row],[TR_3]]*3)+(Tableau2[[#This Row],[LF_TR]])</f>
        <v>0</v>
      </c>
      <c r="R21" s="154"/>
      <c r="S21" s="154"/>
      <c r="T21" s="154"/>
      <c r="U21" s="154"/>
      <c r="V21" s="154"/>
      <c r="W21" s="154"/>
      <c r="X21" s="154"/>
      <c r="Y21" s="154"/>
      <c r="Z21" s="134">
        <f t="shared" si="7"/>
        <v>0</v>
      </c>
      <c r="AA21" s="122">
        <f>(Tableau2[[#This Row],[total TT]]+0.44*Tableau2[[#This Row],[LF_TT]])+(Tableau2[[#This Row],[BP]]-Tableau2[[#This Row],[RO]])</f>
        <v>0</v>
      </c>
      <c r="AB21" s="123" t="e">
        <f>100*(Tableau2[[#This Row],[PTS]]/Tableau2[[#This Row],[POSS]])</f>
        <v>#DIV/0!</v>
      </c>
      <c r="AC21" s="145"/>
      <c r="AD21" s="135" t="e">
        <f>Tableau2[[#This Row],[Off RTG]]-Tableau2[[#This Row],[DEF RTG]]</f>
        <v>#DIV/0!</v>
      </c>
      <c r="AE21" s="123" t="e">
        <f>(Tableau2[[#This Row],[RO]]/((Tableau2[[#This Row],[total TT]]-Tableau2[[#This Row],[total TR]])+(Tableau2[[#This Row],[LF_TT]]-Tableau2[[#This Row],[LF_TR]]))*100)</f>
        <v>#DIV/0!</v>
      </c>
      <c r="AF21" s="123" t="e">
        <f>(Tableau2[[#This Row],[BP]]/Tableau2[[#This Row],[POSS]])*100</f>
        <v>#DIV/0!</v>
      </c>
      <c r="AG21" s="146"/>
      <c r="AH21" s="147"/>
      <c r="AI21" s="166"/>
    </row>
    <row r="22" spans="1:35" ht="16.5" thickBot="1" x14ac:dyDescent="0.3">
      <c r="A22" s="148"/>
      <c r="B22" s="227"/>
      <c r="C22" s="149"/>
      <c r="D22" s="150"/>
      <c r="E22" s="151" t="e">
        <f>Tableau2[[#This Row],[TR_2]]/Tableau2[[#This Row],[TT_2]]</f>
        <v>#DIV/0!</v>
      </c>
      <c r="F22" s="152"/>
      <c r="G22" s="152"/>
      <c r="H22" s="151" t="e">
        <f>Tableau2[[#This Row],[TR_3]]/Tableau2[[#This Row],[TT_3]]</f>
        <v>#DIV/0!</v>
      </c>
      <c r="I22" s="115">
        <f>Tableau2[[#This Row],[TR_2]]+Tableau2[[#This Row],[TR_3]]</f>
        <v>0</v>
      </c>
      <c r="J22" s="115">
        <f>Tableau2[[#This Row],[TT_2]]+Tableau2[[#This Row],[TT_3]]</f>
        <v>0</v>
      </c>
      <c r="K22" s="151" t="e">
        <f>Tableau2[[#This Row],[total TR]]/Tableau2[[#This Row],[total TT]]</f>
        <v>#DIV/0!</v>
      </c>
      <c r="L22" s="152"/>
      <c r="M22" s="152"/>
      <c r="N22" s="151" t="e">
        <f>Tableau2[[#This Row],[LF_TR]]/Tableau2[[#This Row],[LF_TT]]</f>
        <v>#DIV/0!</v>
      </c>
      <c r="O22" s="153" t="e">
        <f>((Tableau2[[#This Row],[total TR]]+0.5*Tableau2[[#This Row],[TR_3]])/Tableau2[[#This Row],[total TT]])</f>
        <v>#DIV/0!</v>
      </c>
      <c r="P22" s="153" t="e">
        <f>(Tableau2[[#This Row],[PTS]]/(2*(Tableau2[[#This Row],[total TT]]+(0.44*Tableau2[[#This Row],[LF_TT]]))))</f>
        <v>#DIV/0!</v>
      </c>
      <c r="Q22" s="119">
        <f>(Tableau2[[#This Row],[TR_2]]*2)+(Tableau2[[#This Row],[TR_3]]*3)+(Tableau2[[#This Row],[LF_TR]])</f>
        <v>0</v>
      </c>
      <c r="R22" s="154"/>
      <c r="S22" s="154"/>
      <c r="T22" s="154"/>
      <c r="U22" s="154"/>
      <c r="V22" s="154"/>
      <c r="W22" s="154"/>
      <c r="X22" s="154"/>
      <c r="Y22" s="154"/>
      <c r="Z22" s="134">
        <f t="shared" si="7"/>
        <v>0</v>
      </c>
      <c r="AA22" s="122">
        <f>(Tableau2[[#This Row],[total TT]]+0.44*Tableau2[[#This Row],[LF_TT]])+(Tableau2[[#This Row],[BP]]-Tableau2[[#This Row],[RO]])</f>
        <v>0</v>
      </c>
      <c r="AB22" s="123" t="e">
        <f>100*(Tableau2[[#This Row],[PTS]]/Tableau2[[#This Row],[POSS]])</f>
        <v>#DIV/0!</v>
      </c>
      <c r="AC22" s="145"/>
      <c r="AD22" s="135" t="e">
        <f>Tableau2[[#This Row],[Off RTG]]-Tableau2[[#This Row],[DEF RTG]]</f>
        <v>#DIV/0!</v>
      </c>
      <c r="AE22" s="123" t="e">
        <f>(Tableau2[[#This Row],[RO]]/((Tableau2[[#This Row],[total TT]]-Tableau2[[#This Row],[total TR]])+(Tableau2[[#This Row],[LF_TT]]-Tableau2[[#This Row],[LF_TR]]))*100)</f>
        <v>#DIV/0!</v>
      </c>
      <c r="AF22" s="123" t="e">
        <f>(Tableau2[[#This Row],[BP]]/Tableau2[[#This Row],[POSS]])*100</f>
        <v>#DIV/0!</v>
      </c>
      <c r="AG22" s="146"/>
      <c r="AH22" s="147"/>
      <c r="AI22" s="166"/>
    </row>
    <row r="23" spans="1:35" ht="16.5" thickBot="1" x14ac:dyDescent="0.3">
      <c r="A23" s="156"/>
      <c r="B23" s="226"/>
      <c r="C23" s="157"/>
      <c r="D23" s="150"/>
      <c r="E23" s="151" t="e">
        <f>Tableau2[[#This Row],[TR_2]]/Tableau2[[#This Row],[TT_2]]</f>
        <v>#DIV/0!</v>
      </c>
      <c r="F23" s="152"/>
      <c r="G23" s="152"/>
      <c r="H23" s="151" t="e">
        <f>Tableau2[[#This Row],[TR_3]]/Tableau2[[#This Row],[TT_3]]</f>
        <v>#DIV/0!</v>
      </c>
      <c r="I23" s="115">
        <f>Tableau2[[#This Row],[TR_2]]+Tableau2[[#This Row],[TR_3]]</f>
        <v>0</v>
      </c>
      <c r="J23" s="115">
        <f>Tableau2[[#This Row],[TT_2]]+Tableau2[[#This Row],[TT_3]]</f>
        <v>0</v>
      </c>
      <c r="K23" s="151" t="e">
        <f>Tableau2[[#This Row],[total TR]]/Tableau2[[#This Row],[total TT]]</f>
        <v>#DIV/0!</v>
      </c>
      <c r="L23" s="152"/>
      <c r="M23" s="152"/>
      <c r="N23" s="151" t="e">
        <f>Tableau2[[#This Row],[LF_TR]]/Tableau2[[#This Row],[LF_TT]]</f>
        <v>#DIV/0!</v>
      </c>
      <c r="O23" s="153" t="e">
        <f>((Tableau2[[#This Row],[total TR]]+0.5*Tableau2[[#This Row],[TR_3]])/Tableau2[[#This Row],[total TT]])</f>
        <v>#DIV/0!</v>
      </c>
      <c r="P23" s="153" t="e">
        <f>(Tableau2[[#This Row],[PTS]]/(2*(Tableau2[[#This Row],[total TT]]+(0.44*Tableau2[[#This Row],[LF_TT]]))))</f>
        <v>#DIV/0!</v>
      </c>
      <c r="Q23" s="119">
        <f>(Tableau2[[#This Row],[TR_2]]*2)+(Tableau2[[#This Row],[TR_3]]*3)+(Tableau2[[#This Row],[LF_TR]])</f>
        <v>0</v>
      </c>
      <c r="R23" s="154"/>
      <c r="S23" s="154"/>
      <c r="T23" s="154"/>
      <c r="U23" s="154"/>
      <c r="V23" s="154"/>
      <c r="W23" s="154"/>
      <c r="X23" s="154"/>
      <c r="Y23" s="154"/>
      <c r="Z23" s="134">
        <f t="shared" si="7"/>
        <v>0</v>
      </c>
      <c r="AA23" s="122">
        <f>(Tableau2[[#This Row],[total TT]]+0.44*Tableau2[[#This Row],[LF_TT]])+(Tableau2[[#This Row],[BP]]-Tableau2[[#This Row],[RO]])</f>
        <v>0</v>
      </c>
      <c r="AB23" s="123" t="e">
        <f>100*(Tableau2[[#This Row],[PTS]]/Tableau2[[#This Row],[POSS]])</f>
        <v>#DIV/0!</v>
      </c>
      <c r="AC23" s="145"/>
      <c r="AD23" s="135" t="e">
        <f>Tableau2[[#This Row],[Off RTG]]-Tableau2[[#This Row],[DEF RTG]]</f>
        <v>#DIV/0!</v>
      </c>
      <c r="AE23" s="123" t="e">
        <f>(Tableau2[[#This Row],[RO]]/((Tableau2[[#This Row],[total TT]]-Tableau2[[#This Row],[total TR]])+(Tableau2[[#This Row],[LF_TT]]-Tableau2[[#This Row],[LF_TR]]))*100)</f>
        <v>#DIV/0!</v>
      </c>
      <c r="AF23" s="123" t="e">
        <f>(Tableau2[[#This Row],[BP]]/Tableau2[[#This Row],[POSS]])*100</f>
        <v>#DIV/0!</v>
      </c>
      <c r="AG23" s="146"/>
      <c r="AH23" s="147"/>
      <c r="AI23" s="166"/>
    </row>
    <row r="24" spans="1:35" ht="16.5" thickBot="1" x14ac:dyDescent="0.3">
      <c r="A24" s="158"/>
      <c r="B24" s="228"/>
      <c r="C24" s="157"/>
      <c r="D24" s="150"/>
      <c r="E24" s="151" t="e">
        <f>Tableau2[[#This Row],[TR_2]]/Tableau2[[#This Row],[TT_2]]</f>
        <v>#DIV/0!</v>
      </c>
      <c r="F24" s="152"/>
      <c r="G24" s="152"/>
      <c r="H24" s="151" t="e">
        <f>Tableau2[[#This Row],[TR_3]]/Tableau2[[#This Row],[TT_3]]</f>
        <v>#DIV/0!</v>
      </c>
      <c r="I24" s="115">
        <f>Tableau2[[#This Row],[TR_2]]+Tableau2[[#This Row],[TR_3]]</f>
        <v>0</v>
      </c>
      <c r="J24" s="115">
        <f>Tableau2[[#This Row],[TT_2]]+Tableau2[[#This Row],[TT_3]]</f>
        <v>0</v>
      </c>
      <c r="K24" s="151" t="e">
        <f>Tableau2[[#This Row],[total TR]]/Tableau2[[#This Row],[total TT]]</f>
        <v>#DIV/0!</v>
      </c>
      <c r="L24" s="152"/>
      <c r="M24" s="152"/>
      <c r="N24" s="151" t="e">
        <f>Tableau2[[#This Row],[LF_TR]]/Tableau2[[#This Row],[LF_TT]]</f>
        <v>#DIV/0!</v>
      </c>
      <c r="O24" s="153" t="e">
        <f>((Tableau2[[#This Row],[total TR]]+0.5*Tableau2[[#This Row],[TR_3]])/Tableau2[[#This Row],[total TT]])</f>
        <v>#DIV/0!</v>
      </c>
      <c r="P24" s="153" t="e">
        <f>(Tableau2[[#This Row],[PTS]]/(2*(Tableau2[[#This Row],[total TT]]+(0.44*Tableau2[[#This Row],[LF_TT]]))))</f>
        <v>#DIV/0!</v>
      </c>
      <c r="Q24" s="119">
        <f>(Tableau2[[#This Row],[TR_2]]*2)+(Tableau2[[#This Row],[TR_3]]*3)+(Tableau2[[#This Row],[LF_TR]])</f>
        <v>0</v>
      </c>
      <c r="R24" s="154"/>
      <c r="S24" s="154"/>
      <c r="T24" s="154"/>
      <c r="U24" s="154"/>
      <c r="V24" s="154"/>
      <c r="W24" s="154"/>
      <c r="X24" s="154"/>
      <c r="Y24" s="154"/>
      <c r="Z24" s="134">
        <f t="shared" si="7"/>
        <v>0</v>
      </c>
      <c r="AA24" s="122">
        <f>(Tableau2[[#This Row],[total TT]]+0.44*Tableau2[[#This Row],[LF_TT]])+(Tableau2[[#This Row],[BP]]-Tableau2[[#This Row],[RO]])</f>
        <v>0</v>
      </c>
      <c r="AB24" s="123" t="e">
        <f>100*(Tableau2[[#This Row],[PTS]]/Tableau2[[#This Row],[POSS]])</f>
        <v>#DIV/0!</v>
      </c>
      <c r="AC24" s="145"/>
      <c r="AD24" s="135" t="e">
        <f>Tableau2[[#This Row],[Off RTG]]-Tableau2[[#This Row],[DEF RTG]]</f>
        <v>#DIV/0!</v>
      </c>
      <c r="AE24" s="123" t="e">
        <f>(Tableau2[[#This Row],[RO]]/((Tableau2[[#This Row],[total TT]]-Tableau2[[#This Row],[total TR]])+(Tableau2[[#This Row],[LF_TT]]-Tableau2[[#This Row],[LF_TR]]))*100)</f>
        <v>#DIV/0!</v>
      </c>
      <c r="AF24" s="123" t="e">
        <f>(Tableau2[[#This Row],[BP]]/Tableau2[[#This Row],[POSS]])*100</f>
        <v>#DIV/0!</v>
      </c>
      <c r="AG24" s="155"/>
      <c r="AH24" s="147"/>
      <c r="AI24" s="166"/>
    </row>
    <row r="25" spans="1:35" ht="16.5" thickBot="1" x14ac:dyDescent="0.3">
      <c r="A25" s="156"/>
      <c r="B25" s="226"/>
      <c r="C25" s="157"/>
      <c r="D25" s="150"/>
      <c r="E25" s="151" t="e">
        <f>Tableau2[[#This Row],[TR_2]]/Tableau2[[#This Row],[TT_2]]</f>
        <v>#DIV/0!</v>
      </c>
      <c r="F25" s="152"/>
      <c r="G25" s="152"/>
      <c r="H25" s="151" t="e">
        <f>Tableau2[[#This Row],[TR_3]]/Tableau2[[#This Row],[TT_3]]</f>
        <v>#DIV/0!</v>
      </c>
      <c r="I25" s="115">
        <f>Tableau2[[#This Row],[TR_2]]+Tableau2[[#This Row],[TR_3]]</f>
        <v>0</v>
      </c>
      <c r="J25" s="115">
        <f>Tableau2[[#This Row],[TT_2]]+Tableau2[[#This Row],[TT_3]]</f>
        <v>0</v>
      </c>
      <c r="K25" s="151" t="e">
        <f>Tableau2[[#This Row],[total TR]]/Tableau2[[#This Row],[total TT]]</f>
        <v>#DIV/0!</v>
      </c>
      <c r="L25" s="152"/>
      <c r="M25" s="152"/>
      <c r="N25" s="151" t="e">
        <f>Tableau2[[#This Row],[LF_TR]]/Tableau2[[#This Row],[LF_TT]]</f>
        <v>#DIV/0!</v>
      </c>
      <c r="O25" s="153" t="e">
        <f>((Tableau2[[#This Row],[total TR]]+0.5*Tableau2[[#This Row],[TR_3]])/Tableau2[[#This Row],[total TT]])</f>
        <v>#DIV/0!</v>
      </c>
      <c r="P25" s="153" t="e">
        <f>(Tableau2[[#This Row],[PTS]]/(2*(Tableau2[[#This Row],[total TT]]+(0.44*Tableau2[[#This Row],[LF_TT]]))))</f>
        <v>#DIV/0!</v>
      </c>
      <c r="Q25" s="119">
        <f>(Tableau2[[#This Row],[TR_2]]*2)+(Tableau2[[#This Row],[TR_3]]*3)+(Tableau2[[#This Row],[LF_TR]])</f>
        <v>0</v>
      </c>
      <c r="R25" s="154"/>
      <c r="S25" s="154"/>
      <c r="T25" s="154"/>
      <c r="U25" s="154"/>
      <c r="V25" s="154"/>
      <c r="W25" s="154"/>
      <c r="X25" s="154"/>
      <c r="Y25" s="154"/>
      <c r="Z25" s="134">
        <f t="shared" si="7"/>
        <v>0</v>
      </c>
      <c r="AA25" s="122">
        <f>(Tableau2[[#This Row],[total TT]]+0.44*Tableau2[[#This Row],[LF_TT]])+(Tableau2[[#This Row],[BP]]-Tableau2[[#This Row],[RO]])</f>
        <v>0</v>
      </c>
      <c r="AB25" s="123" t="e">
        <f>100*(Tableau2[[#This Row],[PTS]]/Tableau2[[#This Row],[POSS]])</f>
        <v>#DIV/0!</v>
      </c>
      <c r="AC25" s="145"/>
      <c r="AD25" s="135" t="e">
        <f>Tableau2[[#This Row],[Off RTG]]-Tableau2[[#This Row],[DEF RTG]]</f>
        <v>#DIV/0!</v>
      </c>
      <c r="AE25" s="123" t="e">
        <f>(Tableau2[[#This Row],[RO]]/((Tableau2[[#This Row],[total TT]]-Tableau2[[#This Row],[total TR]])+(Tableau2[[#This Row],[LF_TT]]-Tableau2[[#This Row],[LF_TR]]))*100)</f>
        <v>#DIV/0!</v>
      </c>
      <c r="AF25" s="123" t="e">
        <f>(Tableau2[[#This Row],[BP]]/Tableau2[[#This Row],[POSS]])*100</f>
        <v>#DIV/0!</v>
      </c>
      <c r="AG25" s="146"/>
      <c r="AH25" s="147"/>
      <c r="AI25" s="166"/>
    </row>
    <row r="26" spans="1:35" ht="16.5" thickBot="1" x14ac:dyDescent="0.3">
      <c r="A26" s="158"/>
      <c r="B26" s="228"/>
      <c r="C26" s="157"/>
      <c r="D26" s="150"/>
      <c r="E26" s="151" t="e">
        <f>Tableau2[[#This Row],[TR_2]]/Tableau2[[#This Row],[TT_2]]</f>
        <v>#DIV/0!</v>
      </c>
      <c r="F26" s="152"/>
      <c r="G26" s="152"/>
      <c r="H26" s="151" t="e">
        <f>Tableau2[[#This Row],[TR_3]]/Tableau2[[#This Row],[TT_3]]</f>
        <v>#DIV/0!</v>
      </c>
      <c r="I26" s="115">
        <f>Tableau2[[#This Row],[TR_2]]+Tableau2[[#This Row],[TR_3]]</f>
        <v>0</v>
      </c>
      <c r="J26" s="115">
        <f>Tableau2[[#This Row],[TT_2]]+Tableau2[[#This Row],[TT_3]]</f>
        <v>0</v>
      </c>
      <c r="K26" s="151" t="e">
        <f>Tableau2[[#This Row],[total TR]]/Tableau2[[#This Row],[total TT]]</f>
        <v>#DIV/0!</v>
      </c>
      <c r="L26" s="152"/>
      <c r="M26" s="152"/>
      <c r="N26" s="151" t="e">
        <f>Tableau2[[#This Row],[LF_TR]]/Tableau2[[#This Row],[LF_TT]]</f>
        <v>#DIV/0!</v>
      </c>
      <c r="O26" s="153" t="e">
        <f>((Tableau2[[#This Row],[total TR]]+0.5*Tableau2[[#This Row],[TR_3]])/Tableau2[[#This Row],[total TT]])</f>
        <v>#DIV/0!</v>
      </c>
      <c r="P26" s="153" t="e">
        <f>(Tableau2[[#This Row],[PTS]]/(2*(Tableau2[[#This Row],[total TT]]+(0.44*Tableau2[[#This Row],[LF_TT]]))))</f>
        <v>#DIV/0!</v>
      </c>
      <c r="Q26" s="119">
        <f>(Tableau2[[#This Row],[TR_2]]*2)+(Tableau2[[#This Row],[TR_3]]*3)+(Tableau2[[#This Row],[LF_TR]])</f>
        <v>0</v>
      </c>
      <c r="R26" s="154"/>
      <c r="S26" s="154"/>
      <c r="T26" s="154"/>
      <c r="U26" s="154"/>
      <c r="V26" s="154"/>
      <c r="W26" s="154"/>
      <c r="X26" s="154"/>
      <c r="Y26" s="154"/>
      <c r="Z26" s="134">
        <f t="shared" si="7"/>
        <v>0</v>
      </c>
      <c r="AA26" s="122">
        <f>(Tableau2[[#This Row],[total TT]]+0.44*Tableau2[[#This Row],[LF_TT]])+(Tableau2[[#This Row],[BP]]-Tableau2[[#This Row],[RO]])</f>
        <v>0</v>
      </c>
      <c r="AB26" s="123" t="e">
        <f>100*(Tableau2[[#This Row],[PTS]]/Tableau2[[#This Row],[POSS]])</f>
        <v>#DIV/0!</v>
      </c>
      <c r="AC26" s="145"/>
      <c r="AD26" s="135" t="e">
        <f>Tableau2[[#This Row],[Off RTG]]-Tableau2[[#This Row],[DEF RTG]]</f>
        <v>#DIV/0!</v>
      </c>
      <c r="AE26" s="123" t="e">
        <f>(Tableau2[[#This Row],[RO]]/((Tableau2[[#This Row],[total TT]]-Tableau2[[#This Row],[total TR]])+(Tableau2[[#This Row],[LF_TT]]-Tableau2[[#This Row],[LF_TR]]))*100)</f>
        <v>#DIV/0!</v>
      </c>
      <c r="AF26" s="123" t="e">
        <f>(Tableau2[[#This Row],[BP]]/Tableau2[[#This Row],[POSS]])*100</f>
        <v>#DIV/0!</v>
      </c>
      <c r="AG26" s="146"/>
      <c r="AH26" s="147"/>
      <c r="AI26" s="166"/>
    </row>
    <row r="27" spans="1:35" ht="16.5" thickBot="1" x14ac:dyDescent="0.3">
      <c r="A27" s="156"/>
      <c r="B27" s="226"/>
      <c r="C27" s="157"/>
      <c r="D27" s="150"/>
      <c r="E27" s="151" t="e">
        <f>Tableau2[[#This Row],[TR_2]]/Tableau2[[#This Row],[TT_2]]</f>
        <v>#DIV/0!</v>
      </c>
      <c r="F27" s="152"/>
      <c r="G27" s="152"/>
      <c r="H27" s="151" t="e">
        <f>Tableau2[[#This Row],[TR_3]]/Tableau2[[#This Row],[TT_3]]</f>
        <v>#DIV/0!</v>
      </c>
      <c r="I27" s="115">
        <f>Tableau2[[#This Row],[TR_2]]+Tableau2[[#This Row],[TR_3]]</f>
        <v>0</v>
      </c>
      <c r="J27" s="115">
        <f>Tableau2[[#This Row],[TT_2]]+Tableau2[[#This Row],[TT_3]]</f>
        <v>0</v>
      </c>
      <c r="K27" s="151" t="e">
        <f>Tableau2[[#This Row],[total TR]]/Tableau2[[#This Row],[total TT]]</f>
        <v>#DIV/0!</v>
      </c>
      <c r="L27" s="152"/>
      <c r="M27" s="152"/>
      <c r="N27" s="151" t="e">
        <f>Tableau2[[#This Row],[LF_TR]]/Tableau2[[#This Row],[LF_TT]]</f>
        <v>#DIV/0!</v>
      </c>
      <c r="O27" s="153" t="e">
        <f>((Tableau2[[#This Row],[total TR]]+0.5*Tableau2[[#This Row],[TR_3]])/Tableau2[[#This Row],[total TT]])</f>
        <v>#DIV/0!</v>
      </c>
      <c r="P27" s="153" t="e">
        <f>(Tableau2[[#This Row],[PTS]]/(2*(Tableau2[[#This Row],[total TT]]+(0.44*Tableau2[[#This Row],[LF_TT]]))))</f>
        <v>#DIV/0!</v>
      </c>
      <c r="Q27" s="119">
        <f>(Tableau2[[#This Row],[TR_2]]*2)+(Tableau2[[#This Row],[TR_3]]*3)+(Tableau2[[#This Row],[LF_TR]])</f>
        <v>0</v>
      </c>
      <c r="R27" s="154"/>
      <c r="S27" s="154"/>
      <c r="T27" s="154"/>
      <c r="U27" s="154"/>
      <c r="V27" s="154"/>
      <c r="W27" s="154"/>
      <c r="X27" s="154"/>
      <c r="Y27" s="154"/>
      <c r="Z27" s="134">
        <f t="shared" si="7"/>
        <v>0</v>
      </c>
      <c r="AA27" s="122">
        <f>(Tableau2[[#This Row],[total TT]]+0.44*Tableau2[[#This Row],[LF_TT]])+(Tableau2[[#This Row],[BP]]-Tableau2[[#This Row],[RO]])</f>
        <v>0</v>
      </c>
      <c r="AB27" s="123" t="e">
        <f>100*(Tableau2[[#This Row],[PTS]]/Tableau2[[#This Row],[POSS]])</f>
        <v>#DIV/0!</v>
      </c>
      <c r="AC27" s="145"/>
      <c r="AD27" s="135" t="e">
        <f>Tableau2[[#This Row],[Off RTG]]-Tableau2[[#This Row],[DEF RTG]]</f>
        <v>#DIV/0!</v>
      </c>
      <c r="AE27" s="123" t="e">
        <f>(Tableau2[[#This Row],[RO]]/((Tableau2[[#This Row],[total TT]]-Tableau2[[#This Row],[total TR]])+(Tableau2[[#This Row],[LF_TT]]-Tableau2[[#This Row],[LF_TR]]))*100)</f>
        <v>#DIV/0!</v>
      </c>
      <c r="AF27" s="123" t="e">
        <f>(Tableau2[[#This Row],[BP]]/Tableau2[[#This Row],[POSS]])*100</f>
        <v>#DIV/0!</v>
      </c>
      <c r="AG27" s="146"/>
      <c r="AH27" s="147"/>
      <c r="AI27" s="166"/>
    </row>
    <row r="28" spans="1:35" ht="16.5" thickBot="1" x14ac:dyDescent="0.3">
      <c r="A28" s="158"/>
      <c r="B28" s="228"/>
      <c r="C28" s="157"/>
      <c r="D28" s="150"/>
      <c r="E28" s="141" t="e">
        <f>Tableau2[[#This Row],[TR_2]]/Tableau2[[#This Row],[TT_2]]</f>
        <v>#DIV/0!</v>
      </c>
      <c r="F28" s="142"/>
      <c r="G28" s="142"/>
      <c r="H28" s="141" t="e">
        <f>Tableau2[[#This Row],[TR_3]]/Tableau2[[#This Row],[TT_3]]</f>
        <v>#DIV/0!</v>
      </c>
      <c r="I28" s="115">
        <f>Tableau2[[#This Row],[TR_2]]+Tableau2[[#This Row],[TR_3]]</f>
        <v>0</v>
      </c>
      <c r="J28" s="115">
        <f>Tableau2[[#This Row],[TT_2]]+Tableau2[[#This Row],[TT_3]]</f>
        <v>0</v>
      </c>
      <c r="K28" s="141" t="e">
        <f>Tableau2[[#This Row],[total TR]]/Tableau2[[#This Row],[total TT]]</f>
        <v>#DIV/0!</v>
      </c>
      <c r="L28" s="142"/>
      <c r="M28" s="142"/>
      <c r="N28" s="141" t="e">
        <f>Tableau2[[#This Row],[LF_TR]]/Tableau2[[#This Row],[LF_TT]]</f>
        <v>#DIV/0!</v>
      </c>
      <c r="O28" s="143" t="e">
        <f>((Tableau2[[#This Row],[total TR]]+0.5*Tableau2[[#This Row],[TR_3]])/Tableau2[[#This Row],[total TT]])</f>
        <v>#DIV/0!</v>
      </c>
      <c r="P28" s="143" t="e">
        <f>(Tableau2[[#This Row],[PTS]]/(2*(Tableau2[[#This Row],[total TT]]+(0.44*Tableau2[[#This Row],[LF_TT]]))))</f>
        <v>#DIV/0!</v>
      </c>
      <c r="Q28" s="119">
        <f>(Tableau2[[#This Row],[TR_2]]*2)+(Tableau2[[#This Row],[TR_3]]*3)+(Tableau2[[#This Row],[LF_TR]])</f>
        <v>0</v>
      </c>
      <c r="R28" s="144"/>
      <c r="S28" s="144"/>
      <c r="T28" s="144"/>
      <c r="U28" s="144"/>
      <c r="V28" s="144"/>
      <c r="W28" s="144"/>
      <c r="X28" s="144"/>
      <c r="Y28" s="144"/>
      <c r="Z28" s="134">
        <f t="shared" si="7"/>
        <v>0</v>
      </c>
      <c r="AA28" s="122">
        <f>(Tableau2[[#This Row],[total TT]]+0.44*Tableau2[[#This Row],[LF_TT]])+(Tableau2[[#This Row],[BP]]-Tableau2[[#This Row],[RO]])</f>
        <v>0</v>
      </c>
      <c r="AB28" s="123" t="e">
        <f>100*(Tableau2[[#This Row],[PTS]]/Tableau2[[#This Row],[POSS]])</f>
        <v>#DIV/0!</v>
      </c>
      <c r="AC28" s="159"/>
      <c r="AD28" s="135" t="e">
        <f>Tableau2[[#This Row],[Off RTG]]-Tableau2[[#This Row],[DEF RTG]]</f>
        <v>#DIV/0!</v>
      </c>
      <c r="AE28" s="123" t="e">
        <f>(Tableau2[[#This Row],[RO]]/((Tableau2[[#This Row],[total TT]]-Tableau2[[#This Row],[total TR]])+(Tableau2[[#This Row],[LF_TT]]-Tableau2[[#This Row],[LF_TR]]))*100)</f>
        <v>#DIV/0!</v>
      </c>
      <c r="AF28" s="123" t="e">
        <f>(Tableau2[[#This Row],[BP]]/Tableau2[[#This Row],[POSS]])*100</f>
        <v>#DIV/0!</v>
      </c>
      <c r="AG28" s="160"/>
      <c r="AH28" s="161"/>
      <c r="AI28" s="166"/>
    </row>
    <row r="29" spans="1:35" ht="16.5" thickBot="1" x14ac:dyDescent="0.3">
      <c r="A29" s="179"/>
      <c r="B29" s="228"/>
      <c r="C29" s="180"/>
      <c r="D29" s="181"/>
      <c r="E29" s="182" t="e">
        <f>Tableau2[[#This Row],[TR_2]]/Tableau2[[#This Row],[TT_2]]</f>
        <v>#DIV/0!</v>
      </c>
      <c r="F29" s="183"/>
      <c r="G29" s="183"/>
      <c r="H29" s="182" t="e">
        <f>Tableau2[[#This Row],[TR_3]]/Tableau2[[#This Row],[TT_3]]</f>
        <v>#DIV/0!</v>
      </c>
      <c r="I29" s="115">
        <f>Tableau2[[#This Row],[TR_2]]+Tableau2[[#This Row],[TR_3]]</f>
        <v>0</v>
      </c>
      <c r="J29" s="115">
        <f>Tableau2[[#This Row],[TT_2]]+Tableau2[[#This Row],[TT_3]]</f>
        <v>0</v>
      </c>
      <c r="K29" s="182" t="e">
        <f>Tableau2[[#This Row],[total TR]]/Tableau2[[#This Row],[total TT]]</f>
        <v>#DIV/0!</v>
      </c>
      <c r="L29" s="183"/>
      <c r="M29" s="183"/>
      <c r="N29" s="182" t="e">
        <f>Tableau2[[#This Row],[LF_TR]]/Tableau2[[#This Row],[LF_TT]]</f>
        <v>#DIV/0!</v>
      </c>
      <c r="O29" s="184" t="e">
        <f>((Tableau2[[#This Row],[total TR]]+0.5*Tableau2[[#This Row],[TR_3]])/Tableau2[[#This Row],[total TT]])</f>
        <v>#DIV/0!</v>
      </c>
      <c r="P29" s="184" t="e">
        <f>(Tableau2[[#This Row],[PTS]]/(2*(Tableau2[[#This Row],[total TT]]+(0.44*Tableau2[[#This Row],[LF_TT]]))))</f>
        <v>#DIV/0!</v>
      </c>
      <c r="Q29" s="119">
        <f>(Tableau2[[#This Row],[TR_2]]*2)+(Tableau2[[#This Row],[TR_3]]*3)+(Tableau2[[#This Row],[LF_TR]])</f>
        <v>0</v>
      </c>
      <c r="R29" s="185"/>
      <c r="S29" s="185"/>
      <c r="T29" s="185"/>
      <c r="U29" s="185"/>
      <c r="V29" s="185"/>
      <c r="W29" s="185"/>
      <c r="X29" s="185"/>
      <c r="Y29" s="185"/>
      <c r="Z29" s="134">
        <f t="shared" si="7"/>
        <v>0</v>
      </c>
      <c r="AA29" s="122">
        <f>(Tableau2[[#This Row],[total TT]]+0.44*Tableau2[[#This Row],[LF_TT]])+(Tableau2[[#This Row],[BP]]-Tableau2[[#This Row],[RO]])</f>
        <v>0</v>
      </c>
      <c r="AB29" s="123" t="e">
        <f>100*(Tableau2[[#This Row],[PTS]]/Tableau2[[#This Row],[POSS]])</f>
        <v>#DIV/0!</v>
      </c>
      <c r="AC29" s="176"/>
      <c r="AD29" s="135" t="e">
        <f>Tableau2[[#This Row],[Off RTG]]-Tableau2[[#This Row],[DEF RTG]]</f>
        <v>#DIV/0!</v>
      </c>
      <c r="AE29" s="123" t="e">
        <f>(Tableau2[[#This Row],[RO]]/((Tableau2[[#This Row],[total TT]]-Tableau2[[#This Row],[total TR]])+(Tableau2[[#This Row],[LF_TT]]-Tableau2[[#This Row],[LF_TR]]))*100)</f>
        <v>#DIV/0!</v>
      </c>
      <c r="AF29" s="123" t="e">
        <f>(Tableau2[[#This Row],[BP]]/Tableau2[[#This Row],[POSS]])*100</f>
        <v>#DIV/0!</v>
      </c>
      <c r="AG29" s="186"/>
      <c r="AH29" s="177"/>
      <c r="AI29" s="177"/>
    </row>
    <row r="30" spans="1:35" x14ac:dyDescent="0.25">
      <c r="A30" s="190"/>
      <c r="B30" s="228"/>
      <c r="C30" s="189"/>
      <c r="D30" s="187"/>
      <c r="E30" s="191" t="e">
        <f>Tableau2[[#This Row],[TR_2]]/Tableau2[[#This Row],[TT_2]]</f>
        <v>#DIV/0!</v>
      </c>
      <c r="F30" s="192"/>
      <c r="G30" s="192"/>
      <c r="H30" s="191" t="e">
        <f>Tableau2[[#This Row],[TR_3]]/Tableau2[[#This Row],[TT_3]]</f>
        <v>#DIV/0!</v>
      </c>
      <c r="I30" s="115">
        <f>Tableau2[[#This Row],[TR_2]]+Tableau2[[#This Row],[TR_3]]</f>
        <v>0</v>
      </c>
      <c r="J30" s="115">
        <f>Tableau2[[#This Row],[TT_2]]+Tableau2[[#This Row],[TT_3]]</f>
        <v>0</v>
      </c>
      <c r="K30" s="191" t="e">
        <f>Tableau2[[#This Row],[total TR]]/Tableau2[[#This Row],[total TT]]</f>
        <v>#DIV/0!</v>
      </c>
      <c r="L30" s="192"/>
      <c r="M30" s="192"/>
      <c r="N30" s="191" t="e">
        <f>Tableau2[[#This Row],[LF_TR]]/Tableau2[[#This Row],[LF_TT]]</f>
        <v>#DIV/0!</v>
      </c>
      <c r="O30" s="193" t="e">
        <f>((Tableau2[[#This Row],[total TR]]+0.5*Tableau2[[#This Row],[TR_3]])/Tableau2[[#This Row],[total TT]])</f>
        <v>#DIV/0!</v>
      </c>
      <c r="P30" s="193" t="e">
        <f>(Tableau2[[#This Row],[PTS]]/(2*(Tableau2[[#This Row],[total TT]]+(0.44*Tableau2[[#This Row],[LF_TT]]))))</f>
        <v>#DIV/0!</v>
      </c>
      <c r="Q30" s="119">
        <f>(Tableau2[[#This Row],[TR_2]]*2)+(Tableau2[[#This Row],[TR_3]]*3)+(Tableau2[[#This Row],[LF_TR]])</f>
        <v>0</v>
      </c>
      <c r="R30" s="188"/>
      <c r="S30" s="188"/>
      <c r="T30" s="188"/>
      <c r="U30" s="188"/>
      <c r="V30" s="188"/>
      <c r="W30" s="188"/>
      <c r="X30" s="188"/>
      <c r="Y30" s="188"/>
      <c r="Z30" s="134">
        <f t="shared" si="7"/>
        <v>0</v>
      </c>
      <c r="AA30" s="122">
        <f>(Tableau2[[#This Row],[total TT]]+0.44*Tableau2[[#This Row],[LF_TT]])+(Tableau2[[#This Row],[BP]]-Tableau2[[#This Row],[RO]])</f>
        <v>0</v>
      </c>
      <c r="AB30" s="123" t="e">
        <f>100*(Tableau2[[#This Row],[PTS]]/Tableau2[[#This Row],[POSS]])</f>
        <v>#DIV/0!</v>
      </c>
      <c r="AC30" s="194"/>
      <c r="AD30" s="135" t="e">
        <f>Tableau2[[#This Row],[Off RTG]]-Tableau2[[#This Row],[DEF RTG]]</f>
        <v>#DIV/0!</v>
      </c>
      <c r="AE30" s="123" t="e">
        <f>(Tableau2[[#This Row],[RO]]/((Tableau2[[#This Row],[total TT]]-Tableau2[[#This Row],[total TR]])+(Tableau2[[#This Row],[LF_TT]]-Tableau2[[#This Row],[LF_TR]]))*100)</f>
        <v>#DIV/0!</v>
      </c>
      <c r="AF30" s="123" t="e">
        <f>(Tableau2[[#This Row],[BP]]/Tableau2[[#This Row],[POSS]])*100</f>
        <v>#DIV/0!</v>
      </c>
      <c r="AG30" s="196"/>
      <c r="AH30" s="195"/>
      <c r="AI30" s="195"/>
    </row>
    <row r="31" spans="1:35" ht="16.5" thickBot="1" x14ac:dyDescent="0.3"/>
    <row r="32" spans="1:35" ht="16.5" thickBot="1" x14ac:dyDescent="0.3">
      <c r="A32" s="162" t="s">
        <v>34</v>
      </c>
      <c r="B32" s="174">
        <f>AVERAGE(Tableau2[TR_2])</f>
        <v>25.5</v>
      </c>
      <c r="C32" s="174">
        <f>AVERAGE(Tableau2[TT_2])</f>
        <v>49.5</v>
      </c>
      <c r="D32" s="174">
        <f>AVERAGE(Tableau2[TR_2])/AVERAGE(Tableau2[TT_2])</f>
        <v>0.51515151515151514</v>
      </c>
      <c r="E32" s="174">
        <f>AVERAGE(Tableau2[TR_3])</f>
        <v>4.5</v>
      </c>
      <c r="F32" s="174">
        <f>AVERAGE(Tableau2[TT_3])</f>
        <v>18.5</v>
      </c>
      <c r="G32" s="174">
        <f>AVERAGE(Tableau2[TR_3])/AVERAGE(Tableau2[TT_3])</f>
        <v>0.24324324324324326</v>
      </c>
      <c r="H32" s="174">
        <f>AVERAGE(Tableau2[total TR])</f>
        <v>2.4</v>
      </c>
      <c r="I32" s="174">
        <f>AVERAGE(Tableau2[total TT])</f>
        <v>5.44</v>
      </c>
      <c r="J32" s="174">
        <f>AVERAGE(Tableau2[total TR])/AVERAGE(Tableau2[total TT])</f>
        <v>0.44117647058823523</v>
      </c>
      <c r="K32" s="174">
        <f>AVERAGE(Tableau2[LF_TR])</f>
        <v>14.5</v>
      </c>
      <c r="L32" s="174">
        <f>AVERAGE(Tableau2[LF_TT])</f>
        <v>17.5</v>
      </c>
      <c r="M32" s="36">
        <f>AVERAGE(Tableau2[LF_TR])/AVERAGE(Tableau2[LF_TT])</f>
        <v>0.82857142857142863</v>
      </c>
      <c r="N32" s="163">
        <f>((AVERAGE(Tableau2[total TR])+0.5*AVERAGE(Tableau2[TR_3]))/AVERAGE(Tableau2[total TT]))</f>
        <v>0.85477941176470584</v>
      </c>
      <c r="O32" s="164">
        <f>(AVERAGE(Tableau2[PTS])/(2*(AVERAGE(Tableau2[total TT])+(0.44*AVERAGE(Tableau2[LF_TT])))))</f>
        <v>0.24048706240487061</v>
      </c>
      <c r="P32" s="173">
        <f>AVERAGE(Tableau2[PTS])</f>
        <v>6.32</v>
      </c>
      <c r="Q32" s="172">
        <f>AVERAGE(Tableau2[INT])</f>
        <v>9.5</v>
      </c>
      <c r="R32" s="172">
        <f>AVERAGE(Tableau2[BP])</f>
        <v>16</v>
      </c>
      <c r="S32" s="172">
        <f>AVERAGE(Tableau2[PD])</f>
        <v>20.5</v>
      </c>
      <c r="T32" s="172">
        <f>AVERAGE(Tableau2[CTRE])</f>
        <v>4</v>
      </c>
      <c r="U32" s="172">
        <f>AVERAGE(Tableau2[RO])</f>
        <v>15.5</v>
      </c>
      <c r="V32" s="172">
        <f>AVERAGE(Tableau2[RD])</f>
        <v>26.5</v>
      </c>
      <c r="W32" s="172">
        <f>AVERAGE(Tableau2[FP])</f>
        <v>19.5</v>
      </c>
      <c r="X32" s="172">
        <f>AVERAGE(Tableau2[Fpro])</f>
        <v>20.5</v>
      </c>
      <c r="Y32" s="172">
        <f>AVERAGE(Tableau2[EFF])</f>
        <v>7.84</v>
      </c>
      <c r="Z32" s="171">
        <f>AVERAGE(Tableau2[POSS])</f>
        <v>6.0960000000000001</v>
      </c>
      <c r="AA32" s="171" t="e">
        <f>AVERAGE(Tableau2[Off RTG])</f>
        <v>#DIV/0!</v>
      </c>
      <c r="AB32" s="171">
        <f>AVERAGE(Tableau2[DEF RTG])</f>
        <v>84.2</v>
      </c>
      <c r="AC32" s="171" t="e">
        <f>AVERAGE(Tableau2[NET RTG])</f>
        <v>#DIV/0!</v>
      </c>
      <c r="AD32" s="171" t="e">
        <f>AVERAGE(Tableau2[ratio RO])</f>
        <v>#DIV/0!</v>
      </c>
      <c r="AE32" s="171" t="e">
        <f>AVERAGE(Tableau2[ratio TOV])</f>
        <v>#DIV/0!</v>
      </c>
      <c r="AF32" s="171">
        <f>AVERAGE(Tableau2[PTS INT])</f>
        <v>39</v>
      </c>
      <c r="AG32" s="171">
        <f>AVERAGE(Tableau2[PTS CA])</f>
        <v>5</v>
      </c>
      <c r="AH32" s="171">
        <f>AVERAGE(Tableau2[PTS APRES BP])</f>
        <v>28</v>
      </c>
    </row>
    <row r="33" spans="1:34" ht="16.5" thickBot="1" x14ac:dyDescent="0.3">
      <c r="A33" s="71" t="s">
        <v>36</v>
      </c>
      <c r="B33" s="170">
        <f>SUM(Tableau2[TR_2])</f>
        <v>51</v>
      </c>
      <c r="C33" s="170">
        <f>SUM(Tableau2[TT_2])</f>
        <v>99</v>
      </c>
      <c r="D33" s="74">
        <f>B33/C33</f>
        <v>0.51515151515151514</v>
      </c>
      <c r="E33" s="170">
        <f>SUM(F6:F30)</f>
        <v>9</v>
      </c>
      <c r="F33" s="170">
        <f>SUM(Tableau2[TT_3])</f>
        <v>37</v>
      </c>
      <c r="G33" s="74">
        <f>SUM(F6:F30)/SUM(Tableau2[TT_3])</f>
        <v>0.24324324324324326</v>
      </c>
      <c r="H33" s="169">
        <f>SUM(Tableau2[total TR])</f>
        <v>60</v>
      </c>
      <c r="I33" s="169">
        <f>SUM(Tableau2[total TT])</f>
        <v>136</v>
      </c>
      <c r="J33" s="74">
        <f>H33/I33</f>
        <v>0.44117647058823528</v>
      </c>
      <c r="K33" s="169">
        <f>SUM(Tableau2[LF_TR])</f>
        <v>29</v>
      </c>
      <c r="L33" s="169">
        <f>SUM(Tableau2[LF_TT])</f>
        <v>35</v>
      </c>
      <c r="M33" s="74">
        <f>K33/L33</f>
        <v>0.82857142857142863</v>
      </c>
      <c r="N33" s="74">
        <f>((H33+0.5*E33)/I33)</f>
        <v>0.47426470588235292</v>
      </c>
      <c r="O33" s="75">
        <f>(P33/(2*(I33+(0.44*L33))))</f>
        <v>0.5217965653896961</v>
      </c>
      <c r="P33" s="175">
        <f>SUM(Tableau2[PTS])</f>
        <v>158</v>
      </c>
      <c r="Q33" s="169">
        <f>SUM(Tableau2[INT])</f>
        <v>19</v>
      </c>
      <c r="R33" s="169">
        <f>SUM(Tableau2[BP])</f>
        <v>32</v>
      </c>
      <c r="S33" s="169">
        <f>SUM(Tableau2[PD])</f>
        <v>41</v>
      </c>
      <c r="T33" s="169">
        <f>SUM(Tableau2[CTRE])</f>
        <v>8</v>
      </c>
      <c r="U33" s="169">
        <f>SUM(Tableau2[RO])</f>
        <v>31</v>
      </c>
      <c r="V33" s="169">
        <f>SUM(Tableau2[RD])</f>
        <v>53</v>
      </c>
      <c r="W33" s="169">
        <f>SUM(Tableau2[FP])</f>
        <v>39</v>
      </c>
      <c r="X33" s="169">
        <f>SUM(Tableau2[Fpro])</f>
        <v>41</v>
      </c>
      <c r="Y33" s="178">
        <f>SUM(Tableau2[EFF])</f>
        <v>196</v>
      </c>
      <c r="Z33" s="168">
        <f>SUM(Tableau2[POSS])</f>
        <v>152.4</v>
      </c>
      <c r="AA33" s="168" t="e">
        <f>SUM(Tableau2[Off RTG])</f>
        <v>#DIV/0!</v>
      </c>
      <c r="AB33" s="168">
        <f>SUM(Tableau2[DEF RTG])</f>
        <v>84.2</v>
      </c>
      <c r="AC33" s="168" t="e">
        <f>SUM(Tableau2[NET RTG])</f>
        <v>#DIV/0!</v>
      </c>
      <c r="AD33" s="168" t="e">
        <f>SUM(Tableau2[ratio RO])</f>
        <v>#DIV/0!</v>
      </c>
      <c r="AE33" s="168" t="e">
        <f>SUM(Tableau2[ratio TOV])</f>
        <v>#DIV/0!</v>
      </c>
      <c r="AF33" s="167">
        <f>SUM(Tableau2[PTS INT])</f>
        <v>78</v>
      </c>
      <c r="AG33" s="167">
        <f>SUM(Tableau2[PTS CA])</f>
        <v>10</v>
      </c>
      <c r="AH33" s="167">
        <f>SUM(Tableau2[PTS APRES BP])</f>
        <v>56</v>
      </c>
    </row>
  </sheetData>
  <mergeCells count="5">
    <mergeCell ref="AL4:AN4"/>
    <mergeCell ref="AK7:AL7"/>
    <mergeCell ref="AO4:AQ4"/>
    <mergeCell ref="AR4:AT4"/>
    <mergeCell ref="AU4:AW4"/>
  </mergeCells>
  <conditionalFormatting sqref="AO6 AO8 AR6 AR8 AU6 AU8 AX6:AZ6 AX8:AZ8 M32:O32 E6:E30 H6:H30 K6:K30 N6:P30">
    <cfRule type="cellIs" dxfId="43" priority="74" stopIfTrue="1" operator="between">
      <formula>76%</formula>
      <formula>100%</formula>
    </cfRule>
    <cfRule type="cellIs" dxfId="42" priority="75" stopIfTrue="1" operator="between">
      <formula>61%</formula>
      <formula>75.99%</formula>
    </cfRule>
    <cfRule type="cellIs" dxfId="41" priority="76" stopIfTrue="1" operator="between">
      <formula>51%</formula>
      <formula>60.99%</formula>
    </cfRule>
    <cfRule type="cellIs" dxfId="40" priority="77" stopIfTrue="1" operator="between">
      <formula>41%</formula>
      <formula>50.99%</formula>
    </cfRule>
    <cfRule type="cellIs" dxfId="39" priority="78" stopIfTrue="1" operator="between">
      <formula>0%</formula>
      <formula>30.99%</formula>
    </cfRule>
  </conditionalFormatting>
  <conditionalFormatting sqref="AO6 AO8 AR6 AR8 AU6 AU8 AX6:AZ6 AX8:AZ8 M32:O32 E6:E30 H6:H30 K6:K30 N6:P30">
    <cfRule type="cellIs" dxfId="38" priority="73" stopIfTrue="1" operator="between">
      <formula>31%</formula>
      <formula>40.99%</formula>
    </cfRule>
  </conditionalFormatting>
  <conditionalFormatting sqref="AR7">
    <cfRule type="cellIs" dxfId="37" priority="32" stopIfTrue="1" operator="between">
      <formula>76%</formula>
      <formula>100%</formula>
    </cfRule>
    <cfRule type="cellIs" dxfId="36" priority="33" stopIfTrue="1" operator="between">
      <formula>61%</formula>
      <formula>75.99%</formula>
    </cfRule>
    <cfRule type="cellIs" dxfId="35" priority="34" stopIfTrue="1" operator="between">
      <formula>51%</formula>
      <formula>60.99%</formula>
    </cfRule>
    <cfRule type="cellIs" dxfId="34" priority="35" stopIfTrue="1" operator="between">
      <formula>41%</formula>
      <formula>50.99%</formula>
    </cfRule>
    <cfRule type="cellIs" dxfId="33" priority="36" stopIfTrue="1" operator="between">
      <formula>0%</formula>
      <formula>30.99%</formula>
    </cfRule>
  </conditionalFormatting>
  <conditionalFormatting sqref="AR7">
    <cfRule type="cellIs" dxfId="32" priority="31" stopIfTrue="1" operator="between">
      <formula>31%</formula>
      <formula>40.99%</formula>
    </cfRule>
  </conditionalFormatting>
  <conditionalFormatting sqref="AU7">
    <cfRule type="cellIs" dxfId="31" priority="26" stopIfTrue="1" operator="between">
      <formula>76%</formula>
      <formula>100%</formula>
    </cfRule>
    <cfRule type="cellIs" dxfId="30" priority="27" stopIfTrue="1" operator="between">
      <formula>61%</formula>
      <formula>75.99%</formula>
    </cfRule>
    <cfRule type="cellIs" dxfId="29" priority="28" stopIfTrue="1" operator="between">
      <formula>51%</formula>
      <formula>60.99%</formula>
    </cfRule>
    <cfRule type="cellIs" dxfId="28" priority="29" stopIfTrue="1" operator="between">
      <formula>41%</formula>
      <formula>50.99%</formula>
    </cfRule>
    <cfRule type="cellIs" dxfId="27" priority="30" stopIfTrue="1" operator="between">
      <formula>0%</formula>
      <formula>30.99%</formula>
    </cfRule>
  </conditionalFormatting>
  <conditionalFormatting sqref="AU7">
    <cfRule type="cellIs" dxfId="26" priority="25" stopIfTrue="1" operator="between">
      <formula>31%</formula>
      <formula>40.99%</formula>
    </cfRule>
  </conditionalFormatting>
  <conditionalFormatting sqref="AX7">
    <cfRule type="cellIs" dxfId="25" priority="20" stopIfTrue="1" operator="between">
      <formula>76%</formula>
      <formula>100%</formula>
    </cfRule>
    <cfRule type="cellIs" dxfId="24" priority="21" stopIfTrue="1" operator="between">
      <formula>61%</formula>
      <formula>75.99%</formula>
    </cfRule>
    <cfRule type="cellIs" dxfId="23" priority="22" stopIfTrue="1" operator="between">
      <formula>51%</formula>
      <formula>60.99%</formula>
    </cfRule>
    <cfRule type="cellIs" dxfId="22" priority="23" stopIfTrue="1" operator="between">
      <formula>41%</formula>
      <formula>50.99%</formula>
    </cfRule>
    <cfRule type="cellIs" dxfId="21" priority="24" stopIfTrue="1" operator="between">
      <formula>0%</formula>
      <formula>30.99%</formula>
    </cfRule>
  </conditionalFormatting>
  <conditionalFormatting sqref="AX7">
    <cfRule type="cellIs" dxfId="20" priority="19" stopIfTrue="1" operator="between">
      <formula>31%</formula>
      <formula>40.99%</formula>
    </cfRule>
  </conditionalFormatting>
  <conditionalFormatting sqref="AO7">
    <cfRule type="cellIs" dxfId="19" priority="14" stopIfTrue="1" operator="between">
      <formula>76%</formula>
      <formula>100%</formula>
    </cfRule>
    <cfRule type="cellIs" dxfId="18" priority="15" stopIfTrue="1" operator="between">
      <formula>61%</formula>
      <formula>75.99%</formula>
    </cfRule>
    <cfRule type="cellIs" dxfId="17" priority="16" stopIfTrue="1" operator="between">
      <formula>51%</formula>
      <formula>60.99%</formula>
    </cfRule>
    <cfRule type="cellIs" dxfId="16" priority="17" stopIfTrue="1" operator="between">
      <formula>41%</formula>
      <formula>50.99%</formula>
    </cfRule>
    <cfRule type="cellIs" dxfId="15" priority="18" stopIfTrue="1" operator="between">
      <formula>0%</formula>
      <formula>30.99%</formula>
    </cfRule>
  </conditionalFormatting>
  <conditionalFormatting sqref="AO7">
    <cfRule type="cellIs" dxfId="14" priority="13" stopIfTrue="1" operator="between">
      <formula>31%</formula>
      <formula>40.99%</formula>
    </cfRule>
  </conditionalFormatting>
  <conditionalFormatting sqref="AY7">
    <cfRule type="cellIs" dxfId="13" priority="8" stopIfTrue="1" operator="between">
      <formula>76%</formula>
      <formula>100%</formula>
    </cfRule>
    <cfRule type="cellIs" dxfId="12" priority="9" stopIfTrue="1" operator="between">
      <formula>61%</formula>
      <formula>75.99%</formula>
    </cfRule>
    <cfRule type="cellIs" dxfId="11" priority="10" stopIfTrue="1" operator="between">
      <formula>51%</formula>
      <formula>60.99%</formula>
    </cfRule>
    <cfRule type="cellIs" dxfId="10" priority="11" stopIfTrue="1" operator="between">
      <formula>41%</formula>
      <formula>50.99%</formula>
    </cfRule>
    <cfRule type="cellIs" dxfId="9" priority="12" stopIfTrue="1" operator="between">
      <formula>0%</formula>
      <formula>30.99%</formula>
    </cfRule>
  </conditionalFormatting>
  <conditionalFormatting sqref="AY7">
    <cfRule type="cellIs" dxfId="8" priority="7" stopIfTrue="1" operator="between">
      <formula>31%</formula>
      <formula>40.99%</formula>
    </cfRule>
  </conditionalFormatting>
  <conditionalFormatting sqref="AZ7">
    <cfRule type="cellIs" dxfId="7" priority="2" stopIfTrue="1" operator="between">
      <formula>76%</formula>
      <formula>100%</formula>
    </cfRule>
    <cfRule type="cellIs" dxfId="6" priority="3" stopIfTrue="1" operator="between">
      <formula>61%</formula>
      <formula>75.99%</formula>
    </cfRule>
    <cfRule type="cellIs" dxfId="5" priority="4" stopIfTrue="1" operator="between">
      <formula>51%</formula>
      <formula>60.99%</formula>
    </cfRule>
    <cfRule type="cellIs" dxfId="4" priority="5" stopIfTrue="1" operator="between">
      <formula>41%</formula>
      <formula>50.99%</formula>
    </cfRule>
    <cfRule type="cellIs" dxfId="3" priority="6" stopIfTrue="1" operator="between">
      <formula>0%</formula>
      <formula>30.99%</formula>
    </cfRule>
  </conditionalFormatting>
  <conditionalFormatting sqref="AZ7">
    <cfRule type="cellIs" dxfId="2" priority="1" stopIfTrue="1" operator="between">
      <formula>31%</formula>
      <formula>40.99%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</vt:lpstr>
      <vt:lpstr>Stats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yal</cp:lastModifiedBy>
  <dcterms:created xsi:type="dcterms:W3CDTF">2021-10-09T23:14:43Z</dcterms:created>
  <dcterms:modified xsi:type="dcterms:W3CDTF">2021-10-10T13:39:11Z</dcterms:modified>
</cp:coreProperties>
</file>