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929"/>
  <workbookPr/>
  <mc:AlternateContent xmlns:mc="http://schemas.openxmlformats.org/markup-compatibility/2006">
    <mc:Choice Requires="x15">
      <x15ac:absPath xmlns:x15ac="http://schemas.microsoft.com/office/spreadsheetml/2010/11/ac" url="https://d.docs.live.net/e2a090e5f956f425/Bureau/"/>
    </mc:Choice>
  </mc:AlternateContent>
  <xr:revisionPtr revIDLastSave="6" documentId="13_ncr:1_{C41B178A-912E-43CE-9DCF-723D9C8203F4}" xr6:coauthVersionLast="46" xr6:coauthVersionMax="46" xr10:uidLastSave="{993E8CC5-17FF-4BA1-8DE4-29391E95D4D0}"/>
  <bookViews>
    <workbookView xWindow="-120" yWindow="-120" windowWidth="29040" windowHeight="15840" tabRatio="883" xr2:uid="{00000000-000D-0000-FFFF-FFFF00000000}"/>
  </bookViews>
  <sheets>
    <sheet name="ANALYSE REGISTRES 17" sheetId="4" r:id="rId1"/>
    <sheet name="Base de données" sheetId="15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87" i="4" l="1" a="1"/>
  <c r="H87" i="4" s="1"/>
  <c r="H86" i="4" a="1"/>
  <c r="H86" i="4" s="1"/>
  <c r="H78" i="4"/>
  <c r="K103" i="4"/>
  <c r="K96" i="4"/>
  <c r="K89" i="4"/>
  <c r="H107" i="4"/>
  <c r="H99" i="4"/>
  <c r="H91" i="4" l="1"/>
  <c r="I84" i="4" a="1"/>
  <c r="I84" i="4" s="1"/>
  <c r="J84" i="4" a="1"/>
  <c r="J84" i="4" s="1"/>
  <c r="I85" i="4" a="1"/>
  <c r="I85" i="4" s="1"/>
  <c r="J85" i="4" a="1"/>
  <c r="J85" i="4"/>
  <c r="I86" i="4" a="1"/>
  <c r="I86" i="4" s="1"/>
  <c r="J86" i="4" a="1"/>
  <c r="J86" i="4" s="1"/>
  <c r="I87" i="4" a="1"/>
  <c r="I87" i="4" s="1"/>
  <c r="J87" i="4" a="1"/>
  <c r="J87" i="4" s="1"/>
  <c r="I88" i="4" a="1"/>
  <c r="I88" i="4" s="1"/>
  <c r="J88" i="4" a="1"/>
  <c r="J88" i="4" s="1"/>
  <c r="I89" i="4" a="1"/>
  <c r="I89" i="4" s="1"/>
  <c r="J89" i="4" a="1"/>
  <c r="J89" i="4" s="1"/>
  <c r="I90" i="4" a="1"/>
  <c r="I90" i="4" s="1"/>
  <c r="J90" i="4" a="1"/>
  <c r="J90" i="4" s="1"/>
  <c r="I92" i="4" a="1"/>
  <c r="I92" i="4" s="1"/>
  <c r="J92" i="4" a="1"/>
  <c r="J92" i="4"/>
  <c r="I93" i="4" a="1"/>
  <c r="I93" i="4" s="1"/>
  <c r="J93" i="4" a="1"/>
  <c r="J93" i="4" s="1"/>
  <c r="I94" i="4" a="1"/>
  <c r="I94" i="4" s="1"/>
  <c r="J94" i="4" a="1"/>
  <c r="J94" i="4" s="1"/>
  <c r="I95" i="4" a="1"/>
  <c r="I95" i="4" s="1"/>
  <c r="J95" i="4" a="1"/>
  <c r="J95" i="4" s="1"/>
  <c r="I96" i="4" a="1"/>
  <c r="I96" i="4" s="1"/>
  <c r="J96" i="4" a="1"/>
  <c r="J96" i="4" s="1"/>
  <c r="I97" i="4" a="1"/>
  <c r="I97" i="4" s="1"/>
  <c r="J97" i="4" a="1"/>
  <c r="J97" i="4" s="1"/>
  <c r="I98" i="4" a="1"/>
  <c r="I98" i="4" s="1"/>
  <c r="J98" i="4" a="1"/>
  <c r="J98" i="4" s="1"/>
  <c r="I100" i="4" a="1"/>
  <c r="I100" i="4" s="1"/>
  <c r="J100" i="4" a="1"/>
  <c r="J100" i="4" s="1"/>
  <c r="I101" i="4" a="1"/>
  <c r="I101" i="4" s="1"/>
  <c r="J101" i="4" a="1"/>
  <c r="J101" i="4" s="1"/>
  <c r="I102" i="4" a="1"/>
  <c r="I102" i="4" s="1"/>
  <c r="J102" i="4" a="1"/>
  <c r="J102" i="4"/>
  <c r="I103" i="4" a="1"/>
  <c r="I103" i="4" s="1"/>
  <c r="J103" i="4" a="1"/>
  <c r="J103" i="4" s="1"/>
  <c r="I104" i="4" a="1"/>
  <c r="I104" i="4" s="1"/>
  <c r="J104" i="4" a="1"/>
  <c r="J104" i="4" s="1"/>
  <c r="I105" i="4" a="1"/>
  <c r="I105" i="4" s="1"/>
  <c r="J105" i="4" a="1"/>
  <c r="J105" i="4" s="1"/>
  <c r="I106" i="4" a="1"/>
  <c r="I106" i="4" s="1"/>
  <c r="J106" i="4" a="1"/>
  <c r="J106" i="4" s="1"/>
  <c r="H104" i="4" l="1" a="1"/>
  <c r="H104" i="4" s="1"/>
  <c r="H101" i="4" a="1"/>
  <c r="H101" i="4" s="1"/>
  <c r="H88" i="4" a="1"/>
  <c r="H88" i="4" s="1"/>
  <c r="H96" i="4" a="1"/>
  <c r="H96" i="4" s="1"/>
  <c r="H82" i="4"/>
  <c r="H85" i="4" a="1"/>
  <c r="H85" i="4" s="1"/>
  <c r="H81" i="4"/>
  <c r="H80" i="4"/>
  <c r="H79" i="4"/>
  <c r="H77" i="4"/>
  <c r="K79" i="4"/>
  <c r="K78" i="4"/>
  <c r="K77" i="4"/>
  <c r="M102" i="4" a="1"/>
  <c r="M102" i="4" s="1"/>
  <c r="M101" i="4" a="1"/>
  <c r="M101" i="4" s="1"/>
  <c r="M100" i="4" a="1"/>
  <c r="M100" i="4" s="1"/>
  <c r="M99" i="4" a="1"/>
  <c r="M99" i="4" s="1"/>
  <c r="M98" i="4" a="1"/>
  <c r="M98" i="4" s="1"/>
  <c r="M97" i="4" a="1"/>
  <c r="M97" i="4" s="1"/>
  <c r="L102" i="4" a="1"/>
  <c r="L102" i="4" s="1"/>
  <c r="L101" i="4" a="1"/>
  <c r="L101" i="4" s="1"/>
  <c r="L100" i="4" a="1"/>
  <c r="L100" i="4" s="1"/>
  <c r="L99" i="4" a="1"/>
  <c r="L99" i="4" s="1"/>
  <c r="L98" i="4" a="1"/>
  <c r="L98" i="4" s="1"/>
  <c r="L97" i="4" a="1"/>
  <c r="L97" i="4" s="1"/>
  <c r="M95" i="4" a="1"/>
  <c r="M95" i="4" s="1"/>
  <c r="M94" i="4" a="1"/>
  <c r="M94" i="4" s="1"/>
  <c r="M93" i="4" a="1"/>
  <c r="M93" i="4" s="1"/>
  <c r="M92" i="4" a="1"/>
  <c r="M92" i="4" s="1"/>
  <c r="M91" i="4" a="1"/>
  <c r="M91" i="4" s="1"/>
  <c r="M90" i="4" a="1"/>
  <c r="M90" i="4" s="1"/>
  <c r="L95" i="4" a="1"/>
  <c r="L95" i="4" s="1"/>
  <c r="L94" i="4" a="1"/>
  <c r="L94" i="4" s="1"/>
  <c r="L93" i="4" a="1"/>
  <c r="L93" i="4" s="1"/>
  <c r="L92" i="4" a="1"/>
  <c r="L92" i="4" s="1"/>
  <c r="L91" i="4" a="1"/>
  <c r="L91" i="4" s="1"/>
  <c r="L90" i="4" a="1"/>
  <c r="L90" i="4" s="1"/>
  <c r="M87" i="4" a="1"/>
  <c r="M87" i="4" s="1"/>
  <c r="M88" i="4" a="1"/>
  <c r="M88" i="4" s="1"/>
  <c r="M86" i="4" a="1"/>
  <c r="M86" i="4" s="1"/>
  <c r="M83" i="4" a="1"/>
  <c r="M83" i="4" s="1"/>
  <c r="M84" i="4" a="1"/>
  <c r="M84" i="4" s="1"/>
  <c r="M85" i="4" a="1"/>
  <c r="M85" i="4" s="1"/>
  <c r="L88" i="4" a="1"/>
  <c r="L88" i="4" s="1"/>
  <c r="K88" i="4" a="1"/>
  <c r="K88" i="4" s="1"/>
  <c r="K87" i="4" a="1"/>
  <c r="K87" i="4" s="1"/>
  <c r="K86" i="4" a="1"/>
  <c r="K86" i="4" s="1"/>
  <c r="K85" i="4" a="1"/>
  <c r="K85" i="4" s="1"/>
  <c r="K84" i="4" a="1"/>
  <c r="K84" i="4" s="1"/>
  <c r="L87" i="4" a="1"/>
  <c r="L87" i="4" s="1"/>
  <c r="L86" i="4" a="1"/>
  <c r="L86" i="4" s="1"/>
  <c r="L84" i="4" a="1"/>
  <c r="L84" i="4" s="1"/>
  <c r="L85" i="4" a="1"/>
  <c r="L85" i="4" s="1"/>
  <c r="L83" i="4" a="1"/>
  <c r="L83" i="4" s="1"/>
  <c r="H76" i="4"/>
  <c r="H84" i="4" a="1"/>
  <c r="H84" i="4" s="1"/>
  <c r="H102" i="4" a="1"/>
  <c r="H102" i="4" s="1"/>
  <c r="H100" i="4" a="1"/>
  <c r="H100" i="4" s="1"/>
  <c r="H106" i="4" a="1"/>
  <c r="H106" i="4" s="1"/>
  <c r="H105" i="4" a="1"/>
  <c r="H105" i="4" s="1"/>
  <c r="H103" i="4" a="1"/>
  <c r="H103" i="4" s="1"/>
  <c r="H98" i="4" a="1"/>
  <c r="H98" i="4" s="1"/>
  <c r="H97" i="4" a="1"/>
  <c r="H97" i="4" s="1"/>
  <c r="H95" i="4" a="1"/>
  <c r="H95" i="4" s="1"/>
  <c r="H94" i="4" a="1"/>
  <c r="H94" i="4" s="1"/>
  <c r="H93" i="4" a="1"/>
  <c r="H93" i="4" s="1"/>
  <c r="H92" i="4" a="1"/>
  <c r="H92" i="4" s="1"/>
  <c r="K102" i="4" a="1"/>
  <c r="K102" i="4" s="1"/>
  <c r="K101" i="4" a="1"/>
  <c r="K101" i="4" s="1"/>
  <c r="K100" i="4" a="1"/>
  <c r="K100" i="4" s="1"/>
  <c r="K99" i="4" a="1"/>
  <c r="K99" i="4" s="1"/>
  <c r="K98" i="4" a="1"/>
  <c r="K98" i="4" s="1"/>
  <c r="K97" i="4" a="1"/>
  <c r="K97" i="4" s="1"/>
  <c r="K95" i="4" a="1"/>
  <c r="K95" i="4" s="1"/>
  <c r="K94" i="4" a="1"/>
  <c r="K94" i="4" s="1"/>
  <c r="K93" i="4" a="1"/>
  <c r="K93" i="4" s="1"/>
  <c r="K92" i="4" a="1"/>
  <c r="K92" i="4" s="1"/>
  <c r="K91" i="4" a="1"/>
  <c r="K91" i="4" s="1"/>
  <c r="K90" i="4" a="1"/>
  <c r="K90" i="4" s="1"/>
  <c r="K76" i="4"/>
  <c r="K83" i="4" a="1"/>
  <c r="K83" i="4" s="1"/>
  <c r="H90" i="4" a="1"/>
  <c r="H90" i="4" s="1"/>
  <c r="H89" i="4" a="1"/>
  <c r="H89" i="4" s="1"/>
  <c r="G90" i="4" a="1"/>
  <c r="G90" i="4" s="1"/>
  <c r="B47" i="15" s="1"/>
  <c r="K81" i="4"/>
  <c r="K80" i="4"/>
  <c r="C47" i="15"/>
  <c r="K47" i="15"/>
  <c r="C48" i="15"/>
  <c r="S59" i="15"/>
  <c r="S58" i="15"/>
  <c r="S57" i="15"/>
  <c r="S56" i="15"/>
  <c r="S55" i="15"/>
  <c r="S54" i="15"/>
  <c r="S53" i="15"/>
  <c r="S52" i="15"/>
  <c r="S51" i="15"/>
  <c r="S50" i="15"/>
  <c r="S49" i="15"/>
  <c r="S48" i="15"/>
  <c r="S47" i="15"/>
  <c r="K59" i="15"/>
  <c r="K58" i="15"/>
  <c r="K57" i="15"/>
  <c r="K56" i="15"/>
  <c r="K55" i="15"/>
  <c r="K54" i="15"/>
  <c r="K53" i="15"/>
  <c r="K52" i="15"/>
  <c r="K51" i="15"/>
  <c r="K50" i="15"/>
  <c r="K49" i="15"/>
  <c r="K48" i="15"/>
  <c r="C59" i="15"/>
  <c r="C58" i="15"/>
  <c r="C57" i="15"/>
  <c r="C56" i="15"/>
  <c r="C55" i="15"/>
  <c r="C54" i="15"/>
  <c r="C53" i="15"/>
  <c r="C52" i="15"/>
  <c r="C51" i="15"/>
  <c r="C50" i="15"/>
  <c r="C49" i="15"/>
  <c r="B76" i="4"/>
  <c r="B5" i="15" s="1"/>
  <c r="G130" i="4" a="1"/>
  <c r="G130" i="4" s="1"/>
  <c r="G129" i="4" a="1"/>
  <c r="G129" i="4" s="1"/>
  <c r="G128" i="4" a="1"/>
  <c r="G128" i="4" s="1"/>
  <c r="G127" i="4" a="1"/>
  <c r="G127" i="4" s="1"/>
  <c r="G126" i="4" a="1"/>
  <c r="G126" i="4" s="1"/>
  <c r="G125" i="4" a="1"/>
  <c r="G125" i="4" s="1"/>
  <c r="G124" i="4" a="1"/>
  <c r="G124" i="4" s="1"/>
  <c r="G123" i="4" a="1"/>
  <c r="G123" i="4" s="1"/>
  <c r="G122" i="4" a="1"/>
  <c r="G122" i="4" s="1"/>
  <c r="G121" i="4" a="1"/>
  <c r="G121" i="4" s="1"/>
  <c r="G120" i="4" a="1"/>
  <c r="G120" i="4" s="1"/>
  <c r="G119" i="4" a="1"/>
  <c r="G119" i="4" s="1"/>
  <c r="G118" i="4" a="1"/>
  <c r="G118" i="4" s="1"/>
  <c r="G116" i="4" a="1"/>
  <c r="G116" i="4" s="1"/>
  <c r="J59" i="15" s="1"/>
  <c r="G115" i="4" a="1"/>
  <c r="G115" i="4" s="1"/>
  <c r="J58" i="15" s="1"/>
  <c r="G114" i="4" a="1"/>
  <c r="G114" i="4" s="1"/>
  <c r="J57" i="15" s="1"/>
  <c r="G113" i="4" a="1"/>
  <c r="G113" i="4" s="1"/>
  <c r="J56" i="15" s="1"/>
  <c r="G112" i="4" a="1"/>
  <c r="G112" i="4" s="1"/>
  <c r="J55" i="15" s="1"/>
  <c r="G111" i="4" a="1"/>
  <c r="G111" i="4" s="1"/>
  <c r="J54" i="15" s="1"/>
  <c r="G110" i="4" a="1"/>
  <c r="G110" i="4" s="1"/>
  <c r="J53" i="15" s="1"/>
  <c r="G109" i="4" a="1"/>
  <c r="G109" i="4" s="1"/>
  <c r="J52" i="15" s="1"/>
  <c r="G108" i="4" a="1"/>
  <c r="G108" i="4" s="1"/>
  <c r="J51" i="15" s="1"/>
  <c r="G107" i="4" a="1"/>
  <c r="G107" i="4" s="1"/>
  <c r="J50" i="15" s="1"/>
  <c r="G106" i="4" a="1"/>
  <c r="G106" i="4" s="1"/>
  <c r="J49" i="15" s="1"/>
  <c r="G105" i="4" a="1"/>
  <c r="G105" i="4" s="1"/>
  <c r="J48" i="15" s="1"/>
  <c r="G104" i="4" a="1"/>
  <c r="G104" i="4" s="1"/>
  <c r="J47" i="15" s="1"/>
  <c r="G102" i="4" a="1"/>
  <c r="G102" i="4" s="1"/>
  <c r="B59" i="15" s="1"/>
  <c r="G101" i="4" a="1"/>
  <c r="G101" i="4" s="1"/>
  <c r="B58" i="15" s="1"/>
  <c r="G100" i="4" a="1"/>
  <c r="G100" i="4" s="1"/>
  <c r="B57" i="15" s="1"/>
  <c r="G99" i="4" a="1"/>
  <c r="G99" i="4" s="1"/>
  <c r="B56" i="15" s="1"/>
  <c r="G98" i="4" a="1"/>
  <c r="G98" i="4" s="1"/>
  <c r="B55" i="15" s="1"/>
  <c r="G97" i="4" a="1"/>
  <c r="G97" i="4" s="1"/>
  <c r="B54" i="15" s="1"/>
  <c r="G96" i="4" a="1"/>
  <c r="G96" i="4" s="1"/>
  <c r="B53" i="15" s="1"/>
  <c r="G95" i="4" a="1"/>
  <c r="G95" i="4" s="1"/>
  <c r="B52" i="15" s="1"/>
  <c r="G94" i="4" a="1"/>
  <c r="G94" i="4" s="1"/>
  <c r="B51" i="15" s="1"/>
  <c r="G93" i="4" a="1"/>
  <c r="G93" i="4" s="1"/>
  <c r="B50" i="15" s="1"/>
  <c r="G92" i="4" a="1"/>
  <c r="G92" i="4" s="1"/>
  <c r="B49" i="15" s="1"/>
  <c r="G91" i="4" a="1"/>
  <c r="G91" i="4" s="1"/>
  <c r="B48" i="15" s="1"/>
  <c r="G88" i="4"/>
  <c r="G87" i="4"/>
  <c r="G86" i="4"/>
  <c r="G85" i="4"/>
  <c r="G84" i="4"/>
  <c r="G83" i="4"/>
  <c r="G82" i="4"/>
  <c r="G81" i="4"/>
  <c r="G80" i="4"/>
  <c r="G79" i="4"/>
  <c r="G78" i="4"/>
  <c r="G77" i="4"/>
  <c r="E92" i="4" a="1"/>
  <c r="E92" i="4" s="1"/>
  <c r="B27" i="15" s="1"/>
  <c r="T14" i="15"/>
  <c r="T15" i="15"/>
  <c r="T16" i="15"/>
  <c r="T17" i="15"/>
  <c r="T18" i="15"/>
  <c r="T19" i="15"/>
  <c r="T20" i="15"/>
  <c r="T21" i="15"/>
  <c r="T13" i="15"/>
  <c r="L14" i="15"/>
  <c r="L15" i="15"/>
  <c r="L16" i="15"/>
  <c r="L17" i="15"/>
  <c r="L18" i="15"/>
  <c r="L19" i="15"/>
  <c r="L20" i="15"/>
  <c r="L21" i="15"/>
  <c r="L13" i="15"/>
  <c r="D14" i="15"/>
  <c r="D15" i="15"/>
  <c r="D16" i="15"/>
  <c r="D17" i="15"/>
  <c r="D18" i="15"/>
  <c r="D19" i="15"/>
  <c r="D20" i="15"/>
  <c r="D21" i="15"/>
  <c r="D13" i="15"/>
  <c r="U28" i="15"/>
  <c r="U29" i="15"/>
  <c r="U30" i="15"/>
  <c r="U31" i="15"/>
  <c r="U32" i="15"/>
  <c r="U33" i="15"/>
  <c r="U34" i="15"/>
  <c r="U35" i="15"/>
  <c r="U36" i="15"/>
  <c r="U37" i="15"/>
  <c r="U38" i="15"/>
  <c r="U39" i="15"/>
  <c r="U40" i="15"/>
  <c r="U41" i="15"/>
  <c r="U27" i="15"/>
  <c r="M28" i="15"/>
  <c r="M29" i="15"/>
  <c r="M30" i="15"/>
  <c r="M31" i="15"/>
  <c r="M32" i="15"/>
  <c r="M33" i="15"/>
  <c r="M34" i="15"/>
  <c r="M35" i="15"/>
  <c r="M36" i="15"/>
  <c r="M37" i="15"/>
  <c r="M38" i="15"/>
  <c r="M39" i="15"/>
  <c r="M40" i="15"/>
  <c r="M41" i="15"/>
  <c r="M27" i="15"/>
  <c r="E28" i="15"/>
  <c r="E29" i="15"/>
  <c r="E30" i="15"/>
  <c r="E31" i="15"/>
  <c r="E32" i="15"/>
  <c r="E33" i="15"/>
  <c r="E34" i="15"/>
  <c r="E35" i="15"/>
  <c r="E36" i="15"/>
  <c r="E37" i="15"/>
  <c r="E38" i="15"/>
  <c r="E39" i="15"/>
  <c r="E40" i="15"/>
  <c r="E41" i="15"/>
  <c r="E27" i="15"/>
  <c r="E13" i="15"/>
  <c r="T28" i="15"/>
  <c r="T29" i="15"/>
  <c r="T30" i="15"/>
  <c r="T31" i="15"/>
  <c r="T32" i="15"/>
  <c r="T33" i="15"/>
  <c r="T34" i="15"/>
  <c r="T35" i="15"/>
  <c r="T36" i="15"/>
  <c r="T37" i="15"/>
  <c r="T38" i="15"/>
  <c r="T39" i="15"/>
  <c r="T40" i="15"/>
  <c r="T41" i="15"/>
  <c r="L28" i="15"/>
  <c r="L29" i="15"/>
  <c r="L30" i="15"/>
  <c r="L31" i="15"/>
  <c r="L32" i="15"/>
  <c r="L33" i="15"/>
  <c r="L34" i="15"/>
  <c r="L35" i="15"/>
  <c r="L36" i="15"/>
  <c r="L37" i="15"/>
  <c r="L38" i="15"/>
  <c r="L39" i="15"/>
  <c r="L40" i="15"/>
  <c r="L41" i="15"/>
  <c r="D28" i="15"/>
  <c r="D29" i="15"/>
  <c r="D30" i="15"/>
  <c r="D31" i="15"/>
  <c r="D32" i="15"/>
  <c r="D33" i="15"/>
  <c r="D34" i="15"/>
  <c r="D35" i="15"/>
  <c r="D36" i="15"/>
  <c r="D37" i="15"/>
  <c r="D38" i="15"/>
  <c r="D39" i="15"/>
  <c r="D40" i="15"/>
  <c r="D41" i="15"/>
  <c r="L27" i="15"/>
  <c r="T27" i="15"/>
  <c r="D27" i="15"/>
  <c r="S32" i="15"/>
  <c r="S41" i="15"/>
  <c r="S40" i="15"/>
  <c r="S39" i="15"/>
  <c r="S38" i="15"/>
  <c r="S37" i="15"/>
  <c r="S36" i="15"/>
  <c r="S35" i="15"/>
  <c r="S34" i="15"/>
  <c r="S33" i="15"/>
  <c r="S31" i="15"/>
  <c r="S30" i="15"/>
  <c r="S29" i="15"/>
  <c r="S28" i="15"/>
  <c r="S27" i="15"/>
  <c r="K30" i="15"/>
  <c r="K41" i="15"/>
  <c r="K40" i="15"/>
  <c r="K39" i="15"/>
  <c r="K38" i="15"/>
  <c r="K37" i="15"/>
  <c r="K36" i="15"/>
  <c r="K35" i="15"/>
  <c r="K34" i="15"/>
  <c r="K33" i="15"/>
  <c r="K32" i="15"/>
  <c r="K31" i="15"/>
  <c r="K29" i="15"/>
  <c r="K28" i="15"/>
  <c r="K27" i="15"/>
  <c r="C41" i="15"/>
  <c r="C40" i="15"/>
  <c r="C39" i="15"/>
  <c r="C38" i="15"/>
  <c r="C37" i="15"/>
  <c r="C36" i="15"/>
  <c r="C35" i="15"/>
  <c r="C34" i="15"/>
  <c r="C33" i="15"/>
  <c r="C32" i="15"/>
  <c r="C31" i="15"/>
  <c r="C30" i="15"/>
  <c r="C29" i="15"/>
  <c r="C28" i="15"/>
  <c r="C13" i="15"/>
  <c r="E124" i="4" a="1"/>
  <c r="E124" i="4" s="1"/>
  <c r="R27" i="15" s="1"/>
  <c r="E108" i="4" a="1"/>
  <c r="E108" i="4" s="1"/>
  <c r="J27" i="15" s="1"/>
  <c r="E76" i="4"/>
  <c r="E137" i="4" a="1"/>
  <c r="E137" i="4" s="1"/>
  <c r="R40" i="15" s="1"/>
  <c r="E136" i="4" a="1"/>
  <c r="E136" i="4" s="1"/>
  <c r="R39" i="15" s="1"/>
  <c r="E135" i="4" a="1"/>
  <c r="E135" i="4" s="1"/>
  <c r="R38" i="15" s="1"/>
  <c r="E134" i="4" a="1"/>
  <c r="E134" i="4" s="1"/>
  <c r="R37" i="15" s="1"/>
  <c r="E132" i="4" a="1"/>
  <c r="E132" i="4" s="1"/>
  <c r="R35" i="15" s="1"/>
  <c r="E131" i="4" a="1"/>
  <c r="E131" i="4" s="1"/>
  <c r="R34" i="15" s="1"/>
  <c r="E130" i="4" a="1"/>
  <c r="E130" i="4" s="1"/>
  <c r="R33" i="15" s="1"/>
  <c r="E129" i="4" a="1"/>
  <c r="E129" i="4" s="1"/>
  <c r="R32" i="15" s="1"/>
  <c r="E128" i="4" a="1"/>
  <c r="E128" i="4" s="1"/>
  <c r="R31" i="15" s="1"/>
  <c r="E127" i="4" a="1"/>
  <c r="E127" i="4" s="1"/>
  <c r="R30" i="15" s="1"/>
  <c r="E126" i="4" a="1"/>
  <c r="E126" i="4" s="1"/>
  <c r="R29" i="15" s="1"/>
  <c r="E125" i="4" a="1"/>
  <c r="E125" i="4" s="1"/>
  <c r="R28" i="15" s="1"/>
  <c r="E133" i="4" a="1"/>
  <c r="E133" i="4" s="1"/>
  <c r="R36" i="15" s="1"/>
  <c r="E122" i="4" a="1"/>
  <c r="E122" i="4" s="1"/>
  <c r="J41" i="15" s="1"/>
  <c r="E121" i="4" a="1"/>
  <c r="E121" i="4" s="1"/>
  <c r="J40" i="15" s="1"/>
  <c r="E120" i="4" a="1"/>
  <c r="E120" i="4" s="1"/>
  <c r="J39" i="15" s="1"/>
  <c r="E119" i="4" a="1"/>
  <c r="E119" i="4" s="1"/>
  <c r="J38" i="15" s="1"/>
  <c r="E118" i="4" a="1"/>
  <c r="E118" i="4" s="1"/>
  <c r="J37" i="15" s="1"/>
  <c r="E117" i="4" a="1"/>
  <c r="E117" i="4" s="1"/>
  <c r="J36" i="15" s="1"/>
  <c r="E116" i="4" a="1"/>
  <c r="E116" i="4" s="1"/>
  <c r="J35" i="15" s="1"/>
  <c r="E115" i="4" a="1"/>
  <c r="E115" i="4" s="1"/>
  <c r="J34" i="15" s="1"/>
  <c r="E114" i="4" a="1"/>
  <c r="E114" i="4" s="1"/>
  <c r="J33" i="15" s="1"/>
  <c r="E113" i="4" a="1"/>
  <c r="E113" i="4" s="1"/>
  <c r="J32" i="15" s="1"/>
  <c r="E112" i="4" a="1"/>
  <c r="E112" i="4" s="1"/>
  <c r="J31" i="15" s="1"/>
  <c r="E111" i="4" a="1"/>
  <c r="E111" i="4" s="1"/>
  <c r="J30" i="15" s="1"/>
  <c r="E110" i="4" a="1"/>
  <c r="E110" i="4" s="1"/>
  <c r="J29" i="15" s="1"/>
  <c r="E109" i="4" a="1"/>
  <c r="E109" i="4" s="1"/>
  <c r="J28" i="15" s="1"/>
  <c r="E106" i="4" a="1"/>
  <c r="E106" i="4" s="1"/>
  <c r="B41" i="15" s="1"/>
  <c r="E105" i="4" a="1"/>
  <c r="E105" i="4" s="1"/>
  <c r="B40" i="15" s="1"/>
  <c r="E104" i="4" a="1"/>
  <c r="E104" i="4" s="1"/>
  <c r="B39" i="15" s="1"/>
  <c r="E103" i="4" a="1"/>
  <c r="E103" i="4" s="1"/>
  <c r="B38" i="15" s="1"/>
  <c r="E102" i="4" a="1"/>
  <c r="E102" i="4" s="1"/>
  <c r="B37" i="15" s="1"/>
  <c r="E101" i="4" a="1"/>
  <c r="E101" i="4" s="1"/>
  <c r="B36" i="15" s="1"/>
  <c r="E100" i="4" a="1"/>
  <c r="E100" i="4" s="1"/>
  <c r="B35" i="15" s="1"/>
  <c r="E99" i="4" a="1"/>
  <c r="E99" i="4" s="1"/>
  <c r="B34" i="15" s="1"/>
  <c r="E98" i="4" a="1"/>
  <c r="E98" i="4" s="1"/>
  <c r="B33" i="15" s="1"/>
  <c r="E97" i="4" a="1"/>
  <c r="E97" i="4" s="1"/>
  <c r="B32" i="15" s="1"/>
  <c r="E96" i="4" a="1"/>
  <c r="E96" i="4" s="1"/>
  <c r="B31" i="15" s="1"/>
  <c r="E95" i="4" a="1"/>
  <c r="E95" i="4" s="1"/>
  <c r="B30" i="15" s="1"/>
  <c r="E94" i="4" a="1"/>
  <c r="E94" i="4" s="1"/>
  <c r="B29" i="15" s="1"/>
  <c r="E93" i="4" a="1"/>
  <c r="E93" i="4" s="1"/>
  <c r="B28" i="15" s="1"/>
  <c r="D86" i="4" a="1"/>
  <c r="D86" i="4" s="1"/>
  <c r="B13" i="15" s="1"/>
  <c r="N14" i="15"/>
  <c r="N15" i="15"/>
  <c r="N16" i="15"/>
  <c r="N17" i="15"/>
  <c r="N18" i="15"/>
  <c r="N19" i="15"/>
  <c r="N20" i="15"/>
  <c r="N21" i="15"/>
  <c r="N13" i="15"/>
  <c r="V14" i="15"/>
  <c r="V15" i="15"/>
  <c r="V16" i="15"/>
  <c r="V17" i="15"/>
  <c r="V18" i="15"/>
  <c r="V19" i="15"/>
  <c r="V20" i="15"/>
  <c r="V21" i="15"/>
  <c r="V13" i="15"/>
  <c r="M21" i="15"/>
  <c r="M20" i="15"/>
  <c r="M19" i="15"/>
  <c r="M18" i="15"/>
  <c r="M17" i="15"/>
  <c r="M16" i="15"/>
  <c r="M15" i="15"/>
  <c r="M14" i="15"/>
  <c r="M13" i="15"/>
  <c r="U21" i="15"/>
  <c r="U20" i="15"/>
  <c r="U19" i="15"/>
  <c r="U18" i="15"/>
  <c r="U17" i="15"/>
  <c r="U16" i="15"/>
  <c r="U15" i="15"/>
  <c r="U14" i="15"/>
  <c r="U13" i="15"/>
  <c r="K14" i="15"/>
  <c r="K15" i="15"/>
  <c r="K16" i="15"/>
  <c r="K17" i="15"/>
  <c r="K18" i="15"/>
  <c r="K19" i="15"/>
  <c r="K20" i="15"/>
  <c r="K21" i="15"/>
  <c r="K13" i="15"/>
  <c r="S21" i="15"/>
  <c r="S20" i="15"/>
  <c r="S19" i="15"/>
  <c r="S18" i="15"/>
  <c r="S17" i="15"/>
  <c r="S16" i="15"/>
  <c r="S15" i="15"/>
  <c r="S14" i="15"/>
  <c r="S13" i="15"/>
  <c r="F14" i="15"/>
  <c r="F15" i="15"/>
  <c r="F16" i="15"/>
  <c r="F17" i="15"/>
  <c r="F18" i="15"/>
  <c r="F19" i="15"/>
  <c r="F20" i="15"/>
  <c r="F21" i="15"/>
  <c r="F13" i="15"/>
  <c r="E21" i="15"/>
  <c r="E20" i="15"/>
  <c r="E19" i="15"/>
  <c r="E18" i="15"/>
  <c r="E17" i="15"/>
  <c r="E16" i="15"/>
  <c r="E15" i="15"/>
  <c r="E14" i="15"/>
  <c r="C21" i="15"/>
  <c r="C20" i="15"/>
  <c r="C19" i="15"/>
  <c r="C18" i="15"/>
  <c r="C17" i="15"/>
  <c r="C16" i="15"/>
  <c r="C15" i="15"/>
  <c r="C14" i="15"/>
  <c r="D114" i="4" a="1"/>
  <c r="D114" i="4" s="1"/>
  <c r="R21" i="15" s="1"/>
  <c r="D113" i="4" a="1"/>
  <c r="D113" i="4" s="1"/>
  <c r="R20" i="15" s="1"/>
  <c r="D112" i="4" a="1"/>
  <c r="D112" i="4" s="1"/>
  <c r="R19" i="15" s="1"/>
  <c r="D111" i="4" a="1"/>
  <c r="D111" i="4" s="1"/>
  <c r="R18" i="15" s="1"/>
  <c r="D110" i="4" a="1"/>
  <c r="D110" i="4" s="1"/>
  <c r="R17" i="15" s="1"/>
  <c r="D109" i="4" a="1"/>
  <c r="D109" i="4" s="1"/>
  <c r="R16" i="15" s="1"/>
  <c r="D108" i="4" a="1"/>
  <c r="D108" i="4" s="1"/>
  <c r="R15" i="15" s="1"/>
  <c r="D107" i="4" a="1"/>
  <c r="D107" i="4" s="1"/>
  <c r="R14" i="15" s="1"/>
  <c r="D106" i="4" a="1"/>
  <c r="D106" i="4" s="1"/>
  <c r="R13" i="15" s="1"/>
  <c r="D104" i="4" a="1"/>
  <c r="D104" i="4" s="1"/>
  <c r="J21" i="15" s="1"/>
  <c r="D103" i="4" a="1"/>
  <c r="D103" i="4" s="1"/>
  <c r="J20" i="15" s="1"/>
  <c r="D102" i="4" a="1"/>
  <c r="D102" i="4" s="1"/>
  <c r="J19" i="15" s="1"/>
  <c r="D101" i="4" a="1"/>
  <c r="D101" i="4" s="1"/>
  <c r="J18" i="15" s="1"/>
  <c r="D100" i="4" a="1"/>
  <c r="D100" i="4" s="1"/>
  <c r="J17" i="15" s="1"/>
  <c r="D99" i="4" a="1"/>
  <c r="D99" i="4" s="1"/>
  <c r="J16" i="15" s="1"/>
  <c r="D98" i="4" a="1"/>
  <c r="D98" i="4" s="1"/>
  <c r="J15" i="15" s="1"/>
  <c r="D97" i="4" a="1"/>
  <c r="D97" i="4" s="1"/>
  <c r="J14" i="15" s="1"/>
  <c r="D96" i="4" a="1"/>
  <c r="D96" i="4" s="1"/>
  <c r="J13" i="15" s="1"/>
  <c r="D94" i="4" a="1"/>
  <c r="D94" i="4" s="1"/>
  <c r="B21" i="15" s="1"/>
  <c r="D93" i="4" a="1"/>
  <c r="D93" i="4" s="1"/>
  <c r="B20" i="15" s="1"/>
  <c r="D92" i="4" a="1"/>
  <c r="D92" i="4" s="1"/>
  <c r="B19" i="15" s="1"/>
  <c r="D91" i="4" a="1"/>
  <c r="D91" i="4" s="1"/>
  <c r="B18" i="15" s="1"/>
  <c r="D90" i="4" a="1"/>
  <c r="D90" i="4" s="1"/>
  <c r="B17" i="15" s="1"/>
  <c r="D89" i="4" a="1"/>
  <c r="D89" i="4" s="1"/>
  <c r="B16" i="15" s="1"/>
  <c r="D88" i="4" a="1"/>
  <c r="D88" i="4" s="1"/>
  <c r="B15" i="15" s="1"/>
  <c r="D87" i="4" a="1"/>
  <c r="D87" i="4" s="1"/>
  <c r="B14" i="15" s="1"/>
  <c r="F7" i="15"/>
  <c r="F6" i="15"/>
  <c r="F5" i="15"/>
  <c r="E7" i="15"/>
  <c r="E6" i="15"/>
  <c r="E5" i="15"/>
  <c r="D7" i="15"/>
  <c r="D6" i="15"/>
  <c r="D5" i="15"/>
  <c r="C7" i="15"/>
  <c r="C6" i="15"/>
  <c r="C5" i="15"/>
  <c r="A76" i="4" a="1"/>
  <c r="A76" i="4" s="1"/>
  <c r="B78" i="4"/>
  <c r="B7" i="15" s="1"/>
  <c r="B77" i="4"/>
  <c r="B6" i="15" s="1"/>
  <c r="AA57" i="15" l="1"/>
  <c r="AA51" i="15"/>
  <c r="R71" i="15"/>
  <c r="B71" i="15"/>
  <c r="B68" i="15"/>
  <c r="J66" i="15"/>
  <c r="J67" i="15"/>
  <c r="J70" i="15"/>
  <c r="R67" i="15"/>
  <c r="R65" i="15"/>
  <c r="R66" i="15"/>
  <c r="J68" i="15"/>
  <c r="J71" i="15"/>
  <c r="B65" i="15"/>
  <c r="J65" i="15"/>
  <c r="R68" i="15"/>
  <c r="R70" i="15"/>
  <c r="R69" i="15"/>
  <c r="J69" i="15"/>
  <c r="B69" i="15"/>
  <c r="B66" i="15"/>
  <c r="B70" i="15"/>
  <c r="AA52" i="15"/>
  <c r="AB21" i="15"/>
  <c r="AB15" i="15"/>
  <c r="AA50" i="15"/>
  <c r="AA56" i="15"/>
  <c r="AA58" i="15"/>
  <c r="AA55" i="15"/>
  <c r="S60" i="15"/>
  <c r="AA54" i="15"/>
  <c r="AA48" i="15"/>
  <c r="AA49" i="15"/>
  <c r="AA59" i="15"/>
  <c r="AA53" i="15"/>
  <c r="K60" i="15"/>
  <c r="R82" i="15"/>
  <c r="R81" i="15"/>
  <c r="R80" i="15"/>
  <c r="R79" i="15"/>
  <c r="R78" i="15"/>
  <c r="R77" i="15"/>
  <c r="J82" i="15"/>
  <c r="J81" i="15"/>
  <c r="J80" i="15"/>
  <c r="J79" i="15"/>
  <c r="J78" i="15"/>
  <c r="J77" i="15"/>
  <c r="B77" i="15"/>
  <c r="B82" i="15"/>
  <c r="B81" i="15"/>
  <c r="B80" i="15"/>
  <c r="B79" i="15"/>
  <c r="B78" i="15"/>
  <c r="C60" i="15"/>
  <c r="AA47" i="15"/>
  <c r="C27" i="15"/>
  <c r="C42" i="15" s="1"/>
  <c r="AC37" i="15"/>
  <c r="AC31" i="15"/>
  <c r="AB20" i="15"/>
  <c r="AA40" i="15"/>
  <c r="AA34" i="15"/>
  <c r="AA28" i="15"/>
  <c r="AB40" i="15"/>
  <c r="AB34" i="15"/>
  <c r="AB28" i="15"/>
  <c r="AC27" i="15"/>
  <c r="AC36" i="15"/>
  <c r="AC30" i="15"/>
  <c r="AA39" i="15"/>
  <c r="AA33" i="15"/>
  <c r="AB41" i="15"/>
  <c r="AB39" i="15"/>
  <c r="AB33" i="15"/>
  <c r="AC41" i="15"/>
  <c r="AC35" i="15"/>
  <c r="AC29" i="15"/>
  <c r="AC40" i="15"/>
  <c r="AC34" i="15"/>
  <c r="AA31" i="15"/>
  <c r="AB37" i="15"/>
  <c r="AC33" i="15"/>
  <c r="AA41" i="15"/>
  <c r="AA35" i="15"/>
  <c r="AA29" i="15"/>
  <c r="AB35" i="15"/>
  <c r="AB29" i="15"/>
  <c r="U42" i="15"/>
  <c r="AD18" i="15"/>
  <c r="AB16" i="15"/>
  <c r="AA38" i="15"/>
  <c r="AA32" i="15"/>
  <c r="AB38" i="15"/>
  <c r="AB32" i="15"/>
  <c r="AC28" i="15"/>
  <c r="M42" i="15"/>
  <c r="AB17" i="15"/>
  <c r="AA19" i="15"/>
  <c r="AA37" i="15"/>
  <c r="AB31" i="15"/>
  <c r="AC39" i="15"/>
  <c r="AA36" i="15"/>
  <c r="AA30" i="15"/>
  <c r="AB36" i="15"/>
  <c r="AB30" i="15"/>
  <c r="AC38" i="15"/>
  <c r="AC32" i="15"/>
  <c r="J60" i="15"/>
  <c r="Z18" i="15"/>
  <c r="Z31" i="15"/>
  <c r="Z38" i="15"/>
  <c r="B60" i="15"/>
  <c r="AD20" i="15"/>
  <c r="AD14" i="15"/>
  <c r="E42" i="15"/>
  <c r="AB14" i="15"/>
  <c r="Z37" i="15"/>
  <c r="AB18" i="15"/>
  <c r="V22" i="15"/>
  <c r="Z32" i="15"/>
  <c r="Z33" i="15"/>
  <c r="Z39" i="15"/>
  <c r="Z28" i="15"/>
  <c r="Z34" i="15"/>
  <c r="Z40" i="15"/>
  <c r="Z29" i="15"/>
  <c r="Z35" i="15"/>
  <c r="Z30" i="15"/>
  <c r="Z36" i="15"/>
  <c r="D115" i="4"/>
  <c r="G117" i="4"/>
  <c r="G131" i="4"/>
  <c r="R47" i="15" s="1" a="1"/>
  <c r="R47" i="15" s="1"/>
  <c r="Z47" i="15" s="1"/>
  <c r="G103" i="4"/>
  <c r="AB19" i="15"/>
  <c r="AC14" i="15"/>
  <c r="AC20" i="15"/>
  <c r="AC16" i="15"/>
  <c r="AC21" i="15"/>
  <c r="AC18" i="15"/>
  <c r="AC13" i="15"/>
  <c r="AC15" i="15"/>
  <c r="S42" i="15"/>
  <c r="L42" i="15"/>
  <c r="AC19" i="15"/>
  <c r="AD19" i="15"/>
  <c r="AA14" i="15"/>
  <c r="AC17" i="15"/>
  <c r="F22" i="15"/>
  <c r="AD17" i="15"/>
  <c r="K42" i="15"/>
  <c r="U22" i="15"/>
  <c r="T22" i="15"/>
  <c r="D8" i="15"/>
  <c r="T42" i="15"/>
  <c r="E22" i="15"/>
  <c r="AD13" i="15"/>
  <c r="AD21" i="15"/>
  <c r="AD15" i="15"/>
  <c r="AD16" i="15"/>
  <c r="AB27" i="15"/>
  <c r="AA15" i="15"/>
  <c r="AA21" i="15"/>
  <c r="AA16" i="15"/>
  <c r="C22" i="15"/>
  <c r="AA13" i="15"/>
  <c r="S22" i="15"/>
  <c r="AA17" i="15"/>
  <c r="AA20" i="15"/>
  <c r="AA18" i="15"/>
  <c r="C8" i="15"/>
  <c r="B42" i="15"/>
  <c r="Z27" i="15"/>
  <c r="J42" i="15"/>
  <c r="E107" i="4"/>
  <c r="E138" i="4"/>
  <c r="E123" i="4"/>
  <c r="Z19" i="15"/>
  <c r="Z14" i="15"/>
  <c r="Z20" i="15"/>
  <c r="B22" i="15"/>
  <c r="Z13" i="15"/>
  <c r="R22" i="15"/>
  <c r="Z15" i="15"/>
  <c r="Z21" i="15"/>
  <c r="Z16" i="15"/>
  <c r="J22" i="15"/>
  <c r="Z17" i="15"/>
  <c r="N22" i="15"/>
  <c r="M22" i="15"/>
  <c r="K22" i="15"/>
  <c r="F8" i="15"/>
  <c r="E8" i="15"/>
  <c r="D105" i="4"/>
  <c r="B8" i="15"/>
  <c r="D95" i="4"/>
  <c r="AA27" i="15" l="1"/>
  <c r="AA42" i="15" s="1"/>
  <c r="Z71" i="15"/>
  <c r="Z68" i="15"/>
  <c r="Z70" i="15"/>
  <c r="B67" i="15"/>
  <c r="Z67" i="15" s="1"/>
  <c r="Z65" i="15"/>
  <c r="Z66" i="15"/>
  <c r="Z78" i="15"/>
  <c r="Z79" i="15"/>
  <c r="Z81" i="15"/>
  <c r="Z80" i="15"/>
  <c r="R72" i="15"/>
  <c r="Z82" i="15"/>
  <c r="B83" i="15"/>
  <c r="J83" i="15"/>
  <c r="R83" i="15"/>
  <c r="J72" i="15"/>
  <c r="Z77" i="15"/>
  <c r="Z69" i="15"/>
  <c r="AA60" i="15"/>
  <c r="AC42" i="15"/>
  <c r="Z57" i="15"/>
  <c r="Z54" i="15"/>
  <c r="Z56" i="15"/>
  <c r="Z48" i="15"/>
  <c r="Z50" i="15"/>
  <c r="Z52" i="15"/>
  <c r="Z59" i="15"/>
  <c r="Z51" i="15"/>
  <c r="Z55" i="15"/>
  <c r="Z53" i="15"/>
  <c r="Z49" i="15"/>
  <c r="Z58" i="15"/>
  <c r="R41" i="15"/>
  <c r="Z41" i="15" s="1"/>
  <c r="Z42" i="15" s="1"/>
  <c r="AC22" i="15"/>
  <c r="AD22" i="15"/>
  <c r="AA22" i="15"/>
  <c r="Z22" i="15"/>
  <c r="B72" i="15" l="1"/>
  <c r="Z72" i="15"/>
  <c r="Z83" i="15"/>
  <c r="Z60" i="15"/>
  <c r="R42" i="15"/>
  <c r="L22" i="15" l="1"/>
  <c r="D42" i="15" l="1"/>
  <c r="AB42" i="15"/>
  <c r="D22" i="15"/>
  <c r="AB13" i="15"/>
  <c r="AB22" i="15" s="1"/>
  <c r="G76" i="4" l="1"/>
  <c r="E89" i="4" l="1"/>
  <c r="E90" i="4"/>
  <c r="E88" i="4"/>
  <c r="E87" i="4"/>
  <c r="E86" i="4"/>
  <c r="D78" i="4"/>
  <c r="D77" i="4"/>
  <c r="E85" i="4"/>
  <c r="E77" i="4"/>
  <c r="E78" i="4"/>
  <c r="E80" i="4"/>
  <c r="E81" i="4"/>
  <c r="E82" i="4"/>
  <c r="E83" i="4"/>
  <c r="E84" i="4"/>
  <c r="E79" i="4"/>
  <c r="D76" i="4" l="1"/>
  <c r="D80" i="4" l="1"/>
  <c r="D82" i="4"/>
  <c r="D84" i="4"/>
  <c r="D79" i="4"/>
  <c r="D81" i="4"/>
  <c r="D83" i="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<sst xmlns="http://schemas.openxmlformats.org/spreadsheetml/2006/main" count="795" uniqueCount="215">
  <si>
    <t>UT</t>
  </si>
  <si>
    <t>Cuisine</t>
  </si>
  <si>
    <t>CUISINE</t>
  </si>
  <si>
    <t xml:space="preserve">Siège </t>
  </si>
  <si>
    <t xml:space="preserve">Nature </t>
  </si>
  <si>
    <t>Circonstances</t>
  </si>
  <si>
    <t>Douleurs</t>
  </si>
  <si>
    <t>Plaie</t>
  </si>
  <si>
    <t>Bas du dos</t>
  </si>
  <si>
    <t>Dos</t>
  </si>
  <si>
    <t>LINGERIE</t>
  </si>
  <si>
    <t>Cheville</t>
  </si>
  <si>
    <t>ENTRETIEN</t>
  </si>
  <si>
    <t>MAINTENANCE</t>
  </si>
  <si>
    <t>Genou</t>
  </si>
  <si>
    <t>ADMINISTRATIF</t>
  </si>
  <si>
    <t>SOINS</t>
  </si>
  <si>
    <t xml:space="preserve">Dos </t>
  </si>
  <si>
    <t>Crâne</t>
  </si>
  <si>
    <t>ANIMATION</t>
  </si>
  <si>
    <t>Lieu</t>
  </si>
  <si>
    <t>LÉSIONS</t>
  </si>
  <si>
    <t>DATE</t>
  </si>
  <si>
    <t>SITE</t>
  </si>
  <si>
    <t>GÉNÉRALITÉS</t>
  </si>
  <si>
    <t>PRÉCISIONS</t>
  </si>
  <si>
    <t>IDE</t>
  </si>
  <si>
    <t>Escaliers</t>
  </si>
  <si>
    <t>Couloir</t>
  </si>
  <si>
    <t>Avant-bras</t>
  </si>
  <si>
    <t>Doigt</t>
  </si>
  <si>
    <t>Lombaires</t>
  </si>
  <si>
    <t>Arrêts</t>
  </si>
  <si>
    <t>NB DÉCLARATIONS PAR UT</t>
  </si>
  <si>
    <t>NB DÉCLARATION PAR ÉTABLISSEMENT</t>
  </si>
  <si>
    <t>NB OCCURRENCES  LIEU</t>
  </si>
  <si>
    <t>NB DÉCLARATION PAR ANNÉE</t>
  </si>
  <si>
    <t>ARRÊTS DE TRAVAIL</t>
  </si>
  <si>
    <t>CAST</t>
  </si>
  <si>
    <t>Office</t>
  </si>
  <si>
    <t>Extérieur</t>
  </si>
  <si>
    <t>Hématome</t>
  </si>
  <si>
    <t>En couchant une résidente dans son lit</t>
  </si>
  <si>
    <t>N°</t>
  </si>
  <si>
    <t>Le portail s'est refermé sur ses doigts alors qu'elle le fermait</t>
  </si>
  <si>
    <t>Doigts</t>
  </si>
  <si>
    <t>En rangeant les assiettes dans le chariot, une assiette est tombée, elle a voulu la rattraper</t>
  </si>
  <si>
    <t>Salle de soins</t>
  </si>
  <si>
    <t>S'est fait mal au dos lors d'une toilette</t>
  </si>
  <si>
    <t>En voulant rattraper un plateau elle s'est cognée le genou sur la poignée du chariot repas</t>
  </si>
  <si>
    <t>En remontant une résidente pour le petit-déjeuner</t>
  </si>
  <si>
    <t>En coupant du pain pour le petit-déjeuner</t>
  </si>
  <si>
    <t>En s'agenouillant sur un morceau de bois avec un clou rouillé</t>
  </si>
  <si>
    <t>Pied</t>
  </si>
  <si>
    <t>S'est brûlé avec la sauteuse au niveau de 3 doigts</t>
  </si>
  <si>
    <t>S'est fait mal en raccompagnant un résident en fauteuil roulant</t>
  </si>
  <si>
    <t>En tournant une résidente dans son lit</t>
  </si>
  <si>
    <t>Mollet</t>
  </si>
  <si>
    <t>En faisant le pansement d'une résidente</t>
  </si>
  <si>
    <t>En essayant de lever un résident de son lit</t>
  </si>
  <si>
    <t xml:space="preserve">En rattrapant un résident </t>
  </si>
  <si>
    <t>En aidant un résident pour le transfert au fauteuil</t>
  </si>
  <si>
    <t>Colonne vertébrale</t>
  </si>
  <si>
    <t>En relevant la patiente de son lit</t>
  </si>
  <si>
    <t>S'est pris les pieds dans un déambulateur à roulettes</t>
  </si>
  <si>
    <t xml:space="preserve">En relevant un résident qui a chuté </t>
  </si>
  <si>
    <t xml:space="preserve">En rangeant un fauteuil roulant </t>
  </si>
  <si>
    <t>Saignement</t>
  </si>
  <si>
    <t>En relevant un résident seul avec le déambulateur il s'est appuyé sur son pied</t>
  </si>
  <si>
    <t>En rattrapant une résidente</t>
  </si>
  <si>
    <t xml:space="preserve">A mis la main sur un bout de verre en nettoyant une chambre </t>
  </si>
  <si>
    <t>S'est coupé en manipulant un couteau pour couper du pain</t>
  </si>
  <si>
    <t>Gonflement</t>
  </si>
  <si>
    <t>En faisant la vaisselle s'est blessée avec des débris</t>
  </si>
  <si>
    <t>A trébuché dans les escaliers de dehors en sortant</t>
  </si>
  <si>
    <t xml:space="preserve">S'est fait mal au dos en rattrapant une résidente </t>
  </si>
  <si>
    <t>RESTAURANT</t>
  </si>
  <si>
    <t xml:space="preserve">S'est fait mal en descendant les escaliers </t>
  </si>
  <si>
    <t xml:space="preserve">S'est fait mordre et gifler </t>
  </si>
  <si>
    <t xml:space="preserve">En manipulant un résident </t>
  </si>
  <si>
    <t>En manipulant une résidente</t>
  </si>
  <si>
    <t>A receptionné une résidente sur le point de tomber</t>
  </si>
  <si>
    <t>S'est cogné le front sur une porte</t>
  </si>
  <si>
    <t>COMP</t>
  </si>
  <si>
    <t>A chuté avec son scooter dans le sous-sol de l'établissement</t>
  </si>
  <si>
    <t>En remontant une résidente dans son lit</t>
  </si>
  <si>
    <t>Chute sur sol mouillé</t>
  </si>
  <si>
    <t xml:space="preserve">En voulant éviter la chute d'une résidente </t>
  </si>
  <si>
    <t>4 jrs à 1 mois</t>
  </si>
  <si>
    <t>S'est tordu la cheville avec le sac de mop croché sur sa chaussure</t>
  </si>
  <si>
    <t xml:space="preserve">En voulant faire vite pour prendre l'ascenseur </t>
  </si>
  <si>
    <t>En soulevant une caisse de légumes pour la mettre au monte charge</t>
  </si>
  <si>
    <t>S'est fait mal en relevant une résidente au sol</t>
  </si>
  <si>
    <t>En effectuant le transfert d'une résidente sur sa chaise roulante, la salariée a chutée</t>
  </si>
  <si>
    <t>Salle de réunion</t>
  </si>
  <si>
    <t>Un extrateur à oxygène lui est tombé sur le pied</t>
  </si>
  <si>
    <t>Entorse</t>
  </si>
  <si>
    <t>Sur le trajet le salarié a chuté de son scooter</t>
  </si>
  <si>
    <t>Un courant d'air a fait claqué une porte le doigt a été coincé</t>
  </si>
  <si>
    <t>En fermant la porte d'une chambre</t>
  </si>
  <si>
    <t>En voulant descendre d'un marche pied la salariée est tombée en arrière</t>
  </si>
  <si>
    <t>En effectuant une manutention</t>
  </si>
  <si>
    <t>En effectuant un transfert</t>
  </si>
  <si>
    <t>&gt; 4 jours</t>
  </si>
  <si>
    <t>&lt; 1 mois</t>
  </si>
  <si>
    <t>-</t>
  </si>
  <si>
    <t>Coupûre</t>
  </si>
  <si>
    <t>Brulûre</t>
  </si>
  <si>
    <t xml:space="preserve">Brulûre </t>
  </si>
  <si>
    <t>Sous-sol</t>
  </si>
  <si>
    <t>S'est cogné le dessus du pied avec la porte du lave-vaisselle qui était restée ouverte</t>
  </si>
  <si>
    <t>Sur le trajet, chute de vélo</t>
  </si>
  <si>
    <t>En nettoyant le fauteuil d'un résident elle s'est cognée</t>
  </si>
  <si>
    <t>S'est cogné sur les portes entre la cuisine et le restaurant</t>
  </si>
  <si>
    <t>S'est brûlée avec du café pendant service du petit-déjeuner</t>
  </si>
  <si>
    <t>En voulant aider sa collègue à enlever le bout métallique le salarié s'est piqué aussi</t>
  </si>
  <si>
    <t>En voulant s'asseoir elle s'est enfoncée un bout métallique</t>
  </si>
  <si>
    <t>Pendant le transfert d'un résident, a forcé sur son bras pour la retenir</t>
  </si>
  <si>
    <t>Au moment du transfert d'une résidente la salariée a voulu la retenir au moment d'une chute</t>
  </si>
  <si>
    <t>En voulant récupérer une plaque d'égout cette dernière est tombée sur son pied</t>
  </si>
  <si>
    <t>S'est cogné le pied dans l'angle du chariot repas en le poussant</t>
  </si>
  <si>
    <t>S'est brûlé en préparant le dessert de midi</t>
  </si>
  <si>
    <t>En faisant la vaisselle des plateaux, s'est pris une porte dans le genou</t>
  </si>
  <si>
    <t>Des plaques gastro, qui étaient au-dessus du four, sont tombées sur son épaule</t>
  </si>
  <si>
    <t>A glissé en scooter au niveau de la barrière d'entrée</t>
  </si>
  <si>
    <t>En prenant un bac à vaisselle, a mis la main dans l'eau bouillante</t>
  </si>
  <si>
    <t>TRAJET</t>
  </si>
  <si>
    <t>En manipulant une résidente pour un transfert lit/fauteuil, elle s'est laissé tomber</t>
  </si>
  <si>
    <t>DÉPLACEMENT</t>
  </si>
  <si>
    <t>CHUTE DE HAUTEUR</t>
  </si>
  <si>
    <t>MACHINE/OUTILS</t>
  </si>
  <si>
    <t>CATÉGORIE RISQUES</t>
  </si>
  <si>
    <t>ÉNERGIE</t>
  </si>
  <si>
    <t>CHUTE D'OBJETS</t>
  </si>
  <si>
    <t>MANUTENTION MANUELLE</t>
  </si>
  <si>
    <t>CHUTE d'OBJETS</t>
  </si>
  <si>
    <t>MANUTENTION MÉCANIQUE</t>
  </si>
  <si>
    <t>DÉMÉNAGEMENT/TRAVAUX</t>
  </si>
  <si>
    <t>PRODUITS TOXIQUES</t>
  </si>
  <si>
    <t>CHUTE DE PLAIN PIED</t>
  </si>
  <si>
    <t>CASTEL</t>
  </si>
  <si>
    <t>COMPASSION</t>
  </si>
  <si>
    <t>ERNEMONT</t>
  </si>
  <si>
    <t xml:space="preserve">IDE </t>
  </si>
  <si>
    <t>Nombre de déclarations par UNITÉS DE TRAVAIL</t>
  </si>
  <si>
    <t>CHAMBRE</t>
  </si>
  <si>
    <t>EXTÉRIEUR</t>
  </si>
  <si>
    <t>ESCALIERS</t>
  </si>
  <si>
    <t>OFFICE</t>
  </si>
  <si>
    <t>COULOIR</t>
  </si>
  <si>
    <t>SALLE DE SOINS</t>
  </si>
  <si>
    <t>LOCAL MÉNAGE</t>
  </si>
  <si>
    <t>ASCENSEUR</t>
  </si>
  <si>
    <t>SALLE DE RÉUNION</t>
  </si>
  <si>
    <t>SALLE DE BAINS</t>
  </si>
  <si>
    <t>SOUS-SOL</t>
  </si>
  <si>
    <t>Pas d'indications</t>
  </si>
  <si>
    <t>Nombre de déclarations par LIEU DE CHUTE</t>
  </si>
  <si>
    <t>Nombre de déclarations par STRUCTURE</t>
  </si>
  <si>
    <t>Nombre de déclarations par CATÉGORIES DE RISQUE (selon classification DUERP)</t>
  </si>
  <si>
    <t>En voulant aider une résidente à se lever, celle-ci à attraper son bras</t>
  </si>
  <si>
    <t>S'est cognée le pied sur un cale pied d'un fauteuil</t>
  </si>
  <si>
    <t>En prenant les sacs de linge sale pour les mettre dans le chariot</t>
  </si>
  <si>
    <t>A chuté sur le trajet du retour domicile/travail</t>
  </si>
  <si>
    <t>ÉNERGIE (ex. eau bouillante)</t>
  </si>
  <si>
    <t>URGENCE (ex. malaise)</t>
  </si>
  <si>
    <t>Contusion</t>
  </si>
  <si>
    <t>RPS</t>
  </si>
  <si>
    <t xml:space="preserve">Répartition des différents SIÈGES affectés </t>
  </si>
  <si>
    <t>Nombre d'arrêts suite à des accidents du travail</t>
  </si>
  <si>
    <t>Arrêt &lt;4 jours</t>
  </si>
  <si>
    <t>De 4 jours à 1 mois</t>
  </si>
  <si>
    <t>&gt;1 mois</t>
  </si>
  <si>
    <t>Total</t>
  </si>
  <si>
    <t>TOTAL</t>
  </si>
  <si>
    <t>ASSOCIATION</t>
  </si>
  <si>
    <t>BASE DE DONNÉES</t>
  </si>
  <si>
    <t>Logement résident</t>
  </si>
  <si>
    <t xml:space="preserve">Pied </t>
  </si>
  <si>
    <t>Visage</t>
  </si>
  <si>
    <t>Clavicule</t>
  </si>
  <si>
    <t>Bras</t>
  </si>
  <si>
    <t>Hanche</t>
  </si>
  <si>
    <t>Poignet</t>
  </si>
  <si>
    <t xml:space="preserve">Cheville </t>
  </si>
  <si>
    <t>Main</t>
  </si>
  <si>
    <t>Poignée</t>
  </si>
  <si>
    <t>Orteil</t>
  </si>
  <si>
    <t>Épaule</t>
  </si>
  <si>
    <t>NB OCCURRENCES SIÈGE</t>
  </si>
  <si>
    <t xml:space="preserve">NB OCCURRENCES NATURE    </t>
  </si>
  <si>
    <t>Déchirure</t>
  </si>
  <si>
    <t xml:space="preserve">Douleurs </t>
  </si>
  <si>
    <t>Tibia</t>
  </si>
  <si>
    <t>Cervicale</t>
  </si>
  <si>
    <t>Bosse</t>
  </si>
  <si>
    <t>Céphalés</t>
  </si>
  <si>
    <t>Égratinures</t>
  </si>
  <si>
    <t>Brulûres</t>
  </si>
  <si>
    <t>Rougeurs</t>
  </si>
  <si>
    <r>
      <t xml:space="preserve">ANALYSE DES REGISTRES D'ACCIDENTS DU TRAVAIL </t>
    </r>
    <r>
      <rPr>
        <sz val="14"/>
        <color theme="1"/>
        <rFont val="Calibri"/>
        <family val="2"/>
        <scheme val="minor"/>
      </rPr>
      <t xml:space="preserve">2017                         </t>
    </r>
    <r>
      <rPr>
        <b/>
        <sz val="14"/>
        <color theme="1"/>
        <rFont val="Calibri"/>
        <family val="2"/>
        <scheme val="minor"/>
      </rPr>
  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  </r>
  </si>
  <si>
    <t>Douleurs musculaires/articulaires</t>
  </si>
  <si>
    <t>Céphalés/malaise</t>
  </si>
  <si>
    <t>Plaies hémorragiques (saignement)</t>
  </si>
  <si>
    <t>Traumatismes muscles/ligaments (déchirure, contracture, entorse)</t>
  </si>
  <si>
    <t>Contusions (gonflement, bleu, bosse, hématome, échymose)</t>
  </si>
  <si>
    <t>Lésions cutanées  (égratinure, plaie, coupûre, brûlures)</t>
  </si>
  <si>
    <t>Nature des affections</t>
  </si>
  <si>
    <t>Visage (front, joue, nez, etc.)</t>
  </si>
  <si>
    <t>Haut du corps (clavicule, cervicale, bras, avant-bras)</t>
  </si>
  <si>
    <t>Dos (dos, lombaires, omoplates)</t>
  </si>
  <si>
    <t>Bas du corps (hanche, jambe, tibia, mollet)</t>
  </si>
  <si>
    <t>Articulations (épaule, poignet, genou, cheville)</t>
  </si>
  <si>
    <t>Extrémités (mains, doigts, pied, doigts pied)</t>
  </si>
  <si>
    <t xml:space="preserve">Omopolate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</si>
</sst>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</fills>
  <borders count="47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thin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hair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thin">
        <color auto="1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79"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2" fillId="2" borderId="20" xfId="0" applyFont="1" applyFill="1" applyBorder="1" applyAlignment="1">
      <alignment horizontal="center" vertical="center" wrapText="1"/>
    </xf>
    <xf numFmtId="0" fontId="3" fillId="0" borderId="22" xfId="0" applyFon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17" fontId="1" fillId="2" borderId="20" xfId="0" applyNumberFormat="1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2" borderId="25" xfId="0" applyFill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2" fillId="2" borderId="28" xfId="0" applyFont="1" applyFill="1" applyBorder="1" applyAlignment="1">
      <alignment horizontal="center" vertical="center"/>
    </xf>
    <xf numFmtId="0" fontId="3" fillId="0" borderId="29" xfId="0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center" vertical="center"/>
    </xf>
    <xf numFmtId="0" fontId="0" fillId="0" borderId="14" xfId="0" applyBorder="1"/>
    <xf numFmtId="0" fontId="0" fillId="0" borderId="11" xfId="0" applyBorder="1"/>
    <xf numFmtId="0" fontId="0" fillId="0" borderId="33" xfId="0" applyBorder="1"/>
    <xf numFmtId="0" fontId="0" fillId="0" borderId="8" xfId="0" applyBorder="1"/>
    <xf numFmtId="0" fontId="0" fillId="0" borderId="31" xfId="0" applyBorder="1"/>
    <xf numFmtId="0" fontId="0" fillId="0" borderId="21" xfId="0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14" fontId="0" fillId="0" borderId="2" xfId="0" applyNumberFormat="1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0" fontId="1" fillId="0" borderId="0" xfId="0" applyFont="1" applyFill="1" applyAlignment="1">
      <alignment horizontal="center" vertical="center"/>
    </xf>
    <xf numFmtId="0" fontId="0" fillId="0" borderId="41" xfId="0" applyBorder="1"/>
    <xf numFmtId="0" fontId="0" fillId="0" borderId="34" xfId="0" applyFill="1" applyBorder="1"/>
    <xf numFmtId="0" fontId="0" fillId="0" borderId="35" xfId="0" applyFill="1" applyBorder="1"/>
    <xf numFmtId="0" fontId="0" fillId="0" borderId="36" xfId="0" applyFill="1" applyBorder="1"/>
    <xf numFmtId="0" fontId="0" fillId="0" borderId="34" xfId="0" applyFill="1" applyBorder="1" applyAlignment="1">
      <alignment horizontal="left"/>
    </xf>
    <xf numFmtId="0" fontId="0" fillId="0" borderId="0" xfId="0" applyFill="1" applyBorder="1"/>
    <xf numFmtId="0" fontId="0" fillId="0" borderId="14" xfId="0" applyFill="1" applyBorder="1"/>
    <xf numFmtId="0" fontId="0" fillId="0" borderId="0" xfId="0" applyFill="1"/>
    <xf numFmtId="0" fontId="0" fillId="0" borderId="35" xfId="0" applyFill="1" applyBorder="1" applyAlignment="1">
      <alignment horizontal="left"/>
    </xf>
    <xf numFmtId="0" fontId="0" fillId="0" borderId="36" xfId="0" applyFill="1" applyBorder="1" applyAlignment="1">
      <alignment horizontal="left"/>
    </xf>
    <xf numFmtId="0" fontId="0" fillId="0" borderId="11" xfId="0" applyFill="1" applyBorder="1"/>
    <xf numFmtId="0" fontId="0" fillId="0" borderId="33" xfId="0" applyFill="1" applyBorder="1"/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3" fillId="8" borderId="14" xfId="0" applyFont="1" applyFill="1" applyBorder="1" applyAlignment="1">
      <alignment horizontal="center" vertical="center"/>
    </xf>
    <xf numFmtId="0" fontId="3" fillId="9" borderId="14" xfId="0" applyFont="1" applyFill="1" applyBorder="1" applyAlignment="1">
      <alignment horizontal="center" vertical="center"/>
    </xf>
    <xf numFmtId="0" fontId="3" fillId="10" borderId="14" xfId="0" applyFont="1" applyFill="1" applyBorder="1" applyAlignment="1">
      <alignment horizontal="center" vertical="center"/>
    </xf>
    <xf numFmtId="0" fontId="3" fillId="9" borderId="9" xfId="0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0" fontId="3" fillId="10" borderId="9" xfId="0" applyFont="1" applyFill="1" applyBorder="1" applyAlignment="1">
      <alignment horizontal="center" vertical="center"/>
    </xf>
    <xf numFmtId="0" fontId="0" fillId="11" borderId="14" xfId="0" applyFill="1" applyBorder="1" applyAlignment="1">
      <alignment horizontal="center" vertical="center"/>
    </xf>
    <xf numFmtId="0" fontId="3" fillId="9" borderId="22" xfId="0" applyFont="1" applyFill="1" applyBorder="1" applyAlignment="1">
      <alignment horizontal="center" vertical="center"/>
    </xf>
    <xf numFmtId="0" fontId="3" fillId="8" borderId="22" xfId="0" applyFont="1" applyFill="1" applyBorder="1" applyAlignment="1">
      <alignment horizontal="center" vertical="center"/>
    </xf>
    <xf numFmtId="0" fontId="3" fillId="10" borderId="22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0" fillId="0" borderId="41" xfId="0" applyFill="1" applyBorder="1" applyAlignment="1">
      <alignment horizontal="center"/>
    </xf>
    <xf numFmtId="0" fontId="0" fillId="0" borderId="38" xfId="0" applyBorder="1"/>
    <xf numFmtId="0" fontId="0" fillId="0" borderId="42" xfId="0" applyBorder="1" applyAlignment="1">
      <alignment horizontal="center"/>
    </xf>
    <xf numFmtId="0" fontId="0" fillId="0" borderId="37" xfId="0" applyFont="1" applyBorder="1" applyAlignment="1">
      <alignment horizontal="center"/>
    </xf>
    <xf numFmtId="0" fontId="0" fillId="0" borderId="42" xfId="0" applyFont="1" applyBorder="1" applyAlignment="1">
      <alignment horizontal="center"/>
    </xf>
    <xf numFmtId="0" fontId="0" fillId="0" borderId="38" xfId="0" applyFont="1" applyBorder="1" applyAlignment="1">
      <alignment horizontal="center"/>
    </xf>
    <xf numFmtId="0" fontId="3" fillId="0" borderId="22" xfId="0" applyFont="1" applyBorder="1" applyAlignment="1">
      <alignment horizontal="center"/>
    </xf>
    <xf numFmtId="0" fontId="3" fillId="0" borderId="44" xfId="0" applyFont="1" applyBorder="1" applyAlignment="1">
      <alignment horizontal="center"/>
    </xf>
    <xf numFmtId="0" fontId="3" fillId="0" borderId="21" xfId="0" applyFont="1" applyBorder="1" applyAlignment="1">
      <alignment horizontal="center" vertical="center"/>
    </xf>
    <xf numFmtId="0" fontId="0" fillId="13" borderId="14" xfId="0" applyFill="1" applyBorder="1" applyAlignment="1">
      <alignment horizontal="center" vertical="center"/>
    </xf>
    <xf numFmtId="0" fontId="0" fillId="0" borderId="41" xfId="0" applyFill="1" applyBorder="1"/>
    <xf numFmtId="0" fontId="3" fillId="8" borderId="17" xfId="0" applyFont="1" applyFill="1" applyBorder="1" applyAlignment="1">
      <alignment horizontal="center" vertical="center"/>
    </xf>
    <xf numFmtId="0" fontId="3" fillId="10" borderId="17" xfId="0" applyFont="1" applyFill="1" applyBorder="1" applyAlignment="1">
      <alignment horizontal="center" vertical="center"/>
    </xf>
    <xf numFmtId="0" fontId="3" fillId="10" borderId="0" xfId="0" applyFont="1" applyFill="1" applyBorder="1" applyAlignment="1">
      <alignment horizontal="center" vertical="center"/>
    </xf>
    <xf numFmtId="0" fontId="1" fillId="0" borderId="11" xfId="0" applyFont="1" applyBorder="1" applyAlignment="1"/>
    <xf numFmtId="0" fontId="0" fillId="0" borderId="24" xfId="0" applyFill="1" applyBorder="1" applyAlignment="1">
      <alignment horizontal="center" vertical="center"/>
    </xf>
    <xf numFmtId="0" fontId="0" fillId="12" borderId="45" xfId="0" applyFill="1" applyBorder="1" applyAlignment="1">
      <alignment horizontal="center" vertical="center"/>
    </xf>
    <xf numFmtId="0" fontId="0" fillId="0" borderId="45" xfId="0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0" fontId="3" fillId="0" borderId="46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32" xfId="0" applyFont="1" applyBorder="1" applyAlignment="1">
      <alignment horizontal="center"/>
    </xf>
    <xf numFmtId="0" fontId="0" fillId="11" borderId="9" xfId="0" applyFont="1" applyFill="1" applyBorder="1" applyAlignment="1">
      <alignment horizontal="center" vertical="center"/>
    </xf>
    <xf numFmtId="0" fontId="0" fillId="9" borderId="22" xfId="0" applyFill="1" applyBorder="1" applyAlignment="1">
      <alignment horizontal="center" vertical="center"/>
    </xf>
    <xf numFmtId="0" fontId="0" fillId="9" borderId="14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0" fontId="0" fillId="12" borderId="14" xfId="0" applyFill="1" applyBorder="1" applyAlignment="1">
      <alignment horizontal="center" vertical="center"/>
    </xf>
    <xf numFmtId="0" fontId="0" fillId="12" borderId="9" xfId="0" applyFont="1" applyFill="1" applyBorder="1" applyAlignment="1">
      <alignment horizontal="center" vertical="center"/>
    </xf>
    <xf numFmtId="0" fontId="0" fillId="13" borderId="9" xfId="0" applyFont="1" applyFill="1" applyBorder="1" applyAlignment="1">
      <alignment horizontal="center" vertical="center"/>
    </xf>
    <xf numFmtId="14" fontId="0" fillId="14" borderId="2" xfId="0" applyNumberFormat="1" applyFill="1" applyBorder="1" applyAlignment="1">
      <alignment horizontal="center" vertical="center"/>
    </xf>
    <xf numFmtId="0" fontId="0" fillId="14" borderId="22" xfId="0" applyFill="1" applyBorder="1" applyAlignment="1">
      <alignment horizontal="center" vertical="center"/>
    </xf>
    <xf numFmtId="0" fontId="0" fillId="14" borderId="14" xfId="0" applyFill="1" applyBorder="1" applyAlignment="1">
      <alignment horizontal="center" vertical="center"/>
    </xf>
    <xf numFmtId="0" fontId="0" fillId="14" borderId="9" xfId="0" applyFill="1" applyBorder="1" applyAlignment="1">
      <alignment horizontal="center" vertical="center"/>
    </xf>
    <xf numFmtId="0" fontId="3" fillId="9" borderId="0" xfId="0" applyFont="1" applyFill="1" applyBorder="1" applyAlignment="1">
      <alignment horizontal="center" vertical="center"/>
    </xf>
    <xf numFmtId="0" fontId="3" fillId="8" borderId="0" xfId="0" applyFont="1" applyFill="1" applyBorder="1" applyAlignment="1">
      <alignment horizontal="center" vertical="center"/>
    </xf>
    <xf numFmtId="14" fontId="0" fillId="9" borderId="2" xfId="0" applyNumberFormat="1" applyFill="1" applyBorder="1" applyAlignment="1">
      <alignment horizontal="center" vertical="center"/>
    </xf>
    <xf numFmtId="0" fontId="3" fillId="9" borderId="17" xfId="0" applyFont="1" applyFill="1" applyBorder="1" applyAlignment="1">
      <alignment horizontal="center" vertical="center"/>
    </xf>
    <xf numFmtId="0" fontId="0" fillId="2" borderId="8" xfId="0" applyFill="1" applyBorder="1"/>
    <xf numFmtId="0" fontId="0" fillId="2" borderId="0" xfId="0" applyFill="1" applyBorder="1"/>
    <xf numFmtId="0" fontId="0" fillId="2" borderId="11" xfId="0" applyFill="1" applyBorder="1"/>
    <xf numFmtId="0" fontId="0" fillId="9" borderId="0" xfId="0" applyFill="1" applyBorder="1" applyAlignment="1">
      <alignment horizontal="center" vertical="center"/>
    </xf>
    <xf numFmtId="0" fontId="3" fillId="11" borderId="9" xfId="0" applyFont="1" applyFill="1" applyBorder="1" applyAlignment="1">
      <alignment horizontal="center" vertical="center"/>
    </xf>
    <xf numFmtId="0" fontId="3" fillId="11" borderId="0" xfId="0" applyFont="1" applyFill="1" applyBorder="1" applyAlignment="1">
      <alignment horizontal="center" vertical="center"/>
    </xf>
    <xf numFmtId="0" fontId="3" fillId="11" borderId="43" xfId="0" applyFont="1" applyFill="1" applyBorder="1" applyAlignment="1">
      <alignment horizontal="center" vertical="center"/>
    </xf>
    <xf numFmtId="0" fontId="3" fillId="13" borderId="9" xfId="0" applyFont="1" applyFill="1" applyBorder="1" applyAlignment="1">
      <alignment horizontal="center" vertical="center"/>
    </xf>
    <xf numFmtId="0" fontId="3" fillId="13" borderId="0" xfId="0" applyFont="1" applyFill="1" applyBorder="1" applyAlignment="1">
      <alignment horizontal="center" vertical="center"/>
    </xf>
    <xf numFmtId="0" fontId="3" fillId="13" borderId="43" xfId="0" applyFont="1" applyFill="1" applyBorder="1" applyAlignment="1">
      <alignment horizontal="center" vertical="center"/>
    </xf>
    <xf numFmtId="0" fontId="3" fillId="12" borderId="9" xfId="0" applyFont="1" applyFill="1" applyBorder="1" applyAlignment="1">
      <alignment horizontal="center" vertical="center"/>
    </xf>
    <xf numFmtId="0" fontId="3" fillId="12" borderId="0" xfId="0" applyFont="1" applyFill="1" applyBorder="1" applyAlignment="1">
      <alignment horizontal="center" vertical="center"/>
    </xf>
    <xf numFmtId="0" fontId="3" fillId="12" borderId="43" xfId="0" applyFont="1" applyFill="1" applyBorder="1" applyAlignment="1">
      <alignment horizontal="center" vertical="center"/>
    </xf>
    <xf numFmtId="0" fontId="3" fillId="11" borderId="17" xfId="0" applyFont="1" applyFill="1" applyBorder="1" applyAlignment="1">
      <alignment horizontal="center" vertical="center"/>
    </xf>
    <xf numFmtId="0" fontId="3" fillId="11" borderId="14" xfId="0" applyFont="1" applyFill="1" applyBorder="1" applyAlignment="1">
      <alignment horizontal="center" vertical="center"/>
    </xf>
    <xf numFmtId="0" fontId="3" fillId="13" borderId="17" xfId="0" applyFont="1" applyFill="1" applyBorder="1" applyAlignment="1">
      <alignment horizontal="center" vertical="center"/>
    </xf>
    <xf numFmtId="0" fontId="3" fillId="13" borderId="14" xfId="0" applyFont="1" applyFill="1" applyBorder="1" applyAlignment="1">
      <alignment horizontal="center" vertical="center"/>
    </xf>
    <xf numFmtId="0" fontId="3" fillId="12" borderId="17" xfId="0" applyFont="1" applyFill="1" applyBorder="1" applyAlignment="1">
      <alignment horizontal="center" vertical="center"/>
    </xf>
    <xf numFmtId="0" fontId="3" fillId="12" borderId="14" xfId="0" applyFont="1" applyFill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2" borderId="16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3" fillId="0" borderId="40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39" xfId="0" applyFont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 wrapText="1"/>
    </xf>
    <xf numFmtId="0" fontId="5" fillId="3" borderId="12" xfId="0" applyFont="1" applyFill="1" applyBorder="1" applyAlignment="1">
      <alignment horizontal="center" vertical="center" wrapText="1"/>
    </xf>
    <xf numFmtId="0" fontId="1" fillId="7" borderId="0" xfId="0" applyFont="1" applyFill="1" applyAlignment="1">
      <alignment horizontal="center"/>
    </xf>
    <xf numFmtId="0" fontId="1" fillId="0" borderId="11" xfId="0" applyFont="1" applyBorder="1" applyAlignment="1">
      <alignment horizontal="center"/>
    </xf>
    <xf numFmtId="0" fontId="1" fillId="4" borderId="0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/>
    </xf>
    <xf numFmtId="0" fontId="4" fillId="2" borderId="0" xfId="0" applyFont="1" applyFill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C00000"/>
        </a:solidFill>
        <a:ln w="101600">
          <a:solidFill>
            <a:srgbClr val="C00000"/>
          </a:solidFill>
        </a:ln>
      </a:spPr>
      <a:bodyPr vertOverflow="clip" rtlCol="0" anchor="ctr"/>
      <a:lstStyle>
        <a:defPPr algn="ctr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T143"/>
  <sheetViews>
    <sheetView tabSelected="1" topLeftCell="G61" workbookViewId="0">
      <selection activeCell="H86" sqref="H86"/>
    </sheetView>
  </sheetViews>
  <sheetFormatPr baseColWidth="10" defaultRowHeight="15" x14ac:dyDescent="0.25"/>
  <cols>
    <col min="1" max="1" width="12" bestFit="1" customWidth="1"/>
    <col min="2" max="2" width="14.7109375" customWidth="1"/>
    <col min="3" max="3" width="8.28515625" bestFit="1" customWidth="1"/>
    <col min="4" max="4" width="15.7109375" bestFit="1" customWidth="1"/>
    <col min="5" max="5" width="18.5703125" customWidth="1"/>
    <col min="6" max="6" width="101" customWidth="1"/>
    <col min="7" max="7" width="45.140625" customWidth="1"/>
    <col min="8" max="8" width="17.85546875" customWidth="1"/>
    <col min="9" max="10" width="15.7109375" customWidth="1"/>
    <col min="11" max="13" width="19.7109375" customWidth="1"/>
    <col min="14" max="14" width="12.42578125" bestFit="1" customWidth="1"/>
    <col min="15" max="15" width="12" customWidth="1"/>
    <col min="16" max="16" width="17" customWidth="1"/>
    <col min="17" max="17" width="11.85546875" customWidth="1"/>
    <col min="20" max="20" width="15" customWidth="1"/>
  </cols>
  <sheetData>
    <row r="1" spans="1:20" ht="48" customHeight="1" thickBot="1" x14ac:dyDescent="0.3">
      <c r="A1" s="167" t="s">
        <v>200</v>
      </c>
      <c r="B1" s="167"/>
      <c r="C1" s="167"/>
      <c r="D1" s="167"/>
      <c r="E1" s="167"/>
      <c r="F1" s="167"/>
      <c r="G1" s="167"/>
      <c r="H1" s="167"/>
      <c r="I1" s="167"/>
      <c r="J1" s="167"/>
      <c r="K1" s="167"/>
      <c r="L1" s="167"/>
      <c r="M1" s="167"/>
      <c r="N1" s="167"/>
      <c r="O1" s="167"/>
      <c r="P1" s="167"/>
      <c r="Q1" s="168"/>
    </row>
    <row r="2" spans="1:20" ht="22.5" customHeight="1" thickBot="1" x14ac:dyDescent="0.3">
      <c r="A2" s="164" t="s">
        <v>24</v>
      </c>
      <c r="B2" s="153"/>
      <c r="C2" s="153"/>
      <c r="D2" s="165"/>
      <c r="E2" s="152" t="s">
        <v>25</v>
      </c>
      <c r="F2" s="153"/>
      <c r="G2" s="165"/>
      <c r="H2" s="152" t="s">
        <v>21</v>
      </c>
      <c r="I2" s="153"/>
      <c r="J2" s="153"/>
      <c r="K2" s="153"/>
      <c r="L2" s="153"/>
      <c r="M2" s="153"/>
      <c r="N2" s="152" t="s">
        <v>37</v>
      </c>
      <c r="O2" s="153"/>
      <c r="P2" s="153"/>
      <c r="Q2" s="166"/>
      <c r="R2" s="3"/>
    </row>
    <row r="3" spans="1:20" ht="20.25" customHeight="1" thickBot="1" x14ac:dyDescent="0.3">
      <c r="A3" s="14" t="s">
        <v>22</v>
      </c>
      <c r="B3" s="27" t="s">
        <v>23</v>
      </c>
      <c r="C3" s="27" t="s">
        <v>43</v>
      </c>
      <c r="D3" s="15" t="s">
        <v>0</v>
      </c>
      <c r="E3" s="18" t="s">
        <v>20</v>
      </c>
      <c r="F3" s="27" t="s">
        <v>5</v>
      </c>
      <c r="G3" s="15" t="s">
        <v>131</v>
      </c>
      <c r="H3" s="163" t="s">
        <v>3</v>
      </c>
      <c r="I3" s="158"/>
      <c r="J3" s="158"/>
      <c r="K3" s="157" t="s">
        <v>4</v>
      </c>
      <c r="L3" s="158"/>
      <c r="M3" s="158"/>
      <c r="N3" s="34" t="s">
        <v>32</v>
      </c>
      <c r="O3" s="27" t="s">
        <v>103</v>
      </c>
      <c r="P3" s="29" t="s">
        <v>88</v>
      </c>
      <c r="Q3" s="30" t="s">
        <v>104</v>
      </c>
      <c r="R3" s="3"/>
      <c r="T3" s="6"/>
    </row>
    <row r="4" spans="1:20" ht="24.95" customHeight="1" x14ac:dyDescent="0.25">
      <c r="A4" s="53">
        <v>42736</v>
      </c>
      <c r="B4" s="22" t="s">
        <v>83</v>
      </c>
      <c r="C4" s="23">
        <v>88</v>
      </c>
      <c r="D4" s="7" t="s">
        <v>2</v>
      </c>
      <c r="E4" s="19" t="s">
        <v>109</v>
      </c>
      <c r="F4" s="51" t="s">
        <v>100</v>
      </c>
      <c r="G4" s="7" t="s">
        <v>129</v>
      </c>
      <c r="H4" s="56" t="s">
        <v>214</v>
      </c>
      <c r="I4" s="56"/>
      <c r="J4" s="56"/>
      <c r="K4" s="8" t="s">
        <v>6</v>
      </c>
      <c r="L4" s="4"/>
      <c r="M4" s="4"/>
      <c r="N4" s="35"/>
      <c r="O4" s="23"/>
      <c r="P4" s="23"/>
      <c r="Q4" s="31"/>
      <c r="T4" s="2"/>
    </row>
    <row r="5" spans="1:20" ht="24.95" customHeight="1" x14ac:dyDescent="0.25">
      <c r="A5" s="123">
        <v>42744</v>
      </c>
      <c r="B5" s="124" t="s">
        <v>83</v>
      </c>
      <c r="C5" s="124">
        <v>66</v>
      </c>
      <c r="D5" s="125" t="s">
        <v>2</v>
      </c>
      <c r="E5" s="126" t="s">
        <v>109</v>
      </c>
      <c r="F5" s="124" t="s">
        <v>84</v>
      </c>
      <c r="G5" s="125" t="s">
        <v>126</v>
      </c>
      <c r="H5" s="56" t="s">
        <v>14</v>
      </c>
      <c r="I5" s="56" t="s">
        <v>9</v>
      </c>
      <c r="J5" s="56"/>
      <c r="K5" s="8" t="s">
        <v>6</v>
      </c>
      <c r="L5" s="4"/>
      <c r="M5" s="4"/>
      <c r="N5" s="35"/>
      <c r="O5" s="23"/>
      <c r="P5" s="23"/>
      <c r="Q5" s="31"/>
      <c r="T5" s="2"/>
    </row>
    <row r="6" spans="1:20" ht="24.95" customHeight="1" x14ac:dyDescent="0.25">
      <c r="A6" s="123">
        <v>42744</v>
      </c>
      <c r="B6" s="124" t="s">
        <v>83</v>
      </c>
      <c r="C6" s="124">
        <v>67</v>
      </c>
      <c r="D6" s="125" t="s">
        <v>16</v>
      </c>
      <c r="E6" s="126" t="s">
        <v>39</v>
      </c>
      <c r="F6" s="124" t="s">
        <v>110</v>
      </c>
      <c r="G6" s="125" t="s">
        <v>133</v>
      </c>
      <c r="H6" s="56" t="s">
        <v>178</v>
      </c>
      <c r="I6" s="56"/>
      <c r="J6" s="56"/>
      <c r="K6" s="57" t="s">
        <v>166</v>
      </c>
      <c r="L6" s="56"/>
      <c r="M6" s="56"/>
      <c r="N6" s="35"/>
      <c r="O6" s="23"/>
      <c r="P6" s="23"/>
      <c r="Q6" s="31"/>
      <c r="T6" s="2"/>
    </row>
    <row r="7" spans="1:20" ht="24.95" customHeight="1" x14ac:dyDescent="0.25">
      <c r="A7" s="129">
        <v>42745</v>
      </c>
      <c r="B7" s="117" t="s">
        <v>38</v>
      </c>
      <c r="C7" s="117">
        <v>45</v>
      </c>
      <c r="D7" s="118" t="s">
        <v>26</v>
      </c>
      <c r="E7" s="119" t="s">
        <v>105</v>
      </c>
      <c r="F7" s="117" t="s">
        <v>82</v>
      </c>
      <c r="G7" s="118" t="s">
        <v>128</v>
      </c>
      <c r="H7" s="134" t="s">
        <v>179</v>
      </c>
      <c r="I7" s="134"/>
      <c r="J7" s="134"/>
      <c r="K7" s="57" t="s">
        <v>6</v>
      </c>
      <c r="L7" s="56" t="s">
        <v>195</v>
      </c>
      <c r="M7" s="56" t="s">
        <v>196</v>
      </c>
      <c r="N7" s="54"/>
      <c r="O7" s="52"/>
      <c r="P7" s="52"/>
      <c r="Q7" s="55"/>
      <c r="T7" s="2"/>
    </row>
    <row r="8" spans="1:20" ht="24.95" customHeight="1" x14ac:dyDescent="0.25">
      <c r="A8" s="129">
        <v>42752</v>
      </c>
      <c r="B8" s="117" t="s">
        <v>38</v>
      </c>
      <c r="C8" s="117">
        <v>46</v>
      </c>
      <c r="D8" s="118" t="s">
        <v>16</v>
      </c>
      <c r="E8" s="119" t="s">
        <v>105</v>
      </c>
      <c r="F8" s="117" t="s">
        <v>81</v>
      </c>
      <c r="G8" s="118" t="s">
        <v>134</v>
      </c>
      <c r="H8" s="134" t="s">
        <v>180</v>
      </c>
      <c r="I8" s="134"/>
      <c r="J8" s="134"/>
      <c r="K8" s="57" t="s">
        <v>6</v>
      </c>
      <c r="L8" s="56"/>
      <c r="M8" s="56"/>
      <c r="N8" s="54"/>
      <c r="O8" s="52"/>
      <c r="P8" s="52"/>
      <c r="Q8" s="55"/>
      <c r="T8" s="2"/>
    </row>
    <row r="9" spans="1:20" ht="24.95" customHeight="1" x14ac:dyDescent="0.25">
      <c r="A9" s="123">
        <v>42760</v>
      </c>
      <c r="B9" s="124" t="s">
        <v>83</v>
      </c>
      <c r="C9" s="124">
        <v>68</v>
      </c>
      <c r="D9" s="125" t="s">
        <v>16</v>
      </c>
      <c r="E9" s="126" t="s">
        <v>177</v>
      </c>
      <c r="F9" s="124" t="s">
        <v>85</v>
      </c>
      <c r="G9" s="125" t="s">
        <v>134</v>
      </c>
      <c r="H9" s="56" t="s">
        <v>181</v>
      </c>
      <c r="I9" s="56"/>
      <c r="J9" s="56"/>
      <c r="K9" s="57" t="s">
        <v>6</v>
      </c>
      <c r="L9" s="56"/>
      <c r="M9" s="56"/>
      <c r="N9" s="54"/>
      <c r="O9" s="52"/>
      <c r="P9" s="52"/>
      <c r="Q9" s="55"/>
      <c r="T9" s="2"/>
    </row>
    <row r="10" spans="1:20" ht="24.95" customHeight="1" x14ac:dyDescent="0.25">
      <c r="A10" s="123">
        <v>42760</v>
      </c>
      <c r="B10" s="124" t="s">
        <v>83</v>
      </c>
      <c r="C10" s="124">
        <v>69</v>
      </c>
      <c r="D10" s="125" t="s">
        <v>19</v>
      </c>
      <c r="E10" s="126" t="s">
        <v>40</v>
      </c>
      <c r="F10" s="124" t="s">
        <v>111</v>
      </c>
      <c r="G10" s="125" t="s">
        <v>126</v>
      </c>
      <c r="H10" s="56" t="s">
        <v>193</v>
      </c>
      <c r="I10" s="56" t="s">
        <v>182</v>
      </c>
      <c r="J10" s="56"/>
      <c r="K10" s="57" t="s">
        <v>6</v>
      </c>
      <c r="L10" s="56" t="s">
        <v>197</v>
      </c>
      <c r="M10" s="56"/>
      <c r="N10" s="54"/>
      <c r="O10" s="52"/>
      <c r="P10" s="52"/>
      <c r="Q10" s="55"/>
      <c r="T10" s="2"/>
    </row>
    <row r="11" spans="1:20" ht="24.95" customHeight="1" x14ac:dyDescent="0.25">
      <c r="A11" s="129">
        <v>42769</v>
      </c>
      <c r="B11" s="117" t="s">
        <v>38</v>
      </c>
      <c r="C11" s="117">
        <v>47</v>
      </c>
      <c r="D11" s="118" t="s">
        <v>16</v>
      </c>
      <c r="E11" s="119" t="s">
        <v>177</v>
      </c>
      <c r="F11" s="117" t="s">
        <v>127</v>
      </c>
      <c r="G11" s="118" t="s">
        <v>134</v>
      </c>
      <c r="H11" s="134" t="s">
        <v>11</v>
      </c>
      <c r="I11" s="134"/>
      <c r="J11" s="134"/>
      <c r="K11" s="57" t="s">
        <v>6</v>
      </c>
      <c r="L11" s="56"/>
      <c r="M11" s="56"/>
      <c r="N11" s="54"/>
      <c r="O11" s="52"/>
      <c r="P11" s="52"/>
      <c r="Q11" s="55"/>
      <c r="T11" s="2"/>
    </row>
    <row r="12" spans="1:20" ht="24.95" customHeight="1" x14ac:dyDescent="0.25">
      <c r="A12" s="129">
        <v>42781</v>
      </c>
      <c r="B12" s="117" t="s">
        <v>38</v>
      </c>
      <c r="C12" s="117">
        <v>48</v>
      </c>
      <c r="D12" s="118" t="s">
        <v>16</v>
      </c>
      <c r="E12" s="119" t="s">
        <v>177</v>
      </c>
      <c r="F12" s="117" t="s">
        <v>80</v>
      </c>
      <c r="G12" s="118" t="s">
        <v>134</v>
      </c>
      <c r="H12" s="134" t="s">
        <v>31</v>
      </c>
      <c r="I12" s="134"/>
      <c r="J12" s="134"/>
      <c r="K12" s="57" t="s">
        <v>6</v>
      </c>
      <c r="L12" s="56"/>
      <c r="M12" s="56"/>
      <c r="N12" s="54"/>
      <c r="O12" s="52"/>
      <c r="P12" s="52"/>
      <c r="Q12" s="55"/>
      <c r="T12" s="2"/>
    </row>
    <row r="13" spans="1:20" ht="24.95" customHeight="1" x14ac:dyDescent="0.25">
      <c r="A13" s="129">
        <v>42784</v>
      </c>
      <c r="B13" s="117" t="s">
        <v>38</v>
      </c>
      <c r="C13" s="117">
        <v>49</v>
      </c>
      <c r="D13" s="118" t="s">
        <v>16</v>
      </c>
      <c r="E13" s="119" t="s">
        <v>177</v>
      </c>
      <c r="F13" s="117" t="s">
        <v>79</v>
      </c>
      <c r="G13" s="118" t="s">
        <v>134</v>
      </c>
      <c r="H13" s="134" t="s">
        <v>9</v>
      </c>
      <c r="I13" s="134"/>
      <c r="J13" s="134"/>
      <c r="K13" s="57" t="s">
        <v>6</v>
      </c>
      <c r="L13" s="56"/>
      <c r="M13" s="56"/>
      <c r="N13" s="54"/>
      <c r="O13" s="52"/>
      <c r="P13" s="52"/>
      <c r="Q13" s="55"/>
    </row>
    <row r="14" spans="1:20" ht="24.95" customHeight="1" x14ac:dyDescent="0.25">
      <c r="A14" s="123">
        <v>42791</v>
      </c>
      <c r="B14" s="124" t="s">
        <v>83</v>
      </c>
      <c r="C14" s="124">
        <v>71</v>
      </c>
      <c r="D14" s="125" t="s">
        <v>16</v>
      </c>
      <c r="E14" s="126" t="s">
        <v>105</v>
      </c>
      <c r="F14" s="124" t="s">
        <v>86</v>
      </c>
      <c r="G14" s="125" t="s">
        <v>139</v>
      </c>
      <c r="H14" s="56" t="s">
        <v>182</v>
      </c>
      <c r="I14" s="56"/>
      <c r="J14" s="56"/>
      <c r="K14" s="57" t="s">
        <v>6</v>
      </c>
      <c r="L14" s="56"/>
      <c r="M14" s="56"/>
      <c r="N14" s="54"/>
      <c r="O14" s="52"/>
      <c r="P14" s="52"/>
      <c r="Q14" s="55"/>
    </row>
    <row r="15" spans="1:20" ht="24.95" customHeight="1" x14ac:dyDescent="0.25">
      <c r="A15" s="129">
        <v>42794</v>
      </c>
      <c r="B15" s="117" t="s">
        <v>38</v>
      </c>
      <c r="C15" s="117">
        <v>50</v>
      </c>
      <c r="D15" s="118" t="s">
        <v>16</v>
      </c>
      <c r="E15" s="119" t="s">
        <v>105</v>
      </c>
      <c r="F15" s="117" t="s">
        <v>112</v>
      </c>
      <c r="G15" s="118" t="s">
        <v>134</v>
      </c>
      <c r="H15" s="134" t="s">
        <v>183</v>
      </c>
      <c r="I15" s="134"/>
      <c r="J15" s="134"/>
      <c r="K15" s="57" t="s">
        <v>72</v>
      </c>
      <c r="L15" s="56"/>
      <c r="M15" s="56"/>
      <c r="N15" s="54"/>
      <c r="O15" s="52"/>
      <c r="P15" s="52"/>
      <c r="Q15" s="55"/>
    </row>
    <row r="16" spans="1:20" ht="24.95" customHeight="1" x14ac:dyDescent="0.25">
      <c r="A16" s="129">
        <v>42801</v>
      </c>
      <c r="B16" s="117" t="s">
        <v>38</v>
      </c>
      <c r="C16" s="117">
        <v>51</v>
      </c>
      <c r="D16" s="118" t="s">
        <v>16</v>
      </c>
      <c r="E16" s="119" t="s">
        <v>105</v>
      </c>
      <c r="F16" s="117" t="s">
        <v>78</v>
      </c>
      <c r="G16" s="118" t="s">
        <v>167</v>
      </c>
      <c r="H16" s="134" t="s">
        <v>181</v>
      </c>
      <c r="I16" s="134" t="s">
        <v>179</v>
      </c>
      <c r="J16" s="134"/>
      <c r="K16" s="57" t="s">
        <v>6</v>
      </c>
      <c r="L16" s="56"/>
      <c r="M16" s="56"/>
      <c r="N16" s="54"/>
      <c r="O16" s="52"/>
      <c r="P16" s="52"/>
      <c r="Q16" s="55"/>
    </row>
    <row r="17" spans="1:17" ht="24.95" customHeight="1" x14ac:dyDescent="0.25">
      <c r="A17" s="129">
        <v>42814</v>
      </c>
      <c r="B17" s="117" t="s">
        <v>38</v>
      </c>
      <c r="C17" s="117">
        <v>53</v>
      </c>
      <c r="D17" s="118" t="s">
        <v>16</v>
      </c>
      <c r="E17" s="119" t="s">
        <v>105</v>
      </c>
      <c r="F17" s="117" t="s">
        <v>75</v>
      </c>
      <c r="G17" s="118" t="s">
        <v>134</v>
      </c>
      <c r="H17" s="134" t="s">
        <v>9</v>
      </c>
      <c r="I17" s="134"/>
      <c r="J17" s="134"/>
      <c r="K17" s="57" t="s">
        <v>6</v>
      </c>
      <c r="L17" s="56"/>
      <c r="M17" s="56"/>
      <c r="N17" s="54"/>
      <c r="O17" s="52"/>
      <c r="P17" s="52"/>
      <c r="Q17" s="55"/>
    </row>
    <row r="18" spans="1:17" ht="24.95" customHeight="1" x14ac:dyDescent="0.25">
      <c r="A18" s="129">
        <v>42814</v>
      </c>
      <c r="B18" s="117" t="s">
        <v>38</v>
      </c>
      <c r="C18" s="117">
        <v>52</v>
      </c>
      <c r="D18" s="118" t="s">
        <v>76</v>
      </c>
      <c r="E18" s="119" t="s">
        <v>27</v>
      </c>
      <c r="F18" s="117" t="s">
        <v>77</v>
      </c>
      <c r="G18" s="118" t="s">
        <v>128</v>
      </c>
      <c r="H18" s="134" t="s">
        <v>184</v>
      </c>
      <c r="I18" s="134"/>
      <c r="J18" s="134"/>
      <c r="K18" s="57" t="s">
        <v>6</v>
      </c>
      <c r="L18" s="56" t="s">
        <v>166</v>
      </c>
      <c r="M18" s="56"/>
      <c r="N18" s="54"/>
      <c r="O18" s="52"/>
      <c r="P18" s="52"/>
      <c r="Q18" s="55"/>
    </row>
    <row r="19" spans="1:17" ht="24.95" customHeight="1" x14ac:dyDescent="0.25">
      <c r="A19" s="123">
        <v>42814</v>
      </c>
      <c r="B19" s="124" t="s">
        <v>83</v>
      </c>
      <c r="C19" s="124">
        <v>72</v>
      </c>
      <c r="D19" s="125" t="s">
        <v>16</v>
      </c>
      <c r="E19" s="126" t="s">
        <v>105</v>
      </c>
      <c r="F19" s="124" t="s">
        <v>87</v>
      </c>
      <c r="G19" s="125" t="s">
        <v>134</v>
      </c>
      <c r="H19" s="56" t="s">
        <v>9</v>
      </c>
      <c r="I19" s="56"/>
      <c r="J19" s="56"/>
      <c r="K19" s="57" t="s">
        <v>6</v>
      </c>
      <c r="L19" s="56"/>
      <c r="M19" s="56"/>
      <c r="N19" s="54"/>
      <c r="O19" s="52"/>
      <c r="P19" s="52"/>
      <c r="Q19" s="55"/>
    </row>
    <row r="20" spans="1:17" ht="24.95" customHeight="1" x14ac:dyDescent="0.25">
      <c r="A20" s="129">
        <v>42817</v>
      </c>
      <c r="B20" s="117" t="s">
        <v>38</v>
      </c>
      <c r="C20" s="117">
        <v>54</v>
      </c>
      <c r="D20" s="118" t="s">
        <v>16</v>
      </c>
      <c r="E20" s="119" t="s">
        <v>27</v>
      </c>
      <c r="F20" s="117" t="s">
        <v>74</v>
      </c>
      <c r="G20" s="118" t="s">
        <v>129</v>
      </c>
      <c r="H20" s="134" t="s">
        <v>14</v>
      </c>
      <c r="I20" s="134" t="s">
        <v>53</v>
      </c>
      <c r="J20" s="134"/>
      <c r="K20" s="57" t="s">
        <v>192</v>
      </c>
      <c r="L20" s="56"/>
      <c r="M20" s="56"/>
      <c r="N20" s="54"/>
      <c r="O20" s="52"/>
      <c r="P20" s="52"/>
      <c r="Q20" s="55"/>
    </row>
    <row r="21" spans="1:17" ht="24.95" customHeight="1" x14ac:dyDescent="0.25">
      <c r="A21" s="123">
        <v>42817</v>
      </c>
      <c r="B21" s="124" t="s">
        <v>83</v>
      </c>
      <c r="C21" s="124">
        <v>73</v>
      </c>
      <c r="D21" s="125" t="s">
        <v>16</v>
      </c>
      <c r="E21" s="126" t="s">
        <v>105</v>
      </c>
      <c r="F21" s="124" t="s">
        <v>89</v>
      </c>
      <c r="G21" s="125" t="s">
        <v>139</v>
      </c>
      <c r="H21" s="56" t="s">
        <v>11</v>
      </c>
      <c r="I21" s="56"/>
      <c r="J21" s="56"/>
      <c r="K21" s="57" t="s">
        <v>6</v>
      </c>
      <c r="L21" s="56"/>
      <c r="M21" s="56"/>
      <c r="N21" s="54"/>
      <c r="O21" s="52"/>
      <c r="P21" s="52"/>
      <c r="Q21" s="55"/>
    </row>
    <row r="22" spans="1:17" ht="24.95" customHeight="1" x14ac:dyDescent="0.25">
      <c r="A22" s="123">
        <v>42825</v>
      </c>
      <c r="B22" s="124" t="s">
        <v>83</v>
      </c>
      <c r="C22" s="124">
        <v>74</v>
      </c>
      <c r="D22" s="125" t="s">
        <v>16</v>
      </c>
      <c r="E22" s="126" t="s">
        <v>105</v>
      </c>
      <c r="F22" s="124" t="s">
        <v>90</v>
      </c>
      <c r="G22" s="125" t="s">
        <v>128</v>
      </c>
      <c r="H22" s="56" t="s">
        <v>184</v>
      </c>
      <c r="I22" s="56"/>
      <c r="J22" s="56"/>
      <c r="K22" s="57" t="s">
        <v>6</v>
      </c>
      <c r="L22" s="56"/>
      <c r="M22" s="56"/>
      <c r="N22" s="54"/>
      <c r="O22" s="52"/>
      <c r="P22" s="52"/>
      <c r="Q22" s="55"/>
    </row>
    <row r="23" spans="1:17" ht="24.95" customHeight="1" x14ac:dyDescent="0.25">
      <c r="A23" s="123">
        <v>42825</v>
      </c>
      <c r="B23" s="124" t="s">
        <v>83</v>
      </c>
      <c r="C23" s="124">
        <v>75</v>
      </c>
      <c r="D23" s="125" t="s">
        <v>16</v>
      </c>
      <c r="E23" s="126" t="s">
        <v>105</v>
      </c>
      <c r="F23" s="124" t="s">
        <v>160</v>
      </c>
      <c r="G23" s="125" t="s">
        <v>134</v>
      </c>
      <c r="H23" s="56" t="s">
        <v>181</v>
      </c>
      <c r="I23" s="56" t="s">
        <v>188</v>
      </c>
      <c r="J23" s="56"/>
      <c r="K23" s="57" t="s">
        <v>6</v>
      </c>
      <c r="L23" s="56"/>
      <c r="M23" s="56"/>
      <c r="N23" s="54"/>
      <c r="O23" s="52"/>
      <c r="P23" s="52"/>
      <c r="Q23" s="55"/>
    </row>
    <row r="24" spans="1:17" ht="24.95" customHeight="1" x14ac:dyDescent="0.25">
      <c r="A24" s="129">
        <v>42831</v>
      </c>
      <c r="B24" s="117" t="s">
        <v>38</v>
      </c>
      <c r="C24" s="117">
        <v>56</v>
      </c>
      <c r="D24" s="118" t="s">
        <v>16</v>
      </c>
      <c r="E24" s="119" t="s">
        <v>105</v>
      </c>
      <c r="F24" s="117" t="s">
        <v>113</v>
      </c>
      <c r="G24" s="118" t="s">
        <v>128</v>
      </c>
      <c r="H24" s="134" t="s">
        <v>179</v>
      </c>
      <c r="I24" s="134"/>
      <c r="J24" s="134"/>
      <c r="K24" s="57" t="s">
        <v>72</v>
      </c>
      <c r="L24" s="56"/>
      <c r="M24" s="56"/>
      <c r="N24" s="54"/>
      <c r="O24" s="52"/>
      <c r="P24" s="52"/>
      <c r="Q24" s="55"/>
    </row>
    <row r="25" spans="1:17" ht="24.95" customHeight="1" x14ac:dyDescent="0.25">
      <c r="A25" s="129">
        <v>42831</v>
      </c>
      <c r="B25" s="117" t="s">
        <v>38</v>
      </c>
      <c r="C25" s="117">
        <v>55</v>
      </c>
      <c r="D25" s="118" t="s">
        <v>2</v>
      </c>
      <c r="E25" s="119" t="s">
        <v>1</v>
      </c>
      <c r="F25" s="117" t="s">
        <v>73</v>
      </c>
      <c r="G25" s="118" t="s">
        <v>130</v>
      </c>
      <c r="H25" s="134" t="s">
        <v>185</v>
      </c>
      <c r="I25" s="134"/>
      <c r="J25" s="134"/>
      <c r="K25" s="57" t="s">
        <v>106</v>
      </c>
      <c r="L25" s="56"/>
      <c r="M25" s="56"/>
      <c r="N25" s="54"/>
      <c r="O25" s="52"/>
      <c r="P25" s="52"/>
      <c r="Q25" s="55"/>
    </row>
    <row r="26" spans="1:17" ht="24.95" customHeight="1" x14ac:dyDescent="0.25">
      <c r="A26" s="123">
        <v>42834</v>
      </c>
      <c r="B26" s="124" t="s">
        <v>83</v>
      </c>
      <c r="C26" s="124">
        <v>76</v>
      </c>
      <c r="D26" s="125" t="s">
        <v>2</v>
      </c>
      <c r="E26" s="126" t="s">
        <v>1</v>
      </c>
      <c r="F26" s="124" t="s">
        <v>91</v>
      </c>
      <c r="G26" s="125" t="s">
        <v>134</v>
      </c>
      <c r="H26" s="56" t="s">
        <v>8</v>
      </c>
      <c r="I26" s="56"/>
      <c r="J26" s="56"/>
      <c r="K26" s="57" t="s">
        <v>6</v>
      </c>
      <c r="L26" s="56"/>
      <c r="M26" s="56"/>
      <c r="N26" s="54"/>
      <c r="O26" s="52"/>
      <c r="P26" s="52"/>
      <c r="Q26" s="55"/>
    </row>
    <row r="27" spans="1:17" ht="24.95" customHeight="1" x14ac:dyDescent="0.25">
      <c r="A27" s="123">
        <v>42839</v>
      </c>
      <c r="B27" s="124" t="s">
        <v>83</v>
      </c>
      <c r="C27" s="124">
        <v>77</v>
      </c>
      <c r="D27" s="125" t="s">
        <v>16</v>
      </c>
      <c r="E27" s="126" t="s">
        <v>105</v>
      </c>
      <c r="F27" s="124" t="s">
        <v>92</v>
      </c>
      <c r="G27" s="125" t="s">
        <v>134</v>
      </c>
      <c r="H27" s="56" t="s">
        <v>8</v>
      </c>
      <c r="I27" s="56"/>
      <c r="J27" s="56"/>
      <c r="K27" s="57" t="s">
        <v>6</v>
      </c>
      <c r="L27" s="56"/>
      <c r="M27" s="56"/>
      <c r="N27" s="54"/>
      <c r="O27" s="52"/>
      <c r="P27" s="52"/>
      <c r="Q27" s="55"/>
    </row>
    <row r="28" spans="1:17" ht="24.95" customHeight="1" x14ac:dyDescent="0.25">
      <c r="A28" s="123">
        <v>42842</v>
      </c>
      <c r="B28" s="124" t="s">
        <v>83</v>
      </c>
      <c r="C28" s="124">
        <v>78</v>
      </c>
      <c r="D28" s="125" t="s">
        <v>16</v>
      </c>
      <c r="E28" s="126" t="s">
        <v>105</v>
      </c>
      <c r="F28" s="124" t="s">
        <v>114</v>
      </c>
      <c r="G28" s="125" t="s">
        <v>130</v>
      </c>
      <c r="H28" s="56" t="s">
        <v>29</v>
      </c>
      <c r="I28" s="56"/>
      <c r="J28" s="56"/>
      <c r="K28" s="57" t="s">
        <v>198</v>
      </c>
      <c r="L28" s="56" t="s">
        <v>6</v>
      </c>
      <c r="M28" s="56"/>
      <c r="N28" s="54"/>
      <c r="O28" s="52"/>
      <c r="P28" s="52"/>
      <c r="Q28" s="55"/>
    </row>
    <row r="29" spans="1:17" ht="24.95" customHeight="1" x14ac:dyDescent="0.25">
      <c r="A29" s="123">
        <v>42843</v>
      </c>
      <c r="B29" s="124" t="s">
        <v>83</v>
      </c>
      <c r="C29" s="124">
        <v>79</v>
      </c>
      <c r="D29" s="125" t="s">
        <v>16</v>
      </c>
      <c r="E29" s="126" t="s">
        <v>105</v>
      </c>
      <c r="F29" s="124" t="s">
        <v>161</v>
      </c>
      <c r="G29" s="125" t="s">
        <v>134</v>
      </c>
      <c r="H29" s="56" t="s">
        <v>53</v>
      </c>
      <c r="I29" s="56"/>
      <c r="J29" s="56"/>
      <c r="K29" s="57" t="s">
        <v>41</v>
      </c>
      <c r="L29" s="56"/>
      <c r="M29" s="56"/>
      <c r="N29" s="54"/>
      <c r="O29" s="52"/>
      <c r="P29" s="52"/>
      <c r="Q29" s="55"/>
    </row>
    <row r="30" spans="1:17" ht="24.95" customHeight="1" x14ac:dyDescent="0.25">
      <c r="A30" s="123">
        <v>42845</v>
      </c>
      <c r="B30" s="124" t="s">
        <v>83</v>
      </c>
      <c r="C30" s="124">
        <v>80</v>
      </c>
      <c r="D30" s="125" t="s">
        <v>16</v>
      </c>
      <c r="E30" s="126" t="s">
        <v>105</v>
      </c>
      <c r="F30" s="124" t="s">
        <v>93</v>
      </c>
      <c r="G30" s="125" t="s">
        <v>134</v>
      </c>
      <c r="H30" s="56" t="s">
        <v>8</v>
      </c>
      <c r="I30" s="56"/>
      <c r="J30" s="56"/>
      <c r="K30" s="57" t="s">
        <v>6</v>
      </c>
      <c r="L30" s="56"/>
      <c r="M30" s="56"/>
      <c r="N30" s="54"/>
      <c r="O30" s="52"/>
      <c r="P30" s="52"/>
      <c r="Q30" s="55"/>
    </row>
    <row r="31" spans="1:17" ht="24.95" customHeight="1" x14ac:dyDescent="0.25">
      <c r="A31" s="123">
        <v>42850</v>
      </c>
      <c r="B31" s="124" t="s">
        <v>83</v>
      </c>
      <c r="C31" s="124">
        <v>81</v>
      </c>
      <c r="D31" s="125" t="s">
        <v>16</v>
      </c>
      <c r="E31" s="126" t="s">
        <v>94</v>
      </c>
      <c r="F31" s="124" t="s">
        <v>116</v>
      </c>
      <c r="G31" s="125" t="s">
        <v>130</v>
      </c>
      <c r="H31" s="56" t="s">
        <v>45</v>
      </c>
      <c r="I31" s="56"/>
      <c r="J31" s="56"/>
      <c r="K31" s="57" t="s">
        <v>7</v>
      </c>
      <c r="L31" s="56"/>
      <c r="M31" s="56"/>
      <c r="N31" s="54"/>
      <c r="O31" s="52"/>
      <c r="P31" s="52"/>
      <c r="Q31" s="55"/>
    </row>
    <row r="32" spans="1:17" ht="24.95" customHeight="1" x14ac:dyDescent="0.25">
      <c r="A32" s="123">
        <v>42850</v>
      </c>
      <c r="B32" s="124" t="s">
        <v>83</v>
      </c>
      <c r="C32" s="124">
        <v>82</v>
      </c>
      <c r="D32" s="125" t="s">
        <v>16</v>
      </c>
      <c r="E32" s="126" t="s">
        <v>105</v>
      </c>
      <c r="F32" s="124" t="s">
        <v>115</v>
      </c>
      <c r="G32" s="125" t="s">
        <v>130</v>
      </c>
      <c r="H32" s="56" t="s">
        <v>45</v>
      </c>
      <c r="I32" s="56"/>
      <c r="J32" s="56"/>
      <c r="K32" s="57" t="s">
        <v>7</v>
      </c>
      <c r="L32" s="56"/>
      <c r="M32" s="56"/>
      <c r="N32" s="54"/>
      <c r="O32" s="52"/>
      <c r="P32" s="52"/>
      <c r="Q32" s="55"/>
    </row>
    <row r="33" spans="1:17" ht="24.95" customHeight="1" x14ac:dyDescent="0.25">
      <c r="A33" s="123">
        <v>42851</v>
      </c>
      <c r="B33" s="124" t="s">
        <v>83</v>
      </c>
      <c r="C33" s="124">
        <v>83</v>
      </c>
      <c r="D33" s="125" t="s">
        <v>16</v>
      </c>
      <c r="E33" s="126" t="s">
        <v>105</v>
      </c>
      <c r="F33" s="124" t="s">
        <v>95</v>
      </c>
      <c r="G33" s="125" t="s">
        <v>133</v>
      </c>
      <c r="H33" s="56" t="s">
        <v>53</v>
      </c>
      <c r="I33" s="56"/>
      <c r="J33" s="56"/>
      <c r="K33" s="57" t="s">
        <v>41</v>
      </c>
      <c r="L33" s="56"/>
      <c r="M33" s="56"/>
      <c r="N33" s="54"/>
      <c r="O33" s="52"/>
      <c r="P33" s="52"/>
      <c r="Q33" s="55"/>
    </row>
    <row r="34" spans="1:17" ht="24.95" customHeight="1" x14ac:dyDescent="0.25">
      <c r="A34" s="129">
        <v>42861</v>
      </c>
      <c r="B34" s="117" t="s">
        <v>38</v>
      </c>
      <c r="C34" s="117">
        <v>57</v>
      </c>
      <c r="D34" s="118" t="s">
        <v>2</v>
      </c>
      <c r="E34" s="119" t="s">
        <v>1</v>
      </c>
      <c r="F34" s="117" t="s">
        <v>71</v>
      </c>
      <c r="G34" s="118" t="s">
        <v>130</v>
      </c>
      <c r="H34" s="134" t="s">
        <v>45</v>
      </c>
      <c r="I34" s="134"/>
      <c r="J34" s="134"/>
      <c r="K34" s="57" t="s">
        <v>106</v>
      </c>
      <c r="L34" s="56"/>
      <c r="M34" s="56"/>
      <c r="N34" s="54"/>
      <c r="O34" s="52"/>
      <c r="P34" s="52"/>
      <c r="Q34" s="55"/>
    </row>
    <row r="35" spans="1:17" ht="24.95" customHeight="1" x14ac:dyDescent="0.25">
      <c r="A35" s="129">
        <v>42864</v>
      </c>
      <c r="B35" s="117" t="s">
        <v>38</v>
      </c>
      <c r="C35" s="117">
        <v>58</v>
      </c>
      <c r="D35" s="118" t="s">
        <v>10</v>
      </c>
      <c r="E35" s="119" t="s">
        <v>105</v>
      </c>
      <c r="F35" s="117" t="s">
        <v>162</v>
      </c>
      <c r="G35" s="118" t="s">
        <v>134</v>
      </c>
      <c r="H35" s="134" t="s">
        <v>8</v>
      </c>
      <c r="I35" s="134"/>
      <c r="J35" s="134"/>
      <c r="K35" s="57" t="s">
        <v>6</v>
      </c>
      <c r="L35" s="56"/>
      <c r="M35" s="56"/>
      <c r="N35" s="54"/>
      <c r="O35" s="52"/>
      <c r="P35" s="52"/>
      <c r="Q35" s="55"/>
    </row>
    <row r="36" spans="1:17" ht="24.95" customHeight="1" x14ac:dyDescent="0.25">
      <c r="A36" s="129">
        <v>42867</v>
      </c>
      <c r="B36" s="117" t="s">
        <v>38</v>
      </c>
      <c r="C36" s="117">
        <v>59</v>
      </c>
      <c r="D36" s="118" t="s">
        <v>16</v>
      </c>
      <c r="E36" s="119" t="s">
        <v>177</v>
      </c>
      <c r="F36" s="117" t="s">
        <v>117</v>
      </c>
      <c r="G36" s="118" t="s">
        <v>134</v>
      </c>
      <c r="H36" s="134" t="s">
        <v>181</v>
      </c>
      <c r="I36" s="134" t="s">
        <v>188</v>
      </c>
      <c r="J36" s="134"/>
      <c r="K36" s="57" t="s">
        <v>6</v>
      </c>
      <c r="L36" s="56"/>
      <c r="M36" s="56"/>
      <c r="N36" s="54"/>
      <c r="O36" s="52"/>
      <c r="P36" s="52"/>
      <c r="Q36" s="55"/>
    </row>
    <row r="37" spans="1:17" ht="24.95" customHeight="1" x14ac:dyDescent="0.25">
      <c r="A37" s="123">
        <v>42869</v>
      </c>
      <c r="B37" s="124" t="s">
        <v>83</v>
      </c>
      <c r="C37" s="124">
        <v>84</v>
      </c>
      <c r="D37" s="125" t="s">
        <v>16</v>
      </c>
      <c r="E37" s="126" t="s">
        <v>40</v>
      </c>
      <c r="F37" s="124" t="s">
        <v>163</v>
      </c>
      <c r="G37" s="125" t="s">
        <v>126</v>
      </c>
      <c r="H37" s="56" t="s">
        <v>186</v>
      </c>
      <c r="I37" s="56"/>
      <c r="J37" s="56"/>
      <c r="K37" s="57" t="s">
        <v>96</v>
      </c>
      <c r="L37" s="56"/>
      <c r="M37" s="56"/>
      <c r="N37" s="54"/>
      <c r="O37" s="52"/>
      <c r="P37" s="52"/>
      <c r="Q37" s="55"/>
    </row>
    <row r="38" spans="1:17" ht="24.95" customHeight="1" x14ac:dyDescent="0.25">
      <c r="A38" s="129">
        <v>42877</v>
      </c>
      <c r="B38" s="117" t="s">
        <v>38</v>
      </c>
      <c r="C38" s="117">
        <v>60</v>
      </c>
      <c r="D38" s="118" t="s">
        <v>12</v>
      </c>
      <c r="E38" s="119" t="s">
        <v>177</v>
      </c>
      <c r="F38" s="117" t="s">
        <v>70</v>
      </c>
      <c r="G38" s="118" t="s">
        <v>130</v>
      </c>
      <c r="H38" s="134" t="s">
        <v>185</v>
      </c>
      <c r="I38" s="134"/>
      <c r="J38" s="134"/>
      <c r="K38" s="57" t="s">
        <v>106</v>
      </c>
      <c r="L38" s="56"/>
      <c r="M38" s="56"/>
      <c r="N38" s="54"/>
      <c r="O38" s="52"/>
      <c r="P38" s="52"/>
      <c r="Q38" s="55"/>
    </row>
    <row r="39" spans="1:17" ht="24.95" customHeight="1" x14ac:dyDescent="0.25">
      <c r="A39" s="123">
        <v>42877</v>
      </c>
      <c r="B39" s="124" t="s">
        <v>83</v>
      </c>
      <c r="C39" s="124">
        <v>85</v>
      </c>
      <c r="D39" s="125" t="s">
        <v>16</v>
      </c>
      <c r="E39" s="126" t="s">
        <v>40</v>
      </c>
      <c r="F39" s="124" t="s">
        <v>97</v>
      </c>
      <c r="G39" s="125" t="s">
        <v>126</v>
      </c>
      <c r="H39" s="56" t="s">
        <v>9</v>
      </c>
      <c r="I39" s="56"/>
      <c r="J39" s="56"/>
      <c r="K39" s="57" t="s">
        <v>6</v>
      </c>
      <c r="L39" s="56"/>
      <c r="M39" s="56"/>
      <c r="N39" s="54"/>
      <c r="O39" s="52"/>
      <c r="P39" s="52"/>
      <c r="Q39" s="55"/>
    </row>
    <row r="40" spans="1:17" ht="24.95" customHeight="1" x14ac:dyDescent="0.25">
      <c r="A40" s="129">
        <v>42889</v>
      </c>
      <c r="B40" s="117" t="s">
        <v>38</v>
      </c>
      <c r="C40" s="117">
        <v>61</v>
      </c>
      <c r="D40" s="118" t="s">
        <v>16</v>
      </c>
      <c r="E40" s="119" t="s">
        <v>28</v>
      </c>
      <c r="F40" s="117" t="s">
        <v>69</v>
      </c>
      <c r="G40" s="118" t="s">
        <v>134</v>
      </c>
      <c r="H40" s="134" t="s">
        <v>8</v>
      </c>
      <c r="I40" s="134"/>
      <c r="J40" s="134"/>
      <c r="K40" s="57" t="s">
        <v>6</v>
      </c>
      <c r="L40" s="56"/>
      <c r="M40" s="56"/>
      <c r="N40" s="54"/>
      <c r="O40" s="52"/>
      <c r="P40" s="52"/>
      <c r="Q40" s="55"/>
    </row>
    <row r="41" spans="1:17" ht="24.95" customHeight="1" x14ac:dyDescent="0.25">
      <c r="A41" s="129">
        <v>42904</v>
      </c>
      <c r="B41" s="117" t="s">
        <v>38</v>
      </c>
      <c r="C41" s="117">
        <v>62</v>
      </c>
      <c r="D41" s="118" t="s">
        <v>16</v>
      </c>
      <c r="E41" s="119" t="s">
        <v>177</v>
      </c>
      <c r="F41" s="117" t="s">
        <v>42</v>
      </c>
      <c r="G41" s="118" t="s">
        <v>134</v>
      </c>
      <c r="H41" s="134" t="s">
        <v>31</v>
      </c>
      <c r="I41" s="134"/>
      <c r="J41" s="134"/>
      <c r="K41" s="57" t="s">
        <v>6</v>
      </c>
      <c r="L41" s="56"/>
      <c r="M41" s="56"/>
      <c r="N41" s="54"/>
      <c r="O41" s="52"/>
      <c r="P41" s="52"/>
      <c r="Q41" s="55"/>
    </row>
    <row r="42" spans="1:17" ht="24.95" customHeight="1" x14ac:dyDescent="0.25">
      <c r="A42" s="129">
        <v>42907</v>
      </c>
      <c r="B42" s="117" t="s">
        <v>38</v>
      </c>
      <c r="C42" s="117">
        <v>63</v>
      </c>
      <c r="D42" s="118" t="s">
        <v>16</v>
      </c>
      <c r="E42" s="119" t="s">
        <v>177</v>
      </c>
      <c r="F42" s="117" t="s">
        <v>68</v>
      </c>
      <c r="G42" s="118" t="s">
        <v>134</v>
      </c>
      <c r="H42" s="134" t="s">
        <v>53</v>
      </c>
      <c r="I42" s="134"/>
      <c r="J42" s="134"/>
      <c r="K42" s="57" t="s">
        <v>6</v>
      </c>
      <c r="L42" s="56" t="s">
        <v>72</v>
      </c>
      <c r="M42" s="56"/>
      <c r="N42" s="54"/>
      <c r="O42" s="52"/>
      <c r="P42" s="52"/>
      <c r="Q42" s="55"/>
    </row>
    <row r="43" spans="1:17" ht="24.95" customHeight="1" x14ac:dyDescent="0.25">
      <c r="A43" s="129">
        <v>42908</v>
      </c>
      <c r="B43" s="117" t="s">
        <v>38</v>
      </c>
      <c r="C43" s="117">
        <v>64</v>
      </c>
      <c r="D43" s="118" t="s">
        <v>16</v>
      </c>
      <c r="E43" s="119" t="s">
        <v>105</v>
      </c>
      <c r="F43" s="117" t="s">
        <v>66</v>
      </c>
      <c r="G43" s="118" t="s">
        <v>136</v>
      </c>
      <c r="H43" s="134" t="s">
        <v>187</v>
      </c>
      <c r="I43" s="134"/>
      <c r="J43" s="134"/>
      <c r="K43" s="57" t="s">
        <v>67</v>
      </c>
      <c r="L43" s="56"/>
      <c r="M43" s="56"/>
      <c r="N43" s="54"/>
      <c r="O43" s="52"/>
      <c r="P43" s="52"/>
      <c r="Q43" s="55"/>
    </row>
    <row r="44" spans="1:17" ht="24.95" customHeight="1" x14ac:dyDescent="0.25">
      <c r="A44" s="129">
        <v>42913</v>
      </c>
      <c r="B44" s="117" t="s">
        <v>38</v>
      </c>
      <c r="C44" s="117">
        <v>65</v>
      </c>
      <c r="D44" s="118" t="s">
        <v>16</v>
      </c>
      <c r="E44" s="119" t="s">
        <v>177</v>
      </c>
      <c r="F44" s="117" t="s">
        <v>65</v>
      </c>
      <c r="G44" s="118" t="s">
        <v>134</v>
      </c>
      <c r="H44" s="134" t="s">
        <v>181</v>
      </c>
      <c r="I44" s="134"/>
      <c r="J44" s="134"/>
      <c r="K44" s="57" t="s">
        <v>6</v>
      </c>
      <c r="L44" s="56" t="s">
        <v>166</v>
      </c>
      <c r="M44" s="56"/>
      <c r="N44" s="54"/>
      <c r="O44" s="52"/>
      <c r="P44" s="52"/>
      <c r="Q44" s="55"/>
    </row>
    <row r="45" spans="1:17" ht="24.95" customHeight="1" x14ac:dyDescent="0.25">
      <c r="A45" s="123">
        <v>42915</v>
      </c>
      <c r="B45" s="124" t="s">
        <v>83</v>
      </c>
      <c r="C45" s="124">
        <v>86</v>
      </c>
      <c r="D45" s="125" t="s">
        <v>16</v>
      </c>
      <c r="E45" s="126" t="s">
        <v>177</v>
      </c>
      <c r="F45" s="124" t="s">
        <v>98</v>
      </c>
      <c r="G45" s="125" t="s">
        <v>130</v>
      </c>
      <c r="H45" s="56" t="s">
        <v>45</v>
      </c>
      <c r="I45" s="56"/>
      <c r="J45" s="56"/>
      <c r="K45" s="57" t="s">
        <v>6</v>
      </c>
      <c r="L45" s="56"/>
      <c r="M45" s="56"/>
      <c r="N45" s="54"/>
      <c r="O45" s="52"/>
      <c r="P45" s="52"/>
      <c r="Q45" s="55"/>
    </row>
    <row r="46" spans="1:17" ht="24.95" customHeight="1" x14ac:dyDescent="0.25">
      <c r="A46" s="129">
        <v>42921</v>
      </c>
      <c r="B46" s="117" t="s">
        <v>38</v>
      </c>
      <c r="C46" s="117">
        <v>66</v>
      </c>
      <c r="D46" s="118" t="s">
        <v>16</v>
      </c>
      <c r="E46" s="119" t="s">
        <v>177</v>
      </c>
      <c r="F46" s="117" t="s">
        <v>64</v>
      </c>
      <c r="G46" s="118" t="s">
        <v>139</v>
      </c>
      <c r="H46" s="134" t="s">
        <v>9</v>
      </c>
      <c r="I46" s="134"/>
      <c r="J46" s="134"/>
      <c r="K46" s="57" t="s">
        <v>6</v>
      </c>
      <c r="L46" s="56"/>
      <c r="M46" s="56"/>
      <c r="N46" s="54"/>
      <c r="O46" s="52"/>
      <c r="P46" s="52"/>
      <c r="Q46" s="55"/>
    </row>
    <row r="47" spans="1:17" ht="24.95" customHeight="1" x14ac:dyDescent="0.25">
      <c r="A47" s="129">
        <v>42928</v>
      </c>
      <c r="B47" s="117" t="s">
        <v>38</v>
      </c>
      <c r="C47" s="117">
        <v>68</v>
      </c>
      <c r="D47" s="118" t="s">
        <v>16</v>
      </c>
      <c r="E47" s="119" t="s">
        <v>177</v>
      </c>
      <c r="F47" s="117" t="s">
        <v>61</v>
      </c>
      <c r="G47" s="118" t="s">
        <v>134</v>
      </c>
      <c r="H47" s="134" t="s">
        <v>31</v>
      </c>
      <c r="I47" s="134"/>
      <c r="J47" s="134"/>
      <c r="K47" s="57" t="s">
        <v>6</v>
      </c>
      <c r="L47" s="56"/>
      <c r="M47" s="56"/>
      <c r="N47" s="54"/>
      <c r="O47" s="52"/>
      <c r="P47" s="52"/>
      <c r="Q47" s="55"/>
    </row>
    <row r="48" spans="1:17" ht="24.95" customHeight="1" x14ac:dyDescent="0.25">
      <c r="A48" s="129">
        <v>42934</v>
      </c>
      <c r="B48" s="117" t="s">
        <v>38</v>
      </c>
      <c r="C48" s="117">
        <v>67</v>
      </c>
      <c r="D48" s="118" t="s">
        <v>16</v>
      </c>
      <c r="E48" s="119" t="s">
        <v>177</v>
      </c>
      <c r="F48" s="117" t="s">
        <v>63</v>
      </c>
      <c r="G48" s="118" t="s">
        <v>134</v>
      </c>
      <c r="H48" s="134" t="s">
        <v>62</v>
      </c>
      <c r="I48" s="134"/>
      <c r="J48" s="134"/>
      <c r="K48" s="57" t="s">
        <v>6</v>
      </c>
      <c r="L48" s="56"/>
      <c r="M48" s="56"/>
      <c r="N48" s="54"/>
      <c r="O48" s="52"/>
      <c r="P48" s="52"/>
      <c r="Q48" s="55"/>
    </row>
    <row r="49" spans="1:17" ht="24.95" customHeight="1" x14ac:dyDescent="0.25">
      <c r="A49" s="129">
        <v>42938</v>
      </c>
      <c r="B49" s="117" t="s">
        <v>38</v>
      </c>
      <c r="C49" s="117">
        <v>69</v>
      </c>
      <c r="D49" s="118" t="s">
        <v>16</v>
      </c>
      <c r="E49" s="119" t="s">
        <v>177</v>
      </c>
      <c r="F49" s="117" t="s">
        <v>60</v>
      </c>
      <c r="G49" s="118" t="s">
        <v>134</v>
      </c>
      <c r="H49" s="134" t="s">
        <v>31</v>
      </c>
      <c r="I49" s="134"/>
      <c r="J49" s="134"/>
      <c r="K49" s="57" t="s">
        <v>6</v>
      </c>
      <c r="L49" s="56"/>
      <c r="M49" s="56"/>
      <c r="N49" s="54"/>
      <c r="O49" s="52"/>
      <c r="P49" s="52"/>
      <c r="Q49" s="55"/>
    </row>
    <row r="50" spans="1:17" ht="24.95" customHeight="1" x14ac:dyDescent="0.25">
      <c r="A50" s="129">
        <v>42939</v>
      </c>
      <c r="B50" s="117" t="s">
        <v>38</v>
      </c>
      <c r="C50" s="117">
        <v>70</v>
      </c>
      <c r="D50" s="118" t="s">
        <v>16</v>
      </c>
      <c r="E50" s="119" t="s">
        <v>177</v>
      </c>
      <c r="F50" s="117" t="s">
        <v>59</v>
      </c>
      <c r="G50" s="118" t="s">
        <v>134</v>
      </c>
      <c r="H50" s="134" t="s">
        <v>31</v>
      </c>
      <c r="I50" s="134" t="s">
        <v>194</v>
      </c>
      <c r="J50" s="134"/>
      <c r="K50" s="57" t="s">
        <v>6</v>
      </c>
      <c r="L50" s="56"/>
      <c r="M50" s="56"/>
      <c r="N50" s="54"/>
      <c r="O50" s="52"/>
      <c r="P50" s="52"/>
      <c r="Q50" s="55"/>
    </row>
    <row r="51" spans="1:17" ht="24.95" customHeight="1" x14ac:dyDescent="0.25">
      <c r="A51" s="129">
        <v>42947</v>
      </c>
      <c r="B51" s="117" t="s">
        <v>38</v>
      </c>
      <c r="C51" s="117">
        <v>71</v>
      </c>
      <c r="D51" s="118" t="s">
        <v>26</v>
      </c>
      <c r="E51" s="119" t="s">
        <v>177</v>
      </c>
      <c r="F51" s="117" t="s">
        <v>58</v>
      </c>
      <c r="G51" s="118" t="s">
        <v>134</v>
      </c>
      <c r="H51" s="134" t="s">
        <v>45</v>
      </c>
      <c r="I51" s="134"/>
      <c r="J51" s="134"/>
      <c r="K51" s="57" t="s">
        <v>106</v>
      </c>
      <c r="L51" s="56"/>
      <c r="M51" s="56"/>
      <c r="N51" s="54"/>
      <c r="O51" s="52"/>
      <c r="P51" s="52"/>
      <c r="Q51" s="55"/>
    </row>
    <row r="52" spans="1:17" ht="24.95" customHeight="1" x14ac:dyDescent="0.25">
      <c r="A52" s="129">
        <v>42957</v>
      </c>
      <c r="B52" s="117" t="s">
        <v>38</v>
      </c>
      <c r="C52" s="117">
        <v>72</v>
      </c>
      <c r="D52" s="118" t="s">
        <v>16</v>
      </c>
      <c r="E52" s="119" t="s">
        <v>177</v>
      </c>
      <c r="F52" s="117" t="s">
        <v>56</v>
      </c>
      <c r="G52" s="118" t="s">
        <v>134</v>
      </c>
      <c r="H52" s="134" t="s">
        <v>57</v>
      </c>
      <c r="I52" s="134"/>
      <c r="J52" s="134"/>
      <c r="K52" s="57" t="s">
        <v>6</v>
      </c>
      <c r="L52" s="56"/>
      <c r="M52" s="56"/>
      <c r="N52" s="54"/>
      <c r="O52" s="52"/>
      <c r="P52" s="52"/>
      <c r="Q52" s="55"/>
    </row>
    <row r="53" spans="1:17" ht="24.95" customHeight="1" x14ac:dyDescent="0.25">
      <c r="A53" s="129">
        <v>42969</v>
      </c>
      <c r="B53" s="117" t="s">
        <v>38</v>
      </c>
      <c r="C53" s="117">
        <v>73</v>
      </c>
      <c r="D53" s="118" t="s">
        <v>16</v>
      </c>
      <c r="E53" s="119" t="s">
        <v>177</v>
      </c>
      <c r="F53" s="117" t="s">
        <v>118</v>
      </c>
      <c r="G53" s="118" t="s">
        <v>134</v>
      </c>
      <c r="H53" s="134" t="s">
        <v>31</v>
      </c>
      <c r="I53" s="134"/>
      <c r="J53" s="134"/>
      <c r="K53" s="57" t="s">
        <v>6</v>
      </c>
      <c r="L53" s="56"/>
      <c r="M53" s="56"/>
      <c r="N53" s="54"/>
      <c r="O53" s="52"/>
      <c r="P53" s="52"/>
      <c r="Q53" s="55"/>
    </row>
    <row r="54" spans="1:17" ht="24.95" customHeight="1" x14ac:dyDescent="0.25">
      <c r="A54" s="123">
        <v>42975</v>
      </c>
      <c r="B54" s="124" t="s">
        <v>83</v>
      </c>
      <c r="C54" s="124">
        <v>87</v>
      </c>
      <c r="D54" s="125" t="s">
        <v>16</v>
      </c>
      <c r="E54" s="126" t="s">
        <v>105</v>
      </c>
      <c r="F54" s="124" t="s">
        <v>99</v>
      </c>
      <c r="G54" s="125" t="s">
        <v>134</v>
      </c>
      <c r="H54" s="56" t="s">
        <v>185</v>
      </c>
      <c r="I54" s="56"/>
      <c r="J54" s="56"/>
      <c r="K54" s="57" t="s">
        <v>6</v>
      </c>
      <c r="L54" s="56"/>
      <c r="M54" s="56"/>
      <c r="N54" s="54"/>
      <c r="O54" s="52"/>
      <c r="P54" s="52"/>
      <c r="Q54" s="55"/>
    </row>
    <row r="55" spans="1:17" ht="24.95" customHeight="1" x14ac:dyDescent="0.25">
      <c r="A55" s="129">
        <v>42984</v>
      </c>
      <c r="B55" s="117" t="s">
        <v>38</v>
      </c>
      <c r="C55" s="117">
        <v>74</v>
      </c>
      <c r="D55" s="118" t="s">
        <v>16</v>
      </c>
      <c r="E55" s="119" t="s">
        <v>105</v>
      </c>
      <c r="F55" s="117" t="s">
        <v>55</v>
      </c>
      <c r="G55" s="118" t="s">
        <v>136</v>
      </c>
      <c r="H55" s="134" t="s">
        <v>53</v>
      </c>
      <c r="I55" s="134"/>
      <c r="J55" s="134"/>
      <c r="K55" s="57" t="s">
        <v>105</v>
      </c>
      <c r="L55" s="56"/>
      <c r="M55" s="56"/>
      <c r="N55" s="54"/>
      <c r="O55" s="52"/>
      <c r="P55" s="52"/>
      <c r="Q55" s="55"/>
    </row>
    <row r="56" spans="1:17" ht="24.95" customHeight="1" x14ac:dyDescent="0.25">
      <c r="A56" s="129">
        <v>42999</v>
      </c>
      <c r="B56" s="117" t="s">
        <v>38</v>
      </c>
      <c r="C56" s="117">
        <v>75</v>
      </c>
      <c r="D56" s="118" t="s">
        <v>2</v>
      </c>
      <c r="E56" s="119" t="s">
        <v>1</v>
      </c>
      <c r="F56" s="117" t="s">
        <v>54</v>
      </c>
      <c r="G56" s="118" t="s">
        <v>130</v>
      </c>
      <c r="H56" s="134" t="s">
        <v>185</v>
      </c>
      <c r="I56" s="134"/>
      <c r="J56" s="134"/>
      <c r="K56" s="57" t="s">
        <v>105</v>
      </c>
      <c r="L56" s="56"/>
      <c r="M56" s="56"/>
      <c r="N56" s="54"/>
      <c r="O56" s="52"/>
      <c r="P56" s="52"/>
      <c r="Q56" s="55"/>
    </row>
    <row r="57" spans="1:17" ht="24.95" customHeight="1" x14ac:dyDescent="0.25">
      <c r="A57" s="129">
        <v>43000</v>
      </c>
      <c r="B57" s="117" t="s">
        <v>38</v>
      </c>
      <c r="C57" s="117">
        <v>76</v>
      </c>
      <c r="D57" s="118" t="s">
        <v>2</v>
      </c>
      <c r="E57" s="119" t="s">
        <v>40</v>
      </c>
      <c r="F57" s="117" t="s">
        <v>119</v>
      </c>
      <c r="G57" s="118" t="s">
        <v>134</v>
      </c>
      <c r="H57" s="134" t="s">
        <v>53</v>
      </c>
      <c r="I57" s="134"/>
      <c r="J57" s="134"/>
      <c r="K57" s="57" t="s">
        <v>105</v>
      </c>
      <c r="L57" s="56"/>
      <c r="M57" s="56"/>
      <c r="N57" s="54"/>
      <c r="O57" s="52"/>
      <c r="P57" s="52"/>
      <c r="Q57" s="55"/>
    </row>
    <row r="58" spans="1:17" ht="24.95" customHeight="1" x14ac:dyDescent="0.25">
      <c r="A58" s="129">
        <v>43017</v>
      </c>
      <c r="B58" s="117" t="s">
        <v>38</v>
      </c>
      <c r="C58" s="117">
        <v>77</v>
      </c>
      <c r="D58" s="118" t="s">
        <v>16</v>
      </c>
      <c r="E58" s="119" t="s">
        <v>105</v>
      </c>
      <c r="F58" s="117" t="s">
        <v>120</v>
      </c>
      <c r="G58" s="118" t="s">
        <v>136</v>
      </c>
      <c r="H58" s="134" t="s">
        <v>53</v>
      </c>
      <c r="I58" s="134"/>
      <c r="J58" s="134"/>
      <c r="K58" s="57" t="s">
        <v>6</v>
      </c>
      <c r="L58" s="56"/>
      <c r="M58" s="56"/>
      <c r="N58" s="54"/>
      <c r="O58" s="52"/>
      <c r="P58" s="52"/>
      <c r="Q58" s="55"/>
    </row>
    <row r="59" spans="1:17" ht="24.95" customHeight="1" x14ac:dyDescent="0.25">
      <c r="A59" s="129">
        <v>43020</v>
      </c>
      <c r="B59" s="117" t="s">
        <v>38</v>
      </c>
      <c r="C59" s="117">
        <v>79</v>
      </c>
      <c r="D59" s="118" t="s">
        <v>13</v>
      </c>
      <c r="E59" s="119" t="s">
        <v>177</v>
      </c>
      <c r="F59" s="117" t="s">
        <v>52</v>
      </c>
      <c r="G59" s="118" t="s">
        <v>130</v>
      </c>
      <c r="H59" s="134" t="s">
        <v>14</v>
      </c>
      <c r="I59" s="134"/>
      <c r="J59" s="134"/>
      <c r="K59" s="57" t="s">
        <v>105</v>
      </c>
      <c r="L59" s="56"/>
      <c r="M59" s="56"/>
      <c r="N59" s="54"/>
      <c r="O59" s="52"/>
      <c r="P59" s="52"/>
      <c r="Q59" s="55"/>
    </row>
    <row r="60" spans="1:17" ht="24.95" customHeight="1" x14ac:dyDescent="0.25">
      <c r="A60" s="129">
        <v>43020</v>
      </c>
      <c r="B60" s="117" t="s">
        <v>38</v>
      </c>
      <c r="C60" s="117">
        <v>78</v>
      </c>
      <c r="D60" s="118" t="s">
        <v>2</v>
      </c>
      <c r="E60" s="119" t="s">
        <v>1</v>
      </c>
      <c r="F60" s="117" t="s">
        <v>121</v>
      </c>
      <c r="G60" s="118" t="s">
        <v>130</v>
      </c>
      <c r="H60" s="134" t="s">
        <v>45</v>
      </c>
      <c r="I60" s="134"/>
      <c r="J60" s="134"/>
      <c r="K60" s="57" t="s">
        <v>108</v>
      </c>
      <c r="L60" s="56"/>
      <c r="M60" s="56"/>
      <c r="N60" s="54"/>
      <c r="O60" s="52"/>
      <c r="P60" s="52"/>
      <c r="Q60" s="55"/>
    </row>
    <row r="61" spans="1:17" ht="24.95" customHeight="1" x14ac:dyDescent="0.25">
      <c r="A61" s="129">
        <v>43022</v>
      </c>
      <c r="B61" s="117" t="s">
        <v>38</v>
      </c>
      <c r="C61" s="117">
        <v>80</v>
      </c>
      <c r="D61" s="118" t="s">
        <v>16</v>
      </c>
      <c r="E61" s="119" t="s">
        <v>39</v>
      </c>
      <c r="F61" s="117" t="s">
        <v>51</v>
      </c>
      <c r="G61" s="118" t="s">
        <v>130</v>
      </c>
      <c r="H61" s="134" t="s">
        <v>185</v>
      </c>
      <c r="I61" s="134"/>
      <c r="J61" s="134"/>
      <c r="K61" s="57" t="s">
        <v>106</v>
      </c>
      <c r="L61" s="56"/>
      <c r="M61" s="56"/>
      <c r="N61" s="54"/>
      <c r="O61" s="52"/>
      <c r="P61" s="52"/>
      <c r="Q61" s="55"/>
    </row>
    <row r="62" spans="1:17" ht="24.95" customHeight="1" x14ac:dyDescent="0.25">
      <c r="A62" s="129">
        <v>43026</v>
      </c>
      <c r="B62" s="117" t="s">
        <v>38</v>
      </c>
      <c r="C62" s="117">
        <v>82</v>
      </c>
      <c r="D62" s="118" t="s">
        <v>16</v>
      </c>
      <c r="E62" s="119" t="s">
        <v>39</v>
      </c>
      <c r="F62" s="117" t="s">
        <v>49</v>
      </c>
      <c r="G62" s="118" t="s">
        <v>134</v>
      </c>
      <c r="H62" s="134" t="s">
        <v>14</v>
      </c>
      <c r="I62" s="134"/>
      <c r="J62" s="134"/>
      <c r="K62" s="57" t="s">
        <v>6</v>
      </c>
      <c r="L62" s="56"/>
      <c r="M62" s="56"/>
      <c r="N62" s="54"/>
      <c r="O62" s="52"/>
      <c r="P62" s="52"/>
      <c r="Q62" s="55"/>
    </row>
    <row r="63" spans="1:17" ht="24.95" customHeight="1" x14ac:dyDescent="0.25">
      <c r="A63" s="129">
        <v>43026</v>
      </c>
      <c r="B63" s="117" t="s">
        <v>38</v>
      </c>
      <c r="C63" s="117">
        <v>81</v>
      </c>
      <c r="D63" s="118" t="s">
        <v>16</v>
      </c>
      <c r="E63" s="119" t="s">
        <v>177</v>
      </c>
      <c r="F63" s="117" t="s">
        <v>50</v>
      </c>
      <c r="G63" s="118" t="s">
        <v>134</v>
      </c>
      <c r="H63" s="134" t="s">
        <v>181</v>
      </c>
      <c r="I63" s="134"/>
      <c r="J63" s="134"/>
      <c r="K63" s="57" t="s">
        <v>191</v>
      </c>
      <c r="L63" s="56"/>
      <c r="M63" s="56"/>
      <c r="N63" s="54"/>
      <c r="O63" s="52"/>
      <c r="P63" s="52"/>
      <c r="Q63" s="55"/>
    </row>
    <row r="64" spans="1:17" ht="24.95" customHeight="1" x14ac:dyDescent="0.25">
      <c r="A64" s="129">
        <v>43035</v>
      </c>
      <c r="B64" s="117" t="s">
        <v>38</v>
      </c>
      <c r="C64" s="117">
        <v>83</v>
      </c>
      <c r="D64" s="118" t="s">
        <v>16</v>
      </c>
      <c r="E64" s="119" t="s">
        <v>177</v>
      </c>
      <c r="F64" s="117" t="s">
        <v>48</v>
      </c>
      <c r="G64" s="118" t="s">
        <v>134</v>
      </c>
      <c r="H64" s="134" t="s">
        <v>31</v>
      </c>
      <c r="I64" s="134"/>
      <c r="J64" s="134"/>
      <c r="K64" s="57" t="s">
        <v>6</v>
      </c>
      <c r="L64" s="56"/>
      <c r="M64" s="56"/>
      <c r="N64" s="54"/>
      <c r="O64" s="52"/>
      <c r="P64" s="52"/>
      <c r="Q64" s="55"/>
    </row>
    <row r="65" spans="1:17" ht="24.95" customHeight="1" x14ac:dyDescent="0.25">
      <c r="A65" s="129">
        <v>43054</v>
      </c>
      <c r="B65" s="117" t="s">
        <v>38</v>
      </c>
      <c r="C65" s="117">
        <v>84</v>
      </c>
      <c r="D65" s="118" t="s">
        <v>26</v>
      </c>
      <c r="E65" s="119" t="s">
        <v>47</v>
      </c>
      <c r="F65" s="117" t="s">
        <v>122</v>
      </c>
      <c r="G65" s="118" t="s">
        <v>130</v>
      </c>
      <c r="H65" s="134" t="s">
        <v>14</v>
      </c>
      <c r="I65" s="134"/>
      <c r="J65" s="134"/>
      <c r="K65" s="57" t="s">
        <v>6</v>
      </c>
      <c r="L65" s="56"/>
      <c r="M65" s="56"/>
      <c r="N65" s="54"/>
      <c r="O65" s="52"/>
      <c r="P65" s="52"/>
      <c r="Q65" s="55"/>
    </row>
    <row r="66" spans="1:17" ht="24.95" customHeight="1" x14ac:dyDescent="0.25">
      <c r="A66" s="129">
        <v>43055</v>
      </c>
      <c r="B66" s="117" t="s">
        <v>38</v>
      </c>
      <c r="C66" s="117">
        <v>85</v>
      </c>
      <c r="D66" s="118" t="s">
        <v>2</v>
      </c>
      <c r="E66" s="119" t="s">
        <v>1</v>
      </c>
      <c r="F66" s="117" t="s">
        <v>123</v>
      </c>
      <c r="G66" s="118" t="s">
        <v>133</v>
      </c>
      <c r="H66" s="134" t="s">
        <v>188</v>
      </c>
      <c r="I66" s="134"/>
      <c r="J66" s="134"/>
      <c r="K66" s="57" t="s">
        <v>6</v>
      </c>
      <c r="L66" s="56" t="s">
        <v>199</v>
      </c>
      <c r="M66" s="56"/>
      <c r="N66" s="54"/>
      <c r="O66" s="52"/>
      <c r="P66" s="52"/>
      <c r="Q66" s="55"/>
    </row>
    <row r="67" spans="1:17" ht="24.95" customHeight="1" x14ac:dyDescent="0.25">
      <c r="A67" s="129">
        <v>43074</v>
      </c>
      <c r="B67" s="117" t="s">
        <v>38</v>
      </c>
      <c r="C67" s="117">
        <v>86</v>
      </c>
      <c r="D67" s="118" t="s">
        <v>2</v>
      </c>
      <c r="E67" s="119" t="s">
        <v>1</v>
      </c>
      <c r="F67" s="117" t="s">
        <v>46</v>
      </c>
      <c r="G67" s="118" t="s">
        <v>135</v>
      </c>
      <c r="H67" s="134" t="s">
        <v>30</v>
      </c>
      <c r="I67" s="134"/>
      <c r="J67" s="134"/>
      <c r="K67" s="57" t="s">
        <v>107</v>
      </c>
      <c r="L67" s="56"/>
      <c r="M67" s="56"/>
      <c r="N67" s="54"/>
      <c r="O67" s="52"/>
      <c r="P67" s="52"/>
      <c r="Q67" s="55"/>
    </row>
    <row r="68" spans="1:17" ht="24.95" customHeight="1" x14ac:dyDescent="0.25">
      <c r="A68" s="129">
        <v>43078</v>
      </c>
      <c r="B68" s="117" t="s">
        <v>38</v>
      </c>
      <c r="C68" s="117">
        <v>87</v>
      </c>
      <c r="D68" s="118" t="s">
        <v>16</v>
      </c>
      <c r="E68" s="119" t="s">
        <v>40</v>
      </c>
      <c r="F68" s="117" t="s">
        <v>124</v>
      </c>
      <c r="G68" s="118" t="s">
        <v>126</v>
      </c>
      <c r="H68" s="134" t="s">
        <v>11</v>
      </c>
      <c r="I68" s="134"/>
      <c r="J68" s="134"/>
      <c r="K68" s="57" t="s">
        <v>166</v>
      </c>
      <c r="L68" s="56"/>
      <c r="M68" s="56"/>
      <c r="N68" s="54"/>
      <c r="O68" s="52"/>
      <c r="P68" s="52"/>
      <c r="Q68" s="55"/>
    </row>
    <row r="69" spans="1:17" ht="24.95" customHeight="1" x14ac:dyDescent="0.25">
      <c r="A69" s="129">
        <v>43083</v>
      </c>
      <c r="B69" s="117" t="s">
        <v>38</v>
      </c>
      <c r="C69" s="117">
        <v>88</v>
      </c>
      <c r="D69" s="118" t="s">
        <v>2</v>
      </c>
      <c r="E69" s="119" t="s">
        <v>1</v>
      </c>
      <c r="F69" s="117" t="s">
        <v>125</v>
      </c>
      <c r="G69" s="118" t="s">
        <v>132</v>
      </c>
      <c r="H69" s="134" t="s">
        <v>185</v>
      </c>
      <c r="I69" s="134"/>
      <c r="J69" s="134"/>
      <c r="K69" s="57" t="s">
        <v>107</v>
      </c>
      <c r="L69" s="56"/>
      <c r="M69" s="56"/>
      <c r="N69" s="54"/>
      <c r="O69" s="52"/>
      <c r="P69" s="52"/>
      <c r="Q69" s="55"/>
    </row>
    <row r="70" spans="1:17" ht="24.95" customHeight="1" x14ac:dyDescent="0.25">
      <c r="A70" s="123">
        <v>43093</v>
      </c>
      <c r="B70" s="124" t="s">
        <v>83</v>
      </c>
      <c r="C70" s="124">
        <v>89</v>
      </c>
      <c r="D70" s="125" t="s">
        <v>16</v>
      </c>
      <c r="E70" s="126" t="s">
        <v>105</v>
      </c>
      <c r="F70" s="124" t="s">
        <v>101</v>
      </c>
      <c r="G70" s="125" t="s">
        <v>134</v>
      </c>
      <c r="H70" s="56" t="s">
        <v>181</v>
      </c>
      <c r="I70" s="56"/>
      <c r="J70" s="56"/>
      <c r="K70" s="57" t="s">
        <v>6</v>
      </c>
      <c r="L70" s="56"/>
      <c r="M70" s="56"/>
      <c r="N70" s="54"/>
      <c r="O70" s="52"/>
      <c r="P70" s="52"/>
      <c r="Q70" s="55"/>
    </row>
    <row r="71" spans="1:17" ht="24.95" customHeight="1" x14ac:dyDescent="0.25">
      <c r="A71" s="123">
        <v>43093</v>
      </c>
      <c r="B71" s="124" t="s">
        <v>83</v>
      </c>
      <c r="C71" s="124">
        <v>90</v>
      </c>
      <c r="D71" s="125" t="s">
        <v>16</v>
      </c>
      <c r="E71" s="126" t="s">
        <v>177</v>
      </c>
      <c r="F71" s="124" t="s">
        <v>102</v>
      </c>
      <c r="G71" s="125" t="s">
        <v>134</v>
      </c>
      <c r="H71" s="56" t="s">
        <v>17</v>
      </c>
      <c r="I71" s="56"/>
      <c r="J71" s="56"/>
      <c r="K71" s="57" t="s">
        <v>6</v>
      </c>
      <c r="L71" s="56"/>
      <c r="M71" s="56"/>
      <c r="N71" s="54"/>
      <c r="O71" s="52"/>
      <c r="P71" s="52"/>
      <c r="Q71" s="55"/>
    </row>
    <row r="72" spans="1:17" ht="24.95" customHeight="1" x14ac:dyDescent="0.25">
      <c r="A72" s="129">
        <v>43095</v>
      </c>
      <c r="B72" s="117" t="s">
        <v>38</v>
      </c>
      <c r="C72" s="117">
        <v>89</v>
      </c>
      <c r="D72" s="118" t="s">
        <v>16</v>
      </c>
      <c r="E72" s="119" t="s">
        <v>40</v>
      </c>
      <c r="F72" s="117" t="s">
        <v>44</v>
      </c>
      <c r="G72" s="118" t="s">
        <v>134</v>
      </c>
      <c r="H72" s="134" t="s">
        <v>45</v>
      </c>
      <c r="I72" s="134"/>
      <c r="J72" s="134"/>
      <c r="K72" s="57" t="s">
        <v>105</v>
      </c>
      <c r="L72" s="56"/>
      <c r="M72" s="56"/>
      <c r="N72" s="54"/>
      <c r="O72" s="52"/>
      <c r="P72" s="52"/>
      <c r="Q72" s="55"/>
    </row>
    <row r="73" spans="1:17" ht="24.95" customHeight="1" x14ac:dyDescent="0.25">
      <c r="A73" s="123"/>
      <c r="B73" s="124"/>
      <c r="C73" s="124"/>
      <c r="D73" s="125"/>
      <c r="E73" s="126"/>
      <c r="F73" s="124"/>
      <c r="G73" s="125"/>
      <c r="H73" s="4"/>
      <c r="I73" s="4"/>
      <c r="J73" s="4"/>
      <c r="K73" s="8"/>
      <c r="L73" s="4"/>
      <c r="M73" s="4"/>
      <c r="N73" s="35"/>
      <c r="O73" s="23"/>
      <c r="P73" s="23"/>
      <c r="Q73" s="31"/>
    </row>
    <row r="74" spans="1:17" ht="24.95" customHeight="1" thickBot="1" x14ac:dyDescent="0.3">
      <c r="A74" s="5"/>
      <c r="B74" s="23"/>
      <c r="C74" s="23"/>
      <c r="D74" s="7"/>
      <c r="E74" s="19"/>
      <c r="F74" s="23"/>
      <c r="G74" s="11"/>
      <c r="H74" s="4"/>
      <c r="I74" s="4"/>
      <c r="J74" s="4"/>
      <c r="K74" s="8"/>
      <c r="L74" s="4"/>
      <c r="M74" s="4"/>
      <c r="N74" s="35"/>
      <c r="O74" s="23"/>
      <c r="P74" s="23"/>
      <c r="Q74" s="31"/>
    </row>
    <row r="75" spans="1:17" ht="39" thickBot="1" x14ac:dyDescent="0.3">
      <c r="A75" s="16" t="s">
        <v>36</v>
      </c>
      <c r="B75" s="24" t="s">
        <v>34</v>
      </c>
      <c r="C75" s="24"/>
      <c r="D75" s="17" t="s">
        <v>33</v>
      </c>
      <c r="E75" s="20" t="s">
        <v>35</v>
      </c>
      <c r="F75" s="45"/>
      <c r="G75" s="44" t="s">
        <v>131</v>
      </c>
      <c r="H75" s="154" t="s">
        <v>189</v>
      </c>
      <c r="I75" s="155"/>
      <c r="J75" s="155"/>
      <c r="K75" s="156" t="s">
        <v>190</v>
      </c>
      <c r="L75" s="155"/>
      <c r="M75" s="155"/>
      <c r="N75" s="36"/>
      <c r="O75" s="28"/>
      <c r="P75" s="28"/>
      <c r="Q75" s="32"/>
    </row>
    <row r="76" spans="1:17" ht="24.95" customHeight="1" x14ac:dyDescent="0.25">
      <c r="A76" s="43" cm="1">
        <f t="array" ref="A76">SUMPRODUCT(($A$4:$A$74&gt;=DATEVALUE("01/01/2017"))*(($A$4:$A$74&lt;=DATEVALUE("31/12/2017"))))</f>
        <v>69</v>
      </c>
      <c r="B76" s="89">
        <f>COUNTIF(B4:B75,"CAST")</f>
        <v>45</v>
      </c>
      <c r="C76" s="25"/>
      <c r="D76" s="13" t="str">
        <f>COUNTIF(D4:D75,"SOINS") &amp; " SOINS"</f>
        <v>50 SOINS</v>
      </c>
      <c r="E76" s="40" t="str">
        <f>COUNTIF(E4:E74,"*Logement résident*") &amp; " CHAMBRE"</f>
        <v>22 CHAMBRE</v>
      </c>
      <c r="F76" s="102"/>
      <c r="G76" s="13" t="str">
        <f>COUNTIF(G4:G74,"*MANUTENTION MANUELLE*") &amp; " MANUTENTION MANUELLE"</f>
        <v>34 MANUTENTION MANUELLE</v>
      </c>
      <c r="H76" s="162" t="str">
        <f>COUNTIF($H$4:$H$74,"*crâne*")+COUNTIF($I$4:$I$74,"crâne")+COUNTIF($J$4:$J$74,"crâne") &amp; " CRÂNE"</f>
        <v>0 CRÂNE</v>
      </c>
      <c r="I76" s="160"/>
      <c r="J76" s="160"/>
      <c r="K76" s="159" t="str">
        <f>COUNTIF(K4:K74,"*douleurs*") &amp; " DOULEURS MUSCULAIRES / ARTICULAIRES"</f>
        <v>44 DOULEURS MUSCULAIRES / ARTICULAIRES</v>
      </c>
      <c r="L76" s="160"/>
      <c r="M76" s="160"/>
      <c r="N76" s="37"/>
      <c r="O76" s="23"/>
      <c r="P76" s="23"/>
      <c r="Q76" s="31"/>
    </row>
    <row r="77" spans="1:17" ht="24.95" customHeight="1" x14ac:dyDescent="0.25">
      <c r="A77" s="43"/>
      <c r="B77" s="91">
        <f>COUNTIF(B4:B75,"COMP")</f>
        <v>24</v>
      </c>
      <c r="C77" s="25"/>
      <c r="D77" s="13" t="str">
        <f>COUNTIF(D4:D75,"CUISINE") &amp; " CUISINE"</f>
        <v>11 CUISINE</v>
      </c>
      <c r="E77" s="40" t="str">
        <f>COUNTIF(E4:E74,"CUISINE") &amp; " CUISINE"</f>
        <v>8 CUISINE</v>
      </c>
      <c r="F77" s="25"/>
      <c r="G77" s="13" t="str">
        <f>COUNTIF(G1:G71,"*MACHINE/OUTILS*") &amp; " MACHINE/OUTILS"</f>
        <v>12 MACHINE/OUTILS</v>
      </c>
      <c r="H77" s="161" t="str">
        <f>COUNTIF($H$4:$H$74,"*visage*")+COUNTIF($I$4:$I$74,"visage")+COUNTIF($J$4:$J$74,"visage") &amp; " VISAGE (front, joue, nez, etc.)"</f>
        <v>3 VISAGE (front, joue, nez, etc.)</v>
      </c>
      <c r="I77" s="151"/>
      <c r="J77" s="151"/>
      <c r="K77" s="150" t="str">
        <f>COUNTIF($K$4:$K$74,"*entorse*")+COUNTIF($K$4:$K$74,"*déchirure*")+COUNTIF($K$4:$K$74,"*contracture*") &amp; " TRAUMATISMES MUSCLES / LIGAMENTS (déchirure, contracture, entorse)"</f>
        <v>2 TRAUMATISMES MUSCLES / LIGAMENTS (déchirure, contracture, entorse)</v>
      </c>
      <c r="L77" s="151"/>
      <c r="M77" s="151"/>
      <c r="N77" s="37"/>
      <c r="O77" s="23"/>
      <c r="P77" s="23"/>
      <c r="Q77" s="31"/>
    </row>
    <row r="78" spans="1:17" ht="24.95" customHeight="1" x14ac:dyDescent="0.25">
      <c r="A78" s="43"/>
      <c r="B78" s="90">
        <f>COUNTIF(B4:B75,"ERN")</f>
        <v>0</v>
      </c>
      <c r="C78" s="25"/>
      <c r="D78" s="13" t="str">
        <f>COUNTIF(D4:D74,"IDE") &amp; " IDE"</f>
        <v>3 IDE</v>
      </c>
      <c r="E78" s="40" t="str">
        <f>COUNTIF(E4:E74,"EXTÉRIEUR") &amp; " EXTÉRIEUR"</f>
        <v>6 EXTÉRIEUR</v>
      </c>
      <c r="F78" s="25"/>
      <c r="G78" s="13" t="str">
        <f>COUNTIF(G1:G71,"*CHUTE DE PLEIN PIED*") &amp; " CHUTE DE PLAIN PIED"</f>
        <v>0 CHUTE DE PLAIN PIED</v>
      </c>
      <c r="H78" s="161" t="str">
        <f>COUNTIF($H$4:$H$74,"*clavicule*")+COUNTIF($H$4:$H$74,"*cervicale*")+COUNTIF($H$4:$H$74,"*bras*")+COUNTIF($H$4:$H$74,"*avant-bras*")+COUNTIF($H$4:$H$74,"*colonne vertébrale*")+COUNTIF($I$4:$I$74,"clavicule")+COUNTIF($I$4:$I$74,"cervicale")+COUNTIF($I$4:$I$74,"bras")+COUNTIF($I$4:$I$74,"avant-bras")+COUNTIF($I$4:$I$74,"*colonne vertébrale*")+COUNTIF($J$4:$J$74,"clavicule")+COUNTIF($J$4:$J$74,"cervicale")+COUNTIF($J$4:$J$74,"bras")+COUNTIF($J$4:$J$74,"avant-bras")+COUNTIF($J$4:$J$74,"*colonne vertébrale*")&amp; " HAUT DU CORPS (clavicule, cervicale, bras, avant-bras)"</f>
        <v>12 HAUT DU CORPS (clavicule, cervicale, bras, avant-bras)</v>
      </c>
      <c r="I78" s="151"/>
      <c r="J78" s="151"/>
      <c r="K78" s="150" t="str">
        <f>COUNTIF($K$4:$K$74,"*gonflement*")+COUNTIF($K$4:$K$74,"*bosse*")+COUNTIF($K$4:$K$74,"*bleu*")+COUNTIF($K$4:$K$74,"*échymose*")+COUNTIF($K$4:$K$74,"*hématome*")+COUNTIF($K$4:$K$74,"*contusion*") &amp; " CONTUSIONS (gonflement, bleu, bosse, hématome, échymose)"</f>
        <v>6 CONTUSIONS (gonflement, bleu, bosse, hématome, échymose)</v>
      </c>
      <c r="L78" s="151"/>
      <c r="M78" s="151"/>
      <c r="N78" s="35"/>
      <c r="O78" s="23"/>
      <c r="P78" s="23"/>
      <c r="Q78" s="31"/>
    </row>
    <row r="79" spans="1:17" ht="24.95" customHeight="1" x14ac:dyDescent="0.25">
      <c r="A79" s="5"/>
      <c r="B79" s="23"/>
      <c r="C79" s="23"/>
      <c r="D79" s="13" t="str">
        <f>COUNTIF(D5:D76,"MAINTENANCE") &amp; " MAINTENANCE"</f>
        <v>1 MAINTENANCE</v>
      </c>
      <c r="E79" s="40" t="str">
        <f>COUNTIF(E4:E74,"ESCALIERS") &amp; " ESCALIERS"</f>
        <v>2 ESCALIERS</v>
      </c>
      <c r="F79" s="25"/>
      <c r="G79" s="13" t="str">
        <f>COUNTIF(G1:G71,"*CHUTE DE HAUTEUR*") &amp; " CHUTE DE HAUTEUR"</f>
        <v>2 CHUTE DE HAUTEUR</v>
      </c>
      <c r="H79" s="161" t="str">
        <f>COUNTIF($H$4:$H$74,"*dos*")+COUNTIF($H$4:$H$74,"*bas du dos*")+COUNTIF($H$4:$H$74,"*lombaires*")+COUNTIF($H$4:$H$74,"*omoplate*")+COUNTIF($I$4:$I$74,"dos")+COUNTIF($I$4:$I$74,"bas du dos")+COUNTIF($I$4:$I$74,"lombaires")+COUNTIF($I$4:$I$74,"omoplate")+COUNTIF($J$4:$J$74,"dos")+COUNTIF($J$4:$J$74,"bas du dos")+COUNTIF($J$4:$J$74,"lombaires")+COUNTIF($J$4:$J$74,"omoplate")&amp; " DOS (dos, lombaires, omoplates)"</f>
        <v>24 DOS (dos, lombaires, omoplates)</v>
      </c>
      <c r="I79" s="151"/>
      <c r="J79" s="151"/>
      <c r="K79" s="150" t="str">
        <f>COUNTIF($K$4:$K$74,"*plaie*")+COUNTIF($K$4:$K$74,"*égratinure*")+COUNTIF($K$4:$K$74,"*coupûre*")+COUNTIF($K$4:$K$74,"*démarbraisons*")+COUNTIF($K$4:$K$74,"*abrasions*")+COUNTIF($K$4:$K$74,"*rougeurs*")+COUNTIF($K$4:$K$74,"*brulûre*")&amp; " LÉSIONS CUTANÉES (égratinure, plaie, coupûre, brûlures)"</f>
        <v>11 LÉSIONS CUTANÉES (égratinure, plaie, coupûre, brûlures)</v>
      </c>
      <c r="L79" s="151"/>
      <c r="M79" s="151"/>
      <c r="N79" s="35"/>
      <c r="O79" s="23"/>
      <c r="P79" s="23"/>
      <c r="Q79" s="31"/>
    </row>
    <row r="80" spans="1:17" ht="24.95" customHeight="1" x14ac:dyDescent="0.25">
      <c r="A80" s="5"/>
      <c r="B80" s="23"/>
      <c r="C80" s="23"/>
      <c r="D80" s="13" t="str">
        <f>COUNTIF(D5:D76,"LINGERIE") &amp; " LINGERIE"</f>
        <v>1 LINGERIE</v>
      </c>
      <c r="E80" s="40" t="str">
        <f>COUNTIF(E4:E74,"OFFICE") &amp; " OFFICE"</f>
        <v>3 OFFICE</v>
      </c>
      <c r="F80" s="25"/>
      <c r="G80" s="13" t="str">
        <f>COUNTIF(G1:G71,"*CHUTE D'OBJETS*") &amp; " CHUTE D'OBJETS"</f>
        <v>4 CHUTE D'OBJETS</v>
      </c>
      <c r="H80" s="161" t="str">
        <f>COUNTIF($H$4:$H$74,"*hanche*")+COUNTIF($H$4:$H$74,"*jambe*")+COUNTIF($H$4:$H$74,"*tibia*")+COUNTIF($H$4:$H$74,"*mollet*")+COUNTIF($I$4:$I$74,"hanche")+COUNTIF($I$4:$I$74,"jambe")+COUNTIF($I$4:$I$74,"tibia")+COUNTIF($I$4:$I$74,"mollet")+COUNTIF($J$4:$J$74,"hanche")+COUNTIF($J$4:$J$74,"jambe")+COUNTIF($J$4:$J$74,"tibia")+COUNTIF($J$4:$J$74,"mollet") &amp; " BAS DU CORPS (hanche, jambe, tibia, mollet)"</f>
        <v>4 BAS DU CORPS (hanche, jambe, tibia, mollet)</v>
      </c>
      <c r="I80" s="151"/>
      <c r="J80" s="151"/>
      <c r="K80" s="150" t="str">
        <f>COUNTIF($K$4:$K$74,"*saignement*")&amp; " PLAIES HÉMORRAGIQUES (saignement)"</f>
        <v>1 PLAIES HÉMORRAGIQUES (saignement)</v>
      </c>
      <c r="L80" s="151"/>
      <c r="M80" s="151"/>
      <c r="N80" s="35"/>
      <c r="O80" s="23"/>
      <c r="P80" s="23"/>
      <c r="Q80" s="31"/>
    </row>
    <row r="81" spans="1:17" ht="24.95" customHeight="1" x14ac:dyDescent="0.25">
      <c r="A81" s="5"/>
      <c r="B81" s="23"/>
      <c r="C81" s="23"/>
      <c r="D81" s="13" t="str">
        <f>COUNTIF(D5:D76,"ENTRETIEN") &amp; " ENTRETIEN"</f>
        <v>1 ENTRETIEN</v>
      </c>
      <c r="E81" s="40" t="str">
        <f>COUNTIF(E4:E74,"COULOIR") &amp; " COULOIR"</f>
        <v>1 COULOIR</v>
      </c>
      <c r="F81" s="25"/>
      <c r="G81" s="13" t="str">
        <f>COUNTIF(G1:G71,"*DÉMÉNAGEMENT/TRAVAUX*") &amp; " DÉMÉNAGEMENT/TRAVAUX"</f>
        <v>0 DÉMÉNAGEMENT/TRAVAUX</v>
      </c>
      <c r="H81" s="161" t="str">
        <f>COUNTIF($H$4:$H$74,"*poignet*")+COUNTIF($H$4:$H$74,"*cheville*")+COUNTIF($H$4:$H$74,"*genou*")+COUNTIF($H$4:$H$74,"*épaule*")+COUNTIF($I$4:$I$74,"poignet")+COUNTIF($I$4:$I$74,"cheville")+COUNTIF($I$4:$I$74,"genou")+COUNTIF($I$4:$I$74,"épaule")+COUNTIF($J$4:$J$74,"poignet")+COUNTIF($J$4:$J$74,"cheville")+COUNTIF($J$4:$J$74,"genou")+COUNTIF($J$4:$J$74,"épaule") &amp; " ARTICULATIONS (épaule, poignet, genou, cheville)"</f>
        <v>14 ARTICULATIONS (épaule, poignet, genou, cheville)</v>
      </c>
      <c r="I81" s="151"/>
      <c r="J81" s="151"/>
      <c r="K81" s="150" t="str">
        <f>COUNTIF($K$4:$K$74,"*céphalé*")+COUNTIF($K$4:$K$74,"*malaise*")&amp; " CÉPHALÉS / MALAISE"</f>
        <v>0 CÉPHALÉS / MALAISE</v>
      </c>
      <c r="L81" s="151"/>
      <c r="M81" s="151"/>
      <c r="N81" s="35"/>
      <c r="O81" s="23"/>
      <c r="P81" s="23"/>
      <c r="Q81" s="31"/>
    </row>
    <row r="82" spans="1:17" ht="24.95" customHeight="1" x14ac:dyDescent="0.25">
      <c r="A82" s="5"/>
      <c r="B82" s="23"/>
      <c r="C82" s="23"/>
      <c r="D82" s="13" t="str">
        <f>COUNTIF(D5:D76,"ANIMATION") &amp; " ANIMATION"</f>
        <v>1 ANIMATION</v>
      </c>
      <c r="E82" s="40" t="str">
        <f>COUNTIF(E4:E74,"LINGERIE") &amp; " LINGERIE"</f>
        <v>0 LINGERIE</v>
      </c>
      <c r="F82" s="25"/>
      <c r="G82" s="13" t="str">
        <f>COUNTIF(G1:G71,"*TRAJET*") &amp; " TRAJET"</f>
        <v>5 TRAJET</v>
      </c>
      <c r="H82" s="161" t="str">
        <f>COUNTIF($H$4:$H$74,"*main*")+COUNTIF($H$4:$H$74,"*doigts*")+COUNTIF($H$4:$H$74,"*pied*")+COUNTIF($H$4:$H$74,"*orteil*")+COUNTIF($I$4:$I$74,"main")+COUNTIF($I$4:$I$74,"doigts")+COUNTIF($I$4:$I$74,"pied")+COUNTIF($I$4:$I$74,"orteil")+COUNTIF($J$4:$J$74,"main")+COUNTIF($J$4:$J$74,"doigts")+COUNTIF($J$4:$J$74,"pied")+COUNTIF($J$4:$J$74,"orteil") &amp; " EXTRÉMITÉS (mains, doigts, pied, orteils)"</f>
        <v>22 EXTRÉMITÉS (mains, doigts, pied, orteils)</v>
      </c>
      <c r="I82" s="151"/>
      <c r="J82" s="151"/>
      <c r="K82" s="41"/>
      <c r="L82" s="39"/>
      <c r="M82" s="39"/>
      <c r="N82" s="35"/>
      <c r="O82" s="23"/>
      <c r="P82" s="23"/>
      <c r="Q82" s="31"/>
    </row>
    <row r="83" spans="1:17" ht="24.95" customHeight="1" x14ac:dyDescent="0.25">
      <c r="A83" s="5"/>
      <c r="B83" s="23"/>
      <c r="C83" s="23"/>
      <c r="D83" s="13" t="str">
        <f>COUNTIF(D5:D76,"RESTAURANT") &amp; " RESTAURANT"</f>
        <v>1 RESTAURANT</v>
      </c>
      <c r="E83" s="40" t="str">
        <f>COUNTIF(E4:E74,"SALLE DE SOINS") &amp; " SALLE DE SOINS"</f>
        <v>1 SALLE DE SOINS</v>
      </c>
      <c r="F83" s="25"/>
      <c r="G83" s="13" t="str">
        <f>COUNTIF(G1:G71,"*RPS*") &amp; " RPS"</f>
        <v>1 RPS</v>
      </c>
      <c r="H83" s="39"/>
      <c r="I83" s="39"/>
      <c r="J83" s="39"/>
      <c r="K83" s="130" cm="1">
        <f t="array" ref="K83">SUM(($K$4:$K$74="douleurs")*($B$4:$B$74="CAST")*1)</f>
        <v>26</v>
      </c>
      <c r="L83" s="127" cm="1">
        <f t="array" ref="L83">SUM(($L$4:$L$74="douleurs")*($B$4:$B$74="CAST")*1)</f>
        <v>0</v>
      </c>
      <c r="M83" s="127" cm="1">
        <f t="array" ref="M83">SUM(($M$4:$M$74="douleurs")*($B$4:$B$74="CAST")*1)</f>
        <v>0</v>
      </c>
      <c r="N83" s="35"/>
      <c r="O83" s="23"/>
      <c r="P83" s="23"/>
      <c r="Q83" s="31"/>
    </row>
    <row r="84" spans="1:17" ht="24.95" customHeight="1" x14ac:dyDescent="0.25">
      <c r="A84" s="5"/>
      <c r="B84" s="23"/>
      <c r="C84" s="23"/>
      <c r="D84" s="13" t="str">
        <f>COUNTIF(D5:D76,"ADMINISTRATIF") &amp; " ADMINISTRATIF"</f>
        <v>0 ADMINISTRATIF</v>
      </c>
      <c r="E84" s="40" t="str">
        <f>COUNTIF(E4:E74,"LOCAL MÉNAGE") &amp; " LOCAL MÉNAGE"</f>
        <v>0 LOCAL MÉNAGE</v>
      </c>
      <c r="F84" s="25"/>
      <c r="G84" s="13" t="str">
        <f>COUNTIF(G1:G71,"*MANUTENTION MÉCANIQUE*") &amp; " MANUTENTION MÉCANIQUE"</f>
        <v>3 MANUTENTION MÉCANIQUE</v>
      </c>
      <c r="H84" s="127" cm="1">
        <f t="array" ref="H84">SUM(($H$4:$H$74="crâne")*($B$4:$B$74="CAST")*1)</f>
        <v>0</v>
      </c>
      <c r="I84" s="127" cm="1">
        <f t="array" ref="I84">SUM(($I$4:$I$74="crâne")*($B$4:$B$74="CAST")*1)</f>
        <v>0</v>
      </c>
      <c r="J84" s="127" cm="1">
        <f t="array" ref="J84">SUM(($J$4:$J$74="crâne")*($B$4:$B$74="CAST")*1)</f>
        <v>0</v>
      </c>
      <c r="K84" s="130" cm="1">
        <f t="array" ref="K84">SUM(($K$4:$K$74="entorse")+(($K$4:$K$74="déchirure")+(($K$4:$K$74="contracture")*($B$4:$B$74="CAST")*1)))</f>
        <v>2</v>
      </c>
      <c r="L84" s="127" cm="1">
        <f t="array" ref="L84">SUM(($L$4:$L$74="entorse")+(($L$4:$L$74="déchirure")+(($L$4:$L$74="contracture")*($B$4:$B$74="CAST")*1)))</f>
        <v>0</v>
      </c>
      <c r="M84" s="127" cm="1">
        <f t="array" ref="M84">SUM(($M$4:$M$74="entorse")+(($M$4:$M$74="déchirure")+(($M$4:$M$74="contracture")*($B$4:$B$74="CAST")*1)))</f>
        <v>0</v>
      </c>
      <c r="N84" s="35"/>
      <c r="O84" s="23"/>
      <c r="P84" s="23"/>
      <c r="Q84" s="31"/>
    </row>
    <row r="85" spans="1:17" ht="24.95" customHeight="1" x14ac:dyDescent="0.25">
      <c r="A85" s="5"/>
      <c r="B85" s="23"/>
      <c r="C85" s="23"/>
      <c r="D85" s="7"/>
      <c r="E85" s="40" t="str">
        <f>COUNTIF(E4:E74,"ASCENSEUR") &amp; " ASCENSEUR"</f>
        <v>0 ASCENSEUR</v>
      </c>
      <c r="F85" s="25"/>
      <c r="G85" s="13" t="str">
        <f>COUNTIF(G1:G71,"*PRODUITS TOXIQUES*") &amp; " PRODUITS TOXIQUES"</f>
        <v>0 PRODUITS TOXIQUES</v>
      </c>
      <c r="H85" s="127" cm="1">
        <f t="array" ref="H85">SUM(($H$4:$H$74="visage")*($B$4:$B$74="CAST")*1)</f>
        <v>2</v>
      </c>
      <c r="I85" s="127" cm="1">
        <f t="array" ref="I85">SUM(($I$4:$I$74="visage")*($B$4:$B$74="CAST")*1)</f>
        <v>1</v>
      </c>
      <c r="J85" s="127" cm="1">
        <f t="array" ref="J85">SUM(($J$4:$J$74="*visage*")*($B$4:$B$74="CAST")*1)</f>
        <v>0</v>
      </c>
      <c r="K85" s="130" cm="1">
        <f t="array" ref="K85">SUM(($K$4:$K$74="gonflement")+(($K$4:$K$74="bosse")+(($K$4:$K$74="bleu")+(($K$4:$K$74="hématome")+(($K$4:$K$74="échymose")+(($K$4:$K$74="contusion")*($B$4:$B$74="CAST")*1))))))</f>
        <v>5</v>
      </c>
      <c r="L85" s="127" cm="1">
        <f t="array" ref="L85">SUM(($L$4:$L$74="gonflement")+(($L$4:$L$74="bosse")+(($L$4:$L$74="bleu")+(($L$4:$L$74="hématome")+(($L$4:$L$74="échymose")+(($L$4:$L$74="contusion")*($B$4:$B$74="CAST")*1))))))</f>
        <v>4</v>
      </c>
      <c r="M85" s="127" cm="1">
        <f t="array" ref="M85">SUM(($M$4:$M$74="gonflement")+(($M$4:$M$74="bosse")+(($M$4:$M$74="bleu")+(($M$4:$M$74="hématome")+(($M$4:$M$74="échymose")+(($M$4:$M$74="contusion")*($B$4:$B$74="CAST")*1))))))</f>
        <v>0</v>
      </c>
      <c r="N85" s="35"/>
      <c r="O85" s="23"/>
      <c r="P85" s="23"/>
      <c r="Q85" s="31"/>
    </row>
    <row r="86" spans="1:17" ht="24.95" customHeight="1" x14ac:dyDescent="0.25">
      <c r="A86" s="5"/>
      <c r="B86" s="23"/>
      <c r="C86" s="23"/>
      <c r="D86" s="83" cm="1">
        <f t="array" ref="D86">SUM(($D$4:$D$74="SOINS")*($B$4:$B$74="CAST")*1)</f>
        <v>30</v>
      </c>
      <c r="E86" s="40" t="str">
        <f>COUNTIF(E4:E74,"RESTAURANT") &amp; " RESTAURANT"</f>
        <v>0 RESTAURANT</v>
      </c>
      <c r="F86" s="25"/>
      <c r="G86" s="13" t="str">
        <f>COUNTIF(G1:G71,"*URGENCE*") &amp; " URGENCE"</f>
        <v>0 URGENCE</v>
      </c>
      <c r="H86" s="127" cm="1">
        <f t="array" ref="H86">SUM(($H$4:$H$74="clavicule")+(($H$4:$H$74="cervicale")+(($H$4:$H$74="bras")+(($H$4:$H$74="avant-bras")*($B$4:$B$74="CAST")*1))))</f>
        <v>8</v>
      </c>
      <c r="I86" s="127" cm="1">
        <f t="array" ref="I86">SUM(($I$4:$I$74="clavicule")+(($I$4:$I$74="cervicale")+(($I$4:$I$74="bras")+(($I$4:$I$74="avant-bras")*($B$4:$B$74="CAST")*1))))</f>
        <v>1</v>
      </c>
      <c r="J86" s="127" cm="1">
        <f t="array" ref="J86">SUM(($J$4:$J$74="clavicule")+(($J$4:$J$74="cervicale")+(($J$4:$J$74="bras")+(($J$4:$J$74="avant-bras")*($B$4:$B$74="CAST")*1))))</f>
        <v>0</v>
      </c>
      <c r="K86" s="130" cm="1">
        <f t="array" ref="K86">SUM(($K$4:$K$74="plaie")+(($K$4:$K$74="égratinure")+(($K$4:$K$74="coupûre")+(($K$4:$K$74="démarbraisons")+(($K$4:$K$74="abrasions")+(($K$4:$K$74="rougeurs")+(($K$4:$K$74="brulûres")*($B$4:$B$74="CAST")*1)))))))</f>
        <v>7</v>
      </c>
      <c r="L86" s="127" cm="1">
        <f t="array" ref="L86">SUM(($L$4:$L$74="plaie")+(($L$4:$L$74="égratinure")+(($L$4:$L$74="coupûre")+(($L$4:$L$74="démarbraisons")+(($L$4:$L$74="abrasions")+(($L$4:$L$74="rougeurs")+(($L$4:$L$74="brulûres")*($B$4:$B$74="CAST")*1)))))))</f>
        <v>1</v>
      </c>
      <c r="M86" s="127" cm="1">
        <f t="array" ref="M86">SUM(($M$4:$M$74="plaie")+(($M$4:$M$74="égratinure")+(($M$4:$M$74="coupûre")+(($M$4:$M$74="démarbraisons")+(($M$4:$M$74="abrasions")+(($M$4:$M$74="rougeurs")+(($M$4:$M$74="brulûres")*($B$4:$B$74="CAST")*1)))))))</f>
        <v>0</v>
      </c>
      <c r="N86" s="35"/>
      <c r="O86" s="23"/>
      <c r="P86" s="23"/>
      <c r="Q86" s="31"/>
    </row>
    <row r="87" spans="1:17" ht="24.95" customHeight="1" x14ac:dyDescent="0.25">
      <c r="A87" s="5"/>
      <c r="B87" s="23"/>
      <c r="C87" s="23"/>
      <c r="D87" s="83" cm="1">
        <f t="array" ref="D87">SUM(($D$4:$D$74="CUISINE")*($B$4:$B$74="CAST")*1)</f>
        <v>8</v>
      </c>
      <c r="E87" s="40" t="str">
        <f>COUNTIF(E4:E74,"SALLE DE RÉUNION") &amp; " SALLE DE RÉUNION"</f>
        <v>1 SALLE DE RÉUNION</v>
      </c>
      <c r="F87" s="25"/>
      <c r="G87" s="13" t="str">
        <f>COUNTIF(G1:G71,"*ÉNERGIE*") &amp; " ÉNERGIE"</f>
        <v>1 ÉNERGIE</v>
      </c>
      <c r="H87" s="127" cm="1">
        <f t="array" ref="H87">SUM(($H$4:$H$74="dos")+(($H$4:$H$74="bas du dos")+(($H$4:$H$74="lombaires")+(($H$4:$H$74="omoplate")*($B$4:$B$74="CAST")*1))))</f>
        <v>17</v>
      </c>
      <c r="I87" s="127" cm="1">
        <f t="array" ref="I87">SUM(($I$4:$I$74="dos")+(($I$4:$I$74="bas du dos")+(($I$4:$I$74="lombaires")+(($I$4:$I$74="omoplate")*($B$4:$B$74="CAST")*1))))</f>
        <v>1</v>
      </c>
      <c r="J87" s="127" cm="1">
        <f t="array" ref="J87">SUM(($J$4:$J$74="dos")+(($J$4:$J$74="bas du dos")+(($J$4:$J$74="lombaires")+(($J$4:$J$74="omoplate")*($B$4:$B$74="CAST")*1))))</f>
        <v>0</v>
      </c>
      <c r="K87" s="130" cm="1">
        <f t="array" ref="K87">SUM(($K$4:$K$74="céphalé")*($B$4:$B$74="CAST")*1)</f>
        <v>0</v>
      </c>
      <c r="L87" s="127" cm="1">
        <f t="array" ref="L87">SUM(($L$4:$L$74="céphalé")*($B$4:$B$74="CAST")*1)</f>
        <v>0</v>
      </c>
      <c r="M87" s="127" cm="1">
        <f t="array" ref="M87">SUM(($M$4:$M$74="céphalé")*($B$4:$B$74="CAST")*1)</f>
        <v>0</v>
      </c>
      <c r="N87" s="35"/>
      <c r="O87" s="23"/>
      <c r="P87" s="23"/>
      <c r="Q87" s="31"/>
    </row>
    <row r="88" spans="1:17" ht="24.95" customHeight="1" x14ac:dyDescent="0.25">
      <c r="A88" s="5"/>
      <c r="B88" s="23"/>
      <c r="C88" s="23"/>
      <c r="D88" s="83" cm="1">
        <f t="array" ref="D88">SUM(($D$4:$D$74="IDE")*($B$4:$B$74="CAST")*1)</f>
        <v>3</v>
      </c>
      <c r="E88" s="40" t="str">
        <f>COUNTIF(E4:E74,"SALLE DE BAINS") &amp; " SALLE DE BAINS"</f>
        <v>0 SALLE DE BAINS</v>
      </c>
      <c r="F88" s="25"/>
      <c r="G88" s="13" t="str">
        <f>COUNTIF(G1:G71,"*DÉPLACEMENT*") &amp; " DÉPLACEMENT"</f>
        <v>4 DÉPLACEMENT</v>
      </c>
      <c r="H88" s="127" cm="1">
        <f t="array" ref="H88">SUM(($H$4:$H$74="jambe")+(($H$4:$H$74="hanche")+(($H$4:$H$74="tibia")+(($H$4:$H$74="mollet")*($B$4:$B$74="CAST")*1))))</f>
        <v>3</v>
      </c>
      <c r="I88" s="127" cm="1">
        <f t="array" ref="I88">SUM(($I$4:$I$74="hanche")+(($I$4:$I$74="jambe")+(($I$4:$I$74="tibia")+(($I$4:$I$74="mollet")*($B$4:$B$74="CAST")*1))))</f>
        <v>1</v>
      </c>
      <c r="J88" s="127" cm="1">
        <f t="array" ref="J88">SUM(($J$4:$J$74="hanche")+(($J$4:$J$74="jambe")+(($J$4:$J$74="tibia")+(($J$4:$J$74="mollet")*($B$4:$B$74="CAST")*1))))</f>
        <v>0</v>
      </c>
      <c r="K88" s="130" cm="1">
        <f t="array" ref="K88">SUM(($K$4:$K$74="céphalé")+(($K$4:$K$74="malaise")*($B$4:$B$74="CAST")*1))</f>
        <v>0</v>
      </c>
      <c r="L88" s="127" cm="1">
        <f t="array" ref="L88">SUM(($L$4:$L$74="céphalé")+(($L$4:$L$74="malaise")*($B$4:$B$74="CAST")*1))</f>
        <v>0</v>
      </c>
      <c r="M88" s="127" cm="1">
        <f t="array" ref="M88">SUM(($M$4:$M$74="céphalé")+(($M$4:$M$74="malaise")*($B$4:$B$74="CAST")*1))</f>
        <v>0</v>
      </c>
      <c r="N88" s="35"/>
      <c r="O88" s="23"/>
      <c r="P88" s="23"/>
      <c r="Q88" s="31"/>
    </row>
    <row r="89" spans="1:17" ht="24.95" customHeight="1" x14ac:dyDescent="0.25">
      <c r="A89" s="5"/>
      <c r="B89" s="23"/>
      <c r="C89" s="23"/>
      <c r="D89" s="83" cm="1">
        <f t="array" ref="D89">SUM(($D$4:$D$74="MAINTENANCE")*($B$4:$B$74="CAST")*1)</f>
        <v>1</v>
      </c>
      <c r="E89" s="40" t="str">
        <f>COUNTIF(E4:E74,"SOUS-SOL") &amp; " SOUS-SOL"</f>
        <v>2 SOUS-SOL</v>
      </c>
      <c r="F89" s="25"/>
      <c r="G89" s="13"/>
      <c r="H89" s="127" cm="1">
        <f t="array" ref="H89">SUM(($H$4:$H$74="poignet")+(($H$4:$H$74="cheville")+(($H$4:$H$74="genou")+(($H$4:$H$74="épaule")*($B$4:$B$74="CAST")*1))))</f>
        <v>10</v>
      </c>
      <c r="I89" s="127" cm="1">
        <f t="array" ref="I89">SUM(($I$4:$I$74="poignet")+(($I$4:$I$74="cheville")+(($I$4:$I$74="genou")+(($I$4:$I$74="épaule")*($B$4:$B$74="CAST")*1))))</f>
        <v>1</v>
      </c>
      <c r="J89" s="127" cm="1">
        <f t="array" ref="J89">SUM(($J$4:$J$74="poignet")+(($J$4:$J$74="cheville")+(($J$4:$J$74="genou")+(($J$4:$J$74="épaule")*($B$4:$B$74="CAST")*1))))</f>
        <v>0</v>
      </c>
      <c r="K89" s="144">
        <f>SUM(K83:M88)</f>
        <v>45</v>
      </c>
      <c r="L89" s="136"/>
      <c r="M89" s="145"/>
      <c r="N89" s="35"/>
      <c r="O89" s="23"/>
      <c r="P89" s="23"/>
      <c r="Q89" s="31"/>
    </row>
    <row r="90" spans="1:17" ht="24.95" customHeight="1" x14ac:dyDescent="0.25">
      <c r="A90" s="5"/>
      <c r="B90" s="23"/>
      <c r="C90" s="23"/>
      <c r="D90" s="83" cm="1">
        <f t="array" ref="D90">SUM(($D$4:$D$74="LINGERIE")*($B$4:$B$74="CAST")*1)</f>
        <v>1</v>
      </c>
      <c r="E90" s="40" t="str">
        <f>COUNTIF(E4:E74,"-") &amp; " PAS D'INDICATIONS"</f>
        <v>23 PAS D'INDICATIONS</v>
      </c>
      <c r="F90" s="25"/>
      <c r="G90" s="83" cm="1">
        <f t="array" ref="G90">SUM(($G$4:$G$74="MANUTENTION MANUELLE")*($B$4:$B$74="CAST")*1)</f>
        <v>24</v>
      </c>
      <c r="H90" s="127" cm="1">
        <f t="array" ref="H90">SUM(($H$4:$H$74="main")+(($H$4:$H$74="doigts")+(($H$4:$H$74="pied")+(($H$4:$H$74="orteils")*($B$4:$B$74="CAST")*1))))</f>
        <v>19</v>
      </c>
      <c r="I90" s="127" cm="1">
        <f t="array" ref="I90">SUM(($I$4:$I$74="main")+(($I$4:$I$74="doigts")+(($I$4:$I$74="pied")+(($I$4:$I$74="orteils")*($B$4:$B$74="CAST")*1))))</f>
        <v>1</v>
      </c>
      <c r="J90" s="127" cm="1">
        <f t="array" ref="J90">SUM(($J$4:$J$74="main")+(($J$4:$J$74="doigts")+(($J$4:$J$74="pied")+(($J$4:$J$74="orteils")*($B$4:$B$74="CAST")*1))))</f>
        <v>0</v>
      </c>
      <c r="K90" s="106" cm="1">
        <f t="array" ref="K90">SUM(($K$4:$K$74="douleurs")*($B$4:$B$74="COMP")*1)</f>
        <v>17</v>
      </c>
      <c r="L90" s="107" cm="1">
        <f t="array" ref="L90">SUM(($L$4:$L$74="douleurs")*($B$4:$B$74="COMP")*1)</f>
        <v>1</v>
      </c>
      <c r="M90" s="107" cm="1">
        <f t="array" ref="M90">SUM(($M$4:$M$74="douleurs")*($B$4:$B$74="COMP")*1)</f>
        <v>0</v>
      </c>
      <c r="N90" s="35"/>
      <c r="O90" s="23"/>
      <c r="P90" s="23"/>
      <c r="Q90" s="31"/>
    </row>
    <row r="91" spans="1:17" ht="24.95" customHeight="1" x14ac:dyDescent="0.25">
      <c r="A91" s="5"/>
      <c r="B91" s="23"/>
      <c r="C91" s="23"/>
      <c r="D91" s="83" cm="1">
        <f t="array" ref="D91">SUM(($D$4:$D$74="ENTRETIEN")*($B$4:$B$74="CAST")*1)</f>
        <v>1</v>
      </c>
      <c r="E91" s="19"/>
      <c r="F91" s="25"/>
      <c r="G91" s="83" cm="1">
        <f t="array" ref="G91">SUM(($G$4:$G$74="MACHINE/OUTILS")*($B$4:$B$74="CAST")*1)</f>
        <v>8</v>
      </c>
      <c r="H91" s="135">
        <f>SUM(H84:J90)</f>
        <v>65</v>
      </c>
      <c r="I91" s="136"/>
      <c r="J91" s="137"/>
      <c r="K91" s="106" cm="1">
        <f t="array" ref="K91">SUM(($K$4:$K$74="entorse")+(($K$4:$K$74="déchirure")+(($K$4:$K$74="contracture")*($K$4:$K$74="COMP")*1)))</f>
        <v>2</v>
      </c>
      <c r="L91" s="107" cm="1">
        <f t="array" ref="L91">SUM(($L$4:$L$74="entorse")+(($L$4:$L$74="déchirure")+(($L$4:$L$74="contracture")*($B$4:$B$74="COMP")*1)))</f>
        <v>0</v>
      </c>
      <c r="M91" s="107" cm="1">
        <f t="array" ref="M91">SUM(($M$4:$M$74="entorse")+(($M$4:$M$74="déchirure")+(($M$4:$M$74="contracture")*($B$4:$B$74="COMP")*1)))</f>
        <v>0</v>
      </c>
      <c r="N91" s="35"/>
      <c r="O91" s="23"/>
      <c r="P91" s="23"/>
      <c r="Q91" s="31"/>
    </row>
    <row r="92" spans="1:17" ht="24.95" customHeight="1" x14ac:dyDescent="0.25">
      <c r="A92" s="5"/>
      <c r="B92" s="23"/>
      <c r="C92" s="23"/>
      <c r="D92" s="83" cm="1">
        <f t="array" ref="D92">SUM(($D$4:$D$74="ANIMATION")*($B$4:$B$74="CAST")*1)</f>
        <v>0</v>
      </c>
      <c r="E92" s="85" cm="1">
        <f t="array" ref="E92">SUM(($E$4:$E$74="Logement résident")*($B$4:$B$74="CAST")*1)</f>
        <v>19</v>
      </c>
      <c r="F92" s="25"/>
      <c r="G92" s="83" cm="1">
        <f t="array" ref="G92">SUM(($G$4:$G$74="CHUTE DE PLAIN PIED")*($B$4:$B$74="CAST")*1)</f>
        <v>1</v>
      </c>
      <c r="H92" s="107" cm="1">
        <f t="array" ref="H92">SUM(($H$4:$H$74="crâne")*($B$4:$B$74="COMP")*1)</f>
        <v>0</v>
      </c>
      <c r="I92" s="107" cm="1">
        <f t="array" ref="I92">SUM(($I$4:$I$74="crâne")*($B$4:$B$74="COMP")*1)</f>
        <v>0</v>
      </c>
      <c r="J92" s="107" cm="1">
        <f t="array" ref="J92">SUM(($J$4:$J$74="crâne")*($B$4:$B$74="COMP")*1)</f>
        <v>0</v>
      </c>
      <c r="K92" s="106" cm="1">
        <f t="array" ref="K92">SUM(($K$4:$K$74="gonflement")+(($K$4:$K$74="bosse")+(($K$4:$K$74="bleu")+(($K$4:$K$74="hématome")+(($K$4:$K$74="échymose")+(($K$4:$K$74="contusion")*($K$4:$K$74="COMP")*1))))))</f>
        <v>4</v>
      </c>
      <c r="L92" s="107" cm="1">
        <f t="array" ref="L92">SUM(($L$4:$L$74="gonflement")+(($L$4:$L$74="bosse")+(($L$4:$L$74="bleu")+(($L$4:$L$74="hématome")+(($L$4:$L$74="échymose")+(($L$4:$L$74="contusion")*($B$4:$B$74="COMP")*1))))))</f>
        <v>2</v>
      </c>
      <c r="M92" s="107" cm="1">
        <f t="array" ref="M92">SUM(($M$4:$M$74="gonflement")+(($M$4:$M$74="bosse")+(($M$4:$M$74="bleu")+(($M$4:$M$74="hématome")+(($M$4:$M$74="échymose")+(($M$4:$M$74="contusion")*($B$4:$B$74="COMP")*1))))))</f>
        <v>0</v>
      </c>
      <c r="N92" s="35"/>
      <c r="O92" s="23"/>
      <c r="P92" s="23"/>
      <c r="Q92" s="31"/>
    </row>
    <row r="93" spans="1:17" ht="24.95" customHeight="1" x14ac:dyDescent="0.25">
      <c r="A93" s="5"/>
      <c r="B93" s="23"/>
      <c r="C93" s="23"/>
      <c r="D93" s="83" cm="1">
        <f t="array" ref="D93">SUM(($D$4:$D$74="RESTAURANT")*($B$4:$B$74="CAST")*1)</f>
        <v>1</v>
      </c>
      <c r="E93" s="85" cm="1">
        <f t="array" ref="E93">SUM(($E$4:$E$74="CUISINE")*($B$4:$B$74="CAST")*1)</f>
        <v>7</v>
      </c>
      <c r="F93" s="23"/>
      <c r="G93" s="83" cm="1">
        <f t="array" ref="G93">SUM(($G$4:$G$74="CHUTE DE HAUTEUR")*($B$4:$B$74="CAST")*1)</f>
        <v>1</v>
      </c>
      <c r="H93" s="107" cm="1">
        <f t="array" ref="H93">SUM(($H$4:$H$74="visage")*($B$4:$B$74="COMP")*1)</f>
        <v>0</v>
      </c>
      <c r="I93" s="107" cm="1">
        <f t="array" ref="I93">SUM(($I$4:$I$74="*visage*")*($B$4:$B$74="COMP")*1)</f>
        <v>0</v>
      </c>
      <c r="J93" s="107" cm="1">
        <f t="array" ref="J93">SUM(($J$4:$J$74="*visage*")*($B$4:$B$74="COMP")*1)</f>
        <v>0</v>
      </c>
      <c r="K93" s="106" cm="1">
        <f t="array" ref="K93">SUM(($K$4:$K$74="plaie")+(($K$4:$K$74="égratinure")+(($K$4:$K$74="coupûre")+(($K$4:$K$74="démarbraisons")+(($K$4:$K$74="abrasions")+(($K$4:$K$74="rougeurs")+(($K$4:$K$74="brulûres")*($K$4:$K$74="COMP")*1)))))))</f>
        <v>7</v>
      </c>
      <c r="L93" s="107" cm="1">
        <f t="array" ref="L93">SUM(($L$4:$L$74="plaie")+(($L$4:$L$74="égratinure")+(($L$4:$L$74="coupûre")+(($L$4:$L$74="démarbraisons")+(($L$4:$L$74="abrasions")+(($L$4:$L$74="rougeurs")+(($L$4:$L$74="brulûres")*($B$4:$B$74="COMP")*1)))))))</f>
        <v>1</v>
      </c>
      <c r="M93" s="107" cm="1">
        <f t="array" ref="M93">SUM(($M$4:$M$74="plaie")+(($M$4:$M$74="égratinure")+(($M$4:$M$74="coupûre")+(($M$4:$M$74="démarbraisons")+(($M$4:$M$74="abrasions")+(($M$4:$M$74="rougeurs")+(($M$4:$M$74="brulûres")*($B$4:$B$74="COMP")*1)))))))</f>
        <v>0</v>
      </c>
      <c r="N93" s="35"/>
      <c r="O93" s="23"/>
      <c r="P93" s="23"/>
      <c r="Q93" s="31"/>
    </row>
    <row r="94" spans="1:17" ht="24.95" customHeight="1" x14ac:dyDescent="0.25">
      <c r="A94" s="5"/>
      <c r="B94" s="23"/>
      <c r="C94" s="23"/>
      <c r="D94" s="83" cm="1">
        <f t="array" ref="D94">SUM(($D$4:$D$74="ADMINISTRATIF")*($B$4:$B$74="CAST")*1)</f>
        <v>0</v>
      </c>
      <c r="E94" s="85" cm="1">
        <f t="array" ref="E94">SUM(($E$4:$E$74="EXTÉRIEUR")*($B$4:$B$74="CAST")*1)</f>
        <v>3</v>
      </c>
      <c r="F94" s="23"/>
      <c r="G94" s="83" cm="1">
        <f t="array" ref="G94">SUM(($G$4:$G$74="CHUTE D'OBJETS")*($B$4:$B$74="CAST")*1)</f>
        <v>2</v>
      </c>
      <c r="H94" s="107" cm="1">
        <f t="array" ref="H94">SUM(($H$4:$H$74="clavicule")+(($H$4:$H$74="cervicale")+(($H$4:$H$74="bras")+(($H$4:$H$74="avant-bras")*($B$4:$B$74="COMP")*1))))</f>
        <v>9</v>
      </c>
      <c r="I94" s="107" cm="1">
        <f t="array" ref="I94">SUM(($I$4:$I$74="clavicule")+(($I$4:$I$74="cervicale")+(($I$4:$I$74="bras")+(($I$4:$I$74="avant-bras")*($B$4:$B$74="COMP")*1))))</f>
        <v>1</v>
      </c>
      <c r="J94" s="107" cm="1">
        <f t="array" ref="J94">SUM(($J$4:$J$74="clavicule")+(($J$4:$J$74="cervicale")+(($J$4:$J$74="bras")+(($J$4:$J$74="avant-bras")*($B$4:$B$74="COMP")*1))))</f>
        <v>0</v>
      </c>
      <c r="K94" s="106" cm="1">
        <f t="array" ref="K94">SUM(($K$4:$K$74="céphalé")*($K$4:$K$74="COMP")*1)</f>
        <v>0</v>
      </c>
      <c r="L94" s="107" cm="1">
        <f t="array" ref="L94">SUM(($L$4:$L$74="céphalé")*($B$4:$B$74="COMP")*1)</f>
        <v>0</v>
      </c>
      <c r="M94" s="107" cm="1">
        <f t="array" ref="M94">SUM(($M$4:$M$74="céphalé")*($B$4:$B$74="COMP")*1)</f>
        <v>0</v>
      </c>
      <c r="N94" s="35"/>
      <c r="O94" s="23"/>
      <c r="P94" s="23"/>
      <c r="Q94" s="31"/>
    </row>
    <row r="95" spans="1:17" ht="24.95" customHeight="1" x14ac:dyDescent="0.25">
      <c r="A95" s="5"/>
      <c r="B95" s="23"/>
      <c r="C95" s="23"/>
      <c r="D95" s="88">
        <f>SUM(D86:D94)</f>
        <v>45</v>
      </c>
      <c r="E95" s="85" cm="1">
        <f t="array" ref="E95">SUM(($E$4:$E$74="ESCALIERS")*($B$4:$B$74="CAST")*1)</f>
        <v>2</v>
      </c>
      <c r="F95" s="23"/>
      <c r="G95" s="83" cm="1">
        <f t="array" ref="G95">SUM(($G$4:$G$74="DÉMÉNAGEMENT/TRAVAUX")*($B$4:$B$74="CAST")*1)</f>
        <v>0</v>
      </c>
      <c r="H95" s="107" cm="1">
        <f t="array" ref="H95">SUM(($H$4:$H$74="dos")+(($H$4:$H$74="bas du dos")+(($H$4:$H$74="lombaires")+(($H$4:$H$74="omoplate")*($B$4:$B$74="COMP")*1))))</f>
        <v>17</v>
      </c>
      <c r="I95" s="107" cm="1">
        <f t="array" ref="I95">SUM(($I$4:$I$74="dos")+(($I$4:$I$74="bas du dos")+(($I$4:$I$74="lombaires")+(($I$4:$I$74="omoplate")*($B$4:$B$74="COMP")*1))))</f>
        <v>1</v>
      </c>
      <c r="J95" s="107" cm="1">
        <f t="array" ref="J95">SUM(($J$4:$J$74="dos")+(($J$4:$J$74="bas du dos")+(($J$4:$J$74="lombaires")+(($J$4:$J$74="omoplate")*($B$4:$B$74="COMP")*1))))</f>
        <v>0</v>
      </c>
      <c r="K95" s="106" cm="1">
        <f t="array" ref="K95">SUM(($K$4:$K$74="céphalé")+(($K$4:$K$74="malaise")*($K$4:$K$74="COMP")*1))</f>
        <v>0</v>
      </c>
      <c r="L95" s="107" cm="1">
        <f t="array" ref="L95">SUM(($L$4:$L$74="céphalé")+(($L$4:$L$74="malaise")*($B$4:$B$74="COMP")*1))</f>
        <v>0</v>
      </c>
      <c r="M95" s="107" cm="1">
        <f t="array" ref="M95">SUM(($M$4:$M$74="céphalé")+(($M$4:$M$74="malaise")*($B$4:$B$74="COMP")*1))</f>
        <v>0</v>
      </c>
      <c r="N95" s="35"/>
      <c r="O95" s="23"/>
      <c r="P95" s="23"/>
      <c r="Q95" s="31"/>
    </row>
    <row r="96" spans="1:17" ht="24.95" customHeight="1" x14ac:dyDescent="0.25">
      <c r="A96" s="5"/>
      <c r="B96" s="23"/>
      <c r="C96" s="23"/>
      <c r="D96" s="84" cm="1">
        <f t="array" ref="D96">SUM(($D$4:$D$74="SOINS")*($B$4:$B$74="COMP")*1)</f>
        <v>20</v>
      </c>
      <c r="E96" s="85" cm="1">
        <f t="array" ref="E96">SUM(($E$4:$E$74="office")*($B$4:$B$74="CAST")*1)</f>
        <v>2</v>
      </c>
      <c r="F96" s="23"/>
      <c r="G96" s="83" cm="1">
        <f t="array" ref="G96">SUM(($G$4:$G$74="TRAJET")*($B$4:$B$74="CAST")*1)</f>
        <v>1</v>
      </c>
      <c r="H96" s="107" cm="1">
        <f t="array" ref="H96">SUM(($H$4:$H$74="jambe")+(($H$4:$H$74="hanche")+(($H$4:$H$74="tibia")+(($H$4:$H$74="mollet")*($B$4:$B$74="COMP")*1))))</f>
        <v>2</v>
      </c>
      <c r="I96" s="107" cm="1">
        <f t="array" ref="I96">SUM(($I$4:$I$74="hanche")+(($I$4:$I$74="jambe")+(($I$4:$I$74="tibia")+(($I$4:$I$74="mollet")*($B$4:$B$74="COMP")*1))))</f>
        <v>1</v>
      </c>
      <c r="J96" s="107" cm="1">
        <f t="array" ref="J96">SUM(($J$4:$J$74="jambe")+(($J$4:$J$74="hanche")+(($J$4:$J$74="tibia")+(($J$4:$J$74="mollet")*($B$4:$B$74="COMP")*1))))</f>
        <v>0</v>
      </c>
      <c r="K96" s="146">
        <f>SUM(K90:M95)</f>
        <v>34</v>
      </c>
      <c r="L96" s="139"/>
      <c r="M96" s="147"/>
      <c r="N96" s="35"/>
      <c r="O96" s="23"/>
      <c r="P96" s="23"/>
      <c r="Q96" s="31"/>
    </row>
    <row r="97" spans="1:17" ht="24.95" customHeight="1" x14ac:dyDescent="0.25">
      <c r="A97" s="5"/>
      <c r="B97" s="23"/>
      <c r="C97" s="23"/>
      <c r="D97" s="84" cm="1">
        <f t="array" ref="D97">SUM(($D$4:$D$74="CUISINE")*($B$4:$B$74="COMP")*1)</f>
        <v>3</v>
      </c>
      <c r="E97" s="85" cm="1">
        <f t="array" ref="E97">SUM(($E$4:$E$74="COULOIR")*($B$4:$B$74="CAST")*1)</f>
        <v>1</v>
      </c>
      <c r="F97" s="23"/>
      <c r="G97" s="83" cm="1">
        <f t="array" ref="G97">SUM(($G$4:$G$74="RPS")*($B$4:$B$74="CAST")*1)</f>
        <v>1</v>
      </c>
      <c r="H97" s="107" cm="1">
        <f t="array" ref="H97">SUM(($H$4:$H$74="poignet")+(($H$4:$H$74="cheville")+(($H$4:$H$74="genou")+(($H$4:$H$74="épaule")*($B$4:$B$74="COMP")*1))))</f>
        <v>9</v>
      </c>
      <c r="I97" s="107" cm="1">
        <f t="array" ref="I97">SUM(($I$4:$I$74="poignet")+(($I$4:$I$74="cheville")+(($I$4:$I$74="genou")+(($I$4:$I$74="épaule")*($B$4:$B$74="COMP")*1))))</f>
        <v>1</v>
      </c>
      <c r="J97" s="107" cm="1">
        <f t="array" ref="J97">SUM(($J$4:$J$74="poignet")+(($J$4:$J$74="cheville")+(($J$4:$J$74="genou")+(($J$4:$J$74="épaule")*($J$4:$J$74="COMP")*1))))</f>
        <v>0</v>
      </c>
      <c r="K97" s="105" cm="1">
        <f t="array" ref="K97">SUM(($K$4:$K$74="douleurs")*($B$4:$B$74="ERN")*1)</f>
        <v>0</v>
      </c>
      <c r="L97" s="128" cm="1">
        <f t="array" ref="L97">SUM(($L$4:$L$74="douleurs")*($B$4:$B$74="ERN")*1)</f>
        <v>0</v>
      </c>
      <c r="M97" s="128" cm="1">
        <f t="array" ref="M97">SUM(($M$4:$M$74="douleurs")*($B$4:$B$74="ERN")*1)</f>
        <v>0</v>
      </c>
      <c r="N97" s="35"/>
      <c r="O97" s="23"/>
      <c r="P97" s="23"/>
      <c r="Q97" s="31"/>
    </row>
    <row r="98" spans="1:17" ht="24.95" customHeight="1" x14ac:dyDescent="0.25">
      <c r="A98" s="5"/>
      <c r="B98" s="23"/>
      <c r="C98" s="23"/>
      <c r="D98" s="84" cm="1">
        <f t="array" ref="D98">SUM(($D$4:$D$74="IDE")*($B$4:$B$74="COMP")*1)</f>
        <v>0</v>
      </c>
      <c r="E98" s="85" cm="1">
        <f t="array" ref="E98">SUM(($E$4:$E$74="lingerie")*($B$4:$B$74="CAST")*1)</f>
        <v>0</v>
      </c>
      <c r="F98" s="23"/>
      <c r="G98" s="83" cm="1">
        <f t="array" ref="G98">SUM(($G$4:$G$74="MANUTENTION MÉCANIQUE")*($B$4:$B$74="CAST")*1)</f>
        <v>3</v>
      </c>
      <c r="H98" s="107" cm="1">
        <f t="array" ref="H98">SUM(($H$4:$H$74="main")+(($H$4:$H$74="doigts")+(($H$4:$H$74="pied")+(($H$4:$H$74="orteils")*($B$4:$B$74="COMP")*1))))</f>
        <v>19</v>
      </c>
      <c r="I98" s="107" cm="1">
        <f t="array" ref="I98">SUM(($I$4:$I$74="main")+(($I$4:$I$74="doigts")+(($I$4:$I$74="pied")+(($I$4:$I$74="orteils")*($B$4:$B$74="COMP")*1))))</f>
        <v>1</v>
      </c>
      <c r="J98" s="107" cm="1">
        <f t="array" ref="J98">SUM(($J$4:$J$74="main")+(($J$4:$J$74="doigts")+(($J$4:$J$74="pied")+(($J$4:$J$74="orteils")*($B$4:$B$74="COMP")*1))))</f>
        <v>0</v>
      </c>
      <c r="K98" s="105" cm="1">
        <f t="array" ref="K98">SUM(($K$4:$K$74="entorse")+(($K$4:$K$74="déchirure")+(($K$4:$K$74="contracture")*($K$4:$K$74="ERN")*1)))</f>
        <v>2</v>
      </c>
      <c r="L98" s="128" cm="1">
        <f t="array" ref="L98">SUM(($L$4:$L$74="entorse")+(($L$4:$L$74="déchirure")+(($L$4:$L$74="contracture")*($B$4:$B$74="ERN")*1)))</f>
        <v>0</v>
      </c>
      <c r="M98" s="128" cm="1">
        <f t="array" ref="M98">SUM(($M$4:$M$74="entorse")+(($M$4:$M$74="déchirure")+(($M$4:$M$74="contracture")*($B$4:$B$74="ERN")*1)))</f>
        <v>0</v>
      </c>
      <c r="N98" s="35"/>
      <c r="O98" s="23"/>
      <c r="P98" s="23"/>
      <c r="Q98" s="31"/>
    </row>
    <row r="99" spans="1:17" ht="24.95" customHeight="1" x14ac:dyDescent="0.25">
      <c r="A99" s="5"/>
      <c r="B99" s="23"/>
      <c r="C99" s="23"/>
      <c r="D99" s="84" cm="1">
        <f t="array" ref="D99">SUM(($D$4:$D$74="MAINTENANCE")*($B$4:$B$74="COMP")*1)</f>
        <v>0</v>
      </c>
      <c r="E99" s="85" cm="1">
        <f t="array" ref="E99">SUM(($E$4:$E$74="SALLE DE SOINS")*($B$4:$B$74="CAST")*1)</f>
        <v>1</v>
      </c>
      <c r="F99" s="23"/>
      <c r="G99" s="83" cm="1">
        <f t="array" ref="G99">SUM(($G$4:$G$74="PRODUITS TOXIQUES")*($B$4:$B$74="CAST")*1)</f>
        <v>0</v>
      </c>
      <c r="H99" s="138">
        <f>SUM(H92:J98)</f>
        <v>61</v>
      </c>
      <c r="I99" s="139"/>
      <c r="J99" s="140"/>
      <c r="K99" s="105" cm="1">
        <f t="array" ref="K99">SUM(($K$4:$K$74="gonflement")+(($K$4:$K$74="bosse")+(($K$4:$K$74="bleu")+(($K$4:$K$74="hématome")+(($K$4:$K$74="échymose")+(($K$4:$K$74="contusion")*($K$4:$K$74="ERN")*1))))))</f>
        <v>4</v>
      </c>
      <c r="L99" s="128" cm="1">
        <f t="array" ref="L99">SUM(($L$4:$L$74="gonflement")+(($L$4:$L$74="bosse")+(($L$4:$L$74="bleu")+(($L$4:$L$74="hématome")+(($L$4:$L$74="échymose")+(($L$4:$L$74="contusion")*($B$4:$B$74="ERN")*1))))))</f>
        <v>2</v>
      </c>
      <c r="M99" s="128" cm="1">
        <f t="array" ref="M99">SUM(($M$4:$M$74="gonflement")+(($M$4:$M$74="bosse")+(($M$4:$M$74="bleu")+(($M$4:$M$74="hématome")+(($M$4:$M$74="échymose")+(($M$4:$M$74="contusion")*($B$4:$B$74="ERN")*1))))))</f>
        <v>0</v>
      </c>
      <c r="N99" s="35"/>
      <c r="O99" s="23"/>
      <c r="P99" s="23"/>
      <c r="Q99" s="31"/>
    </row>
    <row r="100" spans="1:17" ht="24.95" customHeight="1" x14ac:dyDescent="0.25">
      <c r="A100" s="5"/>
      <c r="B100" s="23"/>
      <c r="C100" s="23"/>
      <c r="D100" s="84" cm="1">
        <f t="array" ref="D100">SUM(($D$4:$D$74="LINGERIE")*($B$4:$B$74="COMP")*1)</f>
        <v>0</v>
      </c>
      <c r="E100" s="85" cm="1">
        <f t="array" ref="E100">SUM(($E$4:$E$74="LOCAL MÉNAGE")*($B$4:$B$74="CAST")*1)</f>
        <v>0</v>
      </c>
      <c r="F100" s="23"/>
      <c r="G100" s="83" cm="1">
        <f t="array" ref="G100">SUM(($G$4:$G$74="URGENCE")*($B$4:$B$74="CAST")*1)</f>
        <v>0</v>
      </c>
      <c r="H100" s="128" cm="1">
        <f t="array" ref="H100">SUM(($H$4:$H$74="crâne")*($B$4:$B$74="ERN")*1)</f>
        <v>0</v>
      </c>
      <c r="I100" s="128" cm="1">
        <f t="array" ref="I100">SUM(($I$4:$I$74="crâne")*($B$4:$B$74="ERN")*1)</f>
        <v>0</v>
      </c>
      <c r="J100" s="128" cm="1">
        <f t="array" ref="J100">SUM(($J$4:$J$74="crâne")*($B$4:$B$74="ERN")*1)</f>
        <v>0</v>
      </c>
      <c r="K100" s="105" cm="1">
        <f t="array" ref="K100">SUM(($K$4:$K$74="plaie")+(($K$4:$K$74="égratinure")+(($K$4:$K$74="coupûre")+(($K$4:$K$74="démarbraisons")+(($K$4:$K$74="abrasions")+(($K$4:$K$74="rougeurs")+(($K$4:$K$74="brulûres")*($K$4:$K$74="ERN")*1)))))))</f>
        <v>7</v>
      </c>
      <c r="L100" s="128" cm="1">
        <f t="array" ref="L100">SUM(($L$4:$L$74="plaie")+(($L$4:$L$74="égratinure")+(($L$4:$L$74="coupûre")+(($L$4:$L$74="démarbraisons")+(($L$4:$L$74="abrasions")+(($L$4:$L$74="rougeurs")+(($L$4:$L$74="brulûres")*($B$4:$B$74="ERN")*1)))))))</f>
        <v>1</v>
      </c>
      <c r="M100" s="128" cm="1">
        <f t="array" ref="M100">SUM(($M$4:$M$74="plaie")+(($M$4:$M$74="égratinure")+(($M$4:$M$74="coupûre")+(($M$4:$M$74="démarbraisons")+(($M$4:$M$74="abrasions")+(($M$4:$M$74="rougeurs")+(($M$4:$M$74="brulûres")*($B$4:$B$74="ERN")*1)))))))</f>
        <v>0</v>
      </c>
      <c r="N100" s="35"/>
      <c r="O100" s="23"/>
      <c r="P100" s="23"/>
      <c r="Q100" s="31"/>
    </row>
    <row r="101" spans="1:17" ht="24.95" customHeight="1" x14ac:dyDescent="0.25">
      <c r="A101" s="5"/>
      <c r="B101" s="23"/>
      <c r="C101" s="23"/>
      <c r="D101" s="84" cm="1">
        <f t="array" ref="D101">SUM(($D$4:$D$74="ENTRETIEN")*($B$4:$B$74="COMP")*1)</f>
        <v>0</v>
      </c>
      <c r="E101" s="85" cm="1">
        <f t="array" ref="E101">SUM(($E$4:$E$74="ascenseur")*($B$4:$B$74="CAST")*1)</f>
        <v>0</v>
      </c>
      <c r="F101" s="23"/>
      <c r="G101" s="83" cm="1">
        <f t="array" ref="G101">SUM(($G$4:$G$74="ÉNERGIE")*($B$4:$B$74="CAST")*1)</f>
        <v>1</v>
      </c>
      <c r="H101" s="128" cm="1">
        <f t="array" ref="H101">SUM(($H$4:$H$74="visage")*($B$4:$B$74="ERN")*1)</f>
        <v>0</v>
      </c>
      <c r="I101" s="128" cm="1">
        <f t="array" ref="I101">SUM(($I$4:$I$74="*visage*")*($B$4:$B$74="ERN")*1)</f>
        <v>0</v>
      </c>
      <c r="J101" s="128" cm="1">
        <f t="array" ref="J101">SUM(($J$4:$J$74="*visage*")*($B$4:$B$74="ERN")*1)</f>
        <v>0</v>
      </c>
      <c r="K101" s="105" cm="1">
        <f t="array" ref="K101">SUM(($K$4:$K$74="céphalé")*($K$4:$K$74="ERN")*1)</f>
        <v>0</v>
      </c>
      <c r="L101" s="128" cm="1">
        <f t="array" ref="L101">SUM(($L$4:$L$74="céphalé")*($B$4:$B$74="ERN")*1)</f>
        <v>0</v>
      </c>
      <c r="M101" s="128" cm="1">
        <f t="array" ref="M101">SUM(($M$4:$M$74="céphalé")*($B$4:$B$74="ERN")*1)</f>
        <v>0</v>
      </c>
      <c r="N101" s="35"/>
      <c r="O101" s="23"/>
      <c r="P101" s="23"/>
      <c r="Q101" s="31"/>
    </row>
    <row r="102" spans="1:17" ht="24.95" customHeight="1" x14ac:dyDescent="0.25">
      <c r="A102" s="5"/>
      <c r="B102" s="23"/>
      <c r="C102" s="23"/>
      <c r="D102" s="84" cm="1">
        <f t="array" ref="D102">SUM(($D$4:$D$74="ANIMATION")*($B$4:$B$74="COMP")*1)</f>
        <v>1</v>
      </c>
      <c r="E102" s="85" cm="1">
        <f t="array" ref="E102">SUM(($E$4:$E$74="RESTAURANT")*($B$4:$B$74="CAST")*1)</f>
        <v>0</v>
      </c>
      <c r="F102" s="23"/>
      <c r="G102" s="83" cm="1">
        <f t="array" ref="G102">SUM(($G$4:$G$74="DÉPLACEMENT")*($B$4:$B$74="CAST")*1)</f>
        <v>3</v>
      </c>
      <c r="H102" s="128" cm="1">
        <f t="array" ref="H102">SUM(($H$4:$H$74="clavicule")+(($H$4:$H$74="cervicale")+(($H$4:$H$74="bras")+(($H$4:$H$74="avant-bras")*($B$4:$B$74="ERN")*1))))</f>
        <v>8</v>
      </c>
      <c r="I102" s="128" cm="1">
        <f t="array" ref="I102">SUM(($I$4:$I$74="clavicule")+(($I$4:$I$74="cervicale")+(($I$4:$I$74="bras")+(($I$4:$I$74="avant-bras")*($B$4:$B$74="ERN")*1))))</f>
        <v>1</v>
      </c>
      <c r="J102" s="128" cm="1">
        <f t="array" ref="J102">SUM(($J$4:$J$74="clavicule")+(($J$4:$J$74="cervicale")+(($J$4:$J$74="bras")+(($J$4:$J$74="avant-bras")*($B$4:$B$74="ERN")*1))))</f>
        <v>0</v>
      </c>
      <c r="K102" s="105" cm="1">
        <f t="array" ref="K102">SUM(($K$4:$K$74="céphalé")+(($K$4:$K$74="malaise")*($K$4:$K$74="ERN")*1))</f>
        <v>0</v>
      </c>
      <c r="L102" s="128" cm="1">
        <f t="array" ref="L102">SUM(($L$4:$L$74="céphalé")+(($L$4:$L$74="malaise")*($B$4:$B$74="ERN")*1))</f>
        <v>0</v>
      </c>
      <c r="M102" s="128" cm="1">
        <f t="array" ref="M102">SUM(($M$4:$M$74="céphalé")+(($M$4:$M$74="malaise")*($B$4:$B$74="ERN")*1))</f>
        <v>0</v>
      </c>
      <c r="N102" s="35"/>
      <c r="O102" s="23"/>
      <c r="P102" s="23"/>
      <c r="Q102" s="31"/>
    </row>
    <row r="103" spans="1:17" ht="24.95" customHeight="1" x14ac:dyDescent="0.25">
      <c r="A103" s="5"/>
      <c r="B103" s="23"/>
      <c r="C103" s="23"/>
      <c r="D103" s="84" cm="1">
        <f t="array" ref="D103">SUM(($D$4:$D$74="RESTAURANT")*($B$4:$B$74="COMP")*1)</f>
        <v>0</v>
      </c>
      <c r="E103" s="85" cm="1">
        <f t="array" ref="E103">SUM(($E$4:$E$74="SALLE DE RÉUNION")*($B$4:$B$74="CAST")*1)</f>
        <v>0</v>
      </c>
      <c r="F103" s="23"/>
      <c r="G103" s="88">
        <f>SUM(G87:G102)</f>
        <v>45</v>
      </c>
      <c r="H103" s="128" cm="1">
        <f t="array" ref="H103">SUM(($H$4:$H$74="dos")+(($H$4:$H$74="bas du dos")+(($H$4:$H$74="lombaires")+(($H$4:$H$74="omoplate")*($B$4:$B$74="ERN")*1))))</f>
        <v>17</v>
      </c>
      <c r="I103" s="128" cm="1">
        <f t="array" ref="I103">SUM(($I$4:$I$74="dos")+(($I$4:$I$74="bas du dos")+(($I$4:$I$74="lombaires")+(($I$4:$I$74="omoplate")*($B$4:$B$74="ERN")*1))))</f>
        <v>1</v>
      </c>
      <c r="J103" s="128" cm="1">
        <f t="array" ref="J103">SUM(($J$4:$J$74="dos")+(($J$4:$J$74="bas du dos")+(($J$4:$J$74="lombaires")+(($J$4:$J$74="omoplate")*($B$4:$B$74="ERN")*1))))</f>
        <v>0</v>
      </c>
      <c r="K103" s="148">
        <f>SUM(K97:M102)</f>
        <v>16</v>
      </c>
      <c r="L103" s="142"/>
      <c r="M103" s="149"/>
      <c r="N103" s="35"/>
      <c r="O103" s="23"/>
      <c r="P103" s="23"/>
      <c r="Q103" s="31"/>
    </row>
    <row r="104" spans="1:17" ht="24.95" customHeight="1" x14ac:dyDescent="0.25">
      <c r="A104" s="5"/>
      <c r="B104" s="23"/>
      <c r="C104" s="23"/>
      <c r="D104" s="84" cm="1">
        <f t="array" ref="D104">SUM(($D$4:$D$74="ADMINISTRATIF")*($B$4:$B$74="COMP")*1)</f>
        <v>0</v>
      </c>
      <c r="E104" s="85" cm="1">
        <f t="array" ref="E104">SUM(($E$4:$E$74="SALLE DE BAINS")*($B$4:$B$74="CAST")*1)</f>
        <v>0</v>
      </c>
      <c r="F104" s="23"/>
      <c r="G104" s="84" cm="1">
        <f t="array" ref="G104">SUM(($G$4:$G$74="MANUTENTION MANUELLE")*($B$4:$B$74="COMP")*1)</f>
        <v>10</v>
      </c>
      <c r="H104" s="128" cm="1">
        <f t="array" ref="H104">SUM(($H$4:$H$74="jambe")+(($H$4:$H$74="hanche")+(($H$4:$H$74="tibia")+(($H$4:$H$74="mollet")*($B$4:$B$74="ERN")*1))))</f>
        <v>2</v>
      </c>
      <c r="I104" s="128" cm="1">
        <f t="array" ref="I104">SUM(($I$4:$I$74="jambe")+(($I$4:$I$74="hanche")+(($I$4:$I$74="tibia")+(($I$4:$I$74="mollet")*($B$4:$B$74="ERN")*1))))</f>
        <v>1</v>
      </c>
      <c r="J104" s="128" cm="1">
        <f t="array" ref="J104">SUM(($J$4:$J$74="jambe")+(($J$4:$J$74="hanche")+(($J$4:$J$74="tibia")+(($J$4:$J$74="mollet")*($B$4:$B$74="ERN")*1))))</f>
        <v>0</v>
      </c>
      <c r="K104" s="41"/>
      <c r="L104" s="39"/>
      <c r="M104" s="39"/>
      <c r="N104" s="35"/>
      <c r="O104" s="23"/>
      <c r="P104" s="23"/>
      <c r="Q104" s="31"/>
    </row>
    <row r="105" spans="1:17" ht="24.95" customHeight="1" x14ac:dyDescent="0.25">
      <c r="A105" s="5"/>
      <c r="B105" s="23"/>
      <c r="C105" s="23"/>
      <c r="D105" s="103">
        <f>SUM(D96:D104)</f>
        <v>24</v>
      </c>
      <c r="E105" s="85" cm="1">
        <f t="array" ref="E105">SUM(($E$4:$E$74="SOUS-SOL")*($B$4:$B$74="CAST")*1)</f>
        <v>0</v>
      </c>
      <c r="F105" s="23"/>
      <c r="G105" s="84" cm="1">
        <f t="array" ref="G105">SUM(($G$4:$G$74="MACHINE/OUTILS")*($B$4:$B$74="COMP")*1)</f>
        <v>4</v>
      </c>
      <c r="H105" s="128" cm="1">
        <f t="array" ref="H105">SUM(($H$4:$H$74="poignet")+(($H$4:$H$74="cheville")+(($H$4:$H$74="genou")+(($H$4:$H$74="épaule")*($B$4:$B$74="ERN")*1))))</f>
        <v>9</v>
      </c>
      <c r="I105" s="128" cm="1">
        <f t="array" ref="I105">SUM(($I$4:$I$74="poignet")+(($I$4:$I$74="cheville")+(($I$4:$I$74="genou")+(($I$4:$I$74="épaule")*($B$4:$B$74="ERN")*1))))</f>
        <v>0</v>
      </c>
      <c r="J105" s="128" cm="1">
        <f t="array" ref="J105">SUM(($J$4:$J$74="poignet")+(($J$4:$J$74="cheville")+(($J$4:$J$74="genou")+(($J$4:$J$74="épaule")*($J$4:$J$74="ERN")*1))))</f>
        <v>0</v>
      </c>
      <c r="K105" s="41"/>
      <c r="L105" s="39"/>
      <c r="M105" s="39"/>
      <c r="N105" s="35"/>
      <c r="O105" s="23"/>
      <c r="P105" s="23"/>
      <c r="Q105" s="31"/>
    </row>
    <row r="106" spans="1:17" ht="24.95" customHeight="1" x14ac:dyDescent="0.25">
      <c r="A106" s="5"/>
      <c r="B106" s="23"/>
      <c r="C106" s="23"/>
      <c r="D106" s="82" cm="1">
        <f t="array" ref="D106">SUM(($D$4:$D$74="SOINS")*($B$4:$B$74="ERN")*1)</f>
        <v>0</v>
      </c>
      <c r="E106" s="85" cm="1">
        <f t="array" ref="E106">SUM(($E$4:$E$74="-")*($B$4:$B$74="CAST")*1)</f>
        <v>10</v>
      </c>
      <c r="F106" s="23"/>
      <c r="G106" s="84" cm="1">
        <f t="array" ref="G106">SUM(($G$4:$G$74="CHUTE DE PLAIN PIED")*($B$4:$B$74="COMP")*1)</f>
        <v>2</v>
      </c>
      <c r="H106" s="128" cm="1">
        <f t="array" ref="H106">SUM(($H$4:$H$74="main")+(($H$4:$H$74="doigts")+(($H$4:$H$74="pied")+(($H$4:$H$74="orteils")*($B$4:$B$74="ERN")*1))))</f>
        <v>19</v>
      </c>
      <c r="I106" s="128" cm="1">
        <f t="array" ref="I106">SUM(($I$4:$I$74="main")+(($I$4:$I$74="doigts")+(($I$4:$I$74="pied")+(($I$4:$I$74="orteils")*($B$4:$B$74="ERN")*1))))</f>
        <v>1</v>
      </c>
      <c r="J106" s="128" cm="1">
        <f t="array" ref="J106">SUM(($J$4:$J$74="main")+(($J$4:$J$74="doigts")+(($J$4:$J$74="pied")+(($J$4:$J$74="orteils")*($B$4:$B$74="ERN")*1))))</f>
        <v>0</v>
      </c>
      <c r="K106" s="41"/>
      <c r="L106" s="39"/>
      <c r="M106" s="39"/>
      <c r="N106" s="35"/>
      <c r="O106" s="23"/>
      <c r="P106" s="23"/>
      <c r="Q106" s="31"/>
    </row>
    <row r="107" spans="1:17" ht="24.95" customHeight="1" x14ac:dyDescent="0.25">
      <c r="A107" s="5"/>
      <c r="B107" s="23"/>
      <c r="C107" s="23"/>
      <c r="D107" s="82" cm="1">
        <f t="array" ref="D107">SUM(($D$4:$D$74="CUISINE")*($B$4:$B$74="ERN")*1)</f>
        <v>0</v>
      </c>
      <c r="E107" s="116">
        <f>SUM(E92:E106)</f>
        <v>45</v>
      </c>
      <c r="F107" s="23"/>
      <c r="G107" s="84" cm="1">
        <f t="array" ref="G107">SUM(($G$4:$G$74="CHUTE DE HAUTEUR")*($B$4:$B$74="COMP")*1)</f>
        <v>1</v>
      </c>
      <c r="H107" s="141">
        <f>SUM(H100:J106)</f>
        <v>59</v>
      </c>
      <c r="I107" s="142"/>
      <c r="J107" s="143"/>
      <c r="K107" s="41"/>
      <c r="L107" s="39"/>
      <c r="M107" s="39"/>
      <c r="N107" s="35"/>
      <c r="O107" s="23"/>
      <c r="P107" s="23"/>
      <c r="Q107" s="31"/>
    </row>
    <row r="108" spans="1:17" ht="24.95" customHeight="1" x14ac:dyDescent="0.25">
      <c r="A108" s="5"/>
      <c r="B108" s="23"/>
      <c r="C108" s="23"/>
      <c r="D108" s="82" cm="1">
        <f t="array" ref="D108">SUM(($D$4:$D$74="IDE")*($B$4:$B$74="ERN")*1)</f>
        <v>0</v>
      </c>
      <c r="E108" s="87" cm="1">
        <f t="array" ref="E108">SUM(($E$4:$E$74="Logement résident")*($B$4:$B$74="COMP")*1)</f>
        <v>3</v>
      </c>
      <c r="F108" s="23"/>
      <c r="G108" s="84" cm="1">
        <f t="array" ref="G108">SUM(($G$4:$G$74="CHUTE D'OBJETS")*($B$4:$B$74="COMP")*1)</f>
        <v>2</v>
      </c>
      <c r="H108" s="42"/>
      <c r="I108" s="42"/>
      <c r="J108" s="42"/>
      <c r="K108" s="41"/>
      <c r="L108" s="39"/>
      <c r="M108" s="39"/>
      <c r="N108" s="35"/>
      <c r="O108" s="23"/>
      <c r="P108" s="23"/>
      <c r="Q108" s="31"/>
    </row>
    <row r="109" spans="1:17" ht="24.95" customHeight="1" x14ac:dyDescent="0.25">
      <c r="A109" s="5"/>
      <c r="B109" s="23"/>
      <c r="C109" s="23"/>
      <c r="D109" s="82" cm="1">
        <f t="array" ref="D109">SUM(($D$4:$D$74="MAINTENANCE")*($B$4:$B$74="ERN")*1)</f>
        <v>0</v>
      </c>
      <c r="E109" s="87" cm="1">
        <f t="array" ref="E109">SUM(($E$4:$E$74="CUISINE")*($B$4:$B$74="COMP")*1)</f>
        <v>1</v>
      </c>
      <c r="F109" s="23"/>
      <c r="G109" s="84" cm="1">
        <f t="array" ref="G109">SUM(($G$4:$G$74="DÉMÉNAGEMENT/TRAVAUX")*($B$4:$B$74="COMP")*1)</f>
        <v>0</v>
      </c>
      <c r="H109" s="42"/>
      <c r="I109" s="42"/>
      <c r="J109" s="42"/>
      <c r="K109" s="41"/>
      <c r="L109" s="39"/>
      <c r="M109" s="39"/>
      <c r="N109" s="35"/>
      <c r="O109" s="23"/>
      <c r="P109" s="23"/>
      <c r="Q109" s="31"/>
    </row>
    <row r="110" spans="1:17" ht="24.95" customHeight="1" x14ac:dyDescent="0.25">
      <c r="A110" s="5"/>
      <c r="B110" s="23"/>
      <c r="C110" s="23"/>
      <c r="D110" s="82" cm="1">
        <f t="array" ref="D110">SUM(($D$4:$D$74="LINGERIE")*($B$4:$B$74="ERN")*1)</f>
        <v>0</v>
      </c>
      <c r="E110" s="87" cm="1">
        <f t="array" ref="E110">SUM(($E$4:$E$74="EXTÉRIEUR")*($B$4:$B$74="COMP")*1)</f>
        <v>3</v>
      </c>
      <c r="F110" s="23"/>
      <c r="G110" s="84" cm="1">
        <f t="array" ref="G110">SUM(($G$4:$G$74="TRAJET")*($B$4:$B$74="COMP")*1)</f>
        <v>4</v>
      </c>
      <c r="H110" s="42"/>
      <c r="I110" s="42"/>
      <c r="J110" s="42"/>
      <c r="K110" s="41"/>
      <c r="L110" s="39"/>
      <c r="M110" s="39"/>
      <c r="N110" s="35"/>
      <c r="O110" s="23"/>
      <c r="P110" s="23"/>
      <c r="Q110" s="31"/>
    </row>
    <row r="111" spans="1:17" ht="24.95" customHeight="1" x14ac:dyDescent="0.25">
      <c r="A111" s="5"/>
      <c r="B111" s="23"/>
      <c r="C111" s="23"/>
      <c r="D111" s="82" cm="1">
        <f t="array" ref="D111">SUM(($D$4:$D$74="ENTRETIEN")*($B$4:$B$74="ERN")*1)</f>
        <v>0</v>
      </c>
      <c r="E111" s="87" cm="1">
        <f t="array" ref="E111">SUM(($E$4:$E$74="ESCALIERS")*($B$4:$B$74="COMP")*1)</f>
        <v>0</v>
      </c>
      <c r="F111" s="23"/>
      <c r="G111" s="84" cm="1">
        <f t="array" ref="G111">SUM(($G$4:$G$74="RPS")*($B$4:$B$74="COMP")*1)</f>
        <v>0</v>
      </c>
      <c r="H111" s="42"/>
      <c r="I111" s="42"/>
      <c r="J111" s="42"/>
      <c r="K111" s="41"/>
      <c r="L111" s="39"/>
      <c r="M111" s="39"/>
      <c r="N111" s="35"/>
      <c r="O111" s="23"/>
      <c r="P111" s="23"/>
      <c r="Q111" s="31"/>
    </row>
    <row r="112" spans="1:17" ht="24.95" customHeight="1" x14ac:dyDescent="0.25">
      <c r="A112" s="5"/>
      <c r="B112" s="23"/>
      <c r="C112" s="23"/>
      <c r="D112" s="82" cm="1">
        <f t="array" ref="D112">SUM(($D$4:$D$74="ANIMATION")*($B$4:$B$74="ERN")*1)</f>
        <v>0</v>
      </c>
      <c r="E112" s="87" cm="1">
        <f t="array" ref="E112">SUM(($E$4:$E$74="office")*($B$4:$B$74="COMP")*1)</f>
        <v>1</v>
      </c>
      <c r="F112" s="23"/>
      <c r="G112" s="84" cm="1">
        <f t="array" ref="G112">SUM(($G$4:$G$74="MANUTENTION MÉCANIQUE")*($B$4:$B$74="COMP")*1)</f>
        <v>0</v>
      </c>
      <c r="H112" s="42"/>
      <c r="I112" s="42"/>
      <c r="J112" s="42"/>
      <c r="K112" s="41"/>
      <c r="L112" s="39"/>
      <c r="M112" s="39"/>
      <c r="N112" s="35"/>
      <c r="O112" s="23"/>
      <c r="P112" s="23"/>
      <c r="Q112" s="31"/>
    </row>
    <row r="113" spans="1:17" ht="24.95" customHeight="1" x14ac:dyDescent="0.25">
      <c r="A113" s="5"/>
      <c r="B113" s="23"/>
      <c r="C113" s="23"/>
      <c r="D113" s="82" cm="1">
        <f t="array" ref="D113">SUM(($D$4:$D$74="RESTAURANT")*($B$4:$B$74="ERN")*1)</f>
        <v>0</v>
      </c>
      <c r="E113" s="87" cm="1">
        <f t="array" ref="E113">SUM(($E$4:$E$74="COULOIR")*($B$4:$B$74="COMP")*1)</f>
        <v>0</v>
      </c>
      <c r="F113" s="23"/>
      <c r="G113" s="84" cm="1">
        <f t="array" ref="G113">SUM(($G$4:$G$74="PRODUITS TOXIQUES")*($B$4:$B$74="COMP")*1)</f>
        <v>0</v>
      </c>
      <c r="H113" s="42"/>
      <c r="I113" s="42"/>
      <c r="J113" s="42"/>
      <c r="K113" s="41"/>
      <c r="L113" s="39"/>
      <c r="M113" s="39"/>
      <c r="N113" s="35"/>
      <c r="O113" s="23"/>
      <c r="P113" s="23"/>
      <c r="Q113" s="31"/>
    </row>
    <row r="114" spans="1:17" ht="24.95" customHeight="1" x14ac:dyDescent="0.25">
      <c r="A114" s="5"/>
      <c r="B114" s="23"/>
      <c r="C114" s="23"/>
      <c r="D114" s="82" cm="1">
        <f t="array" ref="D114">SUM(($D$4:$D$74="ADMINISTRATIF")*($B$4:$B$74="ERN")*1)</f>
        <v>0</v>
      </c>
      <c r="E114" s="87" cm="1">
        <f t="array" ref="E114">SUM(($E$4:$E$74="lingerie")*($B$4:$B$74="COMP")*1)</f>
        <v>0</v>
      </c>
      <c r="F114" s="23"/>
      <c r="G114" s="84" cm="1">
        <f t="array" ref="G114">SUM(($G$4:$G$74="URGENCE")*($B$4:$B$74="COMP")*1)</f>
        <v>0</v>
      </c>
      <c r="H114" s="42"/>
      <c r="I114" s="42"/>
      <c r="J114" s="42"/>
      <c r="K114" s="41"/>
      <c r="L114" s="39"/>
      <c r="M114" s="39"/>
      <c r="N114" s="35"/>
      <c r="O114" s="23"/>
      <c r="P114" s="23"/>
      <c r="Q114" s="31"/>
    </row>
    <row r="115" spans="1:17" ht="24.95" customHeight="1" x14ac:dyDescent="0.25">
      <c r="A115" s="5"/>
      <c r="B115" s="23"/>
      <c r="C115" s="23"/>
      <c r="D115" s="110">
        <f>SUM(D106:D114)</f>
        <v>0</v>
      </c>
      <c r="E115" s="87" cm="1">
        <f t="array" ref="E115">SUM(($E$4:$E$74="SALLE DE SOINS")*($B$4:$B$74="COMP")*1)</f>
        <v>0</v>
      </c>
      <c r="F115" s="23"/>
      <c r="G115" s="84" cm="1">
        <f t="array" ref="G115">SUM(($G$4:$G$74="ÉNERGIE")*($B$4:$B$74="COMP")*1)</f>
        <v>0</v>
      </c>
      <c r="H115" s="42"/>
      <c r="I115" s="42"/>
      <c r="J115" s="42"/>
      <c r="K115" s="41"/>
      <c r="L115" s="39"/>
      <c r="M115" s="39"/>
      <c r="N115" s="35"/>
      <c r="O115" s="23"/>
      <c r="P115" s="23"/>
      <c r="Q115" s="31"/>
    </row>
    <row r="116" spans="1:17" ht="24.95" customHeight="1" x14ac:dyDescent="0.25">
      <c r="A116" s="5"/>
      <c r="B116" s="23"/>
      <c r="C116" s="23"/>
      <c r="D116" s="111"/>
      <c r="E116" s="87" cm="1">
        <f t="array" ref="E116">SUM(($E$4:$E$74="LOCAL MÉNAGE")*($B$4:$B$74="COMP")*1)</f>
        <v>0</v>
      </c>
      <c r="F116" s="23"/>
      <c r="G116" s="84" cm="1">
        <f t="array" ref="G116">SUM(($G$4:$G$74="DÉPLACEMENT")*($B$4:$B$74="COMP")*1)</f>
        <v>1</v>
      </c>
      <c r="H116" s="42"/>
      <c r="I116" s="42"/>
      <c r="J116" s="42"/>
      <c r="K116" s="41"/>
      <c r="L116" s="39"/>
      <c r="M116" s="39"/>
      <c r="N116" s="35"/>
      <c r="O116" s="23"/>
      <c r="P116" s="23"/>
      <c r="Q116" s="31"/>
    </row>
    <row r="117" spans="1:17" ht="24.95" customHeight="1" x14ac:dyDescent="0.25">
      <c r="A117" s="5"/>
      <c r="B117" s="23"/>
      <c r="C117" s="23"/>
      <c r="D117" s="111"/>
      <c r="E117" s="87" cm="1">
        <f t="array" ref="E117">SUM(($E$4:$E$74="ascenseur")*($B$4:$B$74="COMP")*1)</f>
        <v>0</v>
      </c>
      <c r="F117" s="23"/>
      <c r="G117" s="103">
        <f>SUM(G104:G116)</f>
        <v>24</v>
      </c>
      <c r="H117" s="42"/>
      <c r="I117" s="42"/>
      <c r="J117" s="42"/>
      <c r="K117" s="41"/>
      <c r="L117" s="39"/>
      <c r="M117" s="39"/>
      <c r="N117" s="35"/>
      <c r="O117" s="23"/>
      <c r="P117" s="23"/>
      <c r="Q117" s="31"/>
    </row>
    <row r="118" spans="1:17" ht="24.95" customHeight="1" x14ac:dyDescent="0.25">
      <c r="A118" s="5"/>
      <c r="B118" s="23"/>
      <c r="C118" s="23"/>
      <c r="D118" s="111"/>
      <c r="E118" s="87" cm="1">
        <f t="array" ref="E118">SUM(($E$4:$E$74="RESTAURANT")*($B$4:$B$74="COMP")*1)</f>
        <v>0</v>
      </c>
      <c r="F118" s="23"/>
      <c r="G118" s="82" cm="1">
        <f t="array" ref="G118">SUM(($G$4:$G$74="MANUTENTION MANUELLE")*($B$4:$B$74="ERN")*1)</f>
        <v>0</v>
      </c>
      <c r="H118" s="42"/>
      <c r="I118" s="42"/>
      <c r="J118" s="42"/>
      <c r="K118" s="41"/>
      <c r="L118" s="39"/>
      <c r="M118" s="39"/>
      <c r="N118" s="35"/>
      <c r="O118" s="23"/>
      <c r="P118" s="23"/>
      <c r="Q118" s="31"/>
    </row>
    <row r="119" spans="1:17" ht="24.95" customHeight="1" x14ac:dyDescent="0.25">
      <c r="A119" s="5"/>
      <c r="B119" s="23"/>
      <c r="C119" s="23"/>
      <c r="D119" s="111"/>
      <c r="E119" s="87" cm="1">
        <f t="array" ref="E119">SUM(($E$4:$E$74="SALLE DE RÉUNION")*($B$4:$B$74="COMP")*1)</f>
        <v>1</v>
      </c>
      <c r="F119" s="23"/>
      <c r="G119" s="82" cm="1">
        <f t="array" ref="G119">SUM(($G$4:$G$74="MACHINE/OUTILS")*($B$4:$B$74="ERN")*1)</f>
        <v>0</v>
      </c>
      <c r="H119" s="42"/>
      <c r="I119" s="42"/>
      <c r="J119" s="42"/>
      <c r="K119" s="41"/>
      <c r="L119" s="39"/>
      <c r="M119" s="39"/>
      <c r="N119" s="35"/>
      <c r="O119" s="23"/>
      <c r="P119" s="23"/>
      <c r="Q119" s="31"/>
    </row>
    <row r="120" spans="1:17" ht="24.95" customHeight="1" x14ac:dyDescent="0.25">
      <c r="A120" s="5"/>
      <c r="B120" s="23"/>
      <c r="C120" s="23"/>
      <c r="D120" s="111"/>
      <c r="E120" s="87" cm="1">
        <f t="array" ref="E120">SUM(($E$4:$E$74="SALLE DE BAINS")*($B$4:$B$74="COMP")*1)</f>
        <v>0</v>
      </c>
      <c r="F120" s="23"/>
      <c r="G120" s="82" cm="1">
        <f t="array" ref="G120">SUM(($G$4:$G$74="CHUTE DE PLAIN PIED")*($B$4:$B$74="ERN")*1)</f>
        <v>0</v>
      </c>
      <c r="H120" s="42"/>
      <c r="I120" s="42"/>
      <c r="J120" s="42"/>
      <c r="K120" s="41"/>
      <c r="L120" s="39"/>
      <c r="M120" s="39"/>
      <c r="N120" s="35"/>
      <c r="O120" s="23"/>
      <c r="P120" s="23"/>
      <c r="Q120" s="31"/>
    </row>
    <row r="121" spans="1:17" ht="24.95" customHeight="1" x14ac:dyDescent="0.25">
      <c r="A121" s="5"/>
      <c r="B121" s="23"/>
      <c r="C121" s="23"/>
      <c r="D121" s="111"/>
      <c r="E121" s="87" cm="1">
        <f t="array" ref="E121">SUM(($E$4:$E$74="SOUS-SOL")*($B$4:$B$74="COMP")*1)</f>
        <v>2</v>
      </c>
      <c r="F121" s="23"/>
      <c r="G121" s="82" cm="1">
        <f t="array" ref="G121">SUM(($G$4:$G$74="CHUTE DE HAUTEUR")*($B$4:$B$74="ERN")*1)</f>
        <v>0</v>
      </c>
      <c r="H121" s="42"/>
      <c r="I121" s="42"/>
      <c r="J121" s="42"/>
      <c r="K121" s="41"/>
      <c r="L121" s="39"/>
      <c r="M121" s="39"/>
      <c r="N121" s="35"/>
      <c r="O121" s="23"/>
      <c r="P121" s="23"/>
      <c r="Q121" s="31"/>
    </row>
    <row r="122" spans="1:17" ht="24.95" customHeight="1" x14ac:dyDescent="0.25">
      <c r="A122" s="5"/>
      <c r="B122" s="23"/>
      <c r="C122" s="23"/>
      <c r="D122" s="111"/>
      <c r="E122" s="87" cm="1">
        <f t="array" ref="E122">SUM(($E$4:$E$74="-")*($B$4:$B$74="COMP")*1)</f>
        <v>13</v>
      </c>
      <c r="F122" s="23"/>
      <c r="G122" s="82" cm="1">
        <f t="array" ref="G122">SUM(($G$4:$G$74="CHUTE D'OBJETS")*($B$4:$B$74="ERN")*1)</f>
        <v>0</v>
      </c>
      <c r="H122" s="42"/>
      <c r="I122" s="42"/>
      <c r="J122" s="42"/>
      <c r="K122" s="41"/>
      <c r="L122" s="39"/>
      <c r="M122" s="39"/>
      <c r="N122" s="35"/>
      <c r="O122" s="23"/>
      <c r="P122" s="23"/>
      <c r="Q122" s="31"/>
    </row>
    <row r="123" spans="1:17" ht="24.95" customHeight="1" x14ac:dyDescent="0.25">
      <c r="A123" s="5"/>
      <c r="B123" s="23"/>
      <c r="C123" s="23"/>
      <c r="D123" s="111"/>
      <c r="E123" s="122">
        <f>SUM(E108:E122)</f>
        <v>24</v>
      </c>
      <c r="F123" s="23"/>
      <c r="G123" s="82" cm="1">
        <f t="array" ref="G123">SUM(($G$4:$G$74="DÉMÉNAGEMENT/TRAVAUX")*($B$4:$B$74="ERN")*1)</f>
        <v>0</v>
      </c>
      <c r="H123" s="42"/>
      <c r="I123" s="42"/>
      <c r="J123" s="42"/>
      <c r="K123" s="41"/>
      <c r="L123" s="39"/>
      <c r="M123" s="39"/>
      <c r="N123" s="35"/>
      <c r="O123" s="23"/>
      <c r="P123" s="23"/>
      <c r="Q123" s="31"/>
    </row>
    <row r="124" spans="1:17" ht="24.95" customHeight="1" x14ac:dyDescent="0.25">
      <c r="A124" s="5"/>
      <c r="B124" s="23"/>
      <c r="C124" s="23"/>
      <c r="D124" s="111"/>
      <c r="E124" s="86" cm="1">
        <f t="array" ref="E124">SUM(($E$4:$E$74="Logement résident")*($B$4:$B$74="ERN")*1)</f>
        <v>0</v>
      </c>
      <c r="F124" s="23"/>
      <c r="G124" s="82" cm="1">
        <f t="array" ref="G124">SUM(($G$4:$G$74="TRAJET")*($B$4:$B$74="ERN")*1)</f>
        <v>0</v>
      </c>
      <c r="H124" s="42"/>
      <c r="I124" s="42"/>
      <c r="J124" s="42"/>
      <c r="K124" s="41"/>
      <c r="L124" s="39"/>
      <c r="M124" s="39"/>
      <c r="N124" s="35"/>
      <c r="O124" s="23"/>
      <c r="P124" s="23"/>
      <c r="Q124" s="31"/>
    </row>
    <row r="125" spans="1:17" ht="24.95" customHeight="1" x14ac:dyDescent="0.25">
      <c r="A125" s="5"/>
      <c r="B125" s="23"/>
      <c r="C125" s="23"/>
      <c r="D125" s="111"/>
      <c r="E125" s="86" cm="1">
        <f t="array" ref="E125">SUM(($E$4:$E$74="CUISINE")*($B$4:$B$74="ERN")*1)</f>
        <v>0</v>
      </c>
      <c r="F125" s="23"/>
      <c r="G125" s="82" cm="1">
        <f t="array" ref="G125">SUM(($G$4:$G$74="RPS")*($B$4:$B$74="ERN")*1)</f>
        <v>0</v>
      </c>
      <c r="H125" s="42"/>
      <c r="I125" s="42"/>
      <c r="J125" s="42"/>
      <c r="K125" s="41"/>
      <c r="L125" s="39"/>
      <c r="M125" s="39"/>
      <c r="N125" s="35"/>
      <c r="O125" s="23"/>
      <c r="P125" s="23"/>
      <c r="Q125" s="31"/>
    </row>
    <row r="126" spans="1:17" ht="24.95" customHeight="1" x14ac:dyDescent="0.25">
      <c r="A126" s="5"/>
      <c r="B126" s="23"/>
      <c r="C126" s="23"/>
      <c r="D126" s="111"/>
      <c r="E126" s="86" cm="1">
        <f t="array" ref="E126">SUM(($E$4:$E$74="EXTÉRIEUR")*($B$4:$B$74="ERN")*1)</f>
        <v>0</v>
      </c>
      <c r="F126" s="23"/>
      <c r="G126" s="82" cm="1">
        <f t="array" ref="G126">SUM(($G$4:$G$74="MANUTENTION MÉCANIQUE")*($B$4:$B$74="ERN")*1)</f>
        <v>0</v>
      </c>
      <c r="H126" s="42"/>
      <c r="I126" s="42"/>
      <c r="J126" s="42"/>
      <c r="K126" s="41"/>
      <c r="L126" s="39"/>
      <c r="M126" s="39"/>
      <c r="N126" s="35"/>
      <c r="O126" s="23"/>
      <c r="P126" s="23"/>
      <c r="Q126" s="31"/>
    </row>
    <row r="127" spans="1:17" ht="24.95" customHeight="1" x14ac:dyDescent="0.25">
      <c r="A127" s="5"/>
      <c r="B127" s="23"/>
      <c r="C127" s="23"/>
      <c r="D127" s="111"/>
      <c r="E127" s="86" cm="1">
        <f t="array" ref="E127">SUM(($E$4:$E$74="ESCALIERS")*($B$4:$B$74="ERN")*1)</f>
        <v>0</v>
      </c>
      <c r="F127" s="23"/>
      <c r="G127" s="82" cm="1">
        <f t="array" ref="G127">SUM(($G$4:$G$74="PRODUITS TOXIQUES")*($B$4:$B$74="ERN")*1)</f>
        <v>0</v>
      </c>
      <c r="H127" s="42"/>
      <c r="I127" s="42"/>
      <c r="J127" s="42"/>
      <c r="K127" s="41"/>
      <c r="L127" s="39"/>
      <c r="M127" s="39"/>
      <c r="N127" s="35"/>
      <c r="O127" s="23"/>
      <c r="P127" s="23"/>
      <c r="Q127" s="31"/>
    </row>
    <row r="128" spans="1:17" ht="24.95" customHeight="1" x14ac:dyDescent="0.25">
      <c r="A128" s="5"/>
      <c r="B128" s="23"/>
      <c r="C128" s="23"/>
      <c r="D128" s="111"/>
      <c r="E128" s="86" cm="1">
        <f t="array" ref="E128">SUM(($E$4:$E$74="office")*($B$4:$B$74="ERN")*1)</f>
        <v>0</v>
      </c>
      <c r="F128" s="23"/>
      <c r="G128" s="82" cm="1">
        <f t="array" ref="G128">SUM(($G$4:$G$74="URGENCE")*($B$4:$B$74="ERN")*1)</f>
        <v>0</v>
      </c>
      <c r="H128" s="42"/>
      <c r="I128" s="42"/>
      <c r="J128" s="42"/>
      <c r="K128" s="41"/>
      <c r="L128" s="39"/>
      <c r="M128" s="39"/>
      <c r="N128" s="35"/>
      <c r="O128" s="23"/>
      <c r="P128" s="23"/>
      <c r="Q128" s="31"/>
    </row>
    <row r="129" spans="1:17" ht="24.95" customHeight="1" x14ac:dyDescent="0.25">
      <c r="A129" s="5"/>
      <c r="B129" s="23"/>
      <c r="C129" s="23"/>
      <c r="D129" s="111"/>
      <c r="E129" s="86" cm="1">
        <f t="array" ref="E129">SUM(($E$4:$E$74="COULOIR")*($B$4:$B$74="ERN")*1)</f>
        <v>0</v>
      </c>
      <c r="F129" s="23"/>
      <c r="G129" s="82" cm="1">
        <f t="array" ref="G129">SUM(($G$4:$G$74="ÉNERGIE")*($B$4:$B$74="ERN")*1)</f>
        <v>0</v>
      </c>
      <c r="H129" s="42"/>
      <c r="I129" s="42"/>
      <c r="J129" s="42"/>
      <c r="K129" s="41"/>
      <c r="L129" s="39"/>
      <c r="M129" s="39"/>
      <c r="N129" s="35"/>
      <c r="O129" s="23"/>
      <c r="P129" s="23"/>
      <c r="Q129" s="31"/>
    </row>
    <row r="130" spans="1:17" ht="24.95" customHeight="1" x14ac:dyDescent="0.25">
      <c r="A130" s="5"/>
      <c r="B130" s="23"/>
      <c r="C130" s="23"/>
      <c r="D130" s="111"/>
      <c r="E130" s="86" cm="1">
        <f t="array" ref="E130">SUM(($E$4:$E$74="lingerie")*($B$4:$B$74="ERN")*1)</f>
        <v>0</v>
      </c>
      <c r="F130" s="23"/>
      <c r="G130" s="82" cm="1">
        <f t="array" ref="G130">SUM(($G$4:$G$74="DÉPLACEMENT")*($B$4:$B$74="ERN")*1)</f>
        <v>0</v>
      </c>
      <c r="H130" s="42"/>
      <c r="I130" s="42"/>
      <c r="J130" s="42"/>
      <c r="K130" s="41"/>
      <c r="L130" s="39"/>
      <c r="M130" s="39"/>
      <c r="N130" s="35"/>
      <c r="O130" s="23"/>
      <c r="P130" s="23"/>
      <c r="Q130" s="31"/>
    </row>
    <row r="131" spans="1:17" ht="24.95" customHeight="1" x14ac:dyDescent="0.25">
      <c r="A131" s="5"/>
      <c r="B131" s="23"/>
      <c r="C131" s="23"/>
      <c r="D131" s="111"/>
      <c r="E131" s="86" cm="1">
        <f t="array" ref="E131">SUM(($E$4:$E$74="SALLE DE SOINS")*($B$4:$B$74="ERN")*1)</f>
        <v>0</v>
      </c>
      <c r="F131" s="23"/>
      <c r="G131" s="120">
        <f>SUM(G118:G130)</f>
        <v>0</v>
      </c>
      <c r="H131" s="42"/>
      <c r="I131" s="42"/>
      <c r="J131" s="42"/>
      <c r="K131" s="41"/>
      <c r="L131" s="39"/>
      <c r="M131" s="39"/>
      <c r="N131" s="35"/>
      <c r="O131" s="23"/>
      <c r="P131" s="23"/>
      <c r="Q131" s="31"/>
    </row>
    <row r="132" spans="1:17" ht="24.95" customHeight="1" x14ac:dyDescent="0.25">
      <c r="A132" s="5"/>
      <c r="B132" s="23"/>
      <c r="C132" s="23"/>
      <c r="D132" s="111"/>
      <c r="E132" s="86" cm="1">
        <f t="array" ref="E132">SUM(($E$4:$E$74="LOCAL MÉNAGE")*($B$4:$B$74="ERN")*1)</f>
        <v>0</v>
      </c>
      <c r="F132" s="23"/>
      <c r="G132" s="7"/>
      <c r="H132" s="42"/>
      <c r="I132" s="42"/>
      <c r="J132" s="42"/>
      <c r="K132" s="41"/>
      <c r="L132" s="39"/>
      <c r="M132" s="39"/>
      <c r="N132" s="35"/>
      <c r="O132" s="23"/>
      <c r="P132" s="23"/>
      <c r="Q132" s="31"/>
    </row>
    <row r="133" spans="1:17" ht="24.95" customHeight="1" x14ac:dyDescent="0.25">
      <c r="A133" s="5"/>
      <c r="B133" s="23"/>
      <c r="C133" s="23"/>
      <c r="D133" s="111"/>
      <c r="E133" s="86" cm="1">
        <f t="array" ref="E133">SUM(($E$4:$E$74="ascenseur")*($B$4:$B$74="COMP")*1)</f>
        <v>0</v>
      </c>
      <c r="F133" s="23"/>
      <c r="G133" s="7"/>
      <c r="H133" s="42"/>
      <c r="I133" s="42"/>
      <c r="J133" s="42"/>
      <c r="K133" s="41"/>
      <c r="L133" s="39"/>
      <c r="M133" s="39"/>
      <c r="N133" s="35"/>
      <c r="O133" s="23"/>
      <c r="P133" s="23"/>
      <c r="Q133" s="31"/>
    </row>
    <row r="134" spans="1:17" ht="24.95" customHeight="1" x14ac:dyDescent="0.25">
      <c r="A134" s="5"/>
      <c r="B134" s="23"/>
      <c r="C134" s="23"/>
      <c r="D134" s="111"/>
      <c r="E134" s="86" cm="1">
        <f t="array" ref="E134">SUM(($E$4:$E$74="RESTAURANT")*($B$4:$B$74="ERN")*1)</f>
        <v>0</v>
      </c>
      <c r="F134" s="23"/>
      <c r="G134" s="7"/>
      <c r="H134" s="42"/>
      <c r="I134" s="42"/>
      <c r="J134" s="42"/>
      <c r="K134" s="41"/>
      <c r="L134" s="39"/>
      <c r="M134" s="39"/>
      <c r="N134" s="35"/>
      <c r="O134" s="23"/>
      <c r="P134" s="23"/>
      <c r="Q134" s="31"/>
    </row>
    <row r="135" spans="1:17" ht="24.95" customHeight="1" x14ac:dyDescent="0.25">
      <c r="A135" s="5"/>
      <c r="B135" s="23"/>
      <c r="C135" s="23"/>
      <c r="D135" s="111"/>
      <c r="E135" s="86" cm="1">
        <f t="array" ref="E135">SUM(($E$4:$E$74="SALLE DE RÉUNION")*($B$4:$B$74="ERN")*1)</f>
        <v>0</v>
      </c>
      <c r="F135" s="23"/>
      <c r="G135" s="7"/>
      <c r="H135" s="42"/>
      <c r="I135" s="42"/>
      <c r="J135" s="42"/>
      <c r="K135" s="41"/>
      <c r="L135" s="39"/>
      <c r="M135" s="39"/>
      <c r="N135" s="35"/>
      <c r="O135" s="23"/>
      <c r="P135" s="23"/>
      <c r="Q135" s="31"/>
    </row>
    <row r="136" spans="1:17" ht="24.95" customHeight="1" x14ac:dyDescent="0.25">
      <c r="A136" s="5"/>
      <c r="B136" s="23"/>
      <c r="C136" s="23"/>
      <c r="D136" s="111"/>
      <c r="E136" s="86" cm="1">
        <f t="array" ref="E136">SUM(($E$4:$E$74="SALLE DE BAINS")*($B$4:$B$74="ERN")*1)</f>
        <v>0</v>
      </c>
      <c r="F136" s="23"/>
      <c r="G136" s="7"/>
      <c r="H136" s="42"/>
      <c r="I136" s="42"/>
      <c r="J136" s="42"/>
      <c r="K136" s="41"/>
      <c r="L136" s="39"/>
      <c r="M136" s="39"/>
      <c r="N136" s="35"/>
      <c r="O136" s="23"/>
      <c r="P136" s="23"/>
      <c r="Q136" s="31"/>
    </row>
    <row r="137" spans="1:17" ht="24.95" customHeight="1" x14ac:dyDescent="0.25">
      <c r="A137" s="5"/>
      <c r="B137" s="23"/>
      <c r="C137" s="23"/>
      <c r="D137" s="111"/>
      <c r="E137" s="86" cm="1">
        <f t="array" ref="E137">SUM(($E$4:$E$74="SOUS-SOL")*($B$4:$B$74="ERN")*1)</f>
        <v>0</v>
      </c>
      <c r="F137" s="23"/>
      <c r="G137" s="7"/>
      <c r="H137" s="42"/>
      <c r="I137" s="42"/>
      <c r="J137" s="42"/>
      <c r="K137" s="41"/>
      <c r="L137" s="39"/>
      <c r="M137" s="39"/>
      <c r="N137" s="35"/>
      <c r="O137" s="23"/>
      <c r="P137" s="23"/>
      <c r="Q137" s="31"/>
    </row>
    <row r="138" spans="1:17" ht="24.95" customHeight="1" x14ac:dyDescent="0.25">
      <c r="A138" s="5"/>
      <c r="B138" s="23"/>
      <c r="C138" s="23"/>
      <c r="D138" s="111"/>
      <c r="E138" s="121">
        <f>SUM(E124:E137)</f>
        <v>0</v>
      </c>
      <c r="F138" s="23"/>
      <c r="G138" s="7"/>
      <c r="H138" s="42"/>
      <c r="I138" s="42"/>
      <c r="J138" s="42"/>
      <c r="K138" s="41"/>
      <c r="L138" s="39"/>
      <c r="M138" s="39"/>
      <c r="N138" s="35"/>
      <c r="O138" s="23"/>
      <c r="P138" s="23"/>
      <c r="Q138" s="31"/>
    </row>
    <row r="139" spans="1:17" ht="24.95" customHeight="1" x14ac:dyDescent="0.25">
      <c r="A139" s="5"/>
      <c r="B139" s="23"/>
      <c r="C139" s="23"/>
      <c r="D139" s="111"/>
      <c r="E139" s="19"/>
      <c r="F139" s="23"/>
      <c r="G139" s="7"/>
      <c r="H139" s="42"/>
      <c r="I139" s="42"/>
      <c r="J139" s="42"/>
      <c r="K139" s="41"/>
      <c r="L139" s="39"/>
      <c r="M139" s="39"/>
      <c r="N139" s="35"/>
      <c r="O139" s="23"/>
      <c r="P139" s="23"/>
      <c r="Q139" s="31"/>
    </row>
    <row r="140" spans="1:17" ht="24.95" customHeight="1" x14ac:dyDescent="0.25">
      <c r="A140" s="5"/>
      <c r="B140" s="23"/>
      <c r="C140" s="23"/>
      <c r="D140" s="111"/>
      <c r="E140" s="19"/>
      <c r="F140" s="23"/>
      <c r="G140" s="7"/>
      <c r="H140" s="42"/>
      <c r="I140" s="42"/>
      <c r="J140" s="42"/>
      <c r="K140" s="41"/>
      <c r="L140" s="39"/>
      <c r="M140" s="39"/>
      <c r="N140" s="35"/>
      <c r="O140" s="23"/>
      <c r="P140" s="23"/>
      <c r="Q140" s="31"/>
    </row>
    <row r="141" spans="1:17" ht="24.95" customHeight="1" x14ac:dyDescent="0.25">
      <c r="A141" s="5"/>
      <c r="B141" s="23"/>
      <c r="C141" s="23"/>
      <c r="D141" s="111"/>
      <c r="E141" s="19"/>
      <c r="F141" s="23"/>
      <c r="G141" s="7"/>
      <c r="H141" s="42"/>
      <c r="I141" s="42"/>
      <c r="J141" s="42"/>
      <c r="K141" s="41"/>
      <c r="L141" s="39"/>
      <c r="M141" s="39"/>
      <c r="N141" s="35"/>
      <c r="O141" s="23"/>
      <c r="P141" s="23"/>
      <c r="Q141" s="31"/>
    </row>
    <row r="142" spans="1:17" ht="24.95" customHeight="1" x14ac:dyDescent="0.25">
      <c r="A142" s="5"/>
      <c r="B142" s="23"/>
      <c r="C142" s="23"/>
      <c r="D142" s="111"/>
      <c r="E142" s="19"/>
      <c r="F142" s="23"/>
      <c r="G142" s="7"/>
      <c r="H142" s="42"/>
      <c r="I142" s="42"/>
      <c r="J142" s="42"/>
      <c r="K142" s="41"/>
      <c r="L142" s="39"/>
      <c r="M142" s="39"/>
      <c r="N142" s="35"/>
      <c r="O142" s="23"/>
      <c r="P142" s="23"/>
      <c r="Q142" s="31"/>
    </row>
    <row r="143" spans="1:17" ht="24.95" customHeight="1" thickBot="1" x14ac:dyDescent="0.3">
      <c r="A143" s="9"/>
      <c r="B143" s="26"/>
      <c r="C143" s="26"/>
      <c r="D143" s="109"/>
      <c r="E143" s="21"/>
      <c r="F143" s="26"/>
      <c r="G143" s="11"/>
      <c r="H143" s="10"/>
      <c r="I143" s="10"/>
      <c r="J143" s="10"/>
      <c r="K143" s="12"/>
      <c r="L143" s="10"/>
      <c r="M143" s="10"/>
      <c r="N143" s="38"/>
      <c r="O143" s="26"/>
      <c r="P143" s="26"/>
      <c r="Q143" s="33"/>
    </row>
  </sheetData>
  <sortState xmlns:xlrd2="http://schemas.microsoft.com/office/spreadsheetml/2017/richdata2" ref="A4:P72">
    <sortCondition ref="A4"/>
  </sortState>
  <mergeCells count="28">
    <mergeCell ref="N2:Q2"/>
    <mergeCell ref="A1:Q1"/>
    <mergeCell ref="E2:G2"/>
    <mergeCell ref="H82:J82"/>
    <mergeCell ref="H76:J76"/>
    <mergeCell ref="H77:J77"/>
    <mergeCell ref="H3:J3"/>
    <mergeCell ref="A2:D2"/>
    <mergeCell ref="K79:M79"/>
    <mergeCell ref="K80:M80"/>
    <mergeCell ref="K81:M81"/>
    <mergeCell ref="H2:M2"/>
    <mergeCell ref="H75:J75"/>
    <mergeCell ref="K75:M75"/>
    <mergeCell ref="K3:M3"/>
    <mergeCell ref="K76:M76"/>
    <mergeCell ref="K77:M77"/>
    <mergeCell ref="K78:M78"/>
    <mergeCell ref="H78:J78"/>
    <mergeCell ref="H79:J79"/>
    <mergeCell ref="H80:J80"/>
    <mergeCell ref="H81:J81"/>
    <mergeCell ref="H91:J91"/>
    <mergeCell ref="H99:J99"/>
    <mergeCell ref="H107:J107"/>
    <mergeCell ref="K89:M89"/>
    <mergeCell ref="K96:M96"/>
    <mergeCell ref="K103:M103"/>
  </mergeCells>
  <pageMargins left="0.7" right="0.7" top="0.75" bottom="0.75" header="0.3" footer="0.3"/>
  <pageSetup paperSize="9" orientation="portrait" r:id="rId1"/>
  <ignoredErrors>
    <ignoredError sqref="L85 L83:L84 L86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41C420-B839-49F6-9830-6867A626B8E8}">
  <dimension ref="A1:AE91"/>
  <sheetViews>
    <sheetView zoomScaleNormal="100" workbookViewId="0">
      <selection activeCell="I12" sqref="I12"/>
    </sheetView>
  </sheetViews>
  <sheetFormatPr baseColWidth="10" defaultRowHeight="15" x14ac:dyDescent="0.25"/>
  <cols>
    <col min="1" max="1" width="32.28515625" customWidth="1"/>
    <col min="2" max="2" width="13.5703125" customWidth="1"/>
    <col min="3" max="3" width="12" customWidth="1"/>
    <col min="8" max="8" width="2.85546875" customWidth="1"/>
    <col min="9" max="9" width="31.28515625" bestFit="1" customWidth="1"/>
    <col min="16" max="16" width="3.140625" customWidth="1"/>
    <col min="17" max="17" width="31.28515625" bestFit="1" customWidth="1"/>
    <col min="24" max="24" width="3.28515625" customWidth="1"/>
    <col min="25" max="25" width="31.28515625" bestFit="1" customWidth="1"/>
  </cols>
  <sheetData>
    <row r="1" spans="1:31" ht="25.5" customHeight="1" x14ac:dyDescent="0.25">
      <c r="A1" s="174" t="s">
        <v>176</v>
      </c>
      <c r="B1" s="174"/>
      <c r="C1" s="174"/>
      <c r="D1" s="174"/>
      <c r="E1" s="174"/>
      <c r="F1" s="174"/>
      <c r="G1" s="174"/>
      <c r="H1" s="174"/>
      <c r="I1" s="174"/>
      <c r="J1" s="174"/>
      <c r="K1" s="174"/>
      <c r="L1" s="174"/>
      <c r="M1" s="174"/>
      <c r="N1" s="174"/>
      <c r="O1" s="174"/>
      <c r="P1" s="174"/>
      <c r="Q1" s="174"/>
      <c r="R1" s="174"/>
      <c r="S1" s="174"/>
      <c r="T1" s="174"/>
      <c r="U1" s="174"/>
      <c r="V1" s="174"/>
      <c r="W1" s="174"/>
    </row>
    <row r="3" spans="1:31" x14ac:dyDescent="0.25">
      <c r="A3" s="175" t="s">
        <v>158</v>
      </c>
      <c r="B3" s="175"/>
      <c r="C3" s="175"/>
      <c r="D3" s="175"/>
      <c r="E3" s="175"/>
      <c r="F3" s="175"/>
      <c r="G3" s="175"/>
    </row>
    <row r="4" spans="1:31" x14ac:dyDescent="0.25">
      <c r="A4" s="63"/>
      <c r="B4" s="97">
        <v>2017</v>
      </c>
      <c r="C4" s="98">
        <v>2018</v>
      </c>
      <c r="D4" s="98">
        <v>2019</v>
      </c>
      <c r="E4" s="98">
        <v>2020</v>
      </c>
      <c r="F4" s="98">
        <v>2021</v>
      </c>
      <c r="G4" s="99">
        <v>2022</v>
      </c>
    </row>
    <row r="5" spans="1:31" x14ac:dyDescent="0.25">
      <c r="A5" s="64" t="s">
        <v>140</v>
      </c>
      <c r="B5" s="92">
        <f>'ANALYSE REGISTRES 17'!B76</f>
        <v>45</v>
      </c>
      <c r="C5" s="100" t="e">
        <f>#REF!</f>
        <v>#REF!</v>
      </c>
      <c r="D5" s="100" t="e">
        <f>#REF!</f>
        <v>#REF!</v>
      </c>
      <c r="E5" s="100" t="e">
        <f>#REF!</f>
        <v>#REF!</v>
      </c>
      <c r="F5" s="100" t="e">
        <f>#REF!</f>
        <v>#REF!</v>
      </c>
      <c r="G5" s="58"/>
    </row>
    <row r="6" spans="1:31" x14ac:dyDescent="0.25">
      <c r="A6" s="64" t="s">
        <v>141</v>
      </c>
      <c r="B6" s="92">
        <f>'ANALYSE REGISTRES 17'!B77</f>
        <v>24</v>
      </c>
      <c r="C6" s="100" t="e">
        <f>#REF!</f>
        <v>#REF!</v>
      </c>
      <c r="D6" s="100" t="e">
        <f>#REF!</f>
        <v>#REF!</v>
      </c>
      <c r="E6" s="100" t="e">
        <f>#REF!</f>
        <v>#REF!</v>
      </c>
      <c r="F6" s="100" t="e">
        <f>#REF!</f>
        <v>#REF!</v>
      </c>
      <c r="G6" s="58"/>
    </row>
    <row r="7" spans="1:31" x14ac:dyDescent="0.25">
      <c r="A7" s="65" t="s">
        <v>142</v>
      </c>
      <c r="B7" s="93">
        <f>'ANALYSE REGISTRES 17'!B78</f>
        <v>0</v>
      </c>
      <c r="C7" s="101" t="e">
        <f>#REF!</f>
        <v>#REF!</v>
      </c>
      <c r="D7" s="101" t="e">
        <f>#REF!</f>
        <v>#REF!</v>
      </c>
      <c r="E7" s="101" t="e">
        <f>#REF!</f>
        <v>#REF!</v>
      </c>
      <c r="F7" s="101" t="e">
        <f>#REF!</f>
        <v>#REF!</v>
      </c>
      <c r="G7" s="60"/>
    </row>
    <row r="8" spans="1:31" x14ac:dyDescent="0.25">
      <c r="A8" s="94" t="s">
        <v>174</v>
      </c>
      <c r="B8" s="97">
        <f>SUM(B5:B7)</f>
        <v>69</v>
      </c>
      <c r="C8" s="96" t="e">
        <f>SUM(C5:C7)</f>
        <v>#REF!</v>
      </c>
      <c r="D8" s="96" t="e">
        <f>SUM(D5:D7)</f>
        <v>#REF!</v>
      </c>
      <c r="E8" s="96" t="e">
        <f>SUM(E5:E7)</f>
        <v>#REF!</v>
      </c>
      <c r="F8" s="96" t="e">
        <f>SUM(F5:F7)</f>
        <v>#REF!</v>
      </c>
      <c r="G8" s="95"/>
    </row>
    <row r="10" spans="1:31" x14ac:dyDescent="0.25">
      <c r="A10" s="176" t="s">
        <v>144</v>
      </c>
      <c r="B10" s="176"/>
      <c r="C10" s="176"/>
      <c r="D10" s="176"/>
      <c r="E10" s="176"/>
      <c r="F10" s="176"/>
      <c r="G10" s="176"/>
      <c r="H10" s="176"/>
      <c r="I10" s="176"/>
      <c r="J10" s="176"/>
      <c r="K10" s="176"/>
      <c r="L10" s="176"/>
      <c r="M10" s="176"/>
      <c r="N10" s="176"/>
      <c r="O10" s="176"/>
      <c r="P10" s="176"/>
      <c r="Q10" s="176"/>
      <c r="R10" s="176"/>
      <c r="S10" s="176"/>
      <c r="T10" s="176"/>
      <c r="U10" s="176"/>
      <c r="V10" s="176"/>
      <c r="W10" s="176"/>
      <c r="X10" s="176"/>
      <c r="Y10" s="176"/>
      <c r="Z10" s="176"/>
      <c r="AA10" s="176"/>
      <c r="AB10" s="176"/>
      <c r="AC10" s="176"/>
      <c r="AD10" s="176"/>
      <c r="AE10" s="176"/>
    </row>
    <row r="11" spans="1:31" x14ac:dyDescent="0.25">
      <c r="A11" s="66"/>
      <c r="B11" s="172" t="s">
        <v>140</v>
      </c>
      <c r="C11" s="172"/>
      <c r="D11" s="172"/>
      <c r="E11" s="172"/>
      <c r="F11" s="172"/>
      <c r="G11" s="172"/>
      <c r="H11" s="66"/>
      <c r="I11" s="66"/>
      <c r="J11" s="172" t="s">
        <v>141</v>
      </c>
      <c r="K11" s="172"/>
      <c r="L11" s="172"/>
      <c r="M11" s="172"/>
      <c r="N11" s="172"/>
      <c r="O11" s="172"/>
      <c r="Q11" s="66"/>
      <c r="R11" s="172" t="s">
        <v>142</v>
      </c>
      <c r="S11" s="172"/>
      <c r="T11" s="172"/>
      <c r="U11" s="172"/>
      <c r="V11" s="172"/>
      <c r="W11" s="172"/>
      <c r="Y11" s="108"/>
      <c r="Z11" s="170" t="s">
        <v>175</v>
      </c>
      <c r="AA11" s="170"/>
      <c r="AB11" s="170"/>
      <c r="AC11" s="170"/>
      <c r="AD11" s="170"/>
      <c r="AE11" s="170"/>
    </row>
    <row r="12" spans="1:31" x14ac:dyDescent="0.25">
      <c r="A12" s="67"/>
      <c r="B12" s="61">
        <v>2017</v>
      </c>
      <c r="C12" s="61">
        <v>2018</v>
      </c>
      <c r="D12" s="61">
        <v>2019</v>
      </c>
      <c r="E12" s="61">
        <v>2020</v>
      </c>
      <c r="F12" s="61">
        <v>2021</v>
      </c>
      <c r="G12" s="62">
        <v>2022</v>
      </c>
      <c r="I12" s="67"/>
      <c r="J12" s="61">
        <v>2017</v>
      </c>
      <c r="K12" s="61">
        <v>2018</v>
      </c>
      <c r="L12" s="61">
        <v>2019</v>
      </c>
      <c r="M12" s="61">
        <v>2020</v>
      </c>
      <c r="N12" s="61">
        <v>2021</v>
      </c>
      <c r="O12" s="62">
        <v>2022</v>
      </c>
      <c r="Q12" s="67"/>
      <c r="R12" s="61">
        <v>2017</v>
      </c>
      <c r="S12" s="61">
        <v>2018</v>
      </c>
      <c r="T12" s="61">
        <v>2019</v>
      </c>
      <c r="U12" s="61">
        <v>2020</v>
      </c>
      <c r="V12" s="61">
        <v>2021</v>
      </c>
      <c r="W12" s="62">
        <v>2022</v>
      </c>
      <c r="Y12" s="67"/>
      <c r="Z12" s="61">
        <v>2017</v>
      </c>
      <c r="AA12" s="61">
        <v>2018</v>
      </c>
      <c r="AB12" s="61">
        <v>2019</v>
      </c>
      <c r="AC12" s="61">
        <v>2020</v>
      </c>
      <c r="AD12" s="61">
        <v>2021</v>
      </c>
      <c r="AE12" s="62">
        <v>2022</v>
      </c>
    </row>
    <row r="13" spans="1:31" x14ac:dyDescent="0.25">
      <c r="A13" s="68" t="s">
        <v>16</v>
      </c>
      <c r="B13" s="92">
        <f>'ANALYSE REGISTRES 17'!D86</f>
        <v>30</v>
      </c>
      <c r="C13" s="92" t="e">
        <f>#REF!</f>
        <v>#REF!</v>
      </c>
      <c r="D13" s="92" t="e">
        <f>#REF!</f>
        <v>#REF!</v>
      </c>
      <c r="E13" s="92" t="e">
        <f>#REF!</f>
        <v>#REF!</v>
      </c>
      <c r="F13" s="92" t="e">
        <f>#REF!</f>
        <v>#REF!</v>
      </c>
      <c r="G13" s="46"/>
      <c r="I13" s="68" t="s">
        <v>16</v>
      </c>
      <c r="J13" s="92">
        <f>'ANALYSE REGISTRES 17'!D96</f>
        <v>20</v>
      </c>
      <c r="K13" s="92" t="e">
        <f>#REF!</f>
        <v>#REF!</v>
      </c>
      <c r="L13" s="92" t="e">
        <f>#REF!</f>
        <v>#REF!</v>
      </c>
      <c r="M13" s="92" t="e">
        <f>#REF!</f>
        <v>#REF!</v>
      </c>
      <c r="N13" s="92" t="e">
        <f>#REF!</f>
        <v>#REF!</v>
      </c>
      <c r="O13" s="46"/>
      <c r="Q13" s="68" t="s">
        <v>16</v>
      </c>
      <c r="R13" s="92">
        <f>'ANALYSE REGISTRES 17'!D106</f>
        <v>0</v>
      </c>
      <c r="S13" s="92" t="e">
        <f>#REF!</f>
        <v>#REF!</v>
      </c>
      <c r="T13" s="92" t="e">
        <f>#REF!</f>
        <v>#REF!</v>
      </c>
      <c r="U13" s="92" t="e">
        <f>#REF!</f>
        <v>#REF!</v>
      </c>
      <c r="V13" s="1" t="e">
        <f>#REF!</f>
        <v>#REF!</v>
      </c>
      <c r="W13" s="46"/>
      <c r="Y13" s="68" t="s">
        <v>16</v>
      </c>
      <c r="Z13" s="92">
        <f>B13+J13+R13</f>
        <v>50</v>
      </c>
      <c r="AA13" s="92" t="e">
        <f>C13+K13+S13</f>
        <v>#REF!</v>
      </c>
      <c r="AB13" s="92" t="e">
        <f>D13+L13+T13</f>
        <v>#REF!</v>
      </c>
      <c r="AC13" s="92" t="e">
        <f>E13+M13+U13</f>
        <v>#REF!</v>
      </c>
      <c r="AD13" s="1" t="e">
        <f>F13+N13+V13</f>
        <v>#REF!</v>
      </c>
      <c r="AE13" s="46"/>
    </row>
    <row r="14" spans="1:31" x14ac:dyDescent="0.25">
      <c r="A14" s="69" t="s">
        <v>2</v>
      </c>
      <c r="B14" s="92">
        <f>'ANALYSE REGISTRES 17'!D87</f>
        <v>8</v>
      </c>
      <c r="C14" s="92" t="e">
        <f>#REF!</f>
        <v>#REF!</v>
      </c>
      <c r="D14" s="92" t="e">
        <f>#REF!</f>
        <v>#REF!</v>
      </c>
      <c r="E14" s="92" t="e">
        <f>#REF!</f>
        <v>#REF!</v>
      </c>
      <c r="F14" s="92" t="e">
        <f>#REF!</f>
        <v>#REF!</v>
      </c>
      <c r="G14" s="46"/>
      <c r="I14" s="69" t="s">
        <v>2</v>
      </c>
      <c r="J14" s="92">
        <f>'ANALYSE REGISTRES 17'!D97</f>
        <v>3</v>
      </c>
      <c r="K14" s="92" t="e">
        <f>#REF!</f>
        <v>#REF!</v>
      </c>
      <c r="L14" s="92" t="e">
        <f>#REF!</f>
        <v>#REF!</v>
      </c>
      <c r="M14" s="92" t="e">
        <f>#REF!</f>
        <v>#REF!</v>
      </c>
      <c r="N14" s="92" t="e">
        <f>#REF!</f>
        <v>#REF!</v>
      </c>
      <c r="O14" s="46"/>
      <c r="Q14" s="69" t="s">
        <v>2</v>
      </c>
      <c r="R14" s="92">
        <f>'ANALYSE REGISTRES 17'!D107</f>
        <v>0</v>
      </c>
      <c r="S14" s="92" t="e">
        <f>#REF!</f>
        <v>#REF!</v>
      </c>
      <c r="T14" s="92" t="e">
        <f>#REF!</f>
        <v>#REF!</v>
      </c>
      <c r="U14" s="92" t="e">
        <f>#REF!</f>
        <v>#REF!</v>
      </c>
      <c r="V14" s="1" t="e">
        <f>#REF!</f>
        <v>#REF!</v>
      </c>
      <c r="W14" s="46"/>
      <c r="Y14" s="69" t="s">
        <v>2</v>
      </c>
      <c r="Z14" s="92">
        <f t="shared" ref="Z14:Z21" si="0">B14+J14+R14</f>
        <v>11</v>
      </c>
      <c r="AA14" s="92" t="e">
        <f t="shared" ref="AA14:AA21" si="1">C14+K14+S14</f>
        <v>#REF!</v>
      </c>
      <c r="AB14" s="92" t="e">
        <f t="shared" ref="AB14:AB21" si="2">D14+L14+T14</f>
        <v>#REF!</v>
      </c>
      <c r="AC14" s="92" t="e">
        <f t="shared" ref="AC14:AC21" si="3">E14+M14+U14</f>
        <v>#REF!</v>
      </c>
      <c r="AD14" s="1" t="e">
        <f t="shared" ref="AD14:AD21" si="4">F14+N14+V14</f>
        <v>#REF!</v>
      </c>
      <c r="AE14" s="46"/>
    </row>
    <row r="15" spans="1:31" x14ac:dyDescent="0.25">
      <c r="A15" s="69" t="s">
        <v>143</v>
      </c>
      <c r="B15" s="92">
        <f>'ANALYSE REGISTRES 17'!D88</f>
        <v>3</v>
      </c>
      <c r="C15" s="92" t="e">
        <f>#REF!</f>
        <v>#REF!</v>
      </c>
      <c r="D15" s="92" t="e">
        <f>#REF!</f>
        <v>#REF!</v>
      </c>
      <c r="E15" s="92" t="e">
        <f>#REF!</f>
        <v>#REF!</v>
      </c>
      <c r="F15" s="92" t="e">
        <f>#REF!</f>
        <v>#REF!</v>
      </c>
      <c r="G15" s="46"/>
      <c r="I15" s="69" t="s">
        <v>143</v>
      </c>
      <c r="J15" s="92">
        <f>'ANALYSE REGISTRES 17'!D98</f>
        <v>0</v>
      </c>
      <c r="K15" s="92" t="e">
        <f>#REF!</f>
        <v>#REF!</v>
      </c>
      <c r="L15" s="92" t="e">
        <f>#REF!</f>
        <v>#REF!</v>
      </c>
      <c r="M15" s="92" t="e">
        <f>#REF!</f>
        <v>#REF!</v>
      </c>
      <c r="N15" s="92" t="e">
        <f>#REF!</f>
        <v>#REF!</v>
      </c>
      <c r="O15" s="46"/>
      <c r="Q15" s="69" t="s">
        <v>143</v>
      </c>
      <c r="R15" s="92">
        <f>'ANALYSE REGISTRES 17'!D108</f>
        <v>0</v>
      </c>
      <c r="S15" s="92" t="e">
        <f>#REF!</f>
        <v>#REF!</v>
      </c>
      <c r="T15" s="92" t="e">
        <f>#REF!</f>
        <v>#REF!</v>
      </c>
      <c r="U15" s="92" t="e">
        <f>#REF!</f>
        <v>#REF!</v>
      </c>
      <c r="V15" s="1" t="e">
        <f>#REF!</f>
        <v>#REF!</v>
      </c>
      <c r="W15" s="46"/>
      <c r="Y15" s="69" t="s">
        <v>143</v>
      </c>
      <c r="Z15" s="92">
        <f t="shared" si="0"/>
        <v>3</v>
      </c>
      <c r="AA15" s="92" t="e">
        <f t="shared" si="1"/>
        <v>#REF!</v>
      </c>
      <c r="AB15" s="92" t="e">
        <f t="shared" si="2"/>
        <v>#REF!</v>
      </c>
      <c r="AC15" s="92" t="e">
        <f t="shared" si="3"/>
        <v>#REF!</v>
      </c>
      <c r="AD15" s="1" t="e">
        <f t="shared" si="4"/>
        <v>#REF!</v>
      </c>
      <c r="AE15" s="46"/>
    </row>
    <row r="16" spans="1:31" x14ac:dyDescent="0.25">
      <c r="A16" s="69" t="s">
        <v>13</v>
      </c>
      <c r="B16" s="92">
        <f>'ANALYSE REGISTRES 17'!D89</f>
        <v>1</v>
      </c>
      <c r="C16" s="92" t="e">
        <f>#REF!</f>
        <v>#REF!</v>
      </c>
      <c r="D16" s="92" t="e">
        <f>#REF!</f>
        <v>#REF!</v>
      </c>
      <c r="E16" s="92" t="e">
        <f>#REF!</f>
        <v>#REF!</v>
      </c>
      <c r="F16" s="92" t="e">
        <f>#REF!</f>
        <v>#REF!</v>
      </c>
      <c r="G16" s="46"/>
      <c r="I16" s="69" t="s">
        <v>13</v>
      </c>
      <c r="J16" s="92">
        <f>'ANALYSE REGISTRES 17'!D99</f>
        <v>0</v>
      </c>
      <c r="K16" s="92" t="e">
        <f>#REF!</f>
        <v>#REF!</v>
      </c>
      <c r="L16" s="92" t="e">
        <f>#REF!</f>
        <v>#REF!</v>
      </c>
      <c r="M16" s="92" t="e">
        <f>#REF!</f>
        <v>#REF!</v>
      </c>
      <c r="N16" s="92" t="e">
        <f>#REF!</f>
        <v>#REF!</v>
      </c>
      <c r="O16" s="46"/>
      <c r="Q16" s="69" t="s">
        <v>13</v>
      </c>
      <c r="R16" s="92">
        <f>'ANALYSE REGISTRES 17'!D109</f>
        <v>0</v>
      </c>
      <c r="S16" s="92" t="e">
        <f>#REF!</f>
        <v>#REF!</v>
      </c>
      <c r="T16" s="92" t="e">
        <f>#REF!</f>
        <v>#REF!</v>
      </c>
      <c r="U16" s="92" t="e">
        <f>#REF!</f>
        <v>#REF!</v>
      </c>
      <c r="V16" s="1" t="e">
        <f>#REF!</f>
        <v>#REF!</v>
      </c>
      <c r="W16" s="46"/>
      <c r="Y16" s="69" t="s">
        <v>13</v>
      </c>
      <c r="Z16" s="92">
        <f t="shared" si="0"/>
        <v>1</v>
      </c>
      <c r="AA16" s="92" t="e">
        <f t="shared" si="1"/>
        <v>#REF!</v>
      </c>
      <c r="AB16" s="92" t="e">
        <f t="shared" si="2"/>
        <v>#REF!</v>
      </c>
      <c r="AC16" s="92" t="e">
        <f t="shared" si="3"/>
        <v>#REF!</v>
      </c>
      <c r="AD16" s="1" t="e">
        <f t="shared" si="4"/>
        <v>#REF!</v>
      </c>
      <c r="AE16" s="46"/>
    </row>
    <row r="17" spans="1:31" x14ac:dyDescent="0.25">
      <c r="A17" s="69" t="s">
        <v>10</v>
      </c>
      <c r="B17" s="92">
        <f>'ANALYSE REGISTRES 17'!D90</f>
        <v>1</v>
      </c>
      <c r="C17" s="92" t="e">
        <f>#REF!</f>
        <v>#REF!</v>
      </c>
      <c r="D17" s="92" t="e">
        <f>#REF!</f>
        <v>#REF!</v>
      </c>
      <c r="E17" s="92" t="e">
        <f>#REF!</f>
        <v>#REF!</v>
      </c>
      <c r="F17" s="92" t="e">
        <f>#REF!</f>
        <v>#REF!</v>
      </c>
      <c r="G17" s="46"/>
      <c r="I17" s="69" t="s">
        <v>10</v>
      </c>
      <c r="J17" s="92">
        <f>'ANALYSE REGISTRES 17'!D100</f>
        <v>0</v>
      </c>
      <c r="K17" s="92" t="e">
        <f>#REF!</f>
        <v>#REF!</v>
      </c>
      <c r="L17" s="92" t="e">
        <f>#REF!</f>
        <v>#REF!</v>
      </c>
      <c r="M17" s="92" t="e">
        <f>#REF!</f>
        <v>#REF!</v>
      </c>
      <c r="N17" s="92" t="e">
        <f>#REF!</f>
        <v>#REF!</v>
      </c>
      <c r="O17" s="46"/>
      <c r="Q17" s="69" t="s">
        <v>10</v>
      </c>
      <c r="R17" s="92">
        <f>'ANALYSE REGISTRES 17'!D110</f>
        <v>0</v>
      </c>
      <c r="S17" s="92" t="e">
        <f>#REF!</f>
        <v>#REF!</v>
      </c>
      <c r="T17" s="92" t="e">
        <f>#REF!</f>
        <v>#REF!</v>
      </c>
      <c r="U17" s="92" t="e">
        <f>#REF!</f>
        <v>#REF!</v>
      </c>
      <c r="V17" s="1" t="e">
        <f>#REF!</f>
        <v>#REF!</v>
      </c>
      <c r="W17" s="46"/>
      <c r="Y17" s="69" t="s">
        <v>10</v>
      </c>
      <c r="Z17" s="92">
        <f t="shared" si="0"/>
        <v>1</v>
      </c>
      <c r="AA17" s="92" t="e">
        <f t="shared" si="1"/>
        <v>#REF!</v>
      </c>
      <c r="AB17" s="92" t="e">
        <f t="shared" si="2"/>
        <v>#REF!</v>
      </c>
      <c r="AC17" s="92" t="e">
        <f t="shared" si="3"/>
        <v>#REF!</v>
      </c>
      <c r="AD17" s="1" t="e">
        <f t="shared" si="4"/>
        <v>#REF!</v>
      </c>
      <c r="AE17" s="46"/>
    </row>
    <row r="18" spans="1:31" x14ac:dyDescent="0.25">
      <c r="A18" s="69" t="s">
        <v>12</v>
      </c>
      <c r="B18" s="92">
        <f>'ANALYSE REGISTRES 17'!D91</f>
        <v>1</v>
      </c>
      <c r="C18" s="92" t="e">
        <f>#REF!</f>
        <v>#REF!</v>
      </c>
      <c r="D18" s="92" t="e">
        <f>#REF!</f>
        <v>#REF!</v>
      </c>
      <c r="E18" s="92" t="e">
        <f>#REF!</f>
        <v>#REF!</v>
      </c>
      <c r="F18" s="92" t="e">
        <f>#REF!</f>
        <v>#REF!</v>
      </c>
      <c r="G18" s="46"/>
      <c r="I18" s="69" t="s">
        <v>12</v>
      </c>
      <c r="J18" s="92">
        <f>'ANALYSE REGISTRES 17'!D101</f>
        <v>0</v>
      </c>
      <c r="K18" s="92" t="e">
        <f>#REF!</f>
        <v>#REF!</v>
      </c>
      <c r="L18" s="92" t="e">
        <f>#REF!</f>
        <v>#REF!</v>
      </c>
      <c r="M18" s="92" t="e">
        <f>#REF!</f>
        <v>#REF!</v>
      </c>
      <c r="N18" s="92" t="e">
        <f>#REF!</f>
        <v>#REF!</v>
      </c>
      <c r="O18" s="46"/>
      <c r="Q18" s="69" t="s">
        <v>12</v>
      </c>
      <c r="R18" s="92">
        <f>'ANALYSE REGISTRES 17'!D111</f>
        <v>0</v>
      </c>
      <c r="S18" s="92" t="e">
        <f>#REF!</f>
        <v>#REF!</v>
      </c>
      <c r="T18" s="92" t="e">
        <f>#REF!</f>
        <v>#REF!</v>
      </c>
      <c r="U18" s="92" t="e">
        <f>#REF!</f>
        <v>#REF!</v>
      </c>
      <c r="V18" s="1" t="e">
        <f>#REF!</f>
        <v>#REF!</v>
      </c>
      <c r="W18" s="46"/>
      <c r="Y18" s="69" t="s">
        <v>12</v>
      </c>
      <c r="Z18" s="92">
        <f t="shared" si="0"/>
        <v>1</v>
      </c>
      <c r="AA18" s="92" t="e">
        <f t="shared" si="1"/>
        <v>#REF!</v>
      </c>
      <c r="AB18" s="92" t="e">
        <f t="shared" si="2"/>
        <v>#REF!</v>
      </c>
      <c r="AC18" s="92" t="e">
        <f t="shared" si="3"/>
        <v>#REF!</v>
      </c>
      <c r="AD18" s="1" t="e">
        <f t="shared" si="4"/>
        <v>#REF!</v>
      </c>
      <c r="AE18" s="46"/>
    </row>
    <row r="19" spans="1:31" x14ac:dyDescent="0.25">
      <c r="A19" s="69" t="s">
        <v>19</v>
      </c>
      <c r="B19" s="92">
        <f>'ANALYSE REGISTRES 17'!D92</f>
        <v>0</v>
      </c>
      <c r="C19" s="92" t="e">
        <f>#REF!</f>
        <v>#REF!</v>
      </c>
      <c r="D19" s="92" t="e">
        <f>#REF!</f>
        <v>#REF!</v>
      </c>
      <c r="E19" s="92" t="e">
        <f>#REF!</f>
        <v>#REF!</v>
      </c>
      <c r="F19" s="92" t="e">
        <f>#REF!</f>
        <v>#REF!</v>
      </c>
      <c r="G19" s="46"/>
      <c r="I19" s="69" t="s">
        <v>19</v>
      </c>
      <c r="J19" s="92">
        <f>'ANALYSE REGISTRES 17'!D102</f>
        <v>1</v>
      </c>
      <c r="K19" s="92" t="e">
        <f>#REF!</f>
        <v>#REF!</v>
      </c>
      <c r="L19" s="92" t="e">
        <f>#REF!</f>
        <v>#REF!</v>
      </c>
      <c r="M19" s="92" t="e">
        <f>#REF!</f>
        <v>#REF!</v>
      </c>
      <c r="N19" s="92" t="e">
        <f>#REF!</f>
        <v>#REF!</v>
      </c>
      <c r="O19" s="46"/>
      <c r="Q19" s="69" t="s">
        <v>19</v>
      </c>
      <c r="R19" s="92">
        <f>'ANALYSE REGISTRES 17'!D112</f>
        <v>0</v>
      </c>
      <c r="S19" s="92" t="e">
        <f>#REF!</f>
        <v>#REF!</v>
      </c>
      <c r="T19" s="92" t="e">
        <f>#REF!</f>
        <v>#REF!</v>
      </c>
      <c r="U19" s="92" t="e">
        <f>#REF!</f>
        <v>#REF!</v>
      </c>
      <c r="V19" s="1" t="e">
        <f>#REF!</f>
        <v>#REF!</v>
      </c>
      <c r="W19" s="46"/>
      <c r="Y19" s="69" t="s">
        <v>19</v>
      </c>
      <c r="Z19" s="92">
        <f t="shared" si="0"/>
        <v>1</v>
      </c>
      <c r="AA19" s="92" t="e">
        <f t="shared" si="1"/>
        <v>#REF!</v>
      </c>
      <c r="AB19" s="92" t="e">
        <f t="shared" si="2"/>
        <v>#REF!</v>
      </c>
      <c r="AC19" s="92" t="e">
        <f t="shared" si="3"/>
        <v>#REF!</v>
      </c>
      <c r="AD19" s="1" t="e">
        <f t="shared" si="4"/>
        <v>#REF!</v>
      </c>
      <c r="AE19" s="46"/>
    </row>
    <row r="20" spans="1:31" x14ac:dyDescent="0.25">
      <c r="A20" s="69" t="s">
        <v>76</v>
      </c>
      <c r="B20" s="92">
        <f>'ANALYSE REGISTRES 17'!D93</f>
        <v>1</v>
      </c>
      <c r="C20" s="92" t="e">
        <f>#REF!</f>
        <v>#REF!</v>
      </c>
      <c r="D20" s="92" t="e">
        <f>#REF!</f>
        <v>#REF!</v>
      </c>
      <c r="E20" s="92" t="e">
        <f>#REF!</f>
        <v>#REF!</v>
      </c>
      <c r="F20" s="92" t="e">
        <f>#REF!</f>
        <v>#REF!</v>
      </c>
      <c r="G20" s="46"/>
      <c r="I20" s="69" t="s">
        <v>76</v>
      </c>
      <c r="J20" s="92">
        <f>'ANALYSE REGISTRES 17'!D103</f>
        <v>0</v>
      </c>
      <c r="K20" s="92" t="e">
        <f>#REF!</f>
        <v>#REF!</v>
      </c>
      <c r="L20" s="92" t="e">
        <f>#REF!</f>
        <v>#REF!</v>
      </c>
      <c r="M20" s="92" t="e">
        <f>#REF!</f>
        <v>#REF!</v>
      </c>
      <c r="N20" s="92" t="e">
        <f>#REF!</f>
        <v>#REF!</v>
      </c>
      <c r="O20" s="46"/>
      <c r="Q20" s="69" t="s">
        <v>76</v>
      </c>
      <c r="R20" s="92">
        <f>'ANALYSE REGISTRES 17'!D113</f>
        <v>0</v>
      </c>
      <c r="S20" s="92" t="e">
        <f>#REF!</f>
        <v>#REF!</v>
      </c>
      <c r="T20" s="92" t="e">
        <f>#REF!</f>
        <v>#REF!</v>
      </c>
      <c r="U20" s="92" t="e">
        <f>#REF!</f>
        <v>#REF!</v>
      </c>
      <c r="V20" s="1" t="e">
        <f>#REF!</f>
        <v>#REF!</v>
      </c>
      <c r="W20" s="46"/>
      <c r="Y20" s="69" t="s">
        <v>76</v>
      </c>
      <c r="Z20" s="92">
        <f t="shared" si="0"/>
        <v>1</v>
      </c>
      <c r="AA20" s="92" t="e">
        <f t="shared" si="1"/>
        <v>#REF!</v>
      </c>
      <c r="AB20" s="92" t="e">
        <f t="shared" si="2"/>
        <v>#REF!</v>
      </c>
      <c r="AC20" s="92" t="e">
        <f t="shared" si="3"/>
        <v>#REF!</v>
      </c>
      <c r="AD20" s="1" t="e">
        <f t="shared" si="4"/>
        <v>#REF!</v>
      </c>
      <c r="AE20" s="46"/>
    </row>
    <row r="21" spans="1:31" x14ac:dyDescent="0.25">
      <c r="A21" s="70" t="s">
        <v>15</v>
      </c>
      <c r="B21" s="93">
        <f>'ANALYSE REGISTRES 17'!D94</f>
        <v>0</v>
      </c>
      <c r="C21" s="92" t="e">
        <f>#REF!</f>
        <v>#REF!</v>
      </c>
      <c r="D21" s="92" t="e">
        <f>#REF!</f>
        <v>#REF!</v>
      </c>
      <c r="E21" s="92" t="e">
        <f>#REF!</f>
        <v>#REF!</v>
      </c>
      <c r="F21" s="92" t="e">
        <f>#REF!</f>
        <v>#REF!</v>
      </c>
      <c r="G21" s="48"/>
      <c r="I21" s="70" t="s">
        <v>15</v>
      </c>
      <c r="J21" s="92">
        <f>'ANALYSE REGISTRES 17'!D104</f>
        <v>0</v>
      </c>
      <c r="K21" s="92" t="e">
        <f>#REF!</f>
        <v>#REF!</v>
      </c>
      <c r="L21" s="92" t="e">
        <f>#REF!</f>
        <v>#REF!</v>
      </c>
      <c r="M21" s="92" t="e">
        <f>#REF!</f>
        <v>#REF!</v>
      </c>
      <c r="N21" s="92" t="e">
        <f>#REF!</f>
        <v>#REF!</v>
      </c>
      <c r="O21" s="48"/>
      <c r="Q21" s="70" t="s">
        <v>15</v>
      </c>
      <c r="R21" s="92">
        <f>'ANALYSE REGISTRES 17'!D114</f>
        <v>0</v>
      </c>
      <c r="S21" s="93" t="e">
        <f>#REF!</f>
        <v>#REF!</v>
      </c>
      <c r="T21" s="92" t="e">
        <f>#REF!</f>
        <v>#REF!</v>
      </c>
      <c r="U21" s="92" t="e">
        <f>#REF!</f>
        <v>#REF!</v>
      </c>
      <c r="V21" s="1" t="e">
        <f>#REF!</f>
        <v>#REF!</v>
      </c>
      <c r="W21" s="48"/>
      <c r="Y21" s="70" t="s">
        <v>15</v>
      </c>
      <c r="Z21" s="92">
        <f t="shared" si="0"/>
        <v>0</v>
      </c>
      <c r="AA21" s="92" t="e">
        <f t="shared" si="1"/>
        <v>#REF!</v>
      </c>
      <c r="AB21" s="92" t="e">
        <f t="shared" si="2"/>
        <v>#REF!</v>
      </c>
      <c r="AC21" s="92" t="e">
        <f t="shared" si="3"/>
        <v>#REF!</v>
      </c>
      <c r="AD21" s="1" t="e">
        <f t="shared" si="4"/>
        <v>#REF!</v>
      </c>
      <c r="AE21" s="48"/>
    </row>
    <row r="22" spans="1:31" x14ac:dyDescent="0.25">
      <c r="A22" s="104" t="s">
        <v>174</v>
      </c>
      <c r="B22" s="61">
        <f>SUM(B13:B21)</f>
        <v>45</v>
      </c>
      <c r="C22" s="61" t="e">
        <f>SUM(C13:C21)</f>
        <v>#REF!</v>
      </c>
      <c r="D22" s="61" t="e">
        <f>SUM(D13:D21)</f>
        <v>#REF!</v>
      </c>
      <c r="E22" s="61" t="e">
        <f>SUM(E13:E21)</f>
        <v>#REF!</v>
      </c>
      <c r="F22" s="61" t="e">
        <f>SUM(F13:F21)</f>
        <v>#REF!</v>
      </c>
      <c r="G22" s="95"/>
      <c r="I22" s="104" t="s">
        <v>174</v>
      </c>
      <c r="J22" s="61">
        <f>SUM(J13:J21)</f>
        <v>24</v>
      </c>
      <c r="K22" s="61" t="e">
        <f>SUM(K13:K21)</f>
        <v>#REF!</v>
      </c>
      <c r="L22" s="61" t="e">
        <f>SUM(L13:L21)</f>
        <v>#REF!</v>
      </c>
      <c r="M22" s="61" t="e">
        <f>SUM(M13:M21)</f>
        <v>#REF!</v>
      </c>
      <c r="N22" s="61" t="e">
        <f>SUM(N13:N21)</f>
        <v>#REF!</v>
      </c>
      <c r="O22" s="95"/>
      <c r="Q22" s="104" t="s">
        <v>174</v>
      </c>
      <c r="R22" s="61">
        <f>SUM(R13:R21)</f>
        <v>0</v>
      </c>
      <c r="S22" s="61" t="e">
        <f>SUM(S13:S21)</f>
        <v>#REF!</v>
      </c>
      <c r="T22" s="61" t="e">
        <f>SUM(T13:T21)</f>
        <v>#REF!</v>
      </c>
      <c r="U22" s="61" t="e">
        <f>SUM(U13:U21)</f>
        <v>#REF!</v>
      </c>
      <c r="V22" s="61" t="e">
        <f>SUM(V13:V21)</f>
        <v>#REF!</v>
      </c>
      <c r="W22" s="95"/>
      <c r="Y22" s="104" t="s">
        <v>174</v>
      </c>
      <c r="Z22" s="61">
        <f>SUM(Z13:Z21)</f>
        <v>69</v>
      </c>
      <c r="AA22" s="61" t="e">
        <f>SUM(AA13:AA21)</f>
        <v>#REF!</v>
      </c>
      <c r="AB22" s="61" t="e">
        <f>SUM(AB13:AB21)</f>
        <v>#REF!</v>
      </c>
      <c r="AC22" s="61" t="e">
        <f>SUM(AC13:AC21)</f>
        <v>#REF!</v>
      </c>
      <c r="AD22" s="61" t="e">
        <f>SUM(AD13:AD21)</f>
        <v>#REF!</v>
      </c>
      <c r="AE22" s="95"/>
    </row>
    <row r="24" spans="1:31" x14ac:dyDescent="0.25">
      <c r="A24" s="177" t="s">
        <v>157</v>
      </c>
      <c r="B24" s="177"/>
      <c r="C24" s="177"/>
      <c r="D24" s="177"/>
      <c r="E24" s="177"/>
      <c r="F24" s="177"/>
      <c r="G24" s="177"/>
      <c r="H24" s="177"/>
      <c r="I24" s="177"/>
      <c r="J24" s="177"/>
      <c r="K24" s="177"/>
      <c r="L24" s="177"/>
      <c r="M24" s="177"/>
      <c r="N24" s="177"/>
      <c r="O24" s="177"/>
      <c r="P24" s="177"/>
      <c r="Q24" s="177"/>
      <c r="R24" s="177"/>
      <c r="S24" s="177"/>
      <c r="T24" s="177"/>
      <c r="U24" s="177"/>
      <c r="V24" s="177"/>
      <c r="W24" s="177"/>
      <c r="X24" s="177"/>
      <c r="Y24" s="177"/>
      <c r="Z24" s="177"/>
      <c r="AA24" s="177"/>
      <c r="AB24" s="177"/>
      <c r="AC24" s="177"/>
      <c r="AD24" s="177"/>
      <c r="AE24" s="177"/>
    </row>
    <row r="25" spans="1:31" x14ac:dyDescent="0.25">
      <c r="B25" s="172" t="s">
        <v>140</v>
      </c>
      <c r="C25" s="172"/>
      <c r="D25" s="172"/>
      <c r="E25" s="172"/>
      <c r="F25" s="172"/>
      <c r="G25" s="172"/>
      <c r="J25" s="172" t="s">
        <v>141</v>
      </c>
      <c r="K25" s="172"/>
      <c r="L25" s="172"/>
      <c r="M25" s="172"/>
      <c r="N25" s="172"/>
      <c r="O25" s="172"/>
      <c r="R25" s="172" t="s">
        <v>142</v>
      </c>
      <c r="S25" s="172"/>
      <c r="T25" s="172"/>
      <c r="U25" s="172"/>
      <c r="V25" s="172"/>
      <c r="W25" s="172"/>
      <c r="Z25" s="170" t="s">
        <v>174</v>
      </c>
      <c r="AA25" s="170"/>
      <c r="AB25" s="170"/>
      <c r="AC25" s="170"/>
      <c r="AD25" s="170"/>
      <c r="AE25" s="170"/>
    </row>
    <row r="26" spans="1:31" x14ac:dyDescent="0.25">
      <c r="A26" s="67"/>
      <c r="B26" s="61">
        <v>2017</v>
      </c>
      <c r="C26" s="61">
        <v>2018</v>
      </c>
      <c r="D26" s="61">
        <v>2019</v>
      </c>
      <c r="E26" s="61">
        <v>2020</v>
      </c>
      <c r="F26" s="61">
        <v>2021</v>
      </c>
      <c r="G26" s="62">
        <v>2022</v>
      </c>
      <c r="I26" s="67"/>
      <c r="J26" s="61">
        <v>2017</v>
      </c>
      <c r="K26" s="61">
        <v>2018</v>
      </c>
      <c r="L26" s="61">
        <v>2019</v>
      </c>
      <c r="M26" s="61">
        <v>2020</v>
      </c>
      <c r="N26" s="61">
        <v>2021</v>
      </c>
      <c r="O26" s="62">
        <v>2022</v>
      </c>
      <c r="Q26" s="67"/>
      <c r="R26" s="61">
        <v>2017</v>
      </c>
      <c r="S26" s="61">
        <v>2018</v>
      </c>
      <c r="T26" s="61">
        <v>2019</v>
      </c>
      <c r="U26" s="61">
        <v>2020</v>
      </c>
      <c r="V26" s="61">
        <v>2021</v>
      </c>
      <c r="W26" s="62">
        <v>2022</v>
      </c>
      <c r="Y26" s="67"/>
      <c r="Z26" s="61">
        <v>2017</v>
      </c>
      <c r="AA26" s="61">
        <v>2018</v>
      </c>
      <c r="AB26" s="61">
        <v>2019</v>
      </c>
      <c r="AC26" s="61">
        <v>2020</v>
      </c>
      <c r="AD26" s="61">
        <v>2021</v>
      </c>
      <c r="AE26" s="62">
        <v>2022</v>
      </c>
    </row>
    <row r="27" spans="1:31" x14ac:dyDescent="0.25">
      <c r="A27" s="71" t="s">
        <v>145</v>
      </c>
      <c r="B27" s="112">
        <f>'ANALYSE REGISTRES 17'!E92</f>
        <v>19</v>
      </c>
      <c r="C27" s="112" t="e">
        <f>#REF!</f>
        <v>#REF!</v>
      </c>
      <c r="D27" s="112" t="e">
        <f>#REF!</f>
        <v>#REF!</v>
      </c>
      <c r="E27" s="112" t="e">
        <f>#REF!</f>
        <v>#REF!</v>
      </c>
      <c r="F27" s="72"/>
      <c r="G27" s="73"/>
      <c r="H27" s="74"/>
      <c r="I27" s="71" t="s">
        <v>145</v>
      </c>
      <c r="J27" s="112">
        <f>'ANALYSE REGISTRES 17'!E108</f>
        <v>3</v>
      </c>
      <c r="K27" s="112" t="e">
        <f>#REF!</f>
        <v>#REF!</v>
      </c>
      <c r="L27" s="112" t="e">
        <f>#REF!</f>
        <v>#REF!</v>
      </c>
      <c r="M27" s="112" t="e">
        <f>#REF!</f>
        <v>#REF!</v>
      </c>
      <c r="N27" s="72"/>
      <c r="O27" s="73"/>
      <c r="P27" s="74"/>
      <c r="Q27" s="71" t="s">
        <v>145</v>
      </c>
      <c r="R27" s="92">
        <f>'ANALYSE REGISTRES 17'!E124</f>
        <v>0</v>
      </c>
      <c r="S27" s="92" t="e">
        <f>#REF!</f>
        <v>#REF!</v>
      </c>
      <c r="T27" s="92" t="e">
        <f>#REF!</f>
        <v>#REF!</v>
      </c>
      <c r="U27" s="92" t="e">
        <f>#REF!</f>
        <v>#REF!</v>
      </c>
      <c r="V27" s="3"/>
      <c r="W27" s="46"/>
      <c r="Y27" s="71" t="s">
        <v>145</v>
      </c>
      <c r="Z27" s="113">
        <f>B27+J27+R27</f>
        <v>22</v>
      </c>
      <c r="AA27" s="92" t="e">
        <f>C27+K27+S27</f>
        <v>#REF!</v>
      </c>
      <c r="AB27" s="92" t="e">
        <f>L27+T27+D27</f>
        <v>#REF!</v>
      </c>
      <c r="AC27" s="92" t="e">
        <f>E27+M27+U27</f>
        <v>#REF!</v>
      </c>
      <c r="AD27" s="3"/>
      <c r="AE27" s="46"/>
    </row>
    <row r="28" spans="1:31" x14ac:dyDescent="0.25">
      <c r="A28" s="75" t="s">
        <v>2</v>
      </c>
      <c r="B28" s="112">
        <f>'ANALYSE REGISTRES 17'!E93</f>
        <v>7</v>
      </c>
      <c r="C28" s="112" t="e">
        <f>#REF!</f>
        <v>#REF!</v>
      </c>
      <c r="D28" s="112" t="e">
        <f>#REF!</f>
        <v>#REF!</v>
      </c>
      <c r="E28" s="112" t="e">
        <f>#REF!</f>
        <v>#REF!</v>
      </c>
      <c r="F28" s="72"/>
      <c r="G28" s="73"/>
      <c r="H28" s="74"/>
      <c r="I28" s="75" t="s">
        <v>2</v>
      </c>
      <c r="J28" s="112">
        <f>'ANALYSE REGISTRES 17'!E109</f>
        <v>1</v>
      </c>
      <c r="K28" s="112" t="e">
        <f>#REF!</f>
        <v>#REF!</v>
      </c>
      <c r="L28" s="112" t="e">
        <f>#REF!</f>
        <v>#REF!</v>
      </c>
      <c r="M28" s="112" t="e">
        <f>#REF!</f>
        <v>#REF!</v>
      </c>
      <c r="N28" s="72"/>
      <c r="O28" s="73"/>
      <c r="P28" s="74"/>
      <c r="Q28" s="75" t="s">
        <v>2</v>
      </c>
      <c r="R28" s="92">
        <f>'ANALYSE REGISTRES 17'!E125</f>
        <v>0</v>
      </c>
      <c r="S28" s="92" t="e">
        <f>#REF!</f>
        <v>#REF!</v>
      </c>
      <c r="T28" s="92" t="e">
        <f>#REF!</f>
        <v>#REF!</v>
      </c>
      <c r="U28" s="92" t="e">
        <f>#REF!</f>
        <v>#REF!</v>
      </c>
      <c r="V28" s="3"/>
      <c r="W28" s="46"/>
      <c r="Y28" s="75" t="s">
        <v>2</v>
      </c>
      <c r="Z28" s="114">
        <f t="shared" ref="Z28:Z41" si="5">B28+J28+R28</f>
        <v>8</v>
      </c>
      <c r="AA28" s="92" t="e">
        <f t="shared" ref="AA28:AA41" si="6">C28+K28+S28</f>
        <v>#REF!</v>
      </c>
      <c r="AB28" s="92" t="e">
        <f t="shared" ref="AB28:AB40" si="7">L28+T28+D28</f>
        <v>#REF!</v>
      </c>
      <c r="AC28" s="92" t="e">
        <f t="shared" ref="AC28:AC41" si="8">E28+M28+U28</f>
        <v>#REF!</v>
      </c>
      <c r="AD28" s="3"/>
      <c r="AE28" s="46"/>
    </row>
    <row r="29" spans="1:31" x14ac:dyDescent="0.25">
      <c r="A29" s="75" t="s">
        <v>146</v>
      </c>
      <c r="B29" s="112">
        <f>'ANALYSE REGISTRES 17'!E94</f>
        <v>3</v>
      </c>
      <c r="C29" s="112" t="e">
        <f>#REF!</f>
        <v>#REF!</v>
      </c>
      <c r="D29" s="112" t="e">
        <f>#REF!</f>
        <v>#REF!</v>
      </c>
      <c r="E29" s="112" t="e">
        <f>#REF!</f>
        <v>#REF!</v>
      </c>
      <c r="F29" s="72"/>
      <c r="G29" s="73"/>
      <c r="H29" s="74"/>
      <c r="I29" s="75" t="s">
        <v>146</v>
      </c>
      <c r="J29" s="112">
        <f>'ANALYSE REGISTRES 17'!E110</f>
        <v>3</v>
      </c>
      <c r="K29" s="112" t="e">
        <f>#REF!</f>
        <v>#REF!</v>
      </c>
      <c r="L29" s="112" t="e">
        <f>#REF!</f>
        <v>#REF!</v>
      </c>
      <c r="M29" s="112" t="e">
        <f>#REF!</f>
        <v>#REF!</v>
      </c>
      <c r="N29" s="72"/>
      <c r="O29" s="73"/>
      <c r="P29" s="74"/>
      <c r="Q29" s="75" t="s">
        <v>146</v>
      </c>
      <c r="R29" s="92">
        <f>'ANALYSE REGISTRES 17'!E126</f>
        <v>0</v>
      </c>
      <c r="S29" s="92" t="e">
        <f>#REF!</f>
        <v>#REF!</v>
      </c>
      <c r="T29" s="92" t="e">
        <f>#REF!</f>
        <v>#REF!</v>
      </c>
      <c r="U29" s="92" t="e">
        <f>#REF!</f>
        <v>#REF!</v>
      </c>
      <c r="V29" s="3"/>
      <c r="W29" s="46"/>
      <c r="Y29" s="75" t="s">
        <v>146</v>
      </c>
      <c r="Z29" s="114">
        <f t="shared" si="5"/>
        <v>6</v>
      </c>
      <c r="AA29" s="92" t="e">
        <f t="shared" si="6"/>
        <v>#REF!</v>
      </c>
      <c r="AB29" s="92" t="e">
        <f t="shared" si="7"/>
        <v>#REF!</v>
      </c>
      <c r="AC29" s="92" t="e">
        <f t="shared" si="8"/>
        <v>#REF!</v>
      </c>
      <c r="AD29" s="3"/>
      <c r="AE29" s="46"/>
    </row>
    <row r="30" spans="1:31" x14ac:dyDescent="0.25">
      <c r="A30" s="75" t="s">
        <v>147</v>
      </c>
      <c r="B30" s="112">
        <f>'ANALYSE REGISTRES 17'!E95</f>
        <v>2</v>
      </c>
      <c r="C30" s="112" t="e">
        <f>#REF!</f>
        <v>#REF!</v>
      </c>
      <c r="D30" s="112" t="e">
        <f>#REF!</f>
        <v>#REF!</v>
      </c>
      <c r="E30" s="112" t="e">
        <f>#REF!</f>
        <v>#REF!</v>
      </c>
      <c r="F30" s="72"/>
      <c r="G30" s="73"/>
      <c r="H30" s="74"/>
      <c r="I30" s="75" t="s">
        <v>147</v>
      </c>
      <c r="J30" s="112">
        <f>'ANALYSE REGISTRES 17'!E111</f>
        <v>0</v>
      </c>
      <c r="K30" s="112" t="e">
        <f>#REF!</f>
        <v>#REF!</v>
      </c>
      <c r="L30" s="112" t="e">
        <f>#REF!</f>
        <v>#REF!</v>
      </c>
      <c r="M30" s="112" t="e">
        <f>#REF!</f>
        <v>#REF!</v>
      </c>
      <c r="N30" s="72"/>
      <c r="O30" s="73"/>
      <c r="P30" s="74"/>
      <c r="Q30" s="75" t="s">
        <v>147</v>
      </c>
      <c r="R30" s="92">
        <f>'ANALYSE REGISTRES 17'!E127</f>
        <v>0</v>
      </c>
      <c r="S30" s="92" t="e">
        <f>#REF!</f>
        <v>#REF!</v>
      </c>
      <c r="T30" s="92" t="e">
        <f>#REF!</f>
        <v>#REF!</v>
      </c>
      <c r="U30" s="92" t="e">
        <f>#REF!</f>
        <v>#REF!</v>
      </c>
      <c r="V30" s="3"/>
      <c r="W30" s="46"/>
      <c r="Y30" s="75" t="s">
        <v>147</v>
      </c>
      <c r="Z30" s="114">
        <f t="shared" si="5"/>
        <v>2</v>
      </c>
      <c r="AA30" s="92" t="e">
        <f t="shared" si="6"/>
        <v>#REF!</v>
      </c>
      <c r="AB30" s="92" t="e">
        <f t="shared" si="7"/>
        <v>#REF!</v>
      </c>
      <c r="AC30" s="92" t="e">
        <f t="shared" si="8"/>
        <v>#REF!</v>
      </c>
      <c r="AD30" s="3"/>
      <c r="AE30" s="46"/>
    </row>
    <row r="31" spans="1:31" x14ac:dyDescent="0.25">
      <c r="A31" s="75" t="s">
        <v>148</v>
      </c>
      <c r="B31" s="112">
        <f>'ANALYSE REGISTRES 17'!E96</f>
        <v>2</v>
      </c>
      <c r="C31" s="112" t="e">
        <f>#REF!</f>
        <v>#REF!</v>
      </c>
      <c r="D31" s="112" t="e">
        <f>#REF!</f>
        <v>#REF!</v>
      </c>
      <c r="E31" s="112" t="e">
        <f>#REF!</f>
        <v>#REF!</v>
      </c>
      <c r="F31" s="72"/>
      <c r="G31" s="73"/>
      <c r="H31" s="74"/>
      <c r="I31" s="75" t="s">
        <v>148</v>
      </c>
      <c r="J31" s="112">
        <f>'ANALYSE REGISTRES 17'!E112</f>
        <v>1</v>
      </c>
      <c r="K31" s="112" t="e">
        <f>#REF!</f>
        <v>#REF!</v>
      </c>
      <c r="L31" s="112" t="e">
        <f>#REF!</f>
        <v>#REF!</v>
      </c>
      <c r="M31" s="112" t="e">
        <f>#REF!</f>
        <v>#REF!</v>
      </c>
      <c r="N31" s="72"/>
      <c r="O31" s="73"/>
      <c r="P31" s="74"/>
      <c r="Q31" s="75" t="s">
        <v>148</v>
      </c>
      <c r="R31" s="92">
        <f>'ANALYSE REGISTRES 17'!E128</f>
        <v>0</v>
      </c>
      <c r="S31" s="92" t="e">
        <f>#REF!</f>
        <v>#REF!</v>
      </c>
      <c r="T31" s="92" t="e">
        <f>#REF!</f>
        <v>#REF!</v>
      </c>
      <c r="U31" s="92" t="e">
        <f>#REF!</f>
        <v>#REF!</v>
      </c>
      <c r="V31" s="3"/>
      <c r="W31" s="46"/>
      <c r="Y31" s="75" t="s">
        <v>148</v>
      </c>
      <c r="Z31" s="114">
        <f t="shared" si="5"/>
        <v>3</v>
      </c>
      <c r="AA31" s="92" t="e">
        <f t="shared" si="6"/>
        <v>#REF!</v>
      </c>
      <c r="AB31" s="92" t="e">
        <f t="shared" si="7"/>
        <v>#REF!</v>
      </c>
      <c r="AC31" s="92" t="e">
        <f t="shared" si="8"/>
        <v>#REF!</v>
      </c>
      <c r="AD31" s="3"/>
      <c r="AE31" s="46"/>
    </row>
    <row r="32" spans="1:31" x14ac:dyDescent="0.25">
      <c r="A32" s="75" t="s">
        <v>149</v>
      </c>
      <c r="B32" s="112">
        <f>'ANALYSE REGISTRES 17'!E97</f>
        <v>1</v>
      </c>
      <c r="C32" s="112" t="e">
        <f>#REF!</f>
        <v>#REF!</v>
      </c>
      <c r="D32" s="112" t="e">
        <f>#REF!</f>
        <v>#REF!</v>
      </c>
      <c r="E32" s="112" t="e">
        <f>#REF!</f>
        <v>#REF!</v>
      </c>
      <c r="F32" s="72"/>
      <c r="G32" s="73"/>
      <c r="H32" s="74"/>
      <c r="I32" s="75" t="s">
        <v>149</v>
      </c>
      <c r="J32" s="112">
        <f>'ANALYSE REGISTRES 17'!E113</f>
        <v>0</v>
      </c>
      <c r="K32" s="112" t="e">
        <f>#REF!</f>
        <v>#REF!</v>
      </c>
      <c r="L32" s="112" t="e">
        <f>#REF!</f>
        <v>#REF!</v>
      </c>
      <c r="M32" s="112" t="e">
        <f>#REF!</f>
        <v>#REF!</v>
      </c>
      <c r="N32" s="72"/>
      <c r="O32" s="73"/>
      <c r="P32" s="74"/>
      <c r="Q32" s="75" t="s">
        <v>149</v>
      </c>
      <c r="R32" s="92">
        <f>'ANALYSE REGISTRES 17'!E129</f>
        <v>0</v>
      </c>
      <c r="S32" s="92" t="e">
        <f>#REF!</f>
        <v>#REF!</v>
      </c>
      <c r="T32" s="92" t="e">
        <f>#REF!</f>
        <v>#REF!</v>
      </c>
      <c r="U32" s="92" t="e">
        <f>#REF!</f>
        <v>#REF!</v>
      </c>
      <c r="V32" s="3"/>
      <c r="W32" s="46"/>
      <c r="Y32" s="75" t="s">
        <v>149</v>
      </c>
      <c r="Z32" s="114">
        <f t="shared" si="5"/>
        <v>1</v>
      </c>
      <c r="AA32" s="92" t="e">
        <f t="shared" si="6"/>
        <v>#REF!</v>
      </c>
      <c r="AB32" s="92" t="e">
        <f t="shared" si="7"/>
        <v>#REF!</v>
      </c>
      <c r="AC32" s="92" t="e">
        <f t="shared" si="8"/>
        <v>#REF!</v>
      </c>
      <c r="AD32" s="3"/>
      <c r="AE32" s="46"/>
    </row>
    <row r="33" spans="1:31" x14ac:dyDescent="0.25">
      <c r="A33" s="75" t="s">
        <v>10</v>
      </c>
      <c r="B33" s="112">
        <f>'ANALYSE REGISTRES 17'!E98</f>
        <v>0</v>
      </c>
      <c r="C33" s="112" t="e">
        <f>#REF!</f>
        <v>#REF!</v>
      </c>
      <c r="D33" s="112" t="e">
        <f>#REF!</f>
        <v>#REF!</v>
      </c>
      <c r="E33" s="112" t="e">
        <f>#REF!</f>
        <v>#REF!</v>
      </c>
      <c r="F33" s="72"/>
      <c r="G33" s="73"/>
      <c r="H33" s="74"/>
      <c r="I33" s="75" t="s">
        <v>10</v>
      </c>
      <c r="J33" s="112">
        <f>'ANALYSE REGISTRES 17'!E114</f>
        <v>0</v>
      </c>
      <c r="K33" s="112" t="e">
        <f>#REF!</f>
        <v>#REF!</v>
      </c>
      <c r="L33" s="112" t="e">
        <f>#REF!</f>
        <v>#REF!</v>
      </c>
      <c r="M33" s="112" t="e">
        <f>#REF!</f>
        <v>#REF!</v>
      </c>
      <c r="N33" s="72"/>
      <c r="O33" s="73"/>
      <c r="P33" s="74"/>
      <c r="Q33" s="75" t="s">
        <v>10</v>
      </c>
      <c r="R33" s="92">
        <f>'ANALYSE REGISTRES 17'!E130</f>
        <v>0</v>
      </c>
      <c r="S33" s="92" t="e">
        <f>#REF!</f>
        <v>#REF!</v>
      </c>
      <c r="T33" s="92" t="e">
        <f>#REF!</f>
        <v>#REF!</v>
      </c>
      <c r="U33" s="92" t="e">
        <f>#REF!</f>
        <v>#REF!</v>
      </c>
      <c r="V33" s="3"/>
      <c r="W33" s="46"/>
      <c r="Y33" s="75" t="s">
        <v>10</v>
      </c>
      <c r="Z33" s="114">
        <f t="shared" si="5"/>
        <v>0</v>
      </c>
      <c r="AA33" s="92" t="e">
        <f t="shared" si="6"/>
        <v>#REF!</v>
      </c>
      <c r="AB33" s="92" t="e">
        <f t="shared" si="7"/>
        <v>#REF!</v>
      </c>
      <c r="AC33" s="92" t="e">
        <f t="shared" si="8"/>
        <v>#REF!</v>
      </c>
      <c r="AD33" s="3"/>
      <c r="AE33" s="46"/>
    </row>
    <row r="34" spans="1:31" x14ac:dyDescent="0.25">
      <c r="A34" s="75" t="s">
        <v>150</v>
      </c>
      <c r="B34" s="112">
        <f>'ANALYSE REGISTRES 17'!E99</f>
        <v>1</v>
      </c>
      <c r="C34" s="112" t="e">
        <f>#REF!</f>
        <v>#REF!</v>
      </c>
      <c r="D34" s="112" t="e">
        <f>#REF!</f>
        <v>#REF!</v>
      </c>
      <c r="E34" s="112" t="e">
        <f>#REF!</f>
        <v>#REF!</v>
      </c>
      <c r="F34" s="72"/>
      <c r="G34" s="73"/>
      <c r="H34" s="74"/>
      <c r="I34" s="75" t="s">
        <v>150</v>
      </c>
      <c r="J34" s="112">
        <f>'ANALYSE REGISTRES 17'!E115</f>
        <v>0</v>
      </c>
      <c r="K34" s="112" t="e">
        <f>#REF!</f>
        <v>#REF!</v>
      </c>
      <c r="L34" s="112" t="e">
        <f>#REF!</f>
        <v>#REF!</v>
      </c>
      <c r="M34" s="112" t="e">
        <f>#REF!</f>
        <v>#REF!</v>
      </c>
      <c r="N34" s="72"/>
      <c r="O34" s="73"/>
      <c r="P34" s="74"/>
      <c r="Q34" s="75" t="s">
        <v>150</v>
      </c>
      <c r="R34" s="92">
        <f>'ANALYSE REGISTRES 17'!E131</f>
        <v>0</v>
      </c>
      <c r="S34" s="92" t="e">
        <f>#REF!</f>
        <v>#REF!</v>
      </c>
      <c r="T34" s="92" t="e">
        <f>#REF!</f>
        <v>#REF!</v>
      </c>
      <c r="U34" s="92" t="e">
        <f>#REF!</f>
        <v>#REF!</v>
      </c>
      <c r="V34" s="3"/>
      <c r="W34" s="46"/>
      <c r="Y34" s="75" t="s">
        <v>150</v>
      </c>
      <c r="Z34" s="114">
        <f t="shared" si="5"/>
        <v>1</v>
      </c>
      <c r="AA34" s="92" t="e">
        <f t="shared" si="6"/>
        <v>#REF!</v>
      </c>
      <c r="AB34" s="92" t="e">
        <f t="shared" si="7"/>
        <v>#REF!</v>
      </c>
      <c r="AC34" s="92" t="e">
        <f t="shared" si="8"/>
        <v>#REF!</v>
      </c>
      <c r="AD34" s="3"/>
      <c r="AE34" s="46"/>
    </row>
    <row r="35" spans="1:31" x14ac:dyDescent="0.25">
      <c r="A35" s="75" t="s">
        <v>151</v>
      </c>
      <c r="B35" s="112">
        <f>'ANALYSE REGISTRES 17'!E100</f>
        <v>0</v>
      </c>
      <c r="C35" s="112" t="e">
        <f>#REF!</f>
        <v>#REF!</v>
      </c>
      <c r="D35" s="112" t="e">
        <f>#REF!</f>
        <v>#REF!</v>
      </c>
      <c r="E35" s="112" t="e">
        <f>#REF!</f>
        <v>#REF!</v>
      </c>
      <c r="F35" s="72"/>
      <c r="G35" s="73"/>
      <c r="H35" s="74"/>
      <c r="I35" s="75" t="s">
        <v>151</v>
      </c>
      <c r="J35" s="112">
        <f>'ANALYSE REGISTRES 17'!E116</f>
        <v>0</v>
      </c>
      <c r="K35" s="112" t="e">
        <f>#REF!</f>
        <v>#REF!</v>
      </c>
      <c r="L35" s="112" t="e">
        <f>#REF!</f>
        <v>#REF!</v>
      </c>
      <c r="M35" s="112" t="e">
        <f>#REF!</f>
        <v>#REF!</v>
      </c>
      <c r="N35" s="72"/>
      <c r="O35" s="73"/>
      <c r="P35" s="74"/>
      <c r="Q35" s="75" t="s">
        <v>151</v>
      </c>
      <c r="R35" s="92">
        <f>'ANALYSE REGISTRES 17'!E132</f>
        <v>0</v>
      </c>
      <c r="S35" s="92" t="e">
        <f>#REF!</f>
        <v>#REF!</v>
      </c>
      <c r="T35" s="92" t="e">
        <f>#REF!</f>
        <v>#REF!</v>
      </c>
      <c r="U35" s="92" t="e">
        <f>#REF!</f>
        <v>#REF!</v>
      </c>
      <c r="V35" s="3"/>
      <c r="W35" s="46"/>
      <c r="Y35" s="75" t="s">
        <v>151</v>
      </c>
      <c r="Z35" s="114">
        <f t="shared" si="5"/>
        <v>0</v>
      </c>
      <c r="AA35" s="92" t="e">
        <f t="shared" si="6"/>
        <v>#REF!</v>
      </c>
      <c r="AB35" s="92" t="e">
        <f t="shared" si="7"/>
        <v>#REF!</v>
      </c>
      <c r="AC35" s="92" t="e">
        <f t="shared" si="8"/>
        <v>#REF!</v>
      </c>
      <c r="AD35" s="3"/>
      <c r="AE35" s="46"/>
    </row>
    <row r="36" spans="1:31" x14ac:dyDescent="0.25">
      <c r="A36" s="75" t="s">
        <v>152</v>
      </c>
      <c r="B36" s="112">
        <f>'ANALYSE REGISTRES 17'!E101</f>
        <v>0</v>
      </c>
      <c r="C36" s="112" t="e">
        <f>#REF!</f>
        <v>#REF!</v>
      </c>
      <c r="D36" s="112" t="e">
        <f>#REF!</f>
        <v>#REF!</v>
      </c>
      <c r="E36" s="112" t="e">
        <f>#REF!</f>
        <v>#REF!</v>
      </c>
      <c r="F36" s="72"/>
      <c r="G36" s="73"/>
      <c r="H36" s="74"/>
      <c r="I36" s="75" t="s">
        <v>152</v>
      </c>
      <c r="J36" s="112">
        <f>'ANALYSE REGISTRES 17'!E117</f>
        <v>0</v>
      </c>
      <c r="K36" s="112" t="e">
        <f>#REF!</f>
        <v>#REF!</v>
      </c>
      <c r="L36" s="112" t="e">
        <f>#REF!</f>
        <v>#REF!</v>
      </c>
      <c r="M36" s="112" t="e">
        <f>#REF!</f>
        <v>#REF!</v>
      </c>
      <c r="N36" s="72"/>
      <c r="O36" s="73"/>
      <c r="P36" s="74"/>
      <c r="Q36" s="75" t="s">
        <v>152</v>
      </c>
      <c r="R36" s="92">
        <f>'ANALYSE REGISTRES 17'!E133</f>
        <v>0</v>
      </c>
      <c r="S36" s="92" t="e">
        <f>#REF!</f>
        <v>#REF!</v>
      </c>
      <c r="T36" s="92" t="e">
        <f>#REF!</f>
        <v>#REF!</v>
      </c>
      <c r="U36" s="92" t="e">
        <f>#REF!</f>
        <v>#REF!</v>
      </c>
      <c r="V36" s="3"/>
      <c r="W36" s="46"/>
      <c r="Y36" s="75" t="s">
        <v>152</v>
      </c>
      <c r="Z36" s="114">
        <f t="shared" si="5"/>
        <v>0</v>
      </c>
      <c r="AA36" s="92" t="e">
        <f t="shared" si="6"/>
        <v>#REF!</v>
      </c>
      <c r="AB36" s="92" t="e">
        <f t="shared" si="7"/>
        <v>#REF!</v>
      </c>
      <c r="AC36" s="92" t="e">
        <f t="shared" si="8"/>
        <v>#REF!</v>
      </c>
      <c r="AD36" s="3"/>
      <c r="AE36" s="46"/>
    </row>
    <row r="37" spans="1:31" x14ac:dyDescent="0.25">
      <c r="A37" s="75" t="s">
        <v>76</v>
      </c>
      <c r="B37" s="112">
        <f>'ANALYSE REGISTRES 17'!E102</f>
        <v>0</v>
      </c>
      <c r="C37" s="112" t="e">
        <f>#REF!</f>
        <v>#REF!</v>
      </c>
      <c r="D37" s="112" t="e">
        <f>#REF!</f>
        <v>#REF!</v>
      </c>
      <c r="E37" s="112" t="e">
        <f>#REF!</f>
        <v>#REF!</v>
      </c>
      <c r="F37" s="72"/>
      <c r="G37" s="73"/>
      <c r="H37" s="74"/>
      <c r="I37" s="75" t="s">
        <v>76</v>
      </c>
      <c r="J37" s="112">
        <f>'ANALYSE REGISTRES 17'!E118</f>
        <v>0</v>
      </c>
      <c r="K37" s="112" t="e">
        <f>#REF!</f>
        <v>#REF!</v>
      </c>
      <c r="L37" s="112" t="e">
        <f>#REF!</f>
        <v>#REF!</v>
      </c>
      <c r="M37" s="112" t="e">
        <f>#REF!</f>
        <v>#REF!</v>
      </c>
      <c r="N37" s="72"/>
      <c r="O37" s="73"/>
      <c r="P37" s="74"/>
      <c r="Q37" s="75" t="s">
        <v>76</v>
      </c>
      <c r="R37" s="92">
        <f>'ANALYSE REGISTRES 17'!E134</f>
        <v>0</v>
      </c>
      <c r="S37" s="92" t="e">
        <f>#REF!</f>
        <v>#REF!</v>
      </c>
      <c r="T37" s="92" t="e">
        <f>#REF!</f>
        <v>#REF!</v>
      </c>
      <c r="U37" s="92" t="e">
        <f>#REF!</f>
        <v>#REF!</v>
      </c>
      <c r="V37" s="3"/>
      <c r="W37" s="46"/>
      <c r="Y37" s="75" t="s">
        <v>76</v>
      </c>
      <c r="Z37" s="114">
        <f t="shared" si="5"/>
        <v>0</v>
      </c>
      <c r="AA37" s="92" t="e">
        <f t="shared" si="6"/>
        <v>#REF!</v>
      </c>
      <c r="AB37" s="92" t="e">
        <f t="shared" si="7"/>
        <v>#REF!</v>
      </c>
      <c r="AC37" s="92" t="e">
        <f t="shared" si="8"/>
        <v>#REF!</v>
      </c>
      <c r="AD37" s="3"/>
      <c r="AE37" s="46"/>
    </row>
    <row r="38" spans="1:31" x14ac:dyDescent="0.25">
      <c r="A38" s="75" t="s">
        <v>153</v>
      </c>
      <c r="B38" s="112">
        <f>'ANALYSE REGISTRES 17'!E103</f>
        <v>0</v>
      </c>
      <c r="C38" s="112" t="e">
        <f>#REF!</f>
        <v>#REF!</v>
      </c>
      <c r="D38" s="112" t="e">
        <f>#REF!</f>
        <v>#REF!</v>
      </c>
      <c r="E38" s="112" t="e">
        <f>#REF!</f>
        <v>#REF!</v>
      </c>
      <c r="F38" s="72"/>
      <c r="G38" s="73"/>
      <c r="H38" s="74"/>
      <c r="I38" s="75" t="s">
        <v>153</v>
      </c>
      <c r="J38" s="112">
        <f>'ANALYSE REGISTRES 17'!E119</f>
        <v>1</v>
      </c>
      <c r="K38" s="112" t="e">
        <f>#REF!</f>
        <v>#REF!</v>
      </c>
      <c r="L38" s="112" t="e">
        <f>#REF!</f>
        <v>#REF!</v>
      </c>
      <c r="M38" s="112" t="e">
        <f>#REF!</f>
        <v>#REF!</v>
      </c>
      <c r="N38" s="72"/>
      <c r="O38" s="73"/>
      <c r="P38" s="74"/>
      <c r="Q38" s="75" t="s">
        <v>153</v>
      </c>
      <c r="R38" s="92">
        <f>'ANALYSE REGISTRES 17'!E135</f>
        <v>0</v>
      </c>
      <c r="S38" s="92" t="e">
        <f>#REF!</f>
        <v>#REF!</v>
      </c>
      <c r="T38" s="92" t="e">
        <f>#REF!</f>
        <v>#REF!</v>
      </c>
      <c r="U38" s="92" t="e">
        <f>#REF!</f>
        <v>#REF!</v>
      </c>
      <c r="V38" s="3"/>
      <c r="W38" s="46"/>
      <c r="Y38" s="75" t="s">
        <v>153</v>
      </c>
      <c r="Z38" s="114">
        <f t="shared" si="5"/>
        <v>1</v>
      </c>
      <c r="AA38" s="92" t="e">
        <f t="shared" si="6"/>
        <v>#REF!</v>
      </c>
      <c r="AB38" s="92" t="e">
        <f t="shared" si="7"/>
        <v>#REF!</v>
      </c>
      <c r="AC38" s="92" t="e">
        <f t="shared" si="8"/>
        <v>#REF!</v>
      </c>
      <c r="AD38" s="3"/>
      <c r="AE38" s="46"/>
    </row>
    <row r="39" spans="1:31" x14ac:dyDescent="0.25">
      <c r="A39" s="75" t="s">
        <v>154</v>
      </c>
      <c r="B39" s="112">
        <f>'ANALYSE REGISTRES 17'!E104</f>
        <v>0</v>
      </c>
      <c r="C39" s="112" t="e">
        <f>#REF!</f>
        <v>#REF!</v>
      </c>
      <c r="D39" s="112" t="e">
        <f>#REF!</f>
        <v>#REF!</v>
      </c>
      <c r="E39" s="112" t="e">
        <f>#REF!</f>
        <v>#REF!</v>
      </c>
      <c r="F39" s="72"/>
      <c r="G39" s="73"/>
      <c r="H39" s="74"/>
      <c r="I39" s="75" t="s">
        <v>154</v>
      </c>
      <c r="J39" s="112">
        <f>'ANALYSE REGISTRES 17'!E120</f>
        <v>0</v>
      </c>
      <c r="K39" s="112" t="e">
        <f>#REF!</f>
        <v>#REF!</v>
      </c>
      <c r="L39" s="112" t="e">
        <f>#REF!</f>
        <v>#REF!</v>
      </c>
      <c r="M39" s="112" t="e">
        <f>#REF!</f>
        <v>#REF!</v>
      </c>
      <c r="N39" s="72"/>
      <c r="O39" s="73"/>
      <c r="P39" s="74"/>
      <c r="Q39" s="75" t="s">
        <v>154</v>
      </c>
      <c r="R39" s="92">
        <f>'ANALYSE REGISTRES 17'!E136</f>
        <v>0</v>
      </c>
      <c r="S39" s="92" t="e">
        <f>#REF!</f>
        <v>#REF!</v>
      </c>
      <c r="T39" s="92" t="e">
        <f>#REF!</f>
        <v>#REF!</v>
      </c>
      <c r="U39" s="92" t="e">
        <f>#REF!</f>
        <v>#REF!</v>
      </c>
      <c r="V39" s="3"/>
      <c r="W39" s="46"/>
      <c r="Y39" s="75" t="s">
        <v>154</v>
      </c>
      <c r="Z39" s="114">
        <f t="shared" si="5"/>
        <v>0</v>
      </c>
      <c r="AA39" s="92" t="e">
        <f t="shared" si="6"/>
        <v>#REF!</v>
      </c>
      <c r="AB39" s="92" t="e">
        <f t="shared" si="7"/>
        <v>#REF!</v>
      </c>
      <c r="AC39" s="92" t="e">
        <f t="shared" si="8"/>
        <v>#REF!</v>
      </c>
      <c r="AD39" s="3"/>
      <c r="AE39" s="46"/>
    </row>
    <row r="40" spans="1:31" x14ac:dyDescent="0.25">
      <c r="A40" s="75" t="s">
        <v>155</v>
      </c>
      <c r="B40" s="112">
        <f>'ANALYSE REGISTRES 17'!E105</f>
        <v>0</v>
      </c>
      <c r="C40" s="112" t="e">
        <f>#REF!</f>
        <v>#REF!</v>
      </c>
      <c r="D40" s="112" t="e">
        <f>#REF!</f>
        <v>#REF!</v>
      </c>
      <c r="E40" s="112" t="e">
        <f>#REF!</f>
        <v>#REF!</v>
      </c>
      <c r="F40" s="72"/>
      <c r="G40" s="73"/>
      <c r="H40" s="74"/>
      <c r="I40" s="75" t="s">
        <v>155</v>
      </c>
      <c r="J40" s="112">
        <f>'ANALYSE REGISTRES 17'!E121</f>
        <v>2</v>
      </c>
      <c r="K40" s="112" t="e">
        <f>#REF!</f>
        <v>#REF!</v>
      </c>
      <c r="L40" s="112" t="e">
        <f>#REF!</f>
        <v>#REF!</v>
      </c>
      <c r="M40" s="112" t="e">
        <f>#REF!</f>
        <v>#REF!</v>
      </c>
      <c r="N40" s="72"/>
      <c r="O40" s="73"/>
      <c r="P40" s="74"/>
      <c r="Q40" s="75" t="s">
        <v>155</v>
      </c>
      <c r="R40" s="92">
        <f>'ANALYSE REGISTRES 17'!E137</f>
        <v>0</v>
      </c>
      <c r="S40" s="92" t="e">
        <f>#REF!</f>
        <v>#REF!</v>
      </c>
      <c r="T40" s="92" t="e">
        <f>#REF!</f>
        <v>#REF!</v>
      </c>
      <c r="U40" s="92" t="e">
        <f>#REF!</f>
        <v>#REF!</v>
      </c>
      <c r="V40" s="3"/>
      <c r="W40" s="46"/>
      <c r="Y40" s="75" t="s">
        <v>155</v>
      </c>
      <c r="Z40" s="114">
        <f t="shared" si="5"/>
        <v>2</v>
      </c>
      <c r="AA40" s="92" t="e">
        <f t="shared" si="6"/>
        <v>#REF!</v>
      </c>
      <c r="AB40" s="92" t="e">
        <f t="shared" si="7"/>
        <v>#REF!</v>
      </c>
      <c r="AC40" s="92" t="e">
        <f t="shared" si="8"/>
        <v>#REF!</v>
      </c>
      <c r="AD40" s="3"/>
      <c r="AE40" s="46"/>
    </row>
    <row r="41" spans="1:31" x14ac:dyDescent="0.25">
      <c r="A41" s="76" t="s">
        <v>156</v>
      </c>
      <c r="B41" s="112">
        <f>'ANALYSE REGISTRES 17'!E106</f>
        <v>10</v>
      </c>
      <c r="C41" s="112" t="e">
        <f>#REF!</f>
        <v>#REF!</v>
      </c>
      <c r="D41" s="112" t="e">
        <f>#REF!</f>
        <v>#REF!</v>
      </c>
      <c r="E41" s="112" t="e">
        <f>#REF!</f>
        <v>#REF!</v>
      </c>
      <c r="F41" s="77"/>
      <c r="G41" s="78"/>
      <c r="H41" s="74"/>
      <c r="I41" s="76" t="s">
        <v>156</v>
      </c>
      <c r="J41" s="112">
        <f>'ANALYSE REGISTRES 17'!E122</f>
        <v>13</v>
      </c>
      <c r="K41" s="112" t="e">
        <f>#REF!</f>
        <v>#REF!</v>
      </c>
      <c r="L41" s="112" t="e">
        <f>#REF!</f>
        <v>#REF!</v>
      </c>
      <c r="M41" s="112" t="e">
        <f>#REF!</f>
        <v>#REF!</v>
      </c>
      <c r="N41" s="77"/>
      <c r="O41" s="78"/>
      <c r="P41" s="74"/>
      <c r="Q41" s="76" t="s">
        <v>156</v>
      </c>
      <c r="R41" s="92">
        <f>'ANALYSE REGISTRES 17'!E138</f>
        <v>0</v>
      </c>
      <c r="S41" s="92" t="e">
        <f>#REF!</f>
        <v>#REF!</v>
      </c>
      <c r="T41" s="92" t="e">
        <f>#REF!</f>
        <v>#REF!</v>
      </c>
      <c r="U41" s="92" t="e">
        <f>#REF!</f>
        <v>#REF!</v>
      </c>
      <c r="V41" s="47"/>
      <c r="W41" s="48"/>
      <c r="Y41" s="76" t="s">
        <v>156</v>
      </c>
      <c r="Z41" s="115">
        <f t="shared" si="5"/>
        <v>23</v>
      </c>
      <c r="AA41" s="92" t="e">
        <f t="shared" si="6"/>
        <v>#REF!</v>
      </c>
      <c r="AB41" s="92" t="e">
        <f>L41+T41+D41</f>
        <v>#REF!</v>
      </c>
      <c r="AC41" s="92" t="e">
        <f t="shared" si="8"/>
        <v>#REF!</v>
      </c>
      <c r="AD41" s="47"/>
      <c r="AE41" s="48"/>
    </row>
    <row r="42" spans="1:31" x14ac:dyDescent="0.25">
      <c r="A42" s="104" t="s">
        <v>174</v>
      </c>
      <c r="B42" s="61">
        <f>SUM(B27:B41)</f>
        <v>45</v>
      </c>
      <c r="C42" s="61" t="e">
        <f>SUM(C27:C41)</f>
        <v>#REF!</v>
      </c>
      <c r="D42" s="61" t="e">
        <f>SUM(D27:D41)</f>
        <v>#REF!</v>
      </c>
      <c r="E42" s="61" t="e">
        <f>SUM(E27:E41)</f>
        <v>#REF!</v>
      </c>
      <c r="F42" s="61"/>
      <c r="G42" s="95"/>
      <c r="I42" s="104" t="s">
        <v>174</v>
      </c>
      <c r="J42" s="61">
        <f>SUM(J27:J41)</f>
        <v>24</v>
      </c>
      <c r="K42" s="61" t="e">
        <f>SUM(K27:K41)</f>
        <v>#REF!</v>
      </c>
      <c r="L42" s="61" t="e">
        <f>SUM(L27:L41)</f>
        <v>#REF!</v>
      </c>
      <c r="M42" s="61" t="e">
        <f>SUM(M27:M41)</f>
        <v>#REF!</v>
      </c>
      <c r="N42" s="61"/>
      <c r="O42" s="95"/>
      <c r="Q42" s="104" t="s">
        <v>174</v>
      </c>
      <c r="R42" s="61">
        <f>SUM(R27:R41)</f>
        <v>0</v>
      </c>
      <c r="S42" s="61" t="e">
        <f>SUM(S27:S41)</f>
        <v>#REF!</v>
      </c>
      <c r="T42" s="61" t="e">
        <f>SUM(T27:T41)</f>
        <v>#REF!</v>
      </c>
      <c r="U42" s="61" t="e">
        <f>SUM(U27:U41)</f>
        <v>#REF!</v>
      </c>
      <c r="V42" s="61"/>
      <c r="W42" s="95"/>
      <c r="Y42" s="104" t="s">
        <v>174</v>
      </c>
      <c r="Z42" s="61">
        <f>SUM(Z27:Z41)</f>
        <v>69</v>
      </c>
      <c r="AA42" s="61" t="e">
        <f>SUM(AA27:AA41)</f>
        <v>#REF!</v>
      </c>
      <c r="AB42" s="61" t="e">
        <f>SUM(AB27:AB41)</f>
        <v>#REF!</v>
      </c>
      <c r="AC42" s="61" t="e">
        <f>SUM(AC27:AC41)</f>
        <v>#REF!</v>
      </c>
      <c r="AD42" s="61"/>
      <c r="AE42" s="95"/>
    </row>
    <row r="44" spans="1:31" x14ac:dyDescent="0.25">
      <c r="A44" s="178" t="s">
        <v>159</v>
      </c>
      <c r="B44" s="178"/>
      <c r="C44" s="178"/>
      <c r="D44" s="178"/>
      <c r="E44" s="178"/>
      <c r="F44" s="178"/>
      <c r="G44" s="178"/>
      <c r="H44" s="178"/>
      <c r="I44" s="178"/>
      <c r="J44" s="178"/>
      <c r="K44" s="178"/>
      <c r="L44" s="178"/>
      <c r="M44" s="178"/>
      <c r="N44" s="178"/>
      <c r="O44" s="178"/>
      <c r="P44" s="178"/>
      <c r="Q44" s="178"/>
      <c r="R44" s="178"/>
      <c r="S44" s="178"/>
      <c r="T44" s="178"/>
      <c r="U44" s="178"/>
      <c r="V44" s="178"/>
      <c r="W44" s="178"/>
      <c r="X44" s="178"/>
      <c r="Y44" s="178"/>
      <c r="Z44" s="178"/>
      <c r="AA44" s="178"/>
      <c r="AB44" s="178"/>
      <c r="AC44" s="178"/>
      <c r="AD44" s="178"/>
      <c r="AE44" s="178"/>
    </row>
    <row r="45" spans="1:31" x14ac:dyDescent="0.25">
      <c r="B45" s="172" t="s">
        <v>140</v>
      </c>
      <c r="C45" s="172"/>
      <c r="D45" s="172"/>
      <c r="E45" s="172"/>
      <c r="F45" s="172"/>
      <c r="G45" s="172"/>
      <c r="H45" s="6"/>
      <c r="I45" s="6"/>
      <c r="J45" s="172" t="s">
        <v>141</v>
      </c>
      <c r="K45" s="172"/>
      <c r="L45" s="172"/>
      <c r="M45" s="172"/>
      <c r="N45" s="172"/>
      <c r="O45" s="172"/>
      <c r="P45" s="6"/>
      <c r="Q45" s="6"/>
      <c r="R45" s="172" t="s">
        <v>142</v>
      </c>
      <c r="S45" s="172"/>
      <c r="T45" s="172"/>
      <c r="U45" s="172"/>
      <c r="V45" s="172"/>
      <c r="W45" s="172"/>
      <c r="Y45" s="6"/>
      <c r="Z45" s="172" t="s">
        <v>174</v>
      </c>
      <c r="AA45" s="172"/>
      <c r="AB45" s="172"/>
      <c r="AC45" s="172"/>
      <c r="AD45" s="172"/>
      <c r="AE45" s="172"/>
    </row>
    <row r="46" spans="1:31" x14ac:dyDescent="0.25">
      <c r="A46" s="67"/>
      <c r="B46" s="61">
        <v>2017</v>
      </c>
      <c r="C46" s="61">
        <v>2018</v>
      </c>
      <c r="D46" s="61">
        <v>2019</v>
      </c>
      <c r="E46" s="61">
        <v>2020</v>
      </c>
      <c r="F46" s="61">
        <v>2021</v>
      </c>
      <c r="G46" s="62">
        <v>2022</v>
      </c>
      <c r="I46" s="67"/>
      <c r="J46" s="61">
        <v>2017</v>
      </c>
      <c r="K46" s="61">
        <v>2018</v>
      </c>
      <c r="L46" s="61">
        <v>2019</v>
      </c>
      <c r="M46" s="61">
        <v>2020</v>
      </c>
      <c r="N46" s="61">
        <v>2021</v>
      </c>
      <c r="O46" s="62">
        <v>2022</v>
      </c>
      <c r="Q46" s="67"/>
      <c r="R46" s="61">
        <v>2017</v>
      </c>
      <c r="S46" s="61">
        <v>2018</v>
      </c>
      <c r="T46" s="61">
        <v>2019</v>
      </c>
      <c r="U46" s="61">
        <v>2020</v>
      </c>
      <c r="V46" s="61">
        <v>2021</v>
      </c>
      <c r="W46" s="62">
        <v>2022</v>
      </c>
      <c r="Y46" s="67"/>
      <c r="Z46" s="61">
        <v>2017</v>
      </c>
      <c r="AA46" s="61">
        <v>2018</v>
      </c>
      <c r="AB46" s="61">
        <v>2019</v>
      </c>
      <c r="AC46" s="61">
        <v>2020</v>
      </c>
      <c r="AD46" s="61">
        <v>2021</v>
      </c>
      <c r="AE46" s="62">
        <v>2022</v>
      </c>
    </row>
    <row r="47" spans="1:31" x14ac:dyDescent="0.25">
      <c r="A47" s="68" t="s">
        <v>134</v>
      </c>
      <c r="B47" s="92">
        <f>'ANALYSE REGISTRES 17'!G90</f>
        <v>24</v>
      </c>
      <c r="C47" s="92" t="e">
        <f>#REF!</f>
        <v>#REF!</v>
      </c>
      <c r="D47" s="3"/>
      <c r="E47" s="3"/>
      <c r="F47" s="3"/>
      <c r="G47" s="46"/>
      <c r="I47" s="68" t="s">
        <v>134</v>
      </c>
      <c r="J47" s="92">
        <f>'ANALYSE REGISTRES 17'!G104</f>
        <v>10</v>
      </c>
      <c r="K47" s="92" t="e">
        <f>#REF!</f>
        <v>#REF!</v>
      </c>
      <c r="L47" s="3"/>
      <c r="M47" s="3"/>
      <c r="N47" s="3"/>
      <c r="O47" s="46"/>
      <c r="Q47" s="68" t="s">
        <v>134</v>
      </c>
      <c r="R47" s="1" cm="1">
        <f t="array" ref="R47:R60">'ANALYSE REGISTRES 17'!G118:G131</f>
        <v>0</v>
      </c>
      <c r="S47" s="92" t="e">
        <f>#REF!</f>
        <v>#REF!</v>
      </c>
      <c r="T47" s="3"/>
      <c r="U47" s="3"/>
      <c r="V47" s="3"/>
      <c r="W47" s="46"/>
      <c r="Y47" s="68" t="s">
        <v>134</v>
      </c>
      <c r="Z47" s="92">
        <f>B47+J47+R47</f>
        <v>34</v>
      </c>
      <c r="AA47" s="92" t="e">
        <f>S47+K47+C47</f>
        <v>#REF!</v>
      </c>
      <c r="AB47" s="3"/>
      <c r="AC47" s="3"/>
      <c r="AD47" s="3"/>
      <c r="AE47" s="46"/>
    </row>
    <row r="48" spans="1:31" x14ac:dyDescent="0.25">
      <c r="A48" s="69" t="s">
        <v>130</v>
      </c>
      <c r="B48" s="92">
        <f>'ANALYSE REGISTRES 17'!G91</f>
        <v>8</v>
      </c>
      <c r="C48" s="92" t="e">
        <f>#REF!</f>
        <v>#REF!</v>
      </c>
      <c r="D48" s="3"/>
      <c r="E48" s="3"/>
      <c r="F48" s="3"/>
      <c r="G48" s="46"/>
      <c r="I48" s="69" t="s">
        <v>130</v>
      </c>
      <c r="J48" s="92">
        <f>'ANALYSE REGISTRES 17'!G105</f>
        <v>4</v>
      </c>
      <c r="K48" s="92" t="e">
        <f>#REF!</f>
        <v>#REF!</v>
      </c>
      <c r="L48" s="3"/>
      <c r="M48" s="3"/>
      <c r="N48" s="3"/>
      <c r="O48" s="46"/>
      <c r="Q48" s="69" t="s">
        <v>130</v>
      </c>
      <c r="R48" s="1">
        <v>0</v>
      </c>
      <c r="S48" s="92" t="e">
        <f>#REF!</f>
        <v>#REF!</v>
      </c>
      <c r="T48" s="3"/>
      <c r="U48" s="3"/>
      <c r="V48" s="3"/>
      <c r="W48" s="46"/>
      <c r="Y48" s="69" t="s">
        <v>130</v>
      </c>
      <c r="Z48" s="92">
        <f t="shared" ref="Z48:Z59" si="9">B48+J48+R48</f>
        <v>12</v>
      </c>
      <c r="AA48" s="92" t="e">
        <f t="shared" ref="AA48:AA59" si="10">S48+K48+C48</f>
        <v>#REF!</v>
      </c>
      <c r="AB48" s="3"/>
      <c r="AC48" s="3"/>
      <c r="AD48" s="3"/>
      <c r="AE48" s="46"/>
    </row>
    <row r="49" spans="1:31" x14ac:dyDescent="0.25">
      <c r="A49" s="69" t="s">
        <v>139</v>
      </c>
      <c r="B49" s="92">
        <f>'ANALYSE REGISTRES 17'!G92</f>
        <v>1</v>
      </c>
      <c r="C49" s="92" t="e">
        <f>#REF!</f>
        <v>#REF!</v>
      </c>
      <c r="D49" s="3"/>
      <c r="E49" s="3"/>
      <c r="F49" s="3"/>
      <c r="G49" s="46"/>
      <c r="I49" s="69" t="s">
        <v>139</v>
      </c>
      <c r="J49" s="92">
        <f>'ANALYSE REGISTRES 17'!G106</f>
        <v>2</v>
      </c>
      <c r="K49" s="92" t="e">
        <f>#REF!</f>
        <v>#REF!</v>
      </c>
      <c r="L49" s="3"/>
      <c r="M49" s="3"/>
      <c r="N49" s="3"/>
      <c r="O49" s="46"/>
      <c r="Q49" s="69" t="s">
        <v>139</v>
      </c>
      <c r="R49" s="1">
        <v>0</v>
      </c>
      <c r="S49" s="92" t="e">
        <f>#REF!</f>
        <v>#REF!</v>
      </c>
      <c r="T49" s="3"/>
      <c r="U49" s="3"/>
      <c r="V49" s="3"/>
      <c r="W49" s="46"/>
      <c r="Y49" s="69" t="s">
        <v>139</v>
      </c>
      <c r="Z49" s="92">
        <f t="shared" si="9"/>
        <v>3</v>
      </c>
      <c r="AA49" s="92" t="e">
        <f t="shared" si="10"/>
        <v>#REF!</v>
      </c>
      <c r="AB49" s="3"/>
      <c r="AC49" s="3"/>
      <c r="AD49" s="3"/>
      <c r="AE49" s="46"/>
    </row>
    <row r="50" spans="1:31" x14ac:dyDescent="0.25">
      <c r="A50" s="69" t="s">
        <v>129</v>
      </c>
      <c r="B50" s="92">
        <f>'ANALYSE REGISTRES 17'!G93</f>
        <v>1</v>
      </c>
      <c r="C50" s="92" t="e">
        <f>#REF!</f>
        <v>#REF!</v>
      </c>
      <c r="D50" s="3"/>
      <c r="E50" s="3"/>
      <c r="F50" s="3"/>
      <c r="G50" s="46"/>
      <c r="I50" s="69" t="s">
        <v>129</v>
      </c>
      <c r="J50" s="92">
        <f>'ANALYSE REGISTRES 17'!G107</f>
        <v>1</v>
      </c>
      <c r="K50" s="92" t="e">
        <f>#REF!</f>
        <v>#REF!</v>
      </c>
      <c r="L50" s="3"/>
      <c r="M50" s="3"/>
      <c r="N50" s="3"/>
      <c r="O50" s="46"/>
      <c r="Q50" s="69" t="s">
        <v>129</v>
      </c>
      <c r="R50" s="1">
        <v>0</v>
      </c>
      <c r="S50" s="92" t="e">
        <f>#REF!</f>
        <v>#REF!</v>
      </c>
      <c r="T50" s="3"/>
      <c r="U50" s="3"/>
      <c r="V50" s="3"/>
      <c r="W50" s="46"/>
      <c r="Y50" s="69" t="s">
        <v>129</v>
      </c>
      <c r="Z50" s="92">
        <f t="shared" si="9"/>
        <v>2</v>
      </c>
      <c r="AA50" s="92" t="e">
        <f t="shared" si="10"/>
        <v>#REF!</v>
      </c>
      <c r="AB50" s="3"/>
      <c r="AC50" s="3"/>
      <c r="AD50" s="3"/>
      <c r="AE50" s="46"/>
    </row>
    <row r="51" spans="1:31" x14ac:dyDescent="0.25">
      <c r="A51" s="69" t="s">
        <v>133</v>
      </c>
      <c r="B51" s="92">
        <f>'ANALYSE REGISTRES 17'!G94</f>
        <v>2</v>
      </c>
      <c r="C51" s="92" t="e">
        <f>#REF!</f>
        <v>#REF!</v>
      </c>
      <c r="D51" s="3"/>
      <c r="E51" s="3"/>
      <c r="F51" s="3"/>
      <c r="G51" s="46"/>
      <c r="I51" s="69" t="s">
        <v>133</v>
      </c>
      <c r="J51" s="92">
        <f>'ANALYSE REGISTRES 17'!G108</f>
        <v>2</v>
      </c>
      <c r="K51" s="92" t="e">
        <f>#REF!</f>
        <v>#REF!</v>
      </c>
      <c r="L51" s="3"/>
      <c r="M51" s="3"/>
      <c r="N51" s="3"/>
      <c r="O51" s="46"/>
      <c r="Q51" s="69" t="s">
        <v>133</v>
      </c>
      <c r="R51" s="1">
        <v>0</v>
      </c>
      <c r="S51" s="92" t="e">
        <f>#REF!</f>
        <v>#REF!</v>
      </c>
      <c r="T51" s="3"/>
      <c r="U51" s="3"/>
      <c r="V51" s="3"/>
      <c r="W51" s="46"/>
      <c r="Y51" s="69" t="s">
        <v>133</v>
      </c>
      <c r="Z51" s="92">
        <f t="shared" si="9"/>
        <v>4</v>
      </c>
      <c r="AA51" s="92" t="e">
        <f t="shared" si="10"/>
        <v>#REF!</v>
      </c>
      <c r="AB51" s="3"/>
      <c r="AC51" s="3"/>
      <c r="AD51" s="3"/>
      <c r="AE51" s="46"/>
    </row>
    <row r="52" spans="1:31" x14ac:dyDescent="0.25">
      <c r="A52" s="69" t="s">
        <v>137</v>
      </c>
      <c r="B52" s="92">
        <f>'ANALYSE REGISTRES 17'!G95</f>
        <v>0</v>
      </c>
      <c r="C52" s="92" t="e">
        <f>#REF!</f>
        <v>#REF!</v>
      </c>
      <c r="D52" s="3"/>
      <c r="E52" s="3"/>
      <c r="F52" s="3"/>
      <c r="G52" s="46"/>
      <c r="I52" s="69" t="s">
        <v>137</v>
      </c>
      <c r="J52" s="92">
        <f>'ANALYSE REGISTRES 17'!G109</f>
        <v>0</v>
      </c>
      <c r="K52" s="92" t="e">
        <f>#REF!</f>
        <v>#REF!</v>
      </c>
      <c r="L52" s="3"/>
      <c r="M52" s="3"/>
      <c r="N52" s="3"/>
      <c r="O52" s="46"/>
      <c r="Q52" s="69" t="s">
        <v>137</v>
      </c>
      <c r="R52" s="1">
        <v>0</v>
      </c>
      <c r="S52" s="92" t="e">
        <f>#REF!</f>
        <v>#REF!</v>
      </c>
      <c r="T52" s="3"/>
      <c r="U52" s="3"/>
      <c r="V52" s="3"/>
      <c r="W52" s="46"/>
      <c r="Y52" s="69" t="s">
        <v>137</v>
      </c>
      <c r="Z52" s="92">
        <f t="shared" si="9"/>
        <v>0</v>
      </c>
      <c r="AA52" s="92" t="e">
        <f t="shared" si="10"/>
        <v>#REF!</v>
      </c>
      <c r="AB52" s="3"/>
      <c r="AC52" s="3"/>
      <c r="AD52" s="3"/>
      <c r="AE52" s="46"/>
    </row>
    <row r="53" spans="1:31" x14ac:dyDescent="0.25">
      <c r="A53" s="69" t="s">
        <v>126</v>
      </c>
      <c r="B53" s="92">
        <f>'ANALYSE REGISTRES 17'!G96</f>
        <v>1</v>
      </c>
      <c r="C53" s="92" t="e">
        <f>#REF!</f>
        <v>#REF!</v>
      </c>
      <c r="D53" s="3"/>
      <c r="E53" s="3"/>
      <c r="F53" s="3"/>
      <c r="G53" s="46"/>
      <c r="I53" s="69" t="s">
        <v>126</v>
      </c>
      <c r="J53" s="92">
        <f>'ANALYSE REGISTRES 17'!G110</f>
        <v>4</v>
      </c>
      <c r="K53" s="92" t="e">
        <f>#REF!</f>
        <v>#REF!</v>
      </c>
      <c r="L53" s="3"/>
      <c r="M53" s="3"/>
      <c r="N53" s="3"/>
      <c r="O53" s="46"/>
      <c r="Q53" s="69" t="s">
        <v>126</v>
      </c>
      <c r="R53" s="1">
        <v>0</v>
      </c>
      <c r="S53" s="92" t="e">
        <f>#REF!</f>
        <v>#REF!</v>
      </c>
      <c r="T53" s="3"/>
      <c r="U53" s="3"/>
      <c r="V53" s="3"/>
      <c r="W53" s="46"/>
      <c r="Y53" s="69" t="s">
        <v>126</v>
      </c>
      <c r="Z53" s="92">
        <f t="shared" si="9"/>
        <v>5</v>
      </c>
      <c r="AA53" s="92" t="e">
        <f t="shared" si="10"/>
        <v>#REF!</v>
      </c>
      <c r="AB53" s="3"/>
      <c r="AC53" s="3"/>
      <c r="AD53" s="3"/>
      <c r="AE53" s="46"/>
    </row>
    <row r="54" spans="1:31" x14ac:dyDescent="0.25">
      <c r="A54" s="69" t="s">
        <v>167</v>
      </c>
      <c r="B54" s="92">
        <f>'ANALYSE REGISTRES 17'!G97</f>
        <v>1</v>
      </c>
      <c r="C54" s="92" t="e">
        <f>#REF!</f>
        <v>#REF!</v>
      </c>
      <c r="D54" s="3"/>
      <c r="E54" s="3"/>
      <c r="F54" s="3"/>
      <c r="G54" s="46"/>
      <c r="I54" s="69" t="s">
        <v>167</v>
      </c>
      <c r="J54" s="92">
        <f>'ANALYSE REGISTRES 17'!G111</f>
        <v>0</v>
      </c>
      <c r="K54" s="92" t="e">
        <f>#REF!</f>
        <v>#REF!</v>
      </c>
      <c r="L54" s="3"/>
      <c r="M54" s="3"/>
      <c r="N54" s="3"/>
      <c r="O54" s="46"/>
      <c r="Q54" s="69" t="s">
        <v>167</v>
      </c>
      <c r="R54" s="1">
        <v>0</v>
      </c>
      <c r="S54" s="92" t="e">
        <f>#REF!</f>
        <v>#REF!</v>
      </c>
      <c r="T54" s="3"/>
      <c r="U54" s="3"/>
      <c r="V54" s="3"/>
      <c r="W54" s="46"/>
      <c r="Y54" s="69" t="s">
        <v>167</v>
      </c>
      <c r="Z54" s="92">
        <f t="shared" si="9"/>
        <v>1</v>
      </c>
      <c r="AA54" s="92" t="e">
        <f t="shared" si="10"/>
        <v>#REF!</v>
      </c>
      <c r="AB54" s="3"/>
      <c r="AC54" s="3"/>
      <c r="AD54" s="3"/>
      <c r="AE54" s="46"/>
    </row>
    <row r="55" spans="1:31" x14ac:dyDescent="0.25">
      <c r="A55" s="69" t="s">
        <v>136</v>
      </c>
      <c r="B55" s="92">
        <f>'ANALYSE REGISTRES 17'!G98</f>
        <v>3</v>
      </c>
      <c r="C55" s="92" t="e">
        <f>#REF!</f>
        <v>#REF!</v>
      </c>
      <c r="D55" s="3"/>
      <c r="E55" s="3"/>
      <c r="F55" s="3"/>
      <c r="G55" s="46"/>
      <c r="I55" s="69" t="s">
        <v>136</v>
      </c>
      <c r="J55" s="92">
        <f>'ANALYSE REGISTRES 17'!G112</f>
        <v>0</v>
      </c>
      <c r="K55" s="92" t="e">
        <f>#REF!</f>
        <v>#REF!</v>
      </c>
      <c r="L55" s="3"/>
      <c r="M55" s="3"/>
      <c r="N55" s="3"/>
      <c r="O55" s="46"/>
      <c r="Q55" s="69" t="s">
        <v>136</v>
      </c>
      <c r="R55" s="1">
        <v>0</v>
      </c>
      <c r="S55" s="92" t="e">
        <f>#REF!</f>
        <v>#REF!</v>
      </c>
      <c r="T55" s="3"/>
      <c r="U55" s="3"/>
      <c r="V55" s="3"/>
      <c r="W55" s="46"/>
      <c r="Y55" s="69" t="s">
        <v>136</v>
      </c>
      <c r="Z55" s="92">
        <f t="shared" si="9"/>
        <v>3</v>
      </c>
      <c r="AA55" s="92" t="e">
        <f t="shared" si="10"/>
        <v>#REF!</v>
      </c>
      <c r="AB55" s="3"/>
      <c r="AC55" s="3"/>
      <c r="AD55" s="3"/>
      <c r="AE55" s="46"/>
    </row>
    <row r="56" spans="1:31" x14ac:dyDescent="0.25">
      <c r="A56" s="69" t="s">
        <v>138</v>
      </c>
      <c r="B56" s="92">
        <f>'ANALYSE REGISTRES 17'!G99</f>
        <v>0</v>
      </c>
      <c r="C56" s="92" t="e">
        <f>#REF!</f>
        <v>#REF!</v>
      </c>
      <c r="D56" s="3"/>
      <c r="E56" s="3"/>
      <c r="F56" s="3"/>
      <c r="G56" s="46"/>
      <c r="I56" s="69" t="s">
        <v>138</v>
      </c>
      <c r="J56" s="92">
        <f>'ANALYSE REGISTRES 17'!G113</f>
        <v>0</v>
      </c>
      <c r="K56" s="92" t="e">
        <f>#REF!</f>
        <v>#REF!</v>
      </c>
      <c r="L56" s="3"/>
      <c r="M56" s="3"/>
      <c r="N56" s="3"/>
      <c r="O56" s="46"/>
      <c r="Q56" s="69" t="s">
        <v>138</v>
      </c>
      <c r="R56" s="1">
        <v>0</v>
      </c>
      <c r="S56" s="92" t="e">
        <f>#REF!</f>
        <v>#REF!</v>
      </c>
      <c r="T56" s="3"/>
      <c r="U56" s="3"/>
      <c r="V56" s="3"/>
      <c r="W56" s="46"/>
      <c r="Y56" s="69" t="s">
        <v>138</v>
      </c>
      <c r="Z56" s="92">
        <f t="shared" si="9"/>
        <v>0</v>
      </c>
      <c r="AA56" s="92" t="e">
        <f t="shared" si="10"/>
        <v>#REF!</v>
      </c>
      <c r="AB56" s="3"/>
      <c r="AC56" s="3"/>
      <c r="AD56" s="3"/>
      <c r="AE56" s="46"/>
    </row>
    <row r="57" spans="1:31" x14ac:dyDescent="0.25">
      <c r="A57" s="69" t="s">
        <v>165</v>
      </c>
      <c r="B57" s="92">
        <f>'ANALYSE REGISTRES 17'!G100</f>
        <v>0</v>
      </c>
      <c r="C57" s="92" t="e">
        <f>#REF!</f>
        <v>#REF!</v>
      </c>
      <c r="D57" s="3"/>
      <c r="E57" s="3"/>
      <c r="F57" s="3"/>
      <c r="G57" s="46"/>
      <c r="I57" s="69" t="s">
        <v>165</v>
      </c>
      <c r="J57" s="92">
        <f>'ANALYSE REGISTRES 17'!G114</f>
        <v>0</v>
      </c>
      <c r="K57" s="92" t="e">
        <f>#REF!</f>
        <v>#REF!</v>
      </c>
      <c r="L57" s="3"/>
      <c r="M57" s="3"/>
      <c r="N57" s="3"/>
      <c r="O57" s="46"/>
      <c r="Q57" s="69" t="s">
        <v>165</v>
      </c>
      <c r="R57" s="1">
        <v>0</v>
      </c>
      <c r="S57" s="92" t="e">
        <f>#REF!</f>
        <v>#REF!</v>
      </c>
      <c r="T57" s="3"/>
      <c r="U57" s="3"/>
      <c r="V57" s="3"/>
      <c r="W57" s="46"/>
      <c r="Y57" s="69" t="s">
        <v>165</v>
      </c>
      <c r="Z57" s="92">
        <f t="shared" si="9"/>
        <v>0</v>
      </c>
      <c r="AA57" s="92" t="e">
        <f t="shared" si="10"/>
        <v>#REF!</v>
      </c>
      <c r="AB57" s="3"/>
      <c r="AC57" s="3"/>
      <c r="AD57" s="3"/>
      <c r="AE57" s="46"/>
    </row>
    <row r="58" spans="1:31" x14ac:dyDescent="0.25">
      <c r="A58" s="69" t="s">
        <v>164</v>
      </c>
      <c r="B58" s="92">
        <f>'ANALYSE REGISTRES 17'!G101</f>
        <v>1</v>
      </c>
      <c r="C58" s="92" t="e">
        <f>#REF!</f>
        <v>#REF!</v>
      </c>
      <c r="D58" s="3"/>
      <c r="E58" s="3"/>
      <c r="F58" s="3"/>
      <c r="G58" s="46"/>
      <c r="I58" s="69" t="s">
        <v>164</v>
      </c>
      <c r="J58" s="92">
        <f>'ANALYSE REGISTRES 17'!G115</f>
        <v>0</v>
      </c>
      <c r="K58" s="92" t="e">
        <f>#REF!</f>
        <v>#REF!</v>
      </c>
      <c r="L58" s="3"/>
      <c r="M58" s="3"/>
      <c r="N58" s="3"/>
      <c r="O58" s="46"/>
      <c r="Q58" s="69" t="s">
        <v>164</v>
      </c>
      <c r="R58" s="1">
        <v>0</v>
      </c>
      <c r="S58" s="92" t="e">
        <f>#REF!</f>
        <v>#REF!</v>
      </c>
      <c r="T58" s="3"/>
      <c r="U58" s="3"/>
      <c r="V58" s="3"/>
      <c r="W58" s="46"/>
      <c r="Y58" s="69" t="s">
        <v>164</v>
      </c>
      <c r="Z58" s="92">
        <f t="shared" si="9"/>
        <v>1</v>
      </c>
      <c r="AA58" s="92" t="e">
        <f t="shared" si="10"/>
        <v>#REF!</v>
      </c>
      <c r="AB58" s="3"/>
      <c r="AC58" s="3"/>
      <c r="AD58" s="3"/>
      <c r="AE58" s="46"/>
    </row>
    <row r="59" spans="1:31" x14ac:dyDescent="0.25">
      <c r="A59" s="70" t="s">
        <v>128</v>
      </c>
      <c r="B59" s="92">
        <f>'ANALYSE REGISTRES 17'!G102</f>
        <v>3</v>
      </c>
      <c r="C59" s="92" t="e">
        <f>#REF!</f>
        <v>#REF!</v>
      </c>
      <c r="D59" s="47"/>
      <c r="E59" s="47"/>
      <c r="F59" s="47"/>
      <c r="G59" s="48"/>
      <c r="I59" s="70" t="s">
        <v>128</v>
      </c>
      <c r="J59" s="92">
        <f>'ANALYSE REGISTRES 17'!G116</f>
        <v>1</v>
      </c>
      <c r="K59" s="92" t="e">
        <f>#REF!</f>
        <v>#REF!</v>
      </c>
      <c r="L59" s="47"/>
      <c r="M59" s="47"/>
      <c r="N59" s="47"/>
      <c r="O59" s="48"/>
      <c r="Q59" s="70" t="s">
        <v>128</v>
      </c>
      <c r="R59" s="59">
        <v>0</v>
      </c>
      <c r="S59" s="92" t="e">
        <f>#REF!</f>
        <v>#REF!</v>
      </c>
      <c r="T59" s="47"/>
      <c r="U59" s="47"/>
      <c r="V59" s="47"/>
      <c r="W59" s="48"/>
      <c r="Y59" s="70" t="s">
        <v>128</v>
      </c>
      <c r="Z59" s="92">
        <f t="shared" si="9"/>
        <v>4</v>
      </c>
      <c r="AA59" s="92" t="e">
        <f t="shared" si="10"/>
        <v>#REF!</v>
      </c>
      <c r="AB59" s="47"/>
      <c r="AC59" s="47"/>
      <c r="AD59" s="47"/>
      <c r="AE59" s="48"/>
    </row>
    <row r="60" spans="1:31" x14ac:dyDescent="0.25">
      <c r="A60" s="104" t="s">
        <v>174</v>
      </c>
      <c r="B60" s="61">
        <f>SUM(B47:B59)</f>
        <v>45</v>
      </c>
      <c r="C60" s="61" t="e">
        <f>SUM(C47:C59)</f>
        <v>#REF!</v>
      </c>
      <c r="D60" s="61"/>
      <c r="E60" s="61"/>
      <c r="F60" s="61"/>
      <c r="G60" s="95"/>
      <c r="I60" s="104" t="s">
        <v>174</v>
      </c>
      <c r="J60" s="61">
        <f>SUM(J47:J59)</f>
        <v>24</v>
      </c>
      <c r="K60" s="61" t="e">
        <f>SUM(K47:K59)</f>
        <v>#REF!</v>
      </c>
      <c r="L60" s="61"/>
      <c r="M60" s="61"/>
      <c r="N60" s="61"/>
      <c r="O60" s="95"/>
      <c r="Q60" s="104" t="s">
        <v>174</v>
      </c>
      <c r="R60" s="61">
        <v>0</v>
      </c>
      <c r="S60" s="61" t="e">
        <f>SUM(S47:S59)</f>
        <v>#REF!</v>
      </c>
      <c r="T60" s="61"/>
      <c r="U60" s="61"/>
      <c r="V60" s="61"/>
      <c r="W60" s="95"/>
      <c r="Y60" s="104" t="s">
        <v>174</v>
      </c>
      <c r="Z60" s="61">
        <f>SUM(Z47:Z59)</f>
        <v>69</v>
      </c>
      <c r="AA60" s="61" t="e">
        <f>SUM(AA47:AA59)</f>
        <v>#REF!</v>
      </c>
      <c r="AB60" s="61"/>
      <c r="AC60" s="61"/>
      <c r="AD60" s="61"/>
      <c r="AE60" s="95"/>
    </row>
    <row r="61" spans="1:31" x14ac:dyDescent="0.25">
      <c r="A61" s="72"/>
      <c r="B61" s="1"/>
      <c r="C61" s="1"/>
      <c r="D61" s="1"/>
      <c r="E61" s="1"/>
      <c r="F61" s="1"/>
      <c r="G61" s="3"/>
      <c r="I61" s="72"/>
      <c r="J61" s="1"/>
      <c r="K61" s="1"/>
      <c r="L61" s="1"/>
      <c r="M61" s="1"/>
      <c r="N61" s="1"/>
      <c r="O61" s="3"/>
      <c r="Q61" s="72"/>
      <c r="R61" s="1"/>
      <c r="S61" s="1"/>
      <c r="T61" s="1"/>
      <c r="U61" s="1"/>
      <c r="V61" s="1"/>
      <c r="W61" s="3"/>
      <c r="Y61" s="72"/>
      <c r="Z61" s="1"/>
      <c r="AA61" s="1"/>
      <c r="AB61" s="1"/>
      <c r="AC61" s="1"/>
      <c r="AD61" s="1"/>
      <c r="AE61" s="3"/>
    </row>
    <row r="62" spans="1:31" x14ac:dyDescent="0.25">
      <c r="A62" s="171" t="s">
        <v>168</v>
      </c>
      <c r="B62" s="171"/>
      <c r="C62" s="171"/>
      <c r="D62" s="171"/>
      <c r="E62" s="171"/>
      <c r="F62" s="171"/>
      <c r="G62" s="171"/>
      <c r="H62" s="171"/>
      <c r="I62" s="171"/>
      <c r="J62" s="171"/>
      <c r="K62" s="171"/>
      <c r="L62" s="171"/>
      <c r="M62" s="171"/>
      <c r="N62" s="171"/>
      <c r="O62" s="171"/>
      <c r="P62" s="171"/>
      <c r="Q62" s="171"/>
      <c r="R62" s="171"/>
      <c r="S62" s="171"/>
      <c r="T62" s="171"/>
      <c r="U62" s="171"/>
      <c r="V62" s="171"/>
      <c r="W62" s="171"/>
      <c r="X62" s="171"/>
      <c r="Y62" s="171"/>
      <c r="Z62" s="171"/>
      <c r="AA62" s="171"/>
      <c r="AB62" s="171"/>
      <c r="AC62" s="171"/>
      <c r="AD62" s="171"/>
      <c r="AE62" s="171"/>
    </row>
    <row r="63" spans="1:31" x14ac:dyDescent="0.25">
      <c r="B63" s="172" t="s">
        <v>140</v>
      </c>
      <c r="C63" s="172"/>
      <c r="D63" s="172"/>
      <c r="E63" s="172"/>
      <c r="F63" s="172"/>
      <c r="G63" s="172"/>
      <c r="H63" s="6"/>
      <c r="I63" s="6"/>
      <c r="J63" s="172" t="s">
        <v>141</v>
      </c>
      <c r="K63" s="172"/>
      <c r="L63" s="172"/>
      <c r="M63" s="172"/>
      <c r="N63" s="172"/>
      <c r="O63" s="172"/>
      <c r="P63" s="6"/>
      <c r="Q63" s="6"/>
      <c r="R63" s="172" t="s">
        <v>142</v>
      </c>
      <c r="S63" s="172"/>
      <c r="T63" s="172"/>
      <c r="U63" s="172"/>
      <c r="V63" s="172"/>
      <c r="W63" s="172"/>
      <c r="X63" s="74"/>
      <c r="Y63" s="74"/>
      <c r="Z63" s="173" t="s">
        <v>174</v>
      </c>
      <c r="AA63" s="173"/>
      <c r="AB63" s="173"/>
      <c r="AC63" s="173"/>
      <c r="AD63" s="173"/>
      <c r="AE63" s="173"/>
    </row>
    <row r="64" spans="1:31" x14ac:dyDescent="0.25">
      <c r="A64" s="67"/>
      <c r="B64" s="61">
        <v>2017</v>
      </c>
      <c r="C64" s="61">
        <v>2018</v>
      </c>
      <c r="D64" s="61">
        <v>2019</v>
      </c>
      <c r="E64" s="61">
        <v>2020</v>
      </c>
      <c r="F64" s="61">
        <v>2021</v>
      </c>
      <c r="G64" s="62">
        <v>2022</v>
      </c>
      <c r="I64" s="67"/>
      <c r="J64" s="61">
        <v>2017</v>
      </c>
      <c r="K64" s="61">
        <v>2018</v>
      </c>
      <c r="L64" s="61">
        <v>2019</v>
      </c>
      <c r="M64" s="61">
        <v>2020</v>
      </c>
      <c r="N64" s="61">
        <v>2021</v>
      </c>
      <c r="O64" s="62">
        <v>2022</v>
      </c>
      <c r="Q64" s="67"/>
      <c r="R64" s="61">
        <v>2017</v>
      </c>
      <c r="S64" s="61">
        <v>2018</v>
      </c>
      <c r="T64" s="61">
        <v>2019</v>
      </c>
      <c r="U64" s="61">
        <v>2020</v>
      </c>
      <c r="V64" s="61">
        <v>2021</v>
      </c>
      <c r="W64" s="62">
        <v>2022</v>
      </c>
      <c r="Y64" s="67"/>
      <c r="Z64" s="61">
        <v>2017</v>
      </c>
      <c r="AA64" s="61">
        <v>2018</v>
      </c>
      <c r="AB64" s="61">
        <v>2019</v>
      </c>
      <c r="AC64" s="61">
        <v>2020</v>
      </c>
      <c r="AD64" s="61">
        <v>2021</v>
      </c>
      <c r="AE64" s="62">
        <v>2022</v>
      </c>
    </row>
    <row r="65" spans="1:31" x14ac:dyDescent="0.25">
      <c r="A65" s="68" t="s">
        <v>18</v>
      </c>
      <c r="B65" s="92" t="e">
        <f>'ANALYSE REGISTRES 17'!#REF!</f>
        <v>#REF!</v>
      </c>
      <c r="C65" s="3"/>
      <c r="D65" s="3"/>
      <c r="E65" s="3"/>
      <c r="F65" s="3"/>
      <c r="G65" s="46"/>
      <c r="I65" s="68" t="s">
        <v>18</v>
      </c>
      <c r="J65" s="92" t="e">
        <f>'ANALYSE REGISTRES 17'!#REF!</f>
        <v>#REF!</v>
      </c>
      <c r="K65" s="3"/>
      <c r="L65" s="3"/>
      <c r="M65" s="3"/>
      <c r="N65" s="3"/>
      <c r="O65" s="46"/>
      <c r="Q65" s="68" t="s">
        <v>18</v>
      </c>
      <c r="R65" s="92" t="e">
        <f>'ANALYSE REGISTRES 17'!#REF!</f>
        <v>#REF!</v>
      </c>
      <c r="S65" s="3"/>
      <c r="T65" s="3"/>
      <c r="U65" s="3"/>
      <c r="V65" s="3"/>
      <c r="W65" s="46"/>
      <c r="Y65" s="68" t="s">
        <v>18</v>
      </c>
      <c r="Z65" s="92" t="e">
        <f>R65+J65+B65</f>
        <v>#REF!</v>
      </c>
      <c r="AA65" s="3"/>
      <c r="AB65" s="3"/>
      <c r="AC65" s="3"/>
      <c r="AD65" s="3"/>
      <c r="AE65" s="46"/>
    </row>
    <row r="66" spans="1:31" x14ac:dyDescent="0.25">
      <c r="A66" s="69" t="s">
        <v>208</v>
      </c>
      <c r="B66" s="92" t="e">
        <f>'ANALYSE REGISTRES 17'!#REF!</f>
        <v>#REF!</v>
      </c>
      <c r="C66" s="3"/>
      <c r="D66" s="3"/>
      <c r="E66" s="3"/>
      <c r="F66" s="3"/>
      <c r="G66" s="46"/>
      <c r="I66" s="69" t="s">
        <v>208</v>
      </c>
      <c r="J66" s="92" t="e">
        <f>'ANALYSE REGISTRES 17'!#REF!</f>
        <v>#REF!</v>
      </c>
      <c r="K66" s="3"/>
      <c r="L66" s="3"/>
      <c r="M66" s="3"/>
      <c r="N66" s="3"/>
      <c r="O66" s="46"/>
      <c r="Q66" s="69" t="s">
        <v>208</v>
      </c>
      <c r="R66" s="92" t="e">
        <f>'ANALYSE REGISTRES 17'!#REF!</f>
        <v>#REF!</v>
      </c>
      <c r="S66" s="3"/>
      <c r="T66" s="3"/>
      <c r="U66" s="3"/>
      <c r="V66" s="3"/>
      <c r="W66" s="46"/>
      <c r="Y66" s="69" t="s">
        <v>208</v>
      </c>
      <c r="Z66" s="92" t="e">
        <f t="shared" ref="Z66:Z71" si="11">R66+J66+B66</f>
        <v>#REF!</v>
      </c>
      <c r="AA66" s="3"/>
      <c r="AB66" s="3"/>
      <c r="AC66" s="3"/>
      <c r="AD66" s="3"/>
      <c r="AE66" s="46"/>
    </row>
    <row r="67" spans="1:31" x14ac:dyDescent="0.25">
      <c r="A67" s="69" t="s">
        <v>209</v>
      </c>
      <c r="B67" s="92" t="e">
        <f>'ANALYSE REGISTRES 17'!#REF!</f>
        <v>#REF!</v>
      </c>
      <c r="C67" s="3"/>
      <c r="D67" s="3"/>
      <c r="E67" s="3"/>
      <c r="F67" s="3"/>
      <c r="G67" s="46"/>
      <c r="I67" s="69" t="s">
        <v>209</v>
      </c>
      <c r="J67" s="92" t="e">
        <f>'ANALYSE REGISTRES 17'!#REF!</f>
        <v>#REF!</v>
      </c>
      <c r="K67" s="3"/>
      <c r="L67" s="3"/>
      <c r="M67" s="3"/>
      <c r="N67" s="3"/>
      <c r="O67" s="46"/>
      <c r="Q67" s="69" t="s">
        <v>209</v>
      </c>
      <c r="R67" s="92" t="e">
        <f>'ANALYSE REGISTRES 17'!#REF!</f>
        <v>#REF!</v>
      </c>
      <c r="S67" s="3"/>
      <c r="T67" s="3"/>
      <c r="U67" s="3"/>
      <c r="V67" s="3"/>
      <c r="W67" s="46"/>
      <c r="Y67" s="69" t="s">
        <v>209</v>
      </c>
      <c r="Z67" s="92" t="e">
        <f t="shared" si="11"/>
        <v>#REF!</v>
      </c>
      <c r="AA67" s="3"/>
      <c r="AB67" s="3"/>
      <c r="AC67" s="3"/>
      <c r="AD67" s="3"/>
      <c r="AE67" s="46"/>
    </row>
    <row r="68" spans="1:31" x14ac:dyDescent="0.25">
      <c r="A68" s="69" t="s">
        <v>210</v>
      </c>
      <c r="B68" s="92" t="e">
        <f>'ANALYSE REGISTRES 17'!#REF!</f>
        <v>#REF!</v>
      </c>
      <c r="C68" s="3"/>
      <c r="D68" s="3"/>
      <c r="E68" s="3"/>
      <c r="F68" s="3"/>
      <c r="G68" s="46"/>
      <c r="I68" s="69" t="s">
        <v>210</v>
      </c>
      <c r="J68" s="92" t="e">
        <f>'ANALYSE REGISTRES 17'!#REF!</f>
        <v>#REF!</v>
      </c>
      <c r="K68" s="3"/>
      <c r="L68" s="3"/>
      <c r="M68" s="3"/>
      <c r="N68" s="3"/>
      <c r="O68" s="46"/>
      <c r="Q68" s="69" t="s">
        <v>210</v>
      </c>
      <c r="R68" s="92" t="e">
        <f>'ANALYSE REGISTRES 17'!#REF!</f>
        <v>#REF!</v>
      </c>
      <c r="S68" s="3"/>
      <c r="T68" s="3"/>
      <c r="U68" s="3"/>
      <c r="V68" s="3"/>
      <c r="W68" s="46"/>
      <c r="Y68" s="69" t="s">
        <v>210</v>
      </c>
      <c r="Z68" s="92" t="e">
        <f t="shared" si="11"/>
        <v>#REF!</v>
      </c>
      <c r="AA68" s="3"/>
      <c r="AB68" s="3"/>
      <c r="AC68" s="3"/>
      <c r="AD68" s="3"/>
      <c r="AE68" s="46"/>
    </row>
    <row r="69" spans="1:31" x14ac:dyDescent="0.25">
      <c r="A69" s="69" t="s">
        <v>211</v>
      </c>
      <c r="B69" s="92" t="e">
        <f>'ANALYSE REGISTRES 17'!#REF!</f>
        <v>#REF!</v>
      </c>
      <c r="C69" s="3"/>
      <c r="D69" s="3"/>
      <c r="E69" s="3"/>
      <c r="F69" s="3"/>
      <c r="G69" s="46"/>
      <c r="I69" s="69" t="s">
        <v>211</v>
      </c>
      <c r="J69" s="92" t="e">
        <f>'ANALYSE REGISTRES 17'!#REF!</f>
        <v>#REF!</v>
      </c>
      <c r="K69" s="3"/>
      <c r="L69" s="3"/>
      <c r="M69" s="3"/>
      <c r="N69" s="3"/>
      <c r="O69" s="46"/>
      <c r="Q69" s="69" t="s">
        <v>211</v>
      </c>
      <c r="R69" s="92" t="e">
        <f>'ANALYSE REGISTRES 17'!#REF!</f>
        <v>#REF!</v>
      </c>
      <c r="S69" s="3"/>
      <c r="T69" s="3"/>
      <c r="U69" s="3"/>
      <c r="V69" s="3"/>
      <c r="W69" s="46"/>
      <c r="Y69" s="69" t="s">
        <v>211</v>
      </c>
      <c r="Z69" s="92" t="e">
        <f t="shared" si="11"/>
        <v>#REF!</v>
      </c>
      <c r="AA69" s="3"/>
      <c r="AB69" s="3"/>
      <c r="AC69" s="3"/>
      <c r="AD69" s="3"/>
      <c r="AE69" s="46"/>
    </row>
    <row r="70" spans="1:31" x14ac:dyDescent="0.25">
      <c r="A70" s="69" t="s">
        <v>212</v>
      </c>
      <c r="B70" s="92" t="e">
        <f>'ANALYSE REGISTRES 17'!#REF!</f>
        <v>#REF!</v>
      </c>
      <c r="C70" s="3"/>
      <c r="D70" s="3"/>
      <c r="E70" s="3"/>
      <c r="F70" s="3"/>
      <c r="G70" s="46"/>
      <c r="I70" s="69" t="s">
        <v>212</v>
      </c>
      <c r="J70" s="92" t="e">
        <f>'ANALYSE REGISTRES 17'!#REF!</f>
        <v>#REF!</v>
      </c>
      <c r="K70" s="3"/>
      <c r="L70" s="3"/>
      <c r="M70" s="3"/>
      <c r="N70" s="3"/>
      <c r="O70" s="46"/>
      <c r="Q70" s="69" t="s">
        <v>212</v>
      </c>
      <c r="R70" s="92" t="e">
        <f>'ANALYSE REGISTRES 17'!#REF!</f>
        <v>#REF!</v>
      </c>
      <c r="S70" s="3"/>
      <c r="T70" s="3"/>
      <c r="U70" s="3"/>
      <c r="V70" s="3"/>
      <c r="W70" s="46"/>
      <c r="Y70" s="69" t="s">
        <v>212</v>
      </c>
      <c r="Z70" s="92" t="e">
        <f t="shared" si="11"/>
        <v>#REF!</v>
      </c>
      <c r="AA70" s="3"/>
      <c r="AB70" s="3"/>
      <c r="AC70" s="3"/>
      <c r="AD70" s="3"/>
      <c r="AE70" s="46"/>
    </row>
    <row r="71" spans="1:31" x14ac:dyDescent="0.25">
      <c r="A71" s="69" t="s">
        <v>213</v>
      </c>
      <c r="B71" s="92" t="e">
        <f>'ANALYSE REGISTRES 17'!#REF!</f>
        <v>#REF!</v>
      </c>
      <c r="C71" s="3"/>
      <c r="D71" s="3"/>
      <c r="E71" s="3"/>
      <c r="F71" s="3"/>
      <c r="G71" s="46"/>
      <c r="I71" s="69" t="s">
        <v>213</v>
      </c>
      <c r="J71" s="92" t="e">
        <f>'ANALYSE REGISTRES 17'!#REF!</f>
        <v>#REF!</v>
      </c>
      <c r="K71" s="3"/>
      <c r="L71" s="3"/>
      <c r="M71" s="3"/>
      <c r="N71" s="3"/>
      <c r="O71" s="46"/>
      <c r="Q71" s="69" t="s">
        <v>213</v>
      </c>
      <c r="R71" s="92" t="e">
        <f>'ANALYSE REGISTRES 17'!#REF!</f>
        <v>#REF!</v>
      </c>
      <c r="S71" s="3"/>
      <c r="T71" s="3"/>
      <c r="U71" s="3"/>
      <c r="V71" s="3"/>
      <c r="W71" s="46"/>
      <c r="Y71" s="69" t="s">
        <v>213</v>
      </c>
      <c r="Z71" s="92" t="e">
        <f t="shared" si="11"/>
        <v>#REF!</v>
      </c>
      <c r="AA71" s="3"/>
      <c r="AB71" s="3"/>
      <c r="AC71" s="3"/>
      <c r="AD71" s="3"/>
      <c r="AE71" s="46"/>
    </row>
    <row r="72" spans="1:31" x14ac:dyDescent="0.25">
      <c r="A72" s="104" t="s">
        <v>174</v>
      </c>
      <c r="B72" s="61" t="e">
        <f>SUM(B65:B71)</f>
        <v>#REF!</v>
      </c>
      <c r="C72" s="61"/>
      <c r="D72" s="61"/>
      <c r="E72" s="61"/>
      <c r="F72" s="61"/>
      <c r="G72" s="62"/>
      <c r="I72" s="104" t="s">
        <v>174</v>
      </c>
      <c r="J72" s="61" t="e">
        <f>SUM(J65:J71)</f>
        <v>#REF!</v>
      </c>
      <c r="K72" s="61"/>
      <c r="L72" s="61"/>
      <c r="M72" s="61"/>
      <c r="N72" s="61"/>
      <c r="O72" s="95"/>
      <c r="Q72" s="104" t="s">
        <v>174</v>
      </c>
      <c r="R72" s="61" t="e">
        <f>SUM(R65:R71)</f>
        <v>#REF!</v>
      </c>
      <c r="S72" s="61"/>
      <c r="T72" s="61"/>
      <c r="U72" s="61"/>
      <c r="V72" s="61"/>
      <c r="W72" s="95"/>
      <c r="Y72" s="104" t="s">
        <v>174</v>
      </c>
      <c r="Z72" s="61" t="e">
        <f>SUM(Z65:Z71)</f>
        <v>#REF!</v>
      </c>
      <c r="AA72" s="61"/>
      <c r="AB72" s="61"/>
      <c r="AC72" s="61"/>
      <c r="AD72" s="61"/>
      <c r="AE72" s="62"/>
    </row>
    <row r="73" spans="1:31" x14ac:dyDescent="0.25">
      <c r="A73" s="72"/>
      <c r="B73" s="1"/>
      <c r="C73" s="1"/>
      <c r="D73" s="1"/>
      <c r="E73" s="1"/>
      <c r="F73" s="1"/>
      <c r="G73" s="3"/>
      <c r="I73" s="72"/>
      <c r="J73" s="1"/>
      <c r="K73" s="1"/>
      <c r="L73" s="1"/>
      <c r="M73" s="1"/>
      <c r="N73" s="1"/>
      <c r="O73" s="3"/>
      <c r="Q73" s="72"/>
      <c r="R73" s="1"/>
      <c r="S73" s="1"/>
      <c r="T73" s="1"/>
      <c r="U73" s="1"/>
      <c r="V73" s="1"/>
      <c r="W73" s="3"/>
      <c r="Y73" s="72"/>
      <c r="Z73" s="1"/>
      <c r="AA73" s="1"/>
      <c r="AB73" s="1"/>
      <c r="AC73" s="1"/>
      <c r="AD73" s="1"/>
      <c r="AE73" s="3"/>
    </row>
    <row r="74" spans="1:31" x14ac:dyDescent="0.25">
      <c r="A74" s="171" t="s">
        <v>207</v>
      </c>
      <c r="B74" s="171"/>
      <c r="C74" s="171"/>
      <c r="D74" s="171"/>
      <c r="E74" s="171"/>
      <c r="F74" s="171"/>
      <c r="G74" s="171"/>
      <c r="H74" s="171"/>
      <c r="I74" s="171"/>
      <c r="J74" s="171"/>
      <c r="K74" s="171"/>
      <c r="L74" s="171"/>
      <c r="M74" s="171"/>
      <c r="N74" s="171"/>
      <c r="O74" s="171"/>
      <c r="P74" s="171"/>
      <c r="Q74" s="171"/>
      <c r="R74" s="171"/>
      <c r="S74" s="171"/>
      <c r="T74" s="171"/>
      <c r="U74" s="171"/>
      <c r="V74" s="171"/>
      <c r="W74" s="171"/>
      <c r="X74" s="171"/>
      <c r="Y74" s="171"/>
      <c r="Z74" s="171"/>
      <c r="AA74" s="171"/>
      <c r="AB74" s="171"/>
      <c r="AC74" s="171"/>
      <c r="AD74" s="171"/>
      <c r="AE74" s="171"/>
    </row>
    <row r="75" spans="1:31" x14ac:dyDescent="0.25">
      <c r="B75" s="172" t="s">
        <v>140</v>
      </c>
      <c r="C75" s="172"/>
      <c r="D75" s="172"/>
      <c r="E75" s="172"/>
      <c r="F75" s="172"/>
      <c r="G75" s="172"/>
      <c r="H75" s="6"/>
      <c r="I75" s="6"/>
      <c r="J75" s="172" t="s">
        <v>141</v>
      </c>
      <c r="K75" s="172"/>
      <c r="L75" s="172"/>
      <c r="M75" s="172"/>
      <c r="N75" s="172"/>
      <c r="O75" s="172"/>
      <c r="P75" s="6"/>
      <c r="Q75" s="6"/>
      <c r="R75" s="172" t="s">
        <v>142</v>
      </c>
      <c r="S75" s="172"/>
      <c r="T75" s="172"/>
      <c r="U75" s="172"/>
      <c r="V75" s="172"/>
      <c r="W75" s="172"/>
      <c r="X75" s="74"/>
      <c r="Y75" s="74"/>
      <c r="Z75" s="173" t="s">
        <v>174</v>
      </c>
      <c r="AA75" s="173"/>
      <c r="AB75" s="173"/>
      <c r="AC75" s="173"/>
      <c r="AD75" s="173"/>
      <c r="AE75" s="173"/>
    </row>
    <row r="76" spans="1:31" x14ac:dyDescent="0.25">
      <c r="A76" s="67"/>
      <c r="B76" s="61">
        <v>2017</v>
      </c>
      <c r="C76" s="61">
        <v>2018</v>
      </c>
      <c r="D76" s="61">
        <v>2019</v>
      </c>
      <c r="E76" s="61">
        <v>2020</v>
      </c>
      <c r="F76" s="61">
        <v>2021</v>
      </c>
      <c r="G76" s="62">
        <v>2022</v>
      </c>
      <c r="I76" s="67"/>
      <c r="J76" s="61">
        <v>2017</v>
      </c>
      <c r="K76" s="61">
        <v>2018</v>
      </c>
      <c r="L76" s="61">
        <v>2019</v>
      </c>
      <c r="M76" s="61">
        <v>2020</v>
      </c>
      <c r="N76" s="61">
        <v>2021</v>
      </c>
      <c r="O76" s="62">
        <v>2022</v>
      </c>
      <c r="Q76" s="67"/>
      <c r="R76" s="61">
        <v>2017</v>
      </c>
      <c r="S76" s="61">
        <v>2018</v>
      </c>
      <c r="T76" s="61">
        <v>2019</v>
      </c>
      <c r="U76" s="61">
        <v>2020</v>
      </c>
      <c r="V76" s="61">
        <v>2021</v>
      </c>
      <c r="W76" s="62">
        <v>2022</v>
      </c>
      <c r="Y76" s="67"/>
      <c r="Z76" s="61">
        <v>2017</v>
      </c>
      <c r="AA76" s="61">
        <v>2018</v>
      </c>
      <c r="AB76" s="61">
        <v>2019</v>
      </c>
      <c r="AC76" s="61">
        <v>2020</v>
      </c>
      <c r="AD76" s="61">
        <v>2021</v>
      </c>
      <c r="AE76" s="62">
        <v>2022</v>
      </c>
    </row>
    <row r="77" spans="1:31" x14ac:dyDescent="0.25">
      <c r="A77" s="68" t="s">
        <v>201</v>
      </c>
      <c r="B77" s="92" t="e">
        <f>'ANALYSE REGISTRES 17'!#REF!</f>
        <v>#REF!</v>
      </c>
      <c r="C77" s="3"/>
      <c r="D77" s="3"/>
      <c r="E77" s="3"/>
      <c r="F77" s="3"/>
      <c r="G77" s="46"/>
      <c r="I77" s="68" t="s">
        <v>201</v>
      </c>
      <c r="J77" s="92" t="e">
        <f>'ANALYSE REGISTRES 17'!#REF!</f>
        <v>#REF!</v>
      </c>
      <c r="K77" s="3"/>
      <c r="L77" s="3"/>
      <c r="M77" s="3"/>
      <c r="N77" s="3"/>
      <c r="O77" s="46"/>
      <c r="Q77" s="68" t="s">
        <v>201</v>
      </c>
      <c r="R77" s="92" t="e">
        <f>'ANALYSE REGISTRES 17'!#REF!</f>
        <v>#REF!</v>
      </c>
      <c r="S77" s="3"/>
      <c r="T77" s="3"/>
      <c r="U77" s="3"/>
      <c r="V77" s="3"/>
      <c r="W77" s="46"/>
      <c r="Y77" s="68" t="s">
        <v>201</v>
      </c>
      <c r="Z77" s="92" t="e">
        <f>R77+J77+B77</f>
        <v>#REF!</v>
      </c>
      <c r="AA77" s="3"/>
      <c r="AB77" s="3"/>
      <c r="AC77" s="3"/>
      <c r="AD77" s="3"/>
      <c r="AE77" s="46"/>
    </row>
    <row r="78" spans="1:31" x14ac:dyDescent="0.25">
      <c r="A78" s="69" t="s">
        <v>204</v>
      </c>
      <c r="B78" s="92" t="e">
        <f>'ANALYSE REGISTRES 17'!#REF!</f>
        <v>#REF!</v>
      </c>
      <c r="C78" s="3"/>
      <c r="D78" s="3"/>
      <c r="E78" s="3"/>
      <c r="F78" s="3"/>
      <c r="G78" s="46"/>
      <c r="I78" s="69" t="s">
        <v>204</v>
      </c>
      <c r="J78" s="92" t="e">
        <f>'ANALYSE REGISTRES 17'!#REF!</f>
        <v>#REF!</v>
      </c>
      <c r="K78" s="3"/>
      <c r="L78" s="3"/>
      <c r="M78" s="3"/>
      <c r="N78" s="3"/>
      <c r="O78" s="46"/>
      <c r="Q78" s="69" t="s">
        <v>204</v>
      </c>
      <c r="R78" s="92" t="e">
        <f>'ANALYSE REGISTRES 17'!#REF!</f>
        <v>#REF!</v>
      </c>
      <c r="S78" s="3"/>
      <c r="T78" s="3"/>
      <c r="U78" s="3"/>
      <c r="V78" s="3"/>
      <c r="W78" s="46"/>
      <c r="Y78" s="69" t="s">
        <v>204</v>
      </c>
      <c r="Z78" s="92" t="e">
        <f t="shared" ref="Z78:Z82" si="12">R78+J78+B78</f>
        <v>#REF!</v>
      </c>
      <c r="AA78" s="3"/>
      <c r="AB78" s="3"/>
      <c r="AC78" s="3"/>
      <c r="AD78" s="3"/>
      <c r="AE78" s="46"/>
    </row>
    <row r="79" spans="1:31" x14ac:dyDescent="0.25">
      <c r="A79" s="69" t="s">
        <v>205</v>
      </c>
      <c r="B79" s="92" t="e">
        <f>'ANALYSE REGISTRES 17'!#REF!</f>
        <v>#REF!</v>
      </c>
      <c r="C79" s="3"/>
      <c r="D79" s="3"/>
      <c r="E79" s="3"/>
      <c r="F79" s="3"/>
      <c r="G79" s="46"/>
      <c r="I79" s="69" t="s">
        <v>205</v>
      </c>
      <c r="J79" s="92" t="e">
        <f>'ANALYSE REGISTRES 17'!#REF!</f>
        <v>#REF!</v>
      </c>
      <c r="K79" s="3"/>
      <c r="L79" s="3"/>
      <c r="M79" s="3"/>
      <c r="N79" s="3"/>
      <c r="O79" s="46"/>
      <c r="Q79" s="69" t="s">
        <v>205</v>
      </c>
      <c r="R79" s="92" t="e">
        <f>'ANALYSE REGISTRES 17'!#REF!</f>
        <v>#REF!</v>
      </c>
      <c r="S79" s="3"/>
      <c r="T79" s="3"/>
      <c r="U79" s="3"/>
      <c r="V79" s="3"/>
      <c r="W79" s="46"/>
      <c r="Y79" s="69" t="s">
        <v>205</v>
      </c>
      <c r="Z79" s="92" t="e">
        <f t="shared" si="12"/>
        <v>#REF!</v>
      </c>
      <c r="AA79" s="3"/>
      <c r="AB79" s="3"/>
      <c r="AC79" s="3"/>
      <c r="AD79" s="3"/>
      <c r="AE79" s="46"/>
    </row>
    <row r="80" spans="1:31" x14ac:dyDescent="0.25">
      <c r="A80" s="69" t="s">
        <v>206</v>
      </c>
      <c r="B80" s="92" t="e">
        <f>'ANALYSE REGISTRES 17'!#REF!</f>
        <v>#REF!</v>
      </c>
      <c r="C80" s="3"/>
      <c r="D80" s="3"/>
      <c r="E80" s="3"/>
      <c r="F80" s="3"/>
      <c r="G80" s="46"/>
      <c r="I80" s="69" t="s">
        <v>206</v>
      </c>
      <c r="J80" s="92" t="e">
        <f>'ANALYSE REGISTRES 17'!#REF!</f>
        <v>#REF!</v>
      </c>
      <c r="K80" s="3"/>
      <c r="L80" s="3"/>
      <c r="M80" s="3"/>
      <c r="N80" s="3"/>
      <c r="O80" s="46"/>
      <c r="Q80" s="69" t="s">
        <v>206</v>
      </c>
      <c r="R80" s="92" t="e">
        <f>'ANALYSE REGISTRES 17'!#REF!</f>
        <v>#REF!</v>
      </c>
      <c r="S80" s="3"/>
      <c r="T80" s="3"/>
      <c r="U80" s="3"/>
      <c r="V80" s="3"/>
      <c r="W80" s="46"/>
      <c r="Y80" s="69" t="s">
        <v>206</v>
      </c>
      <c r="Z80" s="92" t="e">
        <f t="shared" si="12"/>
        <v>#REF!</v>
      </c>
      <c r="AA80" s="3"/>
      <c r="AB80" s="3"/>
      <c r="AC80" s="3"/>
      <c r="AD80" s="3"/>
      <c r="AE80" s="46"/>
    </row>
    <row r="81" spans="1:31" x14ac:dyDescent="0.25">
      <c r="A81" s="69" t="s">
        <v>203</v>
      </c>
      <c r="B81" s="92" t="e">
        <f>'ANALYSE REGISTRES 17'!#REF!</f>
        <v>#REF!</v>
      </c>
      <c r="C81" s="3"/>
      <c r="D81" s="3"/>
      <c r="E81" s="3"/>
      <c r="F81" s="3"/>
      <c r="G81" s="46"/>
      <c r="I81" s="69" t="s">
        <v>203</v>
      </c>
      <c r="J81" s="92" t="e">
        <f>'ANALYSE REGISTRES 17'!#REF!</f>
        <v>#REF!</v>
      </c>
      <c r="K81" s="3"/>
      <c r="L81" s="3"/>
      <c r="M81" s="3"/>
      <c r="N81" s="3"/>
      <c r="O81" s="46"/>
      <c r="Q81" s="69" t="s">
        <v>203</v>
      </c>
      <c r="R81" s="92" t="e">
        <f>'ANALYSE REGISTRES 17'!#REF!</f>
        <v>#REF!</v>
      </c>
      <c r="S81" s="3"/>
      <c r="T81" s="3"/>
      <c r="U81" s="3"/>
      <c r="V81" s="3"/>
      <c r="W81" s="46"/>
      <c r="Y81" s="69" t="s">
        <v>203</v>
      </c>
      <c r="Z81" s="92" t="e">
        <f t="shared" si="12"/>
        <v>#REF!</v>
      </c>
      <c r="AA81" s="3"/>
      <c r="AB81" s="3"/>
      <c r="AC81" s="3"/>
      <c r="AD81" s="3"/>
      <c r="AE81" s="46"/>
    </row>
    <row r="82" spans="1:31" x14ac:dyDescent="0.25">
      <c r="A82" s="69" t="s">
        <v>202</v>
      </c>
      <c r="B82" s="92" t="e">
        <f>'ANALYSE REGISTRES 17'!#REF!</f>
        <v>#REF!</v>
      </c>
      <c r="C82" s="3"/>
      <c r="D82" s="3"/>
      <c r="E82" s="3"/>
      <c r="F82" s="3"/>
      <c r="G82" s="46"/>
      <c r="I82" s="69" t="s">
        <v>202</v>
      </c>
      <c r="J82" s="92" t="e">
        <f>'ANALYSE REGISTRES 17'!#REF!</f>
        <v>#REF!</v>
      </c>
      <c r="K82" s="3"/>
      <c r="L82" s="3"/>
      <c r="M82" s="3"/>
      <c r="N82" s="3"/>
      <c r="O82" s="46"/>
      <c r="Q82" s="69" t="s">
        <v>202</v>
      </c>
      <c r="R82" s="92" t="e">
        <f>'ANALYSE REGISTRES 17'!#REF!</f>
        <v>#REF!</v>
      </c>
      <c r="S82" s="3"/>
      <c r="T82" s="3"/>
      <c r="U82" s="3"/>
      <c r="V82" s="3"/>
      <c r="W82" s="46"/>
      <c r="Y82" s="69" t="s">
        <v>202</v>
      </c>
      <c r="Z82" s="92" t="e">
        <f t="shared" si="12"/>
        <v>#REF!</v>
      </c>
      <c r="AA82" s="3"/>
      <c r="AB82" s="3"/>
      <c r="AC82" s="3"/>
      <c r="AD82" s="3"/>
      <c r="AE82" s="46"/>
    </row>
    <row r="83" spans="1:31" x14ac:dyDescent="0.25">
      <c r="A83" s="104" t="s">
        <v>174</v>
      </c>
      <c r="B83" s="61" t="e">
        <f>SUM(B77:B82)</f>
        <v>#REF!</v>
      </c>
      <c r="C83" s="61"/>
      <c r="D83" s="61"/>
      <c r="E83" s="61"/>
      <c r="F83" s="61"/>
      <c r="G83" s="62"/>
      <c r="I83" s="104" t="s">
        <v>174</v>
      </c>
      <c r="J83" s="61" t="e">
        <f>SUM(J77:J82)</f>
        <v>#REF!</v>
      </c>
      <c r="K83" s="61"/>
      <c r="L83" s="61"/>
      <c r="M83" s="61"/>
      <c r="N83" s="61"/>
      <c r="O83" s="62"/>
      <c r="Q83" s="104" t="s">
        <v>174</v>
      </c>
      <c r="R83" s="61" t="e">
        <f>SUM(R77:R82)</f>
        <v>#REF!</v>
      </c>
      <c r="S83" s="61"/>
      <c r="T83" s="61"/>
      <c r="U83" s="61"/>
      <c r="V83" s="61"/>
      <c r="W83" s="62"/>
      <c r="Y83" s="104" t="s">
        <v>174</v>
      </c>
      <c r="Z83" s="61" t="e">
        <f>SUM(Z77:Z82)</f>
        <v>#REF!</v>
      </c>
      <c r="AA83" s="61"/>
      <c r="AB83" s="61"/>
      <c r="AC83" s="61"/>
      <c r="AD83" s="61"/>
      <c r="AE83" s="62"/>
    </row>
    <row r="84" spans="1:31" x14ac:dyDescent="0.25">
      <c r="A84" s="72"/>
      <c r="B84" s="1"/>
      <c r="C84" s="1"/>
      <c r="D84" s="1"/>
      <c r="E84" s="1"/>
      <c r="F84" s="1"/>
      <c r="G84" s="3"/>
      <c r="I84" s="72"/>
      <c r="J84" s="1"/>
      <c r="K84" s="1"/>
      <c r="L84" s="1"/>
      <c r="M84" s="1"/>
      <c r="N84" s="1"/>
      <c r="O84" s="3"/>
      <c r="Q84" s="72"/>
      <c r="R84" s="1"/>
      <c r="S84" s="1"/>
      <c r="T84" s="1"/>
      <c r="U84" s="1"/>
      <c r="V84" s="1"/>
      <c r="W84" s="3"/>
      <c r="Y84" s="72"/>
      <c r="Z84" s="1"/>
      <c r="AA84" s="1"/>
      <c r="AB84" s="1"/>
      <c r="AC84" s="1"/>
      <c r="AD84" s="1"/>
      <c r="AE84" s="3"/>
    </row>
    <row r="85" spans="1:31" x14ac:dyDescent="0.25">
      <c r="A85" s="169" t="s">
        <v>169</v>
      </c>
      <c r="B85" s="169"/>
      <c r="C85" s="169"/>
      <c r="D85" s="169"/>
      <c r="E85" s="169"/>
      <c r="F85" s="169"/>
      <c r="G85" s="169"/>
      <c r="H85" s="169"/>
      <c r="I85" s="169"/>
      <c r="J85" s="169"/>
      <c r="K85" s="169"/>
      <c r="L85" s="169"/>
      <c r="M85" s="169"/>
      <c r="N85" s="169"/>
      <c r="O85" s="169"/>
      <c r="P85" s="169"/>
      <c r="Q85" s="169"/>
      <c r="R85" s="169"/>
      <c r="S85" s="169"/>
      <c r="T85" s="169"/>
      <c r="U85" s="169"/>
      <c r="V85" s="169"/>
      <c r="W85" s="169"/>
      <c r="X85" s="169"/>
      <c r="Y85" s="169"/>
      <c r="Z85" s="169"/>
      <c r="AA85" s="169"/>
      <c r="AB85" s="169"/>
      <c r="AC85" s="169"/>
      <c r="AD85" s="169"/>
      <c r="AE85" s="169"/>
    </row>
    <row r="86" spans="1:31" x14ac:dyDescent="0.25">
      <c r="B86" s="172" t="s">
        <v>140</v>
      </c>
      <c r="C86" s="172"/>
      <c r="D86" s="172"/>
      <c r="E86" s="172"/>
      <c r="F86" s="172"/>
      <c r="G86" s="172"/>
      <c r="J86" s="170" t="s">
        <v>141</v>
      </c>
      <c r="K86" s="170"/>
      <c r="L86" s="170"/>
      <c r="M86" s="170"/>
      <c r="N86" s="170"/>
      <c r="O86" s="170"/>
      <c r="R86" s="170" t="s">
        <v>142</v>
      </c>
      <c r="S86" s="170"/>
      <c r="T86" s="170"/>
      <c r="U86" s="170"/>
      <c r="V86" s="170"/>
      <c r="W86" s="170"/>
      <c r="Z86" s="170" t="s">
        <v>174</v>
      </c>
      <c r="AA86" s="170"/>
      <c r="AB86" s="170"/>
      <c r="AC86" s="170"/>
      <c r="AD86" s="170"/>
      <c r="AE86" s="170"/>
    </row>
    <row r="87" spans="1:31" x14ac:dyDescent="0.25">
      <c r="A87" s="67"/>
      <c r="B87" s="61">
        <v>2017</v>
      </c>
      <c r="C87" s="61">
        <v>2018</v>
      </c>
      <c r="D87" s="61">
        <v>2019</v>
      </c>
      <c r="E87" s="61">
        <v>2020</v>
      </c>
      <c r="F87" s="61">
        <v>2021</v>
      </c>
      <c r="G87" s="62">
        <v>2022</v>
      </c>
      <c r="I87" s="67"/>
      <c r="J87" s="61">
        <v>2017</v>
      </c>
      <c r="K87" s="61">
        <v>2018</v>
      </c>
      <c r="L87" s="61">
        <v>2019</v>
      </c>
      <c r="M87" s="61">
        <v>2020</v>
      </c>
      <c r="N87" s="61">
        <v>2021</v>
      </c>
      <c r="O87" s="62">
        <v>2022</v>
      </c>
      <c r="Q87" s="67"/>
      <c r="R87" s="61">
        <v>2017</v>
      </c>
      <c r="S87" s="61">
        <v>2018</v>
      </c>
      <c r="T87" s="61">
        <v>2019</v>
      </c>
      <c r="U87" s="61">
        <v>2020</v>
      </c>
      <c r="V87" s="61">
        <v>2021</v>
      </c>
      <c r="W87" s="62">
        <v>2022</v>
      </c>
      <c r="Y87" s="67"/>
      <c r="Z87" s="61">
        <v>2017</v>
      </c>
      <c r="AA87" s="61">
        <v>2018</v>
      </c>
      <c r="AB87" s="61">
        <v>2019</v>
      </c>
      <c r="AC87" s="61">
        <v>2020</v>
      </c>
      <c r="AD87" s="61">
        <v>2021</v>
      </c>
      <c r="AE87" s="62">
        <v>2022</v>
      </c>
    </row>
    <row r="88" spans="1:31" x14ac:dyDescent="0.25">
      <c r="A88" s="79" t="s">
        <v>170</v>
      </c>
      <c r="B88" s="131"/>
      <c r="C88" s="131"/>
      <c r="D88" s="49"/>
      <c r="E88" s="49"/>
      <c r="F88" s="49"/>
      <c r="G88" s="50"/>
      <c r="I88" s="79" t="s">
        <v>170</v>
      </c>
      <c r="J88" s="131"/>
      <c r="K88" s="131"/>
      <c r="L88" s="49"/>
      <c r="M88" s="49"/>
      <c r="N88" s="49"/>
      <c r="O88" s="50"/>
      <c r="Q88" s="79" t="s">
        <v>170</v>
      </c>
      <c r="R88" s="131"/>
      <c r="S88" s="131"/>
      <c r="T88" s="49"/>
      <c r="U88" s="49"/>
      <c r="V88" s="49"/>
      <c r="W88" s="50"/>
      <c r="Y88" s="79" t="s">
        <v>170</v>
      </c>
      <c r="Z88" s="131"/>
      <c r="AA88" s="131"/>
      <c r="AB88" s="49"/>
      <c r="AC88" s="49"/>
      <c r="AD88" s="49"/>
      <c r="AE88" s="50"/>
    </row>
    <row r="89" spans="1:31" x14ac:dyDescent="0.25">
      <c r="A89" s="80" t="s">
        <v>171</v>
      </c>
      <c r="B89" s="132"/>
      <c r="C89" s="132"/>
      <c r="D89" s="3"/>
      <c r="E89" s="3"/>
      <c r="F89" s="3"/>
      <c r="G89" s="46"/>
      <c r="I89" s="80" t="s">
        <v>171</v>
      </c>
      <c r="J89" s="132"/>
      <c r="K89" s="132"/>
      <c r="L89" s="3"/>
      <c r="M89" s="3"/>
      <c r="N89" s="3"/>
      <c r="O89" s="46"/>
      <c r="Q89" s="80" t="s">
        <v>171</v>
      </c>
      <c r="R89" s="132"/>
      <c r="S89" s="132"/>
      <c r="T89" s="3"/>
      <c r="U89" s="3"/>
      <c r="V89" s="3"/>
      <c r="W89" s="46"/>
      <c r="Y89" s="80" t="s">
        <v>171</v>
      </c>
      <c r="Z89" s="132"/>
      <c r="AA89" s="132"/>
      <c r="AB89" s="3"/>
      <c r="AC89" s="3"/>
      <c r="AD89" s="3"/>
      <c r="AE89" s="46"/>
    </row>
    <row r="90" spans="1:31" x14ac:dyDescent="0.25">
      <c r="A90" s="80" t="s">
        <v>172</v>
      </c>
      <c r="B90" s="132"/>
      <c r="C90" s="132"/>
      <c r="D90" s="3"/>
      <c r="E90" s="3"/>
      <c r="F90" s="3"/>
      <c r="G90" s="46"/>
      <c r="I90" s="80" t="s">
        <v>172</v>
      </c>
      <c r="J90" s="132"/>
      <c r="K90" s="132"/>
      <c r="L90" s="3"/>
      <c r="M90" s="3"/>
      <c r="N90" s="3"/>
      <c r="O90" s="46"/>
      <c r="Q90" s="80" t="s">
        <v>172</v>
      </c>
      <c r="R90" s="132"/>
      <c r="S90" s="132"/>
      <c r="T90" s="3"/>
      <c r="U90" s="3"/>
      <c r="V90" s="3"/>
      <c r="W90" s="46"/>
      <c r="Y90" s="80" t="s">
        <v>172</v>
      </c>
      <c r="Z90" s="132"/>
      <c r="AA90" s="132"/>
      <c r="AB90" s="3"/>
      <c r="AC90" s="3"/>
      <c r="AD90" s="3"/>
      <c r="AE90" s="46"/>
    </row>
    <row r="91" spans="1:31" x14ac:dyDescent="0.25">
      <c r="A91" s="81" t="s">
        <v>173</v>
      </c>
      <c r="B91" s="133"/>
      <c r="C91" s="133"/>
      <c r="D91" s="47"/>
      <c r="E91" s="47"/>
      <c r="F91" s="47"/>
      <c r="G91" s="48"/>
      <c r="I91" s="81" t="s">
        <v>173</v>
      </c>
      <c r="J91" s="133"/>
      <c r="K91" s="133"/>
      <c r="L91" s="47"/>
      <c r="M91" s="47"/>
      <c r="N91" s="47"/>
      <c r="O91" s="48"/>
      <c r="Q91" s="81" t="s">
        <v>173</v>
      </c>
      <c r="R91" s="133"/>
      <c r="S91" s="133"/>
      <c r="T91" s="47"/>
      <c r="U91" s="47"/>
      <c r="V91" s="47"/>
      <c r="W91" s="48"/>
      <c r="Y91" s="81" t="s">
        <v>173</v>
      </c>
      <c r="Z91" s="133"/>
      <c r="AA91" s="133"/>
      <c r="AB91" s="47"/>
      <c r="AC91" s="47"/>
      <c r="AD91" s="47"/>
      <c r="AE91" s="48"/>
    </row>
  </sheetData>
  <mergeCells count="32">
    <mergeCell ref="A44:AE44"/>
    <mergeCell ref="A1:W1"/>
    <mergeCell ref="J11:O11"/>
    <mergeCell ref="R11:W11"/>
    <mergeCell ref="B25:G25"/>
    <mergeCell ref="J25:O25"/>
    <mergeCell ref="R25:W25"/>
    <mergeCell ref="A3:G3"/>
    <mergeCell ref="B11:G11"/>
    <mergeCell ref="A10:AE10"/>
    <mergeCell ref="Z11:AE11"/>
    <mergeCell ref="A24:AE24"/>
    <mergeCell ref="Z25:AE25"/>
    <mergeCell ref="B45:G45"/>
    <mergeCell ref="J45:O45"/>
    <mergeCell ref="R45:W45"/>
    <mergeCell ref="A62:AE62"/>
    <mergeCell ref="B63:G63"/>
    <mergeCell ref="J63:O63"/>
    <mergeCell ref="R63:W63"/>
    <mergeCell ref="Z63:AE63"/>
    <mergeCell ref="Z45:AE45"/>
    <mergeCell ref="A85:AE85"/>
    <mergeCell ref="Z86:AE86"/>
    <mergeCell ref="A74:AE74"/>
    <mergeCell ref="B75:G75"/>
    <mergeCell ref="J75:O75"/>
    <mergeCell ref="R75:W75"/>
    <mergeCell ref="Z75:AE75"/>
    <mergeCell ref="B86:G86"/>
    <mergeCell ref="J86:O86"/>
    <mergeCell ref="R86:W86"/>
  </mergeCells>
  <pageMargins left="0.7" right="0.7" top="0.75" bottom="0.75" header="0.3" footer="0.3"/>
  <pageSetup paperSize="9" orientation="portrait" r:id="rId1"/>
  <ignoredErrors>
    <ignoredError sqref="AB27:AB41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ANALYSE REGISTRES 17</vt:lpstr>
      <vt:lpstr>Base de données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</dc:creator>
  <cp:lastModifiedBy>Utilisateur</cp:lastModifiedBy>
  <cp:lastPrinted>2021-01-04T08:49:19Z</cp:lastPrinted>
  <dcterms:created xsi:type="dcterms:W3CDTF">2019-07-04T08:27:49Z</dcterms:created>
  <dcterms:modified xsi:type="dcterms:W3CDTF">2021-05-07T08:34:34Z</dcterms:modified>
</cp:coreProperties>
</file>