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fazan\Bureau\"/>
    </mc:Choice>
  </mc:AlternateContent>
  <bookViews>
    <workbookView xWindow="0" yWindow="0" windowWidth="28770" windowHeight="12270" activeTab="1"/>
  </bookViews>
  <sheets>
    <sheet name="hébergement" sheetId="5" r:id="rId1"/>
    <sheet name="rapport d'activité" sheetId="4" r:id="rId2"/>
    <sheet name="cache" sheetId="6" r:id="rId3"/>
  </sheets>
  <externalReferences>
    <externalReference r:id="rId4"/>
  </externalReferences>
  <definedNames>
    <definedName name="BPI">'[1]Caché - Sources'!$I$22:$J$22</definedName>
    <definedName name="Droits_sociaux">'[1]Caché - Sources'!$D$2:$D$13</definedName>
    <definedName name="Piece_justif">'[1]Caché - Sources'!$F$17:$F$18</definedName>
    <definedName name="Roles">'[1]Caché - Sources'!$I$2:$I$8</definedName>
    <definedName name="Scolarisation">'[1]Caché - Sources'!$H$2:$H$3</definedName>
    <definedName name="Sexe">'[1]Caché - Sources'!$B$2:$B$3</definedName>
    <definedName name="Sit_fam">'[1]Caché - Sources'!$C$2:$C$7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7" i="4" l="1"/>
  <c r="I36" i="4"/>
  <c r="I35" i="4"/>
  <c r="I43" i="4"/>
  <c r="I42" i="4"/>
  <c r="I41" i="4"/>
  <c r="I40" i="4"/>
  <c r="I39" i="4"/>
  <c r="I38" i="4"/>
  <c r="I34" i="4"/>
  <c r="I33" i="4"/>
  <c r="I32" i="4"/>
  <c r="I4" i="4"/>
  <c r="G25" i="4" l="1"/>
  <c r="G24" i="4"/>
  <c r="I8" i="4"/>
  <c r="P5" i="6"/>
  <c r="P4" i="6"/>
  <c r="P3" i="6"/>
  <c r="P2" i="6"/>
  <c r="P1" i="6"/>
  <c r="O5" i="6"/>
  <c r="O4" i="6"/>
  <c r="O3" i="6"/>
  <c r="O2" i="6"/>
  <c r="O1" i="6"/>
  <c r="N5" i="6"/>
  <c r="N4" i="6"/>
  <c r="N3" i="6"/>
  <c r="N2" i="6"/>
  <c r="N1" i="6"/>
  <c r="M5" i="6"/>
  <c r="M4" i="6"/>
  <c r="M3" i="6"/>
  <c r="M2" i="6"/>
  <c r="M1" i="6"/>
  <c r="L1" i="6"/>
  <c r="L5" i="6"/>
  <c r="L4" i="6"/>
  <c r="L3" i="6"/>
  <c r="L2" i="6"/>
  <c r="G8" i="4" l="1"/>
  <c r="G7" i="4"/>
  <c r="G5" i="4"/>
  <c r="G6" i="4"/>
  <c r="G4" i="4"/>
  <c r="I7" i="4"/>
  <c r="I6" i="4"/>
  <c r="I5" i="4"/>
  <c r="I9" i="4" l="1"/>
  <c r="G9" i="4"/>
  <c r="G23" i="4"/>
  <c r="G20" i="4"/>
  <c r="G21" i="4"/>
  <c r="G22" i="4"/>
  <c r="G19" i="4"/>
  <c r="G18" i="4"/>
  <c r="G17" i="4"/>
  <c r="G16" i="4"/>
  <c r="G15" i="4"/>
  <c r="G14" i="4"/>
  <c r="G13" i="4"/>
  <c r="C33" i="4"/>
  <c r="G28" i="4" l="1"/>
  <c r="H27" i="4" l="1"/>
  <c r="H26" i="4"/>
  <c r="H25" i="4"/>
  <c r="H24" i="4"/>
  <c r="H20" i="4"/>
  <c r="H17" i="4"/>
  <c r="H14" i="4"/>
  <c r="H21" i="4"/>
  <c r="H13" i="4"/>
  <c r="H22" i="4"/>
  <c r="H19" i="4"/>
  <c r="H23" i="4"/>
  <c r="H16" i="4"/>
  <c r="H15" i="4"/>
  <c r="H18" i="4"/>
  <c r="C45" i="4"/>
  <c r="C10" i="4" s="1"/>
  <c r="C254" i="4" l="1"/>
  <c r="C253" i="4"/>
  <c r="C252" i="4"/>
  <c r="C251" i="4"/>
  <c r="C250" i="4"/>
  <c r="C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C230" i="4"/>
  <c r="C229" i="4"/>
  <c r="C228" i="4"/>
  <c r="C227" i="4"/>
  <c r="C226" i="4"/>
  <c r="C225" i="4"/>
  <c r="C224" i="4"/>
  <c r="C223" i="4"/>
  <c r="C222" i="4"/>
  <c r="C221" i="4"/>
  <c r="C220" i="4"/>
  <c r="C219" i="4"/>
  <c r="C218" i="4"/>
  <c r="C217" i="4"/>
  <c r="C216" i="4"/>
  <c r="C215" i="4"/>
  <c r="C214" i="4"/>
  <c r="C213" i="4"/>
  <c r="C212" i="4"/>
  <c r="C211" i="4"/>
  <c r="C210" i="4"/>
  <c r="C209" i="4"/>
  <c r="C208" i="4"/>
  <c r="C207" i="4"/>
  <c r="C206" i="4"/>
  <c r="C205" i="4"/>
  <c r="C204" i="4"/>
  <c r="C203" i="4"/>
  <c r="C202" i="4"/>
  <c r="C201" i="4"/>
  <c r="C200" i="4"/>
  <c r="C199" i="4"/>
  <c r="C198" i="4"/>
  <c r="C197" i="4"/>
  <c r="C196" i="4"/>
  <c r="C195" i="4"/>
  <c r="C194" i="4"/>
  <c r="C193" i="4"/>
  <c r="C192" i="4"/>
  <c r="C191" i="4"/>
  <c r="C190" i="4"/>
  <c r="C189" i="4"/>
  <c r="C188" i="4"/>
  <c r="C187" i="4"/>
  <c r="C186" i="4"/>
  <c r="C185" i="4"/>
  <c r="C184" i="4"/>
  <c r="C183" i="4"/>
  <c r="C182" i="4"/>
  <c r="C181" i="4"/>
  <c r="C180" i="4"/>
  <c r="C179" i="4"/>
  <c r="C178" i="4"/>
  <c r="C177" i="4"/>
  <c r="C176" i="4"/>
  <c r="C175" i="4"/>
  <c r="C174" i="4"/>
  <c r="C173" i="4"/>
  <c r="C172" i="4"/>
  <c r="C171" i="4"/>
  <c r="C170" i="4"/>
  <c r="C169" i="4"/>
  <c r="C168" i="4"/>
  <c r="C167" i="4"/>
  <c r="C166" i="4"/>
  <c r="C165" i="4"/>
  <c r="C164" i="4"/>
  <c r="C163" i="4"/>
  <c r="C162" i="4"/>
  <c r="C161" i="4"/>
  <c r="C160" i="4"/>
  <c r="C159" i="4"/>
  <c r="C158" i="4"/>
  <c r="C157" i="4"/>
  <c r="C156" i="4"/>
  <c r="C155" i="4"/>
  <c r="C154" i="4"/>
  <c r="C153" i="4"/>
  <c r="C152" i="4"/>
  <c r="C151" i="4"/>
  <c r="C150" i="4"/>
  <c r="C149" i="4"/>
  <c r="C148" i="4"/>
  <c r="C147" i="4"/>
  <c r="C146" i="4"/>
  <c r="C145" i="4"/>
  <c r="C144" i="4"/>
  <c r="C143" i="4"/>
  <c r="C142" i="4"/>
  <c r="C141" i="4"/>
  <c r="C140" i="4"/>
  <c r="C139" i="4"/>
  <c r="C138" i="4"/>
  <c r="C137" i="4"/>
  <c r="C136" i="4"/>
  <c r="C135" i="4"/>
  <c r="C134" i="4"/>
  <c r="C133" i="4"/>
  <c r="C132" i="4"/>
  <c r="C131" i="4"/>
  <c r="C130" i="4"/>
  <c r="C129" i="4"/>
  <c r="C128" i="4"/>
  <c r="C127" i="4"/>
  <c r="C126" i="4"/>
  <c r="C125" i="4"/>
  <c r="C124" i="4"/>
  <c r="C123" i="4"/>
  <c r="C122" i="4"/>
  <c r="C121" i="4"/>
  <c r="C120" i="4"/>
  <c r="C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C88" i="4"/>
  <c r="C87" i="4"/>
  <c r="C86" i="4"/>
  <c r="C85" i="4"/>
  <c r="C84" i="4"/>
  <c r="C83" i="4"/>
  <c r="C82" i="4"/>
  <c r="C81" i="4"/>
  <c r="C80" i="4"/>
  <c r="C79" i="4"/>
  <c r="C78" i="4"/>
  <c r="C77" i="4"/>
  <c r="C76" i="4"/>
  <c r="C75" i="4"/>
  <c r="C74" i="4"/>
  <c r="C73" i="4"/>
  <c r="C72" i="4"/>
  <c r="C71" i="4"/>
  <c r="C70" i="4"/>
  <c r="C69" i="4"/>
  <c r="D69" i="4" s="1"/>
  <c r="C68" i="4"/>
  <c r="C67" i="4"/>
  <c r="C66" i="4"/>
  <c r="C65" i="4"/>
  <c r="C64" i="4"/>
  <c r="C63" i="4"/>
  <c r="C62" i="4"/>
  <c r="C61" i="4"/>
  <c r="C60" i="4"/>
  <c r="C59" i="4"/>
  <c r="C58" i="4"/>
  <c r="C57" i="4"/>
  <c r="C56" i="4"/>
  <c r="C55" i="4"/>
  <c r="C53" i="4" l="1"/>
  <c r="C50" i="4"/>
  <c r="C49" i="4"/>
  <c r="C52" i="4"/>
  <c r="C51" i="4"/>
  <c r="C29" i="4"/>
  <c r="C8" i="4"/>
  <c r="D50" i="4" l="1"/>
  <c r="D51" i="4"/>
  <c r="D52" i="4"/>
  <c r="D49" i="4"/>
  <c r="D53" i="4"/>
  <c r="D191" i="4"/>
  <c r="D45" i="4"/>
  <c r="D199" i="4"/>
  <c r="D158" i="4"/>
  <c r="D101" i="4"/>
  <c r="D183" i="4"/>
  <c r="D57" i="4"/>
  <c r="D106" i="4"/>
  <c r="D216" i="4"/>
  <c r="D109" i="4"/>
  <c r="D236" i="4"/>
  <c r="D96" i="4"/>
  <c r="D249" i="4"/>
  <c r="D128" i="4"/>
  <c r="D114" i="4"/>
  <c r="D102" i="4"/>
  <c r="D235" i="4"/>
  <c r="D94" i="4"/>
  <c r="D228" i="4"/>
  <c r="D227" i="4"/>
  <c r="D56" i="4"/>
  <c r="D241" i="4"/>
  <c r="D120" i="4"/>
  <c r="D172" i="4"/>
  <c r="D171" i="4"/>
  <c r="D250" i="4"/>
  <c r="D185" i="4"/>
  <c r="D231" i="4"/>
  <c r="D230" i="4"/>
  <c r="D229" i="4"/>
  <c r="D164" i="4"/>
  <c r="D163" i="4"/>
  <c r="D234" i="4"/>
  <c r="D177" i="4"/>
  <c r="D215" i="4"/>
  <c r="D166" i="4"/>
  <c r="D89" i="4"/>
  <c r="D224" i="4"/>
  <c r="D237" i="4"/>
  <c r="D222" i="4"/>
  <c r="D173" i="4"/>
  <c r="D108" i="4"/>
  <c r="D107" i="4"/>
  <c r="D178" i="4"/>
  <c r="D121" i="4"/>
  <c r="D87" i="4"/>
  <c r="D214" i="4"/>
  <c r="D165" i="4"/>
  <c r="D100" i="4"/>
  <c r="D99" i="4"/>
  <c r="D170" i="4"/>
  <c r="D105" i="4"/>
  <c r="D63" i="4"/>
  <c r="D150" i="4"/>
  <c r="D86" i="4"/>
  <c r="D221" i="4"/>
  <c r="D157" i="4"/>
  <c r="D93" i="4"/>
  <c r="D220" i="4"/>
  <c r="D156" i="4"/>
  <c r="D92" i="4"/>
  <c r="D159" i="4"/>
  <c r="D219" i="4"/>
  <c r="D155" i="4"/>
  <c r="D91" i="4"/>
  <c r="D232" i="4"/>
  <c r="D247" i="4"/>
  <c r="D226" i="4"/>
  <c r="D162" i="4"/>
  <c r="D98" i="4"/>
  <c r="D233" i="4"/>
  <c r="D169" i="4"/>
  <c r="D97" i="4"/>
  <c r="D208" i="4"/>
  <c r="D104" i="4"/>
  <c r="D207" i="4"/>
  <c r="D206" i="4"/>
  <c r="D142" i="4"/>
  <c r="D78" i="4"/>
  <c r="D213" i="4"/>
  <c r="D149" i="4"/>
  <c r="D85" i="4"/>
  <c r="D212" i="4"/>
  <c r="D148" i="4"/>
  <c r="D84" i="4"/>
  <c r="D135" i="4"/>
  <c r="D211" i="4"/>
  <c r="D147" i="4"/>
  <c r="D83" i="4"/>
  <c r="D200" i="4"/>
  <c r="D175" i="4"/>
  <c r="D218" i="4"/>
  <c r="D154" i="4"/>
  <c r="D90" i="4"/>
  <c r="D225" i="4"/>
  <c r="D161" i="4"/>
  <c r="D81" i="4"/>
  <c r="D192" i="4"/>
  <c r="D88" i="4"/>
  <c r="D251" i="4"/>
  <c r="D242" i="4"/>
  <c r="D198" i="4"/>
  <c r="D134" i="4"/>
  <c r="D70" i="4"/>
  <c r="D205" i="4"/>
  <c r="D141" i="4"/>
  <c r="D77" i="4"/>
  <c r="D204" i="4"/>
  <c r="D140" i="4"/>
  <c r="D76" i="4"/>
  <c r="D119" i="4"/>
  <c r="D203" i="4"/>
  <c r="D139" i="4"/>
  <c r="D75" i="4"/>
  <c r="D176" i="4"/>
  <c r="D143" i="4"/>
  <c r="D210" i="4"/>
  <c r="D146" i="4"/>
  <c r="D82" i="4"/>
  <c r="D217" i="4"/>
  <c r="D153" i="4"/>
  <c r="D73" i="4"/>
  <c r="D184" i="4"/>
  <c r="D80" i="4"/>
  <c r="D167" i="4"/>
  <c r="D254" i="4"/>
  <c r="D190" i="4"/>
  <c r="D126" i="4"/>
  <c r="D62" i="4"/>
  <c r="D197" i="4"/>
  <c r="D133" i="4"/>
  <c r="D61" i="4"/>
  <c r="D196" i="4"/>
  <c r="D132" i="4"/>
  <c r="D68" i="4"/>
  <c r="D95" i="4"/>
  <c r="D195" i="4"/>
  <c r="D131" i="4"/>
  <c r="D67" i="4"/>
  <c r="D144" i="4"/>
  <c r="D103" i="4"/>
  <c r="D202" i="4"/>
  <c r="D138" i="4"/>
  <c r="D74" i="4"/>
  <c r="D209" i="4"/>
  <c r="D145" i="4"/>
  <c r="D65" i="4"/>
  <c r="D168" i="4"/>
  <c r="D72" i="4"/>
  <c r="D151" i="4"/>
  <c r="D246" i="4"/>
  <c r="D182" i="4"/>
  <c r="D118" i="4"/>
  <c r="D253" i="4"/>
  <c r="D189" i="4"/>
  <c r="D125" i="4"/>
  <c r="D252" i="4"/>
  <c r="D188" i="4"/>
  <c r="D124" i="4"/>
  <c r="D60" i="4"/>
  <c r="D71" i="4"/>
  <c r="D187" i="4"/>
  <c r="D123" i="4"/>
  <c r="D59" i="4"/>
  <c r="D136" i="4"/>
  <c r="D79" i="4"/>
  <c r="D194" i="4"/>
  <c r="D130" i="4"/>
  <c r="D66" i="4"/>
  <c r="D201" i="4"/>
  <c r="D137" i="4"/>
  <c r="D248" i="4"/>
  <c r="D160" i="4"/>
  <c r="D64" i="4"/>
  <c r="D127" i="4"/>
  <c r="D238" i="4"/>
  <c r="D174" i="4"/>
  <c r="D110" i="4"/>
  <c r="D245" i="4"/>
  <c r="D181" i="4"/>
  <c r="D117" i="4"/>
  <c r="D244" i="4"/>
  <c r="D180" i="4"/>
  <c r="D116" i="4"/>
  <c r="D223" i="4"/>
  <c r="D243" i="4"/>
  <c r="D179" i="4"/>
  <c r="D115" i="4"/>
  <c r="D113" i="4"/>
  <c r="D112" i="4"/>
  <c r="D55" i="4"/>
  <c r="D186" i="4"/>
  <c r="D122" i="4"/>
  <c r="D58" i="4"/>
  <c r="D193" i="4"/>
  <c r="D129" i="4"/>
  <c r="D240" i="4"/>
  <c r="D152" i="4"/>
  <c r="D239" i="4"/>
  <c r="D111" i="4"/>
  <c r="C34" i="4"/>
  <c r="C35" i="4"/>
  <c r="C36" i="4"/>
  <c r="C37" i="4"/>
  <c r="C38" i="4"/>
  <c r="C39" i="4"/>
  <c r="C41" i="4" s="1"/>
  <c r="C40" i="4" l="1"/>
  <c r="D33" i="4" s="1"/>
  <c r="C15" i="4"/>
  <c r="C14" i="4"/>
  <c r="C13" i="4"/>
  <c r="C12" i="4"/>
  <c r="C11" i="4"/>
  <c r="C5" i="4"/>
  <c r="D5" i="4" s="1"/>
  <c r="C4" i="4"/>
  <c r="D38" i="4" l="1"/>
  <c r="D39" i="4"/>
  <c r="D36" i="4"/>
  <c r="D34" i="4"/>
  <c r="D35" i="4"/>
  <c r="D37" i="4"/>
  <c r="D4" i="4"/>
  <c r="C16" i="4"/>
  <c r="F3" i="5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2" i="5"/>
  <c r="D15" i="4" l="1"/>
  <c r="H7" i="4"/>
  <c r="J4" i="4"/>
  <c r="H8" i="4"/>
  <c r="J8" i="4"/>
  <c r="J7" i="4"/>
  <c r="H4" i="4"/>
  <c r="H5" i="4"/>
  <c r="H6" i="4"/>
  <c r="J5" i="4"/>
  <c r="J6" i="4"/>
  <c r="C28" i="4"/>
  <c r="D28" i="4" s="1"/>
  <c r="C27" i="4"/>
  <c r="D27" i="4" s="1"/>
  <c r="C26" i="4"/>
  <c r="D26" i="4" s="1"/>
  <c r="C25" i="4"/>
  <c r="D25" i="4" s="1"/>
  <c r="C24" i="4"/>
  <c r="D24" i="4" s="1"/>
  <c r="C23" i="4"/>
  <c r="C21" i="4"/>
  <c r="C22" i="4"/>
  <c r="C6" i="4"/>
  <c r="C7" i="4"/>
  <c r="C20" i="4"/>
  <c r="D10" i="4"/>
  <c r="D14" i="4"/>
  <c r="D13" i="4"/>
  <c r="D12" i="4"/>
  <c r="D11" i="4"/>
  <c r="D7" i="4" l="1"/>
  <c r="D22" i="4"/>
  <c r="D23" i="4"/>
  <c r="D21" i="4"/>
  <c r="D6" i="4"/>
  <c r="D20" i="4"/>
</calcChain>
</file>

<file path=xl/sharedStrings.xml><?xml version="1.0" encoding="utf-8"?>
<sst xmlns="http://schemas.openxmlformats.org/spreadsheetml/2006/main" count="938" uniqueCount="446">
  <si>
    <t>Famille monoparentale</t>
  </si>
  <si>
    <t>Famille élargie</t>
  </si>
  <si>
    <t>Répartition des hébergés par tranches d'âges</t>
  </si>
  <si>
    <t>Typologie de la population hébergée</t>
  </si>
  <si>
    <t>%</t>
  </si>
  <si>
    <t xml:space="preserve">Effectif </t>
  </si>
  <si>
    <t>-2 ans</t>
  </si>
  <si>
    <t>Hommes</t>
  </si>
  <si>
    <t>3-5 ans</t>
  </si>
  <si>
    <t>Femmes</t>
  </si>
  <si>
    <t>6-10 ans</t>
  </si>
  <si>
    <t>Majeurs</t>
  </si>
  <si>
    <t>11-16 ans</t>
  </si>
  <si>
    <t>Mineurs</t>
  </si>
  <si>
    <t>18-24 ans</t>
  </si>
  <si>
    <t>Total personnes</t>
  </si>
  <si>
    <t>25-34 ans</t>
  </si>
  <si>
    <t>Adultes seuls</t>
  </si>
  <si>
    <t>35-44 ans</t>
  </si>
  <si>
    <t>45-54 ans</t>
  </si>
  <si>
    <t>55-64 ans</t>
  </si>
  <si>
    <t>Total ménages</t>
  </si>
  <si>
    <t>Signature d'un projet personnalisé</t>
  </si>
  <si>
    <t>Nb de personnes adultes BPI</t>
  </si>
  <si>
    <t>Hébergés</t>
  </si>
  <si>
    <t>20/02/1994</t>
  </si>
  <si>
    <t>10/09/1978</t>
  </si>
  <si>
    <t>17/05/2004</t>
  </si>
  <si>
    <t>01/01/1984</t>
  </si>
  <si>
    <t>23/10/2017</t>
  </si>
  <si>
    <t>31/10/1993</t>
  </si>
  <si>
    <t>20/09/2019</t>
  </si>
  <si>
    <t>06/01/1980</t>
  </si>
  <si>
    <t>30/06/1993</t>
  </si>
  <si>
    <t>01/01/2000</t>
  </si>
  <si>
    <t>19/10/1981</t>
  </si>
  <si>
    <t>18/05/1985</t>
  </si>
  <si>
    <t>26/06/2009</t>
  </si>
  <si>
    <t>23/07/2013</t>
  </si>
  <si>
    <t>16/09/2018</t>
  </si>
  <si>
    <t>01/01/1996</t>
  </si>
  <si>
    <t>01/01/1988</t>
  </si>
  <si>
    <t>22/04/1986</t>
  </si>
  <si>
    <t>24/05/1964</t>
  </si>
  <si>
    <t>05/02/1962</t>
  </si>
  <si>
    <t>22/11/1988</t>
  </si>
  <si>
    <t>09/08/2010</t>
  </si>
  <si>
    <t>07/06/2012</t>
  </si>
  <si>
    <t>22/04/2014</t>
  </si>
  <si>
    <t>13/06/1995</t>
  </si>
  <si>
    <t>11/10/1994</t>
  </si>
  <si>
    <t>03/11/1997</t>
  </si>
  <si>
    <t>23/05/1984</t>
  </si>
  <si>
    <t>28/09/2001</t>
  </si>
  <si>
    <t>03/04/1984</t>
  </si>
  <si>
    <t>01/01/2002</t>
  </si>
  <si>
    <t>20/12/1992</t>
  </si>
  <si>
    <t>16/06/2000</t>
  </si>
  <si>
    <t>11/08/2009</t>
  </si>
  <si>
    <t>18/06/2007</t>
  </si>
  <si>
    <t>10/03/2005</t>
  </si>
  <si>
    <t>03/10/1988</t>
  </si>
  <si>
    <t>07/10/1991</t>
  </si>
  <si>
    <t>19/06/2016</t>
  </si>
  <si>
    <t>03/01/1997</t>
  </si>
  <si>
    <t>05/04/1999</t>
  </si>
  <si>
    <t>10/04/2001</t>
  </si>
  <si>
    <t>05/08/1993</t>
  </si>
  <si>
    <t>10/06/2001</t>
  </si>
  <si>
    <t>25/05/2002</t>
  </si>
  <si>
    <t>05/03/1998</t>
  </si>
  <si>
    <t>26/10/1991</t>
  </si>
  <si>
    <t>01/01/1995</t>
  </si>
  <si>
    <t>01/01/2012</t>
  </si>
  <si>
    <t>12/03/2019</t>
  </si>
  <si>
    <t>18/07/1999</t>
  </si>
  <si>
    <t>09/02/1989</t>
  </si>
  <si>
    <t>28/06/2020</t>
  </si>
  <si>
    <t>23/07/2020</t>
  </si>
  <si>
    <t>02/01/1998</t>
  </si>
  <si>
    <t>01/01/1991</t>
  </si>
  <si>
    <t>15/07/1987</t>
  </si>
  <si>
    <t>16/11/2016</t>
  </si>
  <si>
    <t>05/04/2019</t>
  </si>
  <si>
    <t>10/10/1995</t>
  </si>
  <si>
    <t>10/01/2002</t>
  </si>
  <si>
    <t>01/01/1998</t>
  </si>
  <si>
    <t>05/02/2001</t>
  </si>
  <si>
    <t>16/09/2020</t>
  </si>
  <si>
    <t>05/05/2000</t>
  </si>
  <si>
    <t>25/09/1993</t>
  </si>
  <si>
    <t>01/12/2017</t>
  </si>
  <si>
    <t>01/01/1997</t>
  </si>
  <si>
    <t>28/06/1982</t>
  </si>
  <si>
    <t>27/07/2020</t>
  </si>
  <si>
    <t>09/09/2020</t>
  </si>
  <si>
    <t>20/05/1954</t>
  </si>
  <si>
    <t>31/12/1960</t>
  </si>
  <si>
    <t>18/07/1995</t>
  </si>
  <si>
    <t>11/01/2002</t>
  </si>
  <si>
    <t>20/04/2017</t>
  </si>
  <si>
    <t>04/05/1998</t>
  </si>
  <si>
    <t>17/08/1993</t>
  </si>
  <si>
    <t>01/01/2015</t>
  </si>
  <si>
    <t>20/01/2020</t>
  </si>
  <si>
    <t>09/03/1996</t>
  </si>
  <si>
    <t>01/01/1972</t>
  </si>
  <si>
    <t>04/09/1965</t>
  </si>
  <si>
    <t>01/01/1994</t>
  </si>
  <si>
    <t>20/02/1996</t>
  </si>
  <si>
    <t>04/04/1995</t>
  </si>
  <si>
    <t>27/10/2012</t>
  </si>
  <si>
    <t>08/05/1994</t>
  </si>
  <si>
    <t>23/04/1991</t>
  </si>
  <si>
    <t>02/04/1985</t>
  </si>
  <si>
    <t>25/01/2021</t>
  </si>
  <si>
    <t>01/01/2003</t>
  </si>
  <si>
    <t>13/02/1996</t>
  </si>
  <si>
    <t>12/05/1974</t>
  </si>
  <si>
    <t>22/11/1981</t>
  </si>
  <si>
    <t>04/11/2015</t>
  </si>
  <si>
    <t>23/02/2005</t>
  </si>
  <si>
    <t>07/06/2002</t>
  </si>
  <si>
    <t>06/05/1995</t>
  </si>
  <si>
    <t>01/01/1990</t>
  </si>
  <si>
    <t>10/02/1994</t>
  </si>
  <si>
    <t>M</t>
  </si>
  <si>
    <t>F</t>
  </si>
  <si>
    <r>
      <t xml:space="preserve">Sexe
</t>
    </r>
    <r>
      <rPr>
        <b/>
        <sz val="9"/>
        <color rgb="FFFFFFFF"/>
        <rFont val="Arial"/>
        <family val="2"/>
      </rPr>
      <t>(liste déroulante)</t>
    </r>
  </si>
  <si>
    <r>
      <t xml:space="preserve">Situation familiale
</t>
    </r>
    <r>
      <rPr>
        <b/>
        <sz val="9"/>
        <color rgb="FFFFFFFF"/>
        <rFont val="Arial"/>
        <family val="2"/>
      </rPr>
      <t>(liste déroulante)</t>
    </r>
  </si>
  <si>
    <t>Personne seule</t>
  </si>
  <si>
    <t>Couple avec enfant</t>
  </si>
  <si>
    <t>Couple sans enfant</t>
  </si>
  <si>
    <t>Enfant majeur accompagnant</t>
  </si>
  <si>
    <t>Enfant mineur accompagnant</t>
  </si>
  <si>
    <r>
      <t xml:space="preserve">Rôle ménage
</t>
    </r>
    <r>
      <rPr>
        <b/>
        <sz val="9"/>
        <color rgb="FFFFFFFF"/>
        <rFont val="Arial"/>
        <family val="2"/>
      </rPr>
      <t>(liste déroulante)</t>
    </r>
  </si>
  <si>
    <t>Référent</t>
  </si>
  <si>
    <t>Conjoint</t>
  </si>
  <si>
    <t>Enfant</t>
  </si>
  <si>
    <t>Ascendant</t>
  </si>
  <si>
    <r>
      <t xml:space="preserve">Date d'entrée
</t>
    </r>
    <r>
      <rPr>
        <b/>
        <sz val="9"/>
        <color rgb="FFFFFFFF"/>
        <rFont val="Arial"/>
        <family val="2"/>
      </rPr>
      <t>(remplir au format jj/mois/année)</t>
    </r>
  </si>
  <si>
    <r>
      <t xml:space="preserve">Procédure
</t>
    </r>
    <r>
      <rPr>
        <b/>
        <sz val="9"/>
        <color rgb="FFFFFFFF"/>
        <rFont val="Arial"/>
        <family val="2"/>
      </rPr>
      <t>(liste déroulante)</t>
    </r>
  </si>
  <si>
    <r>
      <t xml:space="preserve">Date notification OFPRA
</t>
    </r>
    <r>
      <rPr>
        <b/>
        <sz val="9"/>
        <color rgb="FFFFFFFF"/>
        <rFont val="Arial"/>
        <family val="2"/>
      </rPr>
      <t xml:space="preserve">(remplir au format jj/mois/année)
</t>
    </r>
  </si>
  <si>
    <r>
      <t xml:space="preserve">Date  notification CNDA
</t>
    </r>
    <r>
      <rPr>
        <b/>
        <sz val="9"/>
        <color rgb="FFFFFFFF"/>
        <rFont val="Arial"/>
        <family val="2"/>
      </rPr>
      <t>(remplir au format jj/mois/année)</t>
    </r>
  </si>
  <si>
    <r>
      <t xml:space="preserve">Date Notification sortie
</t>
    </r>
    <r>
      <rPr>
        <b/>
        <sz val="9"/>
        <color rgb="FFFFFFFF"/>
        <rFont val="Arial"/>
        <family val="2"/>
      </rPr>
      <t>(remplir au format jj/mois/année)</t>
    </r>
  </si>
  <si>
    <r>
      <t xml:space="preserve">Date de sortie hébergement
</t>
    </r>
    <r>
      <rPr>
        <b/>
        <sz val="9"/>
        <color rgb="FFFFFFFF"/>
        <rFont val="Arial"/>
        <family val="2"/>
      </rPr>
      <t>(remplir au format jj/mois/année)</t>
    </r>
  </si>
  <si>
    <r>
      <t xml:space="preserve">Sortie hébergement
</t>
    </r>
    <r>
      <rPr>
        <b/>
        <sz val="9"/>
        <color rgb="FFFFFFFF"/>
        <rFont val="Arial"/>
        <family val="2"/>
      </rPr>
      <t>(liste déroulante)</t>
    </r>
  </si>
  <si>
    <r>
      <t xml:space="preserve">Age
</t>
    </r>
    <r>
      <rPr>
        <b/>
        <sz val="9"/>
        <color rgb="FFFFFFFF"/>
        <rFont val="Arial"/>
        <family val="2"/>
      </rPr>
      <t>(calcul automatique)</t>
    </r>
  </si>
  <si>
    <t>Procédure normale</t>
  </si>
  <si>
    <t xml:space="preserve">Procédure accélérée </t>
  </si>
  <si>
    <t>Dublin</t>
  </si>
  <si>
    <t>Site</t>
  </si>
  <si>
    <r>
      <t xml:space="preserve">Nationalité
</t>
    </r>
    <r>
      <rPr>
        <b/>
        <sz val="9"/>
        <color rgb="FFFFFFFF"/>
        <rFont val="Arial"/>
        <family val="2"/>
      </rPr>
      <t>(liste déroulante)</t>
    </r>
  </si>
  <si>
    <r>
      <t xml:space="preserve">Francophonie
</t>
    </r>
    <r>
      <rPr>
        <b/>
        <sz val="9"/>
        <color rgb="FFFFFFFF"/>
        <rFont val="Arial"/>
        <family val="2"/>
      </rPr>
      <t>(liste déroulante)</t>
    </r>
  </si>
  <si>
    <r>
      <t xml:space="preserve">Admission
</t>
    </r>
    <r>
      <rPr>
        <b/>
        <sz val="9"/>
        <color rgb="FFFFFFFF"/>
        <rFont val="Arial"/>
        <family val="2"/>
      </rPr>
      <t>(liste déroulante)</t>
    </r>
  </si>
  <si>
    <t>Résidence sociale</t>
  </si>
  <si>
    <t>Départ volontaire vers un pays tiers</t>
  </si>
  <si>
    <t>Reconduite à la frontière</t>
  </si>
  <si>
    <t>Expulsion</t>
  </si>
  <si>
    <t>Exclusion</t>
  </si>
  <si>
    <t>Abandon de la procédure</t>
  </si>
  <si>
    <t>Nationale</t>
  </si>
  <si>
    <t>Locale</t>
  </si>
  <si>
    <t>Transfert</t>
  </si>
  <si>
    <t>Naissance</t>
  </si>
  <si>
    <t>Rejoignant</t>
  </si>
  <si>
    <t>Maternelle</t>
  </si>
  <si>
    <t>Primaire</t>
  </si>
  <si>
    <t>Collège</t>
  </si>
  <si>
    <t>Lycée</t>
  </si>
  <si>
    <t>Enseignement supérieur</t>
  </si>
  <si>
    <t>Enseignement spécialisé</t>
  </si>
  <si>
    <t>OUI</t>
  </si>
  <si>
    <t>NON</t>
  </si>
  <si>
    <t>Non scolarisé</t>
  </si>
  <si>
    <r>
      <t xml:space="preserve">Scolarisation
</t>
    </r>
    <r>
      <rPr>
        <b/>
        <sz val="9"/>
        <color rgb="FFFFFFFF"/>
        <rFont val="Arial"/>
        <family val="2"/>
      </rPr>
      <t xml:space="preserve">(liste déroulante)
</t>
    </r>
  </si>
  <si>
    <t>Total scolarisés</t>
  </si>
  <si>
    <t>Scolarisation</t>
  </si>
  <si>
    <t>logement autonome</t>
  </si>
  <si>
    <t>CPH</t>
  </si>
  <si>
    <t>CHRS /CHU…</t>
  </si>
  <si>
    <t xml:space="preserve">Transfert </t>
  </si>
  <si>
    <t xml:space="preserve">Retour volontaire </t>
  </si>
  <si>
    <t>Solution individuelle (115/ hôtel …)</t>
  </si>
  <si>
    <r>
      <t xml:space="preserve">Date de Naissance
</t>
    </r>
    <r>
      <rPr>
        <b/>
        <sz val="9"/>
        <color rgb="FFFFFFFF"/>
        <rFont val="Arial"/>
        <family val="2"/>
      </rPr>
      <t>(remplir au format jj/mois/année)</t>
    </r>
  </si>
  <si>
    <t>Fraterie</t>
  </si>
  <si>
    <t>Nationalité</t>
  </si>
  <si>
    <t xml:space="preserve">% </t>
  </si>
  <si>
    <t>Nb de personnes adultes BPI ayant signé un PPA</t>
  </si>
  <si>
    <t>Total</t>
  </si>
  <si>
    <t>Total non scolarisés</t>
  </si>
  <si>
    <t>AFGHANE</t>
  </si>
  <si>
    <t>ALBANAISE</t>
  </si>
  <si>
    <t>ALGERIENNE</t>
  </si>
  <si>
    <t>ALLEMANDE</t>
  </si>
  <si>
    <t>AMERICAINE</t>
  </si>
  <si>
    <t>ANDORRANE</t>
  </si>
  <si>
    <t>ANGOLAISE</t>
  </si>
  <si>
    <t>ANTIGUAISE ET BARBUDIENNE</t>
  </si>
  <si>
    <t>ARGENTINE</t>
  </si>
  <si>
    <t>ARMENIENNE</t>
  </si>
  <si>
    <t>AUSTRALIENNE</t>
  </si>
  <si>
    <t>AUTRICHIENNE</t>
  </si>
  <si>
    <t>AZERBAÏDJANAISE</t>
  </si>
  <si>
    <t>BAHAMIENNE</t>
  </si>
  <si>
    <t>BAHREÏNIENNE</t>
  </si>
  <si>
    <t>BANGLADAISE</t>
  </si>
  <si>
    <t>BARBADIENNE</t>
  </si>
  <si>
    <t>BELGE</t>
  </si>
  <si>
    <t>BELIZIENNE</t>
  </si>
  <si>
    <t>BENINOISE</t>
  </si>
  <si>
    <t>BHOUTANAISE</t>
  </si>
  <si>
    <t>BIELORUSSE</t>
  </si>
  <si>
    <t>BIRMANE</t>
  </si>
  <si>
    <t>BISSAU-GUINEENNE</t>
  </si>
  <si>
    <t>BOLIVIENNE</t>
  </si>
  <si>
    <t>BOSNIENNE</t>
  </si>
  <si>
    <t>BOTSWANAISE</t>
  </si>
  <si>
    <t>BRESILIENNE</t>
  </si>
  <si>
    <t>BRITANNIQUE</t>
  </si>
  <si>
    <t>BRUNEIENNE</t>
  </si>
  <si>
    <t>BULGARE</t>
  </si>
  <si>
    <t>BURKINABE</t>
  </si>
  <si>
    <t>BURUNDAISE</t>
  </si>
  <si>
    <t>CAMBODGIENNE</t>
  </si>
  <si>
    <t>CAMEROUNAISE</t>
  </si>
  <si>
    <t>CANADIENNE</t>
  </si>
  <si>
    <t>CAP-VERDIENNE</t>
  </si>
  <si>
    <t>CENTRAFRICAINE</t>
  </si>
  <si>
    <t>CHILIENNE</t>
  </si>
  <si>
    <t>CHINOISE</t>
  </si>
  <si>
    <t>CHINOISE (TAIWAN)</t>
  </si>
  <si>
    <t>CHYPRIOTE</t>
  </si>
  <si>
    <t>COLOMBIENNE</t>
  </si>
  <si>
    <t>COMORIENNE</t>
  </si>
  <si>
    <t>CONGOLAISE</t>
  </si>
  <si>
    <t>CONGOLAISE (R.D.)</t>
  </si>
  <si>
    <t>COSTARICAINE</t>
  </si>
  <si>
    <t>CROATE</t>
  </si>
  <si>
    <t>CUBAINE</t>
  </si>
  <si>
    <t>DANOISE</t>
  </si>
  <si>
    <t>DJIBOUTIENNE</t>
  </si>
  <si>
    <t>DOMINICAINE</t>
  </si>
  <si>
    <t>DOMINIQUAISE</t>
  </si>
  <si>
    <t>EGYPTIENNE</t>
  </si>
  <si>
    <t>EMIRIENNE</t>
  </si>
  <si>
    <t>EQUATO-GUINEENNE</t>
  </si>
  <si>
    <t>EQUATORIENNE</t>
  </si>
  <si>
    <t>ERYTHREENNE</t>
  </si>
  <si>
    <t>ESPAGNOLE</t>
  </si>
  <si>
    <t>ESTONIENNE</t>
  </si>
  <si>
    <t>ETHIOPIENNE</t>
  </si>
  <si>
    <t>FIDJIENNE</t>
  </si>
  <si>
    <t>FINLANDAISE</t>
  </si>
  <si>
    <t>FRANCAISE</t>
  </si>
  <si>
    <t>GABONAISE</t>
  </si>
  <si>
    <t>GAMBIENNE</t>
  </si>
  <si>
    <t>GEORGIENNE</t>
  </si>
  <si>
    <t>GHANEENNE</t>
  </si>
  <si>
    <t>GRENADIENNE</t>
  </si>
  <si>
    <t>GUATEMALTEQUE</t>
  </si>
  <si>
    <t>GUINEENNE</t>
  </si>
  <si>
    <t>GUYANIENNE</t>
  </si>
  <si>
    <t>HAÏTIENNE</t>
  </si>
  <si>
    <t>HELLENIQUE</t>
  </si>
  <si>
    <t>HONDURIENNE</t>
  </si>
  <si>
    <t>HONGROISE</t>
  </si>
  <si>
    <t>inconnue</t>
  </si>
  <si>
    <t>INDIENNE</t>
  </si>
  <si>
    <t>INDONESIENNE</t>
  </si>
  <si>
    <t>IRAKIENNE</t>
  </si>
  <si>
    <t>IRANIENNE</t>
  </si>
  <si>
    <t>IRLANDAISE</t>
  </si>
  <si>
    <t>ISLANDAISE</t>
  </si>
  <si>
    <t>ISRAËLIENNE</t>
  </si>
  <si>
    <t>ITALIENNE</t>
  </si>
  <si>
    <t>IVOIRIENNE</t>
  </si>
  <si>
    <t>JAMAÏCAINE</t>
  </si>
  <si>
    <t>JAPONAISE</t>
  </si>
  <si>
    <t>JORDANIENNE</t>
  </si>
  <si>
    <t>KAZAKHSTANAISE</t>
  </si>
  <si>
    <t>KENYANE</t>
  </si>
  <si>
    <t>KIRGHIZE</t>
  </si>
  <si>
    <t>KIRIBATIENNE</t>
  </si>
  <si>
    <t>KITTITIENNE-ET-NEVICIENNE</t>
  </si>
  <si>
    <t>KOSSOVIENNE</t>
  </si>
  <si>
    <t>KOWEÏTIENNE</t>
  </si>
  <si>
    <t>LAOTIENNE</t>
  </si>
  <si>
    <t>LESOTHANE</t>
  </si>
  <si>
    <t>LETTONE</t>
  </si>
  <si>
    <t>LIBANAISE</t>
  </si>
  <si>
    <t>LIBERIENNE</t>
  </si>
  <si>
    <t>LIBYENNE</t>
  </si>
  <si>
    <t>LIECHTENSTEINOISE</t>
  </si>
  <si>
    <t>LITUANIENNE</t>
  </si>
  <si>
    <t>LUXEMBOURGEOISE</t>
  </si>
  <si>
    <t>MACEDONIENNE</t>
  </si>
  <si>
    <t>MALAISIENNE</t>
  </si>
  <si>
    <t>MALAWIENNE</t>
  </si>
  <si>
    <t>MALDIVIENNE</t>
  </si>
  <si>
    <t>MALGACHE</t>
  </si>
  <si>
    <t>MALIENNE</t>
  </si>
  <si>
    <t>MALTAISE</t>
  </si>
  <si>
    <t>MAROCAINE</t>
  </si>
  <si>
    <t>MARSHALLAISE</t>
  </si>
  <si>
    <t>MAURICIENNE</t>
  </si>
  <si>
    <t>MAURITANIENNE</t>
  </si>
  <si>
    <t>MEXICAINE</t>
  </si>
  <si>
    <t>MICRONESIENNE</t>
  </si>
  <si>
    <t>MOLDAVE</t>
  </si>
  <si>
    <t>MONEGASQUE</t>
  </si>
  <si>
    <t>MONGOLE</t>
  </si>
  <si>
    <t>MONTENEGRINE</t>
  </si>
  <si>
    <t>MOZAMBICAINE</t>
  </si>
  <si>
    <t>NAMIBIENNE</t>
  </si>
  <si>
    <t>NAURUANE</t>
  </si>
  <si>
    <t>NEERLANDAISE</t>
  </si>
  <si>
    <t>NEO-ZELANDAISE</t>
  </si>
  <si>
    <t>NEPALAISE</t>
  </si>
  <si>
    <t>NICARAGUAYENNE</t>
  </si>
  <si>
    <t>NIGERIANE</t>
  </si>
  <si>
    <t>NIGERIENNE</t>
  </si>
  <si>
    <t>NORD-CORÉENNE</t>
  </si>
  <si>
    <t>NORVEGIENNE</t>
  </si>
  <si>
    <t>OMANAISE</t>
  </si>
  <si>
    <t>OUGANDAISE</t>
  </si>
  <si>
    <t>OUZBEKE</t>
  </si>
  <si>
    <t>PAKISTANAISE</t>
  </si>
  <si>
    <t>PALAOISE</t>
  </si>
  <si>
    <t>PALESTINIENNE</t>
  </si>
  <si>
    <t>PANAMEENNE</t>
  </si>
  <si>
    <t>PAPOUANE-NEOGUINEENNE</t>
  </si>
  <si>
    <t>PARAGUAYENNE</t>
  </si>
  <si>
    <t>PERUVIENNE</t>
  </si>
  <si>
    <t>PHILIPPINE</t>
  </si>
  <si>
    <t>POLONAISE</t>
  </si>
  <si>
    <t>PORTORICAINE</t>
  </si>
  <si>
    <t>PORTUGAISE</t>
  </si>
  <si>
    <t>QATARIENNE</t>
  </si>
  <si>
    <t>ROUMAINE</t>
  </si>
  <si>
    <t>RUSSE</t>
  </si>
  <si>
    <t>RWANDAISE</t>
  </si>
  <si>
    <t>SAINT-LUCIENNE</t>
  </si>
  <si>
    <t>SAINT-MARINAISE</t>
  </si>
  <si>
    <t>SAINT-VINCENTAISE-ET-GRENADINE</t>
  </si>
  <si>
    <t>SALOMONAISE</t>
  </si>
  <si>
    <t>SALVADORIENNE</t>
  </si>
  <si>
    <t>SAMOANE</t>
  </si>
  <si>
    <t>sans nationalité</t>
  </si>
  <si>
    <t>SANTOMEENNE</t>
  </si>
  <si>
    <t>SAOUDIENNE</t>
  </si>
  <si>
    <t>SENEGALAISE</t>
  </si>
  <si>
    <t>SERBE</t>
  </si>
  <si>
    <t>SERBIE ET MONTENEGRO</t>
  </si>
  <si>
    <t>SEYCHELLOISE</t>
  </si>
  <si>
    <t>SIERRA-LEONAISE</t>
  </si>
  <si>
    <t>SINGAPOURIENNE</t>
  </si>
  <si>
    <t>SLOVAQUE</t>
  </si>
  <si>
    <t>SLOVENE</t>
  </si>
  <si>
    <t>SOMALIENNE</t>
  </si>
  <si>
    <t>SOUDANAISE</t>
  </si>
  <si>
    <t>SRI-LANKAISE</t>
  </si>
  <si>
    <t>SUD-AFRICAINE</t>
  </si>
  <si>
    <t>SUD-CORÉENNE</t>
  </si>
  <si>
    <t>SUD-SOUDANAISE</t>
  </si>
  <si>
    <t>SUEDOISE</t>
  </si>
  <si>
    <t>SUISSE</t>
  </si>
  <si>
    <t>SURINAMIENNE</t>
  </si>
  <si>
    <t>SWAZIE</t>
  </si>
  <si>
    <t>SYRIENNE</t>
  </si>
  <si>
    <t>TADJIKE</t>
  </si>
  <si>
    <t>TANZANIENNE</t>
  </si>
  <si>
    <t>TCHADIENNE</t>
  </si>
  <si>
    <t>TCHEQUE</t>
  </si>
  <si>
    <t>THAÏLANDAISE</t>
  </si>
  <si>
    <t>TIMORAISE</t>
  </si>
  <si>
    <t>TOGOLAISE</t>
  </si>
  <si>
    <t>TONGIENNE</t>
  </si>
  <si>
    <t>TRINIDADIENNE</t>
  </si>
  <si>
    <t>TUNISIENNE</t>
  </si>
  <si>
    <t>TURKMENE</t>
  </si>
  <si>
    <t>TURQUE</t>
  </si>
  <si>
    <t>TUVALUANE</t>
  </si>
  <si>
    <t>UKRAINIENNE</t>
  </si>
  <si>
    <t>URUGUAYENNE</t>
  </si>
  <si>
    <t>VANUATUANE</t>
  </si>
  <si>
    <t>VENEZUELIENNE</t>
  </si>
  <si>
    <t>VIETNAMIENNE</t>
  </si>
  <si>
    <t>YEMENITE</t>
  </si>
  <si>
    <t>ZAMBIENNE</t>
  </si>
  <si>
    <t>ZIMBABWEENNE</t>
  </si>
  <si>
    <t>Francophonie</t>
  </si>
  <si>
    <t>Dédubliné</t>
  </si>
  <si>
    <t>Statut de réfugié</t>
  </si>
  <si>
    <t>Protection subsidiaire</t>
  </si>
  <si>
    <r>
      <t xml:space="preserve">Bénéficiaire d'une protection internationale
</t>
    </r>
    <r>
      <rPr>
        <b/>
        <sz val="10"/>
        <color rgb="FFFFFFFF"/>
        <rFont val="Arial"/>
        <family val="2"/>
      </rPr>
      <t>(liste déroulante)</t>
    </r>
    <r>
      <rPr>
        <b/>
        <sz val="13"/>
        <color rgb="FFFFFFFF"/>
        <rFont val="Arial"/>
        <family val="2"/>
      </rPr>
      <t xml:space="preserve">
</t>
    </r>
  </si>
  <si>
    <t>Effectif</t>
  </si>
  <si>
    <t>Procédure accélérée</t>
  </si>
  <si>
    <r>
      <t xml:space="preserve">Réponse
OFPRA
</t>
    </r>
    <r>
      <rPr>
        <b/>
        <sz val="9"/>
        <color rgb="FFFFFFFF"/>
        <rFont val="Arial"/>
        <family val="2"/>
      </rPr>
      <t>(liste déroulante)</t>
    </r>
  </si>
  <si>
    <r>
      <t xml:space="preserve">Réponse 
CNDA
</t>
    </r>
    <r>
      <rPr>
        <b/>
        <sz val="9"/>
        <color rgb="FFFFFFFF"/>
        <rFont val="Arial"/>
        <family val="2"/>
      </rPr>
      <t>(liste déroulante)</t>
    </r>
  </si>
  <si>
    <t>Rejet</t>
  </si>
  <si>
    <t>Rejet OFPRA</t>
  </si>
  <si>
    <t>Rejet CNDA</t>
  </si>
  <si>
    <t>Sortie débouté</t>
  </si>
  <si>
    <t xml:space="preserve">Nationale </t>
  </si>
  <si>
    <t xml:space="preserve">Locale </t>
  </si>
  <si>
    <t>Régularisés</t>
  </si>
  <si>
    <t>Fin CMA suite au rejet OFPRA</t>
  </si>
  <si>
    <t>Réfugiés + PS &lt; 6 mois</t>
  </si>
  <si>
    <t>Réfugiés +PS &gt; 6 mois</t>
  </si>
  <si>
    <t>Déboutés &lt; 1 mois</t>
  </si>
  <si>
    <t>Déboutés &gt; 1 mois</t>
  </si>
  <si>
    <t>Dont Régularisés &gt; 1 mois</t>
  </si>
  <si>
    <t>Accès à un logement autonome</t>
  </si>
  <si>
    <t>Admis dans un CPH</t>
  </si>
  <si>
    <t>Accès à un hébergement (CHRS /CHU..)</t>
  </si>
  <si>
    <t>Transfert vers un autre centre</t>
  </si>
  <si>
    <t>Effectif famille</t>
  </si>
  <si>
    <t>Effectif isolé</t>
  </si>
  <si>
    <t>Procédure / BPI / rejet / débouté</t>
  </si>
  <si>
    <t>Nb de protection subsidiaire par l'OFPRA</t>
  </si>
  <si>
    <t>Nb de statut de réfugié délivré par la CNDA</t>
  </si>
  <si>
    <t>Nb de statut de réfugié délivré par l'OFPRA</t>
  </si>
  <si>
    <t>Nb de protection subsidiaire délivré par la CNDA</t>
  </si>
  <si>
    <t>Sorties</t>
  </si>
  <si>
    <t>Champ : BPI / PN / PA / Dublin au cours de l'année</t>
  </si>
  <si>
    <t>Nb de procédure dublin</t>
  </si>
  <si>
    <t>Nb en attente de dépôt d'asile</t>
  </si>
  <si>
    <t xml:space="preserve"> Nb de personnes adultes ayant signé un PPA</t>
  </si>
  <si>
    <t>Champ : + de 18 ans présents depuis plus de 31 jours</t>
  </si>
  <si>
    <t>Nationalités les plus présentes</t>
  </si>
  <si>
    <t>Champ : Sur l'ensemble des personnes hébergées</t>
  </si>
  <si>
    <t>Champ: sur l'ensemble des enfants et adultes scolarisés</t>
  </si>
  <si>
    <t>Champ : Sur l'ensemble des ménages hébergés</t>
  </si>
  <si>
    <t>Admission</t>
  </si>
  <si>
    <t>Champ : Ensemble des isolés et familles hébergés</t>
  </si>
  <si>
    <t>Etat des présences post procédure</t>
  </si>
  <si>
    <t>Nb de procédure normale</t>
  </si>
  <si>
    <t xml:space="preserve">Nb de procédure procédure accélérée </t>
  </si>
  <si>
    <t>Nb de procédure dédublinée</t>
  </si>
  <si>
    <t>Attente de procédure</t>
  </si>
  <si>
    <t>Décès</t>
  </si>
  <si>
    <t>Débouté par suite rejet OFPRA</t>
  </si>
  <si>
    <t>Débouté par suite rejet CNDA</t>
  </si>
  <si>
    <t>Solution individuelle (115/ hôtel, …)</t>
  </si>
  <si>
    <t>Retour volontaire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</si>
</sst>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3"/>
      <color rgb="FFFFFFFF"/>
      <name val="Arial"/>
      <family val="2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9"/>
      <color rgb="FFFFFFFF"/>
      <name val="Arial"/>
      <family val="2"/>
    </font>
    <font>
      <b/>
      <sz val="9"/>
      <name val="Lucida Sans"/>
      <family val="2"/>
    </font>
    <font>
      <b/>
      <sz val="10"/>
      <color theme="0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FFFF"/>
      <name val="Arial"/>
      <family val="2"/>
    </font>
    <font>
      <sz val="9"/>
      <color theme="1"/>
      <name val="Arial"/>
      <family val="2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rgb="FF41449A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0" fillId="0" borderId="0"/>
  </cellStyleXfs>
  <cellXfs count="103">
    <xf numFmtId="0" fontId="0" fillId="0" borderId="0" xfId="0"/>
    <xf numFmtId="0" fontId="3" fillId="0" borderId="0" xfId="0" applyFont="1"/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0" xfId="0" applyFont="1" applyFill="1" applyBorder="1" applyAlignment="1">
      <alignment vertical="center"/>
    </xf>
    <xf numFmtId="0" fontId="0" fillId="0" borderId="0" xfId="0" applyBorder="1"/>
    <xf numFmtId="0" fontId="3" fillId="0" borderId="0" xfId="0" applyFont="1" applyFill="1" applyBorder="1" applyAlignment="1">
      <alignment horizontal="center" vertical="center"/>
    </xf>
    <xf numFmtId="10" fontId="3" fillId="0" borderId="0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vertical="center"/>
    </xf>
    <xf numFmtId="0" fontId="2" fillId="0" borderId="0" xfId="0" applyFont="1" applyAlignment="1">
      <alignment horizontal="center"/>
    </xf>
    <xf numFmtId="0" fontId="4" fillId="4" borderId="0" xfId="0" applyFont="1" applyFill="1" applyAlignment="1">
      <alignment horizontal="center" vertical="top" wrapText="1"/>
    </xf>
    <xf numFmtId="0" fontId="2" fillId="0" borderId="0" xfId="0" applyFont="1"/>
    <xf numFmtId="0" fontId="0" fillId="2" borderId="0" xfId="0" applyFill="1" applyAlignment="1">
      <alignment vertical="top" wrapText="1"/>
    </xf>
    <xf numFmtId="0" fontId="2" fillId="0" borderId="0" xfId="0" applyFont="1" applyFill="1" applyBorder="1"/>
    <xf numFmtId="0" fontId="8" fillId="0" borderId="4" xfId="0" applyFont="1" applyBorder="1" applyAlignment="1">
      <alignment wrapText="1"/>
    </xf>
    <xf numFmtId="0" fontId="8" fillId="0" borderId="5" xfId="0" applyFont="1" applyBorder="1" applyAlignment="1">
      <alignment wrapText="1"/>
    </xf>
    <xf numFmtId="0" fontId="3" fillId="6" borderId="0" xfId="0" applyFont="1" applyFill="1"/>
    <xf numFmtId="0" fontId="3" fillId="6" borderId="0" xfId="0" applyFont="1" applyFill="1" applyBorder="1" applyAlignment="1">
      <alignment horizontal="right" vertical="center"/>
    </xf>
    <xf numFmtId="10" fontId="3" fillId="0" borderId="2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center" vertical="center"/>
    </xf>
    <xf numFmtId="10" fontId="3" fillId="5" borderId="2" xfId="0" applyNumberFormat="1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10" fontId="3" fillId="6" borderId="0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vertical="center" wrapText="1"/>
    </xf>
    <xf numFmtId="0" fontId="3" fillId="5" borderId="2" xfId="0" applyFont="1" applyFill="1" applyBorder="1" applyAlignment="1">
      <alignment horizontal="right" vertical="center"/>
    </xf>
    <xf numFmtId="0" fontId="10" fillId="0" borderId="6" xfId="2" applyFont="1" applyFill="1" applyBorder="1" applyAlignment="1">
      <alignment wrapText="1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12" fillId="7" borderId="2" xfId="0" applyFont="1" applyFill="1" applyBorder="1" applyAlignment="1">
      <alignment horizontal="center" vertical="center"/>
    </xf>
    <xf numFmtId="9" fontId="12" fillId="7" borderId="2" xfId="1" applyFont="1" applyFill="1" applyBorder="1" applyAlignment="1">
      <alignment horizontal="center" vertical="center"/>
    </xf>
    <xf numFmtId="1" fontId="3" fillId="0" borderId="2" xfId="1" applyNumberFormat="1" applyFont="1" applyFill="1" applyBorder="1" applyAlignment="1">
      <alignment horizontal="center" vertical="center"/>
    </xf>
    <xf numFmtId="0" fontId="3" fillId="0" borderId="0" xfId="0" applyFont="1" applyFill="1" applyBorder="1"/>
    <xf numFmtId="0" fontId="3" fillId="5" borderId="2" xfId="0" applyFont="1" applyFill="1" applyBorder="1"/>
    <xf numFmtId="0" fontId="3" fillId="3" borderId="2" xfId="0" applyFont="1" applyFill="1" applyBorder="1" applyAlignment="1">
      <alignment vertical="top"/>
    </xf>
    <xf numFmtId="0" fontId="3" fillId="5" borderId="2" xfId="0" applyFont="1" applyFill="1" applyBorder="1" applyAlignment="1">
      <alignment horizontal="right"/>
    </xf>
    <xf numFmtId="10" fontId="3" fillId="0" borderId="2" xfId="0" applyNumberFormat="1" applyFont="1" applyBorder="1" applyAlignment="1">
      <alignment horizontal="center"/>
    </xf>
    <xf numFmtId="1" fontId="3" fillId="0" borderId="2" xfId="0" applyNumberFormat="1" applyFont="1" applyBorder="1" applyAlignment="1">
      <alignment horizontal="center"/>
    </xf>
    <xf numFmtId="0" fontId="3" fillId="0" borderId="2" xfId="0" applyNumberFormat="1" applyFont="1" applyBorder="1" applyAlignment="1">
      <alignment horizontal="center"/>
    </xf>
    <xf numFmtId="0" fontId="3" fillId="0" borderId="2" xfId="0" applyFont="1" applyFill="1" applyBorder="1"/>
    <xf numFmtId="0" fontId="3" fillId="5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vertical="top"/>
    </xf>
    <xf numFmtId="0" fontId="3" fillId="0" borderId="2" xfId="0" applyFont="1" applyBorder="1"/>
    <xf numFmtId="0" fontId="3" fillId="3" borderId="2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left" vertical="center"/>
    </xf>
    <xf numFmtId="0" fontId="15" fillId="0" borderId="2" xfId="0" applyFont="1" applyFill="1" applyBorder="1" applyAlignment="1">
      <alignment horizontal="left"/>
    </xf>
    <xf numFmtId="0" fontId="11" fillId="3" borderId="2" xfId="2" applyFont="1" applyFill="1" applyBorder="1" applyAlignment="1">
      <alignment wrapText="1"/>
    </xf>
    <xf numFmtId="0" fontId="3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/>
    </xf>
    <xf numFmtId="10" fontId="3" fillId="6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0" fontId="3" fillId="0" borderId="2" xfId="0" applyNumberFormat="1" applyFont="1" applyBorder="1" applyAlignment="1">
      <alignment horizontal="center" vertical="center"/>
    </xf>
    <xf numFmtId="9" fontId="3" fillId="0" borderId="2" xfId="1" applyFont="1" applyFill="1" applyBorder="1" applyAlignment="1">
      <alignment horizontal="center" vertical="center"/>
    </xf>
    <xf numFmtId="0" fontId="3" fillId="0" borderId="0" xfId="0" applyFont="1" applyFill="1"/>
    <xf numFmtId="0" fontId="0" fillId="0" borderId="0" xfId="0" applyFill="1" applyBorder="1"/>
    <xf numFmtId="0" fontId="15" fillId="0" borderId="2" xfId="0" applyFont="1" applyBorder="1"/>
    <xf numFmtId="0" fontId="3" fillId="0" borderId="0" xfId="0" applyFont="1" applyFill="1" applyBorder="1" applyAlignment="1">
      <alignment horizontal="right"/>
    </xf>
    <xf numFmtId="0" fontId="14" fillId="3" borderId="2" xfId="0" applyFont="1" applyFill="1" applyBorder="1" applyAlignment="1">
      <alignment vertical="center" wrapText="1"/>
    </xf>
    <xf numFmtId="0" fontId="14" fillId="0" borderId="2" xfId="0" applyFont="1" applyFill="1" applyBorder="1" applyAlignment="1">
      <alignment vertical="center" wrapText="1"/>
    </xf>
    <xf numFmtId="0" fontId="3" fillId="5" borderId="2" xfId="0" applyFont="1" applyFill="1" applyBorder="1" applyAlignment="1">
      <alignment vertical="top"/>
    </xf>
    <xf numFmtId="0" fontId="0" fillId="5" borderId="2" xfId="0" applyFill="1" applyBorder="1"/>
    <xf numFmtId="0" fontId="14" fillId="5" borderId="2" xfId="0" applyFont="1" applyFill="1" applyBorder="1" applyAlignment="1">
      <alignment horizontal="right" vertical="center" wrapText="1"/>
    </xf>
    <xf numFmtId="0" fontId="15" fillId="0" borderId="2" xfId="0" applyFont="1" applyBorder="1" applyAlignment="1">
      <alignment horizontal="left" vertical="center"/>
    </xf>
    <xf numFmtId="0" fontId="3" fillId="3" borderId="2" xfId="0" applyFont="1" applyFill="1" applyBorder="1"/>
    <xf numFmtId="10" fontId="3" fillId="0" borderId="2" xfId="0" applyNumberFormat="1" applyFont="1" applyFill="1" applyBorder="1" applyAlignment="1">
      <alignment horizontal="center"/>
    </xf>
    <xf numFmtId="10" fontId="3" fillId="3" borderId="2" xfId="0" applyNumberFormat="1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right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3" borderId="2" xfId="0" quotePrefix="1" applyFont="1" applyFill="1" applyBorder="1" applyAlignment="1">
      <alignment horizontal="left" vertical="center"/>
    </xf>
    <xf numFmtId="0" fontId="15" fillId="6" borderId="2" xfId="0" applyFont="1" applyFill="1" applyBorder="1" applyAlignment="1">
      <alignment horizontal="right" vertical="center"/>
    </xf>
    <xf numFmtId="0" fontId="15" fillId="6" borderId="2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 wrapText="1"/>
    </xf>
    <xf numFmtId="10" fontId="3" fillId="0" borderId="2" xfId="0" applyNumberFormat="1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right" vertical="top"/>
    </xf>
    <xf numFmtId="0" fontId="3" fillId="0" borderId="0" xfId="0" applyFont="1" applyBorder="1" applyAlignment="1">
      <alignment wrapText="1"/>
    </xf>
    <xf numFmtId="0" fontId="3" fillId="3" borderId="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wrapText="1"/>
    </xf>
    <xf numFmtId="0" fontId="3" fillId="0" borderId="7" xfId="0" applyFont="1" applyFill="1" applyBorder="1" applyAlignment="1">
      <alignment wrapText="1"/>
    </xf>
    <xf numFmtId="0" fontId="3" fillId="0" borderId="7" xfId="0" applyFont="1" applyFill="1" applyBorder="1"/>
    <xf numFmtId="0" fontId="0" fillId="0" borderId="7" xfId="0" applyFill="1" applyBorder="1"/>
    <xf numFmtId="0" fontId="3" fillId="0" borderId="0" xfId="0" applyFont="1" applyBorder="1"/>
    <xf numFmtId="0" fontId="5" fillId="6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8" borderId="2" xfId="0" applyFont="1" applyFill="1" applyBorder="1" applyAlignment="1">
      <alignment horizontal="right" vertical="center"/>
    </xf>
    <xf numFmtId="1" fontId="3" fillId="5" borderId="2" xfId="0" applyNumberFormat="1" applyFont="1" applyFill="1" applyBorder="1" applyAlignment="1">
      <alignment horizontal="center"/>
    </xf>
    <xf numFmtId="10" fontId="3" fillId="0" borderId="3" xfId="0" applyNumberFormat="1" applyFont="1" applyFill="1" applyBorder="1" applyAlignment="1">
      <alignment horizontal="center" vertical="center"/>
    </xf>
    <xf numFmtId="0" fontId="16" fillId="5" borderId="2" xfId="0" applyFont="1" applyFill="1" applyBorder="1" applyAlignment="1">
      <alignment horizontal="center" vertical="center"/>
    </xf>
    <xf numFmtId="9" fontId="16" fillId="5" borderId="2" xfId="1" applyFont="1" applyFill="1" applyBorder="1" applyAlignment="1">
      <alignment horizontal="center" vertical="center"/>
    </xf>
    <xf numFmtId="0" fontId="8" fillId="0" borderId="2" xfId="0" applyFont="1" applyBorder="1" applyAlignment="1">
      <alignment wrapText="1"/>
    </xf>
    <xf numFmtId="0" fontId="17" fillId="3" borderId="2" xfId="0" applyFont="1" applyFill="1" applyBorder="1" applyAlignment="1">
      <alignment wrapText="1"/>
    </xf>
    <xf numFmtId="0" fontId="3" fillId="0" borderId="0" xfId="0" applyNumberFormat="1" applyFont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3">
    <cellStyle name="Normal" xfId="0" builtinId="0"/>
    <cellStyle name="Normal_Liste Nationalités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tats\PRAHDA%20Besan&#231;on%20Nouvelle%20matrice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Identité structure"/>
      <sheetName val="2.Suivi hébergés"/>
      <sheetName val="3.Rapport d'activité"/>
      <sheetName val="4.Indicateurs"/>
      <sheetName val="5.Notice accès parc social"/>
      <sheetName val="Caché - Sources"/>
      <sheetName val="Caché - Calculs"/>
      <sheetName val="Caché - Calculs D sociaux"/>
      <sheetName val="Caché - Calculs Dublin"/>
    </sheetNames>
    <sheetDataSet>
      <sheetData sheetId="0"/>
      <sheetData sheetId="1"/>
      <sheetData sheetId="2"/>
      <sheetData sheetId="3"/>
      <sheetData sheetId="4"/>
      <sheetData sheetId="5">
        <row r="2">
          <cell r="B2" t="str">
            <v>M</v>
          </cell>
          <cell r="C2" t="str">
            <v>Personne seule</v>
          </cell>
          <cell r="D2" t="str">
            <v>Retraite</v>
          </cell>
          <cell r="H2" t="str">
            <v>Oui</v>
          </cell>
          <cell r="I2" t="str">
            <v>Référent</v>
          </cell>
        </row>
        <row r="3">
          <cell r="B3" t="str">
            <v>F</v>
          </cell>
          <cell r="C3" t="str">
            <v>Famille monoparentale</v>
          </cell>
          <cell r="D3" t="str">
            <v>Pension alimentaire</v>
          </cell>
          <cell r="H3" t="str">
            <v>Non</v>
          </cell>
          <cell r="I3" t="str">
            <v>Conjoint</v>
          </cell>
        </row>
        <row r="4">
          <cell r="C4" t="str">
            <v>Couple sans enfant</v>
          </cell>
          <cell r="D4" t="str">
            <v>RSA</v>
          </cell>
          <cell r="I4" t="str">
            <v>Ascendant</v>
          </cell>
        </row>
        <row r="5">
          <cell r="C5" t="str">
            <v>Couple avec enfant(s)</v>
          </cell>
          <cell r="D5" t="str">
            <v>RSA majoré</v>
          </cell>
          <cell r="I5" t="str">
            <v>Enfant</v>
          </cell>
        </row>
        <row r="6">
          <cell r="C6" t="str">
            <v>Fratrie</v>
          </cell>
          <cell r="D6" t="str">
            <v>Allocation Retour Emploi</v>
          </cell>
          <cell r="I6" t="str">
            <v>Frère/Sœur</v>
          </cell>
        </row>
        <row r="7">
          <cell r="C7" t="str">
            <v>Famille élargie</v>
          </cell>
          <cell r="D7" t="str">
            <v>Prestations familiales (PF)</v>
          </cell>
          <cell r="I7" t="str">
            <v>Parent d'enfant(s) réfugié(s)</v>
          </cell>
        </row>
        <row r="8">
          <cell r="D8" t="str">
            <v>RSA+PF</v>
          </cell>
          <cell r="I8" t="str">
            <v>Autre</v>
          </cell>
        </row>
        <row r="9">
          <cell r="D9" t="str">
            <v>AAH</v>
          </cell>
        </row>
        <row r="10">
          <cell r="D10" t="str">
            <v>ASS</v>
          </cell>
        </row>
        <row r="11">
          <cell r="D11" t="str">
            <v>ASPA</v>
          </cell>
        </row>
        <row r="12">
          <cell r="D12" t="str">
            <v>Indemnité Garantie Jeune</v>
          </cell>
        </row>
        <row r="13">
          <cell r="D13" t="str">
            <v>Autres droits sociaux (dont ADA, ATA)</v>
          </cell>
        </row>
        <row r="17">
          <cell r="F17" t="str">
            <v>Collectée</v>
          </cell>
        </row>
        <row r="18">
          <cell r="F18" t="str">
            <v>Non collectée</v>
          </cell>
        </row>
        <row r="22">
          <cell r="I22" t="str">
            <v>Oui</v>
          </cell>
          <cell r="J22" t="str">
            <v>Non</v>
          </cell>
        </row>
      </sheetData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6"/>
  <sheetViews>
    <sheetView zoomScale="115" zoomScaleNormal="115" workbookViewId="0">
      <selection activeCell="B2" sqref="B2:B106"/>
    </sheetView>
  </sheetViews>
  <sheetFormatPr baseColWidth="10" defaultColWidth="9.140625" defaultRowHeight="15" x14ac:dyDescent="0.25"/>
  <cols>
    <col min="1" max="1" width="31.7109375" bestFit="1" customWidth="1"/>
    <col min="2" max="2" width="48.28515625" bestFit="1" customWidth="1"/>
    <col min="3" max="3" width="19.140625" bestFit="1" customWidth="1"/>
    <col min="4" max="4" width="26.5703125" customWidth="1"/>
    <col min="5" max="5" width="19.140625" customWidth="1"/>
    <col min="6" max="6" width="12.28515625" customWidth="1"/>
    <col min="7" max="7" width="30.28515625" customWidth="1"/>
    <col min="8" max="8" width="18.28515625" customWidth="1"/>
    <col min="9" max="9" width="21.85546875" customWidth="1"/>
    <col min="10" max="12" width="18.28515625" customWidth="1"/>
    <col min="13" max="13" width="21.28515625" customWidth="1"/>
    <col min="14" max="14" width="18.28515625" customWidth="1"/>
    <col min="15" max="15" width="20.7109375" customWidth="1"/>
    <col min="16" max="16" width="18.28515625" customWidth="1"/>
    <col min="17" max="17" width="20.140625" customWidth="1"/>
    <col min="18" max="18" width="20.42578125" customWidth="1"/>
    <col min="19" max="19" width="18.28515625" customWidth="1"/>
    <col min="20" max="20" width="17.85546875" customWidth="1"/>
    <col min="21" max="21" width="32" customWidth="1"/>
  </cols>
  <sheetData>
    <row r="1" spans="1:21" s="13" customFormat="1" ht="84.95" customHeight="1" x14ac:dyDescent="0.25">
      <c r="A1" s="11" t="s">
        <v>151</v>
      </c>
      <c r="B1" s="11" t="s">
        <v>24</v>
      </c>
      <c r="C1" s="11" t="s">
        <v>184</v>
      </c>
      <c r="D1" s="11" t="s">
        <v>152</v>
      </c>
      <c r="E1" s="11" t="s">
        <v>128</v>
      </c>
      <c r="F1" s="11" t="s">
        <v>147</v>
      </c>
      <c r="G1" s="11" t="s">
        <v>129</v>
      </c>
      <c r="H1" s="11" t="s">
        <v>135</v>
      </c>
      <c r="I1" s="11" t="s">
        <v>175</v>
      </c>
      <c r="J1" s="11" t="s">
        <v>153</v>
      </c>
      <c r="K1" s="11" t="s">
        <v>154</v>
      </c>
      <c r="L1" s="11" t="s">
        <v>140</v>
      </c>
      <c r="M1" s="11" t="s">
        <v>141</v>
      </c>
      <c r="N1" s="11" t="s">
        <v>142</v>
      </c>
      <c r="O1" s="11" t="s">
        <v>398</v>
      </c>
      <c r="P1" s="11" t="s">
        <v>143</v>
      </c>
      <c r="Q1" s="11" t="s">
        <v>399</v>
      </c>
      <c r="R1" s="11" t="s">
        <v>395</v>
      </c>
      <c r="S1" s="11" t="s">
        <v>144</v>
      </c>
      <c r="T1" s="11" t="s">
        <v>145</v>
      </c>
      <c r="U1" s="11" t="s">
        <v>146</v>
      </c>
    </row>
    <row r="2" spans="1:21" x14ac:dyDescent="0.25">
      <c r="C2" t="s">
        <v>25</v>
      </c>
      <c r="D2" t="s">
        <v>192</v>
      </c>
      <c r="E2" t="s">
        <v>126</v>
      </c>
      <c r="F2">
        <f ca="1">(YEAR(NOW())-YEAR(C2))</f>
        <v>27</v>
      </c>
      <c r="G2" t="s">
        <v>131</v>
      </c>
      <c r="I2" t="s">
        <v>166</v>
      </c>
      <c r="J2" t="s">
        <v>172</v>
      </c>
      <c r="K2" t="s">
        <v>161</v>
      </c>
      <c r="M2" t="s">
        <v>148</v>
      </c>
      <c r="O2" t="s">
        <v>400</v>
      </c>
      <c r="Q2" t="s">
        <v>400</v>
      </c>
      <c r="R2" t="s">
        <v>393</v>
      </c>
      <c r="U2" t="s">
        <v>178</v>
      </c>
    </row>
    <row r="3" spans="1:21" x14ac:dyDescent="0.25">
      <c r="C3" t="s">
        <v>26</v>
      </c>
      <c r="D3" t="s">
        <v>195</v>
      </c>
      <c r="E3" t="s">
        <v>127</v>
      </c>
      <c r="F3">
        <f t="shared" ref="F3:F66" ca="1" si="0">(YEAR(NOW())-YEAR(C3))</f>
        <v>43</v>
      </c>
      <c r="G3" t="s">
        <v>131</v>
      </c>
      <c r="I3" t="s">
        <v>166</v>
      </c>
      <c r="J3" t="s">
        <v>173</v>
      </c>
      <c r="K3" t="s">
        <v>161</v>
      </c>
      <c r="M3" t="s">
        <v>148</v>
      </c>
      <c r="O3" t="s">
        <v>400</v>
      </c>
      <c r="Q3" t="s">
        <v>400</v>
      </c>
      <c r="R3" t="s">
        <v>394</v>
      </c>
      <c r="U3" t="s">
        <v>180</v>
      </c>
    </row>
    <row r="4" spans="1:21" x14ac:dyDescent="0.25">
      <c r="C4" t="s">
        <v>27</v>
      </c>
      <c r="D4" t="s">
        <v>191</v>
      </c>
      <c r="E4" t="s">
        <v>126</v>
      </c>
      <c r="F4">
        <f t="shared" ca="1" si="0"/>
        <v>17</v>
      </c>
      <c r="G4" t="s">
        <v>130</v>
      </c>
      <c r="I4" t="s">
        <v>167</v>
      </c>
      <c r="J4" t="s">
        <v>172</v>
      </c>
      <c r="K4" t="s">
        <v>162</v>
      </c>
      <c r="M4" t="s">
        <v>148</v>
      </c>
      <c r="O4" t="s">
        <v>394</v>
      </c>
      <c r="Q4" t="s">
        <v>400</v>
      </c>
      <c r="R4" t="s">
        <v>393</v>
      </c>
      <c r="U4" t="s">
        <v>156</v>
      </c>
    </row>
    <row r="5" spans="1:21" x14ac:dyDescent="0.25">
      <c r="C5" t="s">
        <v>28</v>
      </c>
      <c r="D5" t="s">
        <v>191</v>
      </c>
      <c r="E5" t="s">
        <v>127</v>
      </c>
      <c r="F5">
        <f t="shared" ca="1" si="0"/>
        <v>37</v>
      </c>
      <c r="G5" t="s">
        <v>130</v>
      </c>
      <c r="I5" t="s">
        <v>168</v>
      </c>
      <c r="J5" t="s">
        <v>173</v>
      </c>
      <c r="K5" t="s">
        <v>162</v>
      </c>
      <c r="M5" t="s">
        <v>397</v>
      </c>
      <c r="O5" t="s">
        <v>394</v>
      </c>
      <c r="Q5" t="s">
        <v>394</v>
      </c>
      <c r="R5" t="s">
        <v>393</v>
      </c>
      <c r="U5" t="s">
        <v>156</v>
      </c>
    </row>
    <row r="6" spans="1:21" x14ac:dyDescent="0.25">
      <c r="C6" t="s">
        <v>29</v>
      </c>
      <c r="D6" t="s">
        <v>196</v>
      </c>
      <c r="E6" t="s">
        <v>127</v>
      </c>
      <c r="F6">
        <f t="shared" ca="1" si="0"/>
        <v>4</v>
      </c>
      <c r="G6" t="s">
        <v>132</v>
      </c>
      <c r="I6" t="s">
        <v>169</v>
      </c>
      <c r="J6" t="s">
        <v>173</v>
      </c>
      <c r="K6" t="s">
        <v>162</v>
      </c>
      <c r="M6" t="s">
        <v>149</v>
      </c>
      <c r="O6" t="s">
        <v>393</v>
      </c>
      <c r="Q6" t="s">
        <v>394</v>
      </c>
      <c r="R6" t="s">
        <v>394</v>
      </c>
      <c r="U6" t="s">
        <v>403</v>
      </c>
    </row>
    <row r="7" spans="1:21" x14ac:dyDescent="0.25">
      <c r="C7" t="s">
        <v>30</v>
      </c>
      <c r="D7" t="s">
        <v>196</v>
      </c>
      <c r="E7" t="s">
        <v>126</v>
      </c>
      <c r="F7">
        <f t="shared" ca="1" si="0"/>
        <v>28</v>
      </c>
      <c r="G7" t="s">
        <v>132</v>
      </c>
      <c r="I7" t="s">
        <v>170</v>
      </c>
      <c r="J7" t="s">
        <v>173</v>
      </c>
      <c r="K7" t="s">
        <v>163</v>
      </c>
      <c r="M7" t="s">
        <v>149</v>
      </c>
      <c r="O7" t="s">
        <v>393</v>
      </c>
      <c r="Q7" t="s">
        <v>394</v>
      </c>
      <c r="R7" t="s">
        <v>394</v>
      </c>
      <c r="U7" t="s">
        <v>403</v>
      </c>
    </row>
    <row r="8" spans="1:21" x14ac:dyDescent="0.25">
      <c r="C8" t="s">
        <v>31</v>
      </c>
      <c r="D8" t="s">
        <v>276</v>
      </c>
      <c r="E8" t="s">
        <v>127</v>
      </c>
      <c r="F8">
        <f t="shared" ca="1" si="0"/>
        <v>2</v>
      </c>
      <c r="G8" t="s">
        <v>132</v>
      </c>
      <c r="I8" t="s">
        <v>171</v>
      </c>
      <c r="J8" t="s">
        <v>172</v>
      </c>
      <c r="K8" t="s">
        <v>163</v>
      </c>
      <c r="M8" t="s">
        <v>150</v>
      </c>
      <c r="Q8" t="s">
        <v>393</v>
      </c>
      <c r="U8" t="s">
        <v>403</v>
      </c>
    </row>
    <row r="9" spans="1:21" x14ac:dyDescent="0.25">
      <c r="C9" t="s">
        <v>32</v>
      </c>
      <c r="D9" t="s">
        <v>197</v>
      </c>
      <c r="E9" t="s">
        <v>127</v>
      </c>
      <c r="F9">
        <f t="shared" ca="1" si="0"/>
        <v>41</v>
      </c>
      <c r="G9" t="s">
        <v>133</v>
      </c>
      <c r="I9" t="s">
        <v>174</v>
      </c>
      <c r="J9" t="s">
        <v>172</v>
      </c>
      <c r="K9" t="s">
        <v>163</v>
      </c>
      <c r="M9" t="s">
        <v>150</v>
      </c>
      <c r="Q9" t="s">
        <v>393</v>
      </c>
      <c r="U9" t="s">
        <v>181</v>
      </c>
    </row>
    <row r="10" spans="1:21" x14ac:dyDescent="0.25">
      <c r="C10" t="s">
        <v>33</v>
      </c>
      <c r="D10" t="s">
        <v>198</v>
      </c>
      <c r="F10">
        <f t="shared" ca="1" si="0"/>
        <v>28</v>
      </c>
      <c r="G10" t="s">
        <v>133</v>
      </c>
      <c r="I10" t="s">
        <v>166</v>
      </c>
      <c r="J10" t="s">
        <v>172</v>
      </c>
      <c r="K10" t="s">
        <v>163</v>
      </c>
      <c r="M10" t="s">
        <v>150</v>
      </c>
      <c r="Q10" t="s">
        <v>393</v>
      </c>
      <c r="U10" t="s">
        <v>181</v>
      </c>
    </row>
    <row r="11" spans="1:21" x14ac:dyDescent="0.25">
      <c r="C11" t="s">
        <v>34</v>
      </c>
      <c r="D11" t="s">
        <v>195</v>
      </c>
      <c r="F11">
        <f t="shared" ca="1" si="0"/>
        <v>21</v>
      </c>
      <c r="G11" t="s">
        <v>134</v>
      </c>
      <c r="I11" t="s">
        <v>168</v>
      </c>
      <c r="J11" t="s">
        <v>172</v>
      </c>
      <c r="K11" t="s">
        <v>164</v>
      </c>
      <c r="M11" t="s">
        <v>392</v>
      </c>
      <c r="U11" t="s">
        <v>178</v>
      </c>
    </row>
    <row r="12" spans="1:21" x14ac:dyDescent="0.25">
      <c r="C12" t="s">
        <v>35</v>
      </c>
      <c r="D12" t="s">
        <v>383</v>
      </c>
      <c r="F12">
        <f t="shared" ca="1" si="0"/>
        <v>40</v>
      </c>
      <c r="G12" t="s">
        <v>134</v>
      </c>
      <c r="I12" t="s">
        <v>167</v>
      </c>
      <c r="J12" t="s">
        <v>172</v>
      </c>
      <c r="K12" t="s">
        <v>164</v>
      </c>
      <c r="M12" t="s">
        <v>392</v>
      </c>
      <c r="U12" t="s">
        <v>157</v>
      </c>
    </row>
    <row r="13" spans="1:21" x14ac:dyDescent="0.25">
      <c r="C13" t="s">
        <v>36</v>
      </c>
      <c r="D13" t="s">
        <v>196</v>
      </c>
      <c r="F13">
        <f t="shared" ca="1" si="0"/>
        <v>36</v>
      </c>
      <c r="G13" t="s">
        <v>134</v>
      </c>
      <c r="I13" t="s">
        <v>171</v>
      </c>
      <c r="J13" t="s">
        <v>172</v>
      </c>
      <c r="K13" t="s">
        <v>165</v>
      </c>
      <c r="M13" t="s">
        <v>392</v>
      </c>
      <c r="U13" t="s">
        <v>181</v>
      </c>
    </row>
    <row r="14" spans="1:21" x14ac:dyDescent="0.25">
      <c r="C14" t="s">
        <v>37</v>
      </c>
      <c r="D14" t="s">
        <v>196</v>
      </c>
      <c r="F14">
        <f t="shared" ca="1" si="0"/>
        <v>12</v>
      </c>
      <c r="G14" t="s">
        <v>1</v>
      </c>
      <c r="I14" t="s">
        <v>174</v>
      </c>
      <c r="J14" t="s">
        <v>172</v>
      </c>
      <c r="K14" t="s">
        <v>165</v>
      </c>
      <c r="M14" t="s">
        <v>149</v>
      </c>
      <c r="U14" t="s">
        <v>403</v>
      </c>
    </row>
    <row r="15" spans="1:21" x14ac:dyDescent="0.25">
      <c r="C15" t="s">
        <v>38</v>
      </c>
      <c r="D15" t="s">
        <v>196</v>
      </c>
      <c r="F15">
        <f t="shared" ca="1" si="0"/>
        <v>8</v>
      </c>
      <c r="G15" t="s">
        <v>1</v>
      </c>
      <c r="J15" t="s">
        <v>172</v>
      </c>
      <c r="K15" t="s">
        <v>165</v>
      </c>
      <c r="M15" t="s">
        <v>149</v>
      </c>
      <c r="U15" t="s">
        <v>403</v>
      </c>
    </row>
    <row r="16" spans="1:21" x14ac:dyDescent="0.25">
      <c r="C16" t="s">
        <v>39</v>
      </c>
      <c r="D16" t="s">
        <v>198</v>
      </c>
      <c r="F16">
        <f t="shared" ca="1" si="0"/>
        <v>3</v>
      </c>
      <c r="G16" t="s">
        <v>0</v>
      </c>
      <c r="J16" t="s">
        <v>172</v>
      </c>
      <c r="K16" t="s">
        <v>165</v>
      </c>
      <c r="M16" t="s">
        <v>149</v>
      </c>
      <c r="U16" t="s">
        <v>156</v>
      </c>
    </row>
    <row r="17" spans="3:21" x14ac:dyDescent="0.25">
      <c r="C17" t="s">
        <v>40</v>
      </c>
      <c r="D17" t="s">
        <v>196</v>
      </c>
      <c r="F17">
        <f t="shared" ca="1" si="0"/>
        <v>25</v>
      </c>
      <c r="G17" t="s">
        <v>0</v>
      </c>
      <c r="J17" t="s">
        <v>172</v>
      </c>
      <c r="K17" t="s">
        <v>161</v>
      </c>
      <c r="M17" t="s">
        <v>149</v>
      </c>
      <c r="U17" t="s">
        <v>158</v>
      </c>
    </row>
    <row r="18" spans="3:21" x14ac:dyDescent="0.25">
      <c r="C18" t="s">
        <v>41</v>
      </c>
      <c r="D18" t="s">
        <v>197</v>
      </c>
      <c r="F18">
        <f t="shared" ca="1" si="0"/>
        <v>33</v>
      </c>
      <c r="G18" t="s">
        <v>0</v>
      </c>
      <c r="J18" t="s">
        <v>172</v>
      </c>
      <c r="K18" t="s">
        <v>161</v>
      </c>
      <c r="M18" t="s">
        <v>148</v>
      </c>
      <c r="U18" t="s">
        <v>159</v>
      </c>
    </row>
    <row r="19" spans="3:21" x14ac:dyDescent="0.25">
      <c r="C19" t="s">
        <v>42</v>
      </c>
      <c r="D19" t="s">
        <v>197</v>
      </c>
      <c r="F19">
        <f t="shared" ca="1" si="0"/>
        <v>35</v>
      </c>
      <c r="G19" t="s">
        <v>185</v>
      </c>
      <c r="J19" t="s">
        <v>172</v>
      </c>
      <c r="K19" t="s">
        <v>161</v>
      </c>
      <c r="M19" t="s">
        <v>148</v>
      </c>
      <c r="U19" t="s">
        <v>160</v>
      </c>
    </row>
    <row r="20" spans="3:21" x14ac:dyDescent="0.25">
      <c r="C20" t="s">
        <v>43</v>
      </c>
      <c r="D20" t="s">
        <v>388</v>
      </c>
      <c r="F20">
        <f t="shared" ca="1" si="0"/>
        <v>57</v>
      </c>
      <c r="G20" t="s">
        <v>185</v>
      </c>
      <c r="J20" t="s">
        <v>172</v>
      </c>
      <c r="K20" t="s">
        <v>161</v>
      </c>
      <c r="M20" t="s">
        <v>397</v>
      </c>
      <c r="U20" t="s">
        <v>182</v>
      </c>
    </row>
    <row r="21" spans="3:21" x14ac:dyDescent="0.25">
      <c r="C21" t="s">
        <v>44</v>
      </c>
      <c r="D21" t="s">
        <v>259</v>
      </c>
      <c r="F21">
        <f t="shared" ca="1" si="0"/>
        <v>59</v>
      </c>
      <c r="G21" t="s">
        <v>130</v>
      </c>
      <c r="K21" t="s">
        <v>161</v>
      </c>
      <c r="M21" t="s">
        <v>397</v>
      </c>
      <c r="U21" t="s">
        <v>160</v>
      </c>
    </row>
    <row r="22" spans="3:21" x14ac:dyDescent="0.25">
      <c r="C22" t="s">
        <v>45</v>
      </c>
      <c r="D22" t="s">
        <v>191</v>
      </c>
      <c r="F22">
        <f t="shared" ca="1" si="0"/>
        <v>33</v>
      </c>
      <c r="G22" t="s">
        <v>130</v>
      </c>
      <c r="K22" t="s">
        <v>163</v>
      </c>
      <c r="M22" t="s">
        <v>397</v>
      </c>
      <c r="U22" t="s">
        <v>160</v>
      </c>
    </row>
    <row r="23" spans="3:21" x14ac:dyDescent="0.25">
      <c r="C23" t="s">
        <v>46</v>
      </c>
      <c r="D23" t="s">
        <v>191</v>
      </c>
      <c r="F23">
        <f t="shared" ca="1" si="0"/>
        <v>11</v>
      </c>
      <c r="G23" t="s">
        <v>130</v>
      </c>
      <c r="K23" t="s">
        <v>164</v>
      </c>
      <c r="M23" t="s">
        <v>440</v>
      </c>
      <c r="U23" t="s">
        <v>183</v>
      </c>
    </row>
    <row r="24" spans="3:21" x14ac:dyDescent="0.25">
      <c r="C24" t="s">
        <v>47</v>
      </c>
      <c r="D24" t="s">
        <v>192</v>
      </c>
      <c r="F24">
        <f t="shared" ca="1" si="0"/>
        <v>9</v>
      </c>
      <c r="G24" t="s">
        <v>130</v>
      </c>
      <c r="K24" t="s">
        <v>164</v>
      </c>
      <c r="M24" t="s">
        <v>440</v>
      </c>
      <c r="U24" t="s">
        <v>183</v>
      </c>
    </row>
    <row r="25" spans="3:21" x14ac:dyDescent="0.25">
      <c r="C25" t="s">
        <v>48</v>
      </c>
      <c r="D25" t="s">
        <v>192</v>
      </c>
      <c r="F25">
        <f t="shared" ca="1" si="0"/>
        <v>7</v>
      </c>
      <c r="G25" t="s">
        <v>130</v>
      </c>
      <c r="K25" t="s">
        <v>165</v>
      </c>
      <c r="M25" t="s">
        <v>440</v>
      </c>
      <c r="U25" t="s">
        <v>441</v>
      </c>
    </row>
    <row r="26" spans="3:21" x14ac:dyDescent="0.25">
      <c r="C26" t="s">
        <v>49</v>
      </c>
      <c r="D26" t="s">
        <v>192</v>
      </c>
      <c r="F26">
        <f t="shared" ca="1" si="0"/>
        <v>26</v>
      </c>
      <c r="G26" t="s">
        <v>130</v>
      </c>
      <c r="K26" t="s">
        <v>165</v>
      </c>
      <c r="M26" t="s">
        <v>397</v>
      </c>
      <c r="O26" t="s">
        <v>400</v>
      </c>
    </row>
    <row r="27" spans="3:21" x14ac:dyDescent="0.25">
      <c r="C27" t="s">
        <v>50</v>
      </c>
      <c r="D27" t="s">
        <v>192</v>
      </c>
      <c r="F27">
        <f t="shared" ca="1" si="0"/>
        <v>27</v>
      </c>
      <c r="G27" t="s">
        <v>130</v>
      </c>
      <c r="K27" t="s">
        <v>165</v>
      </c>
    </row>
    <row r="28" spans="3:21" x14ac:dyDescent="0.25">
      <c r="C28" t="s">
        <v>51</v>
      </c>
      <c r="F28">
        <f t="shared" ca="1" si="0"/>
        <v>24</v>
      </c>
      <c r="G28" t="s">
        <v>132</v>
      </c>
      <c r="K28" t="s">
        <v>161</v>
      </c>
    </row>
    <row r="29" spans="3:21" x14ac:dyDescent="0.25">
      <c r="C29" t="s">
        <v>52</v>
      </c>
      <c r="F29">
        <f t="shared" ca="1" si="0"/>
        <v>37</v>
      </c>
      <c r="G29" t="s">
        <v>1</v>
      </c>
      <c r="K29" t="s">
        <v>161</v>
      </c>
    </row>
    <row r="30" spans="3:21" x14ac:dyDescent="0.25">
      <c r="C30" t="s">
        <v>53</v>
      </c>
      <c r="F30">
        <f t="shared" ca="1" si="0"/>
        <v>20</v>
      </c>
      <c r="G30" t="s">
        <v>1</v>
      </c>
      <c r="K30" t="s">
        <v>161</v>
      </c>
    </row>
    <row r="31" spans="3:21" x14ac:dyDescent="0.25">
      <c r="C31" t="s">
        <v>54</v>
      </c>
      <c r="F31">
        <f t="shared" ca="1" si="0"/>
        <v>37</v>
      </c>
      <c r="G31" t="s">
        <v>131</v>
      </c>
      <c r="K31" t="s">
        <v>162</v>
      </c>
    </row>
    <row r="32" spans="3:21" x14ac:dyDescent="0.25">
      <c r="C32" t="s">
        <v>55</v>
      </c>
      <c r="F32">
        <f t="shared" ca="1" si="0"/>
        <v>19</v>
      </c>
      <c r="G32" t="s">
        <v>1</v>
      </c>
      <c r="K32" t="s">
        <v>162</v>
      </c>
    </row>
    <row r="33" spans="3:21" x14ac:dyDescent="0.25">
      <c r="C33" t="s">
        <v>56</v>
      </c>
      <c r="F33">
        <f t="shared" ca="1" si="0"/>
        <v>29</v>
      </c>
      <c r="G33" t="s">
        <v>1</v>
      </c>
      <c r="K33" t="s">
        <v>162</v>
      </c>
    </row>
    <row r="34" spans="3:21" x14ac:dyDescent="0.25">
      <c r="C34" t="s">
        <v>57</v>
      </c>
      <c r="F34">
        <f t="shared" ca="1" si="0"/>
        <v>21</v>
      </c>
      <c r="G34" t="s">
        <v>0</v>
      </c>
      <c r="K34" t="s">
        <v>162</v>
      </c>
    </row>
    <row r="35" spans="3:21" x14ac:dyDescent="0.25">
      <c r="C35" t="s">
        <v>34</v>
      </c>
      <c r="F35">
        <f t="shared" ca="1" si="0"/>
        <v>21</v>
      </c>
      <c r="G35" t="s">
        <v>185</v>
      </c>
      <c r="K35" t="s">
        <v>162</v>
      </c>
    </row>
    <row r="36" spans="3:21" x14ac:dyDescent="0.25">
      <c r="C36" t="s">
        <v>58</v>
      </c>
      <c r="F36">
        <f t="shared" ca="1" si="0"/>
        <v>12</v>
      </c>
      <c r="G36" t="s">
        <v>131</v>
      </c>
      <c r="K36" t="s">
        <v>164</v>
      </c>
    </row>
    <row r="37" spans="3:21" x14ac:dyDescent="0.25">
      <c r="C37" t="s">
        <v>59</v>
      </c>
      <c r="F37">
        <f t="shared" ca="1" si="0"/>
        <v>14</v>
      </c>
      <c r="G37" t="s">
        <v>0</v>
      </c>
      <c r="K37" t="s">
        <v>164</v>
      </c>
    </row>
    <row r="38" spans="3:21" x14ac:dyDescent="0.25">
      <c r="C38" t="s">
        <v>60</v>
      </c>
      <c r="F38">
        <f t="shared" ca="1" si="0"/>
        <v>16</v>
      </c>
      <c r="G38" t="s">
        <v>130</v>
      </c>
      <c r="U38" t="s">
        <v>178</v>
      </c>
    </row>
    <row r="39" spans="3:21" x14ac:dyDescent="0.25">
      <c r="C39" t="s">
        <v>61</v>
      </c>
      <c r="F39">
        <f t="shared" ca="1" si="0"/>
        <v>33</v>
      </c>
      <c r="G39" t="s">
        <v>130</v>
      </c>
      <c r="U39" t="s">
        <v>181</v>
      </c>
    </row>
    <row r="40" spans="3:21" x14ac:dyDescent="0.25">
      <c r="C40" t="s">
        <v>62</v>
      </c>
      <c r="F40">
        <f t="shared" ca="1" si="0"/>
        <v>30</v>
      </c>
      <c r="G40" t="s">
        <v>130</v>
      </c>
      <c r="U40" t="s">
        <v>180</v>
      </c>
    </row>
    <row r="41" spans="3:21" x14ac:dyDescent="0.25">
      <c r="C41" t="s">
        <v>63</v>
      </c>
      <c r="F41">
        <f t="shared" ca="1" si="0"/>
        <v>5</v>
      </c>
      <c r="G41" t="s">
        <v>130</v>
      </c>
      <c r="U41" t="s">
        <v>181</v>
      </c>
    </row>
    <row r="42" spans="3:21" x14ac:dyDescent="0.25">
      <c r="C42" t="s">
        <v>64</v>
      </c>
      <c r="F42">
        <f t="shared" ca="1" si="0"/>
        <v>24</v>
      </c>
      <c r="G42" t="s">
        <v>130</v>
      </c>
      <c r="U42" t="s">
        <v>155</v>
      </c>
    </row>
    <row r="43" spans="3:21" x14ac:dyDescent="0.25">
      <c r="C43" t="s">
        <v>65</v>
      </c>
      <c r="F43">
        <f t="shared" ca="1" si="0"/>
        <v>22</v>
      </c>
      <c r="G43" t="s">
        <v>130</v>
      </c>
      <c r="U43" t="s">
        <v>158</v>
      </c>
    </row>
    <row r="44" spans="3:21" x14ac:dyDescent="0.25">
      <c r="C44" t="s">
        <v>66</v>
      </c>
      <c r="F44">
        <f t="shared" ca="1" si="0"/>
        <v>20</v>
      </c>
      <c r="G44" t="s">
        <v>130</v>
      </c>
      <c r="U44" t="s">
        <v>159</v>
      </c>
    </row>
    <row r="45" spans="3:21" x14ac:dyDescent="0.25">
      <c r="C45" t="s">
        <v>67</v>
      </c>
      <c r="F45">
        <f t="shared" ca="1" si="0"/>
        <v>28</v>
      </c>
      <c r="G45" t="s">
        <v>130</v>
      </c>
      <c r="U45" t="s">
        <v>157</v>
      </c>
    </row>
    <row r="46" spans="3:21" x14ac:dyDescent="0.25">
      <c r="C46" t="s">
        <v>68</v>
      </c>
      <c r="F46">
        <f t="shared" ca="1" si="0"/>
        <v>20</v>
      </c>
      <c r="G46" t="s">
        <v>130</v>
      </c>
      <c r="U46" t="s">
        <v>182</v>
      </c>
    </row>
    <row r="47" spans="3:21" x14ac:dyDescent="0.25">
      <c r="C47" t="s">
        <v>69</v>
      </c>
      <c r="F47">
        <f t="shared" ca="1" si="0"/>
        <v>19</v>
      </c>
      <c r="G47" t="s">
        <v>130</v>
      </c>
      <c r="U47" t="s">
        <v>181</v>
      </c>
    </row>
    <row r="48" spans="3:21" x14ac:dyDescent="0.25">
      <c r="C48" t="s">
        <v>70</v>
      </c>
      <c r="F48">
        <f t="shared" ca="1" si="0"/>
        <v>23</v>
      </c>
      <c r="G48" t="s">
        <v>130</v>
      </c>
      <c r="U48" t="s">
        <v>179</v>
      </c>
    </row>
    <row r="49" spans="3:21" x14ac:dyDescent="0.25">
      <c r="C49" t="s">
        <v>71</v>
      </c>
      <c r="F49">
        <f t="shared" ca="1" si="0"/>
        <v>30</v>
      </c>
      <c r="G49" t="s">
        <v>130</v>
      </c>
      <c r="U49" t="s">
        <v>181</v>
      </c>
    </row>
    <row r="50" spans="3:21" x14ac:dyDescent="0.25">
      <c r="C50" t="s">
        <v>72</v>
      </c>
      <c r="F50">
        <f t="shared" ca="1" si="0"/>
        <v>26</v>
      </c>
    </row>
    <row r="51" spans="3:21" x14ac:dyDescent="0.25">
      <c r="C51" t="s">
        <v>73</v>
      </c>
      <c r="F51">
        <f t="shared" ca="1" si="0"/>
        <v>9</v>
      </c>
    </row>
    <row r="52" spans="3:21" x14ac:dyDescent="0.25">
      <c r="C52" t="s">
        <v>74</v>
      </c>
      <c r="F52">
        <f t="shared" ca="1" si="0"/>
        <v>2</v>
      </c>
    </row>
    <row r="53" spans="3:21" x14ac:dyDescent="0.25">
      <c r="C53" t="s">
        <v>75</v>
      </c>
      <c r="F53">
        <f t="shared" ca="1" si="0"/>
        <v>22</v>
      </c>
    </row>
    <row r="54" spans="3:21" x14ac:dyDescent="0.25">
      <c r="C54" t="s">
        <v>76</v>
      </c>
      <c r="F54">
        <f t="shared" ca="1" si="0"/>
        <v>32</v>
      </c>
    </row>
    <row r="55" spans="3:21" x14ac:dyDescent="0.25">
      <c r="C55" t="s">
        <v>77</v>
      </c>
      <c r="F55">
        <f t="shared" ca="1" si="0"/>
        <v>1</v>
      </c>
    </row>
    <row r="56" spans="3:21" x14ac:dyDescent="0.25">
      <c r="C56" t="s">
        <v>78</v>
      </c>
      <c r="F56">
        <f t="shared" ca="1" si="0"/>
        <v>1</v>
      </c>
    </row>
    <row r="57" spans="3:21" x14ac:dyDescent="0.25">
      <c r="C57" t="s">
        <v>79</v>
      </c>
      <c r="F57">
        <f t="shared" ca="1" si="0"/>
        <v>23</v>
      </c>
    </row>
    <row r="58" spans="3:21" x14ac:dyDescent="0.25">
      <c r="C58" t="s">
        <v>80</v>
      </c>
      <c r="F58">
        <f t="shared" ca="1" si="0"/>
        <v>30</v>
      </c>
    </row>
    <row r="59" spans="3:21" x14ac:dyDescent="0.25">
      <c r="C59" t="s">
        <v>81</v>
      </c>
      <c r="F59">
        <f t="shared" ca="1" si="0"/>
        <v>34</v>
      </c>
    </row>
    <row r="60" spans="3:21" x14ac:dyDescent="0.25">
      <c r="C60" t="s">
        <v>82</v>
      </c>
      <c r="F60">
        <f t="shared" ca="1" si="0"/>
        <v>5</v>
      </c>
    </row>
    <row r="61" spans="3:21" x14ac:dyDescent="0.25">
      <c r="C61" t="s">
        <v>83</v>
      </c>
      <c r="F61">
        <f t="shared" ca="1" si="0"/>
        <v>2</v>
      </c>
    </row>
    <row r="62" spans="3:21" x14ac:dyDescent="0.25">
      <c r="C62" t="s">
        <v>84</v>
      </c>
      <c r="F62">
        <f t="shared" ca="1" si="0"/>
        <v>26</v>
      </c>
    </row>
    <row r="63" spans="3:21" x14ac:dyDescent="0.25">
      <c r="C63" t="s">
        <v>85</v>
      </c>
      <c r="F63">
        <f t="shared" ca="1" si="0"/>
        <v>19</v>
      </c>
    </row>
    <row r="64" spans="3:21" x14ac:dyDescent="0.25">
      <c r="C64" t="s">
        <v>86</v>
      </c>
      <c r="F64">
        <f t="shared" ca="1" si="0"/>
        <v>23</v>
      </c>
    </row>
    <row r="65" spans="3:6" x14ac:dyDescent="0.25">
      <c r="C65" t="s">
        <v>87</v>
      </c>
      <c r="F65">
        <f t="shared" ca="1" si="0"/>
        <v>20</v>
      </c>
    </row>
    <row r="66" spans="3:6" x14ac:dyDescent="0.25">
      <c r="C66" t="s">
        <v>88</v>
      </c>
      <c r="F66">
        <f t="shared" ca="1" si="0"/>
        <v>1</v>
      </c>
    </row>
    <row r="67" spans="3:6" x14ac:dyDescent="0.25">
      <c r="C67" t="s">
        <v>89</v>
      </c>
      <c r="F67">
        <f t="shared" ref="F67:F106" ca="1" si="1">(YEAR(NOW())-YEAR(C67))</f>
        <v>21</v>
      </c>
    </row>
    <row r="68" spans="3:6" x14ac:dyDescent="0.25">
      <c r="C68" t="s">
        <v>90</v>
      </c>
      <c r="F68">
        <f t="shared" ca="1" si="1"/>
        <v>28</v>
      </c>
    </row>
    <row r="69" spans="3:6" x14ac:dyDescent="0.25">
      <c r="C69" t="s">
        <v>91</v>
      </c>
      <c r="F69">
        <f t="shared" ca="1" si="1"/>
        <v>4</v>
      </c>
    </row>
    <row r="70" spans="3:6" x14ac:dyDescent="0.25">
      <c r="C70" t="s">
        <v>92</v>
      </c>
      <c r="F70">
        <f t="shared" ca="1" si="1"/>
        <v>24</v>
      </c>
    </row>
    <row r="71" spans="3:6" x14ac:dyDescent="0.25">
      <c r="C71" t="s">
        <v>93</v>
      </c>
      <c r="F71">
        <f t="shared" ca="1" si="1"/>
        <v>39</v>
      </c>
    </row>
    <row r="72" spans="3:6" x14ac:dyDescent="0.25">
      <c r="C72" t="s">
        <v>94</v>
      </c>
      <c r="F72">
        <f t="shared" ca="1" si="1"/>
        <v>1</v>
      </c>
    </row>
    <row r="73" spans="3:6" x14ac:dyDescent="0.25">
      <c r="C73" t="s">
        <v>95</v>
      </c>
      <c r="F73">
        <f t="shared" ca="1" si="1"/>
        <v>1</v>
      </c>
    </row>
    <row r="74" spans="3:6" x14ac:dyDescent="0.25">
      <c r="C74" t="s">
        <v>96</v>
      </c>
      <c r="F74">
        <f t="shared" ca="1" si="1"/>
        <v>67</v>
      </c>
    </row>
    <row r="75" spans="3:6" x14ac:dyDescent="0.25">
      <c r="C75" t="s">
        <v>97</v>
      </c>
      <c r="F75">
        <f t="shared" ca="1" si="1"/>
        <v>61</v>
      </c>
    </row>
    <row r="76" spans="3:6" x14ac:dyDescent="0.25">
      <c r="C76" t="s">
        <v>98</v>
      </c>
      <c r="F76">
        <f t="shared" ca="1" si="1"/>
        <v>26</v>
      </c>
    </row>
    <row r="77" spans="3:6" x14ac:dyDescent="0.25">
      <c r="C77" t="s">
        <v>99</v>
      </c>
      <c r="F77">
        <f t="shared" ca="1" si="1"/>
        <v>19</v>
      </c>
    </row>
    <row r="78" spans="3:6" x14ac:dyDescent="0.25">
      <c r="C78" t="s">
        <v>100</v>
      </c>
      <c r="F78">
        <f t="shared" ca="1" si="1"/>
        <v>4</v>
      </c>
    </row>
    <row r="79" spans="3:6" x14ac:dyDescent="0.25">
      <c r="C79" t="s">
        <v>101</v>
      </c>
      <c r="F79">
        <f t="shared" ca="1" si="1"/>
        <v>23</v>
      </c>
    </row>
    <row r="80" spans="3:6" x14ac:dyDescent="0.25">
      <c r="C80" t="s">
        <v>102</v>
      </c>
      <c r="F80">
        <f t="shared" ca="1" si="1"/>
        <v>28</v>
      </c>
    </row>
    <row r="81" spans="3:6" x14ac:dyDescent="0.25">
      <c r="C81" t="s">
        <v>92</v>
      </c>
      <c r="F81">
        <f t="shared" ca="1" si="1"/>
        <v>24</v>
      </c>
    </row>
    <row r="82" spans="3:6" x14ac:dyDescent="0.25">
      <c r="C82" t="s">
        <v>103</v>
      </c>
      <c r="F82">
        <f t="shared" ca="1" si="1"/>
        <v>6</v>
      </c>
    </row>
    <row r="83" spans="3:6" x14ac:dyDescent="0.25">
      <c r="C83" t="s">
        <v>104</v>
      </c>
      <c r="F83">
        <f t="shared" ca="1" si="1"/>
        <v>1</v>
      </c>
    </row>
    <row r="84" spans="3:6" x14ac:dyDescent="0.25">
      <c r="C84" t="s">
        <v>105</v>
      </c>
      <c r="F84">
        <f t="shared" ca="1" si="1"/>
        <v>25</v>
      </c>
    </row>
    <row r="85" spans="3:6" x14ac:dyDescent="0.25">
      <c r="C85" t="s">
        <v>55</v>
      </c>
      <c r="F85">
        <f t="shared" ca="1" si="1"/>
        <v>19</v>
      </c>
    </row>
    <row r="86" spans="3:6" x14ac:dyDescent="0.25">
      <c r="C86" t="s">
        <v>106</v>
      </c>
      <c r="F86">
        <f t="shared" ca="1" si="1"/>
        <v>49</v>
      </c>
    </row>
    <row r="87" spans="3:6" x14ac:dyDescent="0.25">
      <c r="C87" t="s">
        <v>107</v>
      </c>
      <c r="F87">
        <f t="shared" ca="1" si="1"/>
        <v>56</v>
      </c>
    </row>
    <row r="88" spans="3:6" x14ac:dyDescent="0.25">
      <c r="C88" t="s">
        <v>108</v>
      </c>
      <c r="F88">
        <f t="shared" ca="1" si="1"/>
        <v>27</v>
      </c>
    </row>
    <row r="89" spans="3:6" x14ac:dyDescent="0.25">
      <c r="C89" t="s">
        <v>109</v>
      </c>
      <c r="F89">
        <f t="shared" ca="1" si="1"/>
        <v>25</v>
      </c>
    </row>
    <row r="90" spans="3:6" x14ac:dyDescent="0.25">
      <c r="C90" t="s">
        <v>110</v>
      </c>
      <c r="F90">
        <f t="shared" ca="1" si="1"/>
        <v>26</v>
      </c>
    </row>
    <row r="91" spans="3:6" x14ac:dyDescent="0.25">
      <c r="C91" t="s">
        <v>111</v>
      </c>
      <c r="F91">
        <f t="shared" ca="1" si="1"/>
        <v>9</v>
      </c>
    </row>
    <row r="92" spans="3:6" x14ac:dyDescent="0.25">
      <c r="C92" t="s">
        <v>111</v>
      </c>
      <c r="F92">
        <f t="shared" ca="1" si="1"/>
        <v>9</v>
      </c>
    </row>
    <row r="93" spans="3:6" x14ac:dyDescent="0.25">
      <c r="C93" t="s">
        <v>112</v>
      </c>
      <c r="F93">
        <f t="shared" ca="1" si="1"/>
        <v>27</v>
      </c>
    </row>
    <row r="94" spans="3:6" x14ac:dyDescent="0.25">
      <c r="C94" t="s">
        <v>113</v>
      </c>
      <c r="F94">
        <f t="shared" ca="1" si="1"/>
        <v>30</v>
      </c>
    </row>
    <row r="95" spans="3:6" x14ac:dyDescent="0.25">
      <c r="C95" t="s">
        <v>114</v>
      </c>
      <c r="F95">
        <f t="shared" ca="1" si="1"/>
        <v>36</v>
      </c>
    </row>
    <row r="96" spans="3:6" x14ac:dyDescent="0.25">
      <c r="C96" t="s">
        <v>115</v>
      </c>
      <c r="F96">
        <f t="shared" ca="1" si="1"/>
        <v>0</v>
      </c>
    </row>
    <row r="97" spans="3:6" x14ac:dyDescent="0.25">
      <c r="C97" t="s">
        <v>116</v>
      </c>
      <c r="F97">
        <f t="shared" ca="1" si="1"/>
        <v>18</v>
      </c>
    </row>
    <row r="98" spans="3:6" x14ac:dyDescent="0.25">
      <c r="C98" t="s">
        <v>117</v>
      </c>
      <c r="F98">
        <f t="shared" ca="1" si="1"/>
        <v>25</v>
      </c>
    </row>
    <row r="99" spans="3:6" x14ac:dyDescent="0.25">
      <c r="C99" t="s">
        <v>118</v>
      </c>
      <c r="F99">
        <f t="shared" ca="1" si="1"/>
        <v>47</v>
      </c>
    </row>
    <row r="100" spans="3:6" x14ac:dyDescent="0.25">
      <c r="C100" t="s">
        <v>119</v>
      </c>
      <c r="F100">
        <f t="shared" ca="1" si="1"/>
        <v>40</v>
      </c>
    </row>
    <row r="101" spans="3:6" x14ac:dyDescent="0.25">
      <c r="C101" t="s">
        <v>120</v>
      </c>
      <c r="F101">
        <f t="shared" ca="1" si="1"/>
        <v>6</v>
      </c>
    </row>
    <row r="102" spans="3:6" x14ac:dyDescent="0.25">
      <c r="C102" t="s">
        <v>121</v>
      </c>
      <c r="F102">
        <f t="shared" ca="1" si="1"/>
        <v>16</v>
      </c>
    </row>
    <row r="103" spans="3:6" x14ac:dyDescent="0.25">
      <c r="C103" t="s">
        <v>122</v>
      </c>
      <c r="F103">
        <f t="shared" ca="1" si="1"/>
        <v>19</v>
      </c>
    </row>
    <row r="104" spans="3:6" x14ac:dyDescent="0.25">
      <c r="C104" t="s">
        <v>123</v>
      </c>
      <c r="F104">
        <f t="shared" ca="1" si="1"/>
        <v>26</v>
      </c>
    </row>
    <row r="105" spans="3:6" x14ac:dyDescent="0.25">
      <c r="C105" t="s">
        <v>124</v>
      </c>
      <c r="F105">
        <f t="shared" ca="1" si="1"/>
        <v>31</v>
      </c>
    </row>
    <row r="106" spans="3:6" x14ac:dyDescent="0.25">
      <c r="C106" t="s">
        <v>125</v>
      </c>
      <c r="F106">
        <f t="shared" ca="1" si="1"/>
        <v>27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>
          <x14:formula1>
            <xm:f>cache!$A$1:$A$2</xm:f>
          </x14:formula1>
          <xm:sqref>E1:E1048576</xm:sqref>
        </x14:dataValidation>
        <x14:dataValidation type="list" allowBlank="1" showInputMessage="1" showErrorMessage="1">
          <x14:formula1>
            <xm:f>cache!$B$1:$B$8</xm:f>
          </x14:formula1>
          <xm:sqref>G1:G1048576</xm:sqref>
        </x14:dataValidation>
        <x14:dataValidation type="list" allowBlank="1" showInputMessage="1" showErrorMessage="1">
          <x14:formula1>
            <xm:f>cache!$C$1:$C$4</xm:f>
          </x14:formula1>
          <xm:sqref>H1:H1048576</xm:sqref>
        </x14:dataValidation>
        <x14:dataValidation type="list" allowBlank="1" showInputMessage="1" showErrorMessage="1">
          <x14:formula1>
            <xm:f>cache!$D$1:$D$5</xm:f>
          </x14:formula1>
          <xm:sqref>M1:M1048576</xm:sqref>
        </x14:dataValidation>
        <x14:dataValidation type="list" allowBlank="1" showInputMessage="1" showErrorMessage="1">
          <x14:formula1>
            <xm:f>cache!$G$1:$G$7</xm:f>
          </x14:formula1>
          <xm:sqref>I1:I1048576</xm:sqref>
        </x14:dataValidation>
        <x14:dataValidation type="list" allowBlank="1" showInputMessage="1" showErrorMessage="1">
          <x14:formula1>
            <xm:f>cache!$H$1:$H$2</xm:f>
          </x14:formula1>
          <xm:sqref>J1:J1048576</xm:sqref>
        </x14:dataValidation>
        <x14:dataValidation type="list" allowBlank="1" showInputMessage="1" showErrorMessage="1">
          <x14:formula1>
            <xm:f>cache!$F$1:$F$5</xm:f>
          </x14:formula1>
          <xm:sqref>K1:K1048576</xm:sqref>
        </x14:dataValidation>
        <x14:dataValidation type="list" allowBlank="1" showInputMessage="1" showErrorMessage="1">
          <x14:formula1>
            <xm:f>cache!$I$1:$I$200</xm:f>
          </x14:formula1>
          <xm:sqref>D1:D1048576</xm:sqref>
        </x14:dataValidation>
        <x14:dataValidation type="list" allowBlank="1" showInputMessage="1" showErrorMessage="1">
          <x14:formula1>
            <xm:f>cache!$J$1:$J$2</xm:f>
          </x14:formula1>
          <xm:sqref>R1:R1048576</xm:sqref>
        </x14:dataValidation>
        <x14:dataValidation type="list" allowBlank="1" showInputMessage="1" showErrorMessage="1">
          <x14:formula1>
            <xm:f>cache!$K$1:$K$3</xm:f>
          </x14:formula1>
          <xm:sqref>O1:O1048576 Q1:Q1048576</xm:sqref>
        </x14:dataValidation>
        <x14:dataValidation type="list" allowBlank="1" showInputMessage="1" showErrorMessage="1">
          <x14:formula1>
            <xm:f>cache!$E$1:$E$14</xm:f>
          </x14:formula1>
          <xm:sqref>U1:U1048576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54"/>
  <sheetViews>
    <sheetView tabSelected="1" workbookViewId="0">
      <selection activeCell="I36" sqref="I36"/>
    </sheetView>
  </sheetViews>
  <sheetFormatPr baseColWidth="10" defaultColWidth="11.42578125" defaultRowHeight="12.75" x14ac:dyDescent="0.2"/>
  <cols>
    <col min="1" max="1" width="3" style="1" customWidth="1"/>
    <col min="2" max="2" width="38.28515625" style="1" customWidth="1"/>
    <col min="3" max="3" width="25.7109375" style="29" customWidth="1"/>
    <col min="4" max="4" width="25.7109375" style="1" customWidth="1"/>
    <col min="5" max="5" width="4" style="1" customWidth="1"/>
    <col min="6" max="6" width="41.7109375" style="1" customWidth="1"/>
    <col min="7" max="10" width="20.7109375" style="1" customWidth="1"/>
    <col min="11" max="16384" width="11.42578125" style="1"/>
  </cols>
  <sheetData>
    <row r="1" spans="2:14" ht="15" customHeight="1" x14ac:dyDescent="0.2"/>
    <row r="2" spans="2:14" ht="15" customHeight="1" x14ac:dyDescent="0.3">
      <c r="B2" s="99" t="s">
        <v>3</v>
      </c>
      <c r="C2" s="99"/>
      <c r="D2" s="99"/>
      <c r="F2" s="99" t="s">
        <v>434</v>
      </c>
      <c r="G2" s="100"/>
      <c r="H2" s="100"/>
      <c r="I2" s="100"/>
      <c r="J2" s="100"/>
    </row>
    <row r="3" spans="2:14" ht="15" customHeight="1" x14ac:dyDescent="0.2">
      <c r="B3" s="68" t="s">
        <v>431</v>
      </c>
      <c r="C3" s="8" t="s">
        <v>5</v>
      </c>
      <c r="D3" s="8" t="s">
        <v>4</v>
      </c>
      <c r="F3" s="49" t="s">
        <v>435</v>
      </c>
      <c r="G3" s="48" t="s">
        <v>417</v>
      </c>
      <c r="H3" s="8" t="s">
        <v>187</v>
      </c>
      <c r="I3" s="20" t="s">
        <v>418</v>
      </c>
      <c r="J3" s="20" t="s">
        <v>4</v>
      </c>
    </row>
    <row r="4" spans="2:14" ht="15" customHeight="1" x14ac:dyDescent="0.2">
      <c r="B4" s="69" t="s">
        <v>7</v>
      </c>
      <c r="C4" s="56">
        <f>COUNTIF(hébergement!E:E,"M")</f>
        <v>3</v>
      </c>
      <c r="D4" s="57" t="e">
        <f>(C4/C8)</f>
        <v>#DIV/0!</v>
      </c>
      <c r="F4" s="26" t="s">
        <v>404</v>
      </c>
      <c r="G4" s="35">
        <f>SUM(cache!L1:L5)</f>
        <v>9</v>
      </c>
      <c r="H4" s="58">
        <f>G4/C16</f>
        <v>0.24324324324324326</v>
      </c>
      <c r="I4" s="31">
        <f>COUNTIFS(hébergement!K:K,"Nationale",hébergement!G:G,"Personne seule")</f>
        <v>1</v>
      </c>
      <c r="J4" s="40">
        <f>I4/C16</f>
        <v>2.7027027027027029E-2</v>
      </c>
    </row>
    <row r="5" spans="2:14" ht="15" customHeight="1" x14ac:dyDescent="0.2">
      <c r="B5" s="69" t="s">
        <v>9</v>
      </c>
      <c r="C5" s="56">
        <f>COUNTIF(hébergement!E:E,"F")</f>
        <v>5</v>
      </c>
      <c r="D5" s="57" t="e">
        <f>C5/C8</f>
        <v>#DIV/0!</v>
      </c>
      <c r="F5" s="26" t="s">
        <v>405</v>
      </c>
      <c r="G5" s="35">
        <f>SUM(cache!M1:M5)</f>
        <v>6</v>
      </c>
      <c r="H5" s="58">
        <f>G5/C16</f>
        <v>0.16216216216216217</v>
      </c>
      <c r="I5" s="31">
        <f>COUNTIFS(hébergement!K:K,"Locale",hébergement!G:G,"Personne seule")</f>
        <v>2</v>
      </c>
      <c r="J5" s="40">
        <f>I5/C16</f>
        <v>5.4054054054054057E-2</v>
      </c>
    </row>
    <row r="6" spans="2:14" ht="15" customHeight="1" x14ac:dyDescent="0.2">
      <c r="B6" s="69" t="s">
        <v>11</v>
      </c>
      <c r="C6" s="56">
        <f ca="1">COUNTIF(hébergement!F:F,"&gt;18")</f>
        <v>73</v>
      </c>
      <c r="D6" s="57" t="e">
        <f ca="1">C6/C8</f>
        <v>#DIV/0!</v>
      </c>
      <c r="F6" s="26" t="s">
        <v>163</v>
      </c>
      <c r="G6" s="32">
        <f>SUM(cache!N1:N5)</f>
        <v>2</v>
      </c>
      <c r="H6" s="58">
        <f>G6/C16</f>
        <v>5.4054054054054057E-2</v>
      </c>
      <c r="I6" s="31">
        <f>COUNTIFS(hébergement!K:K,"Transfert",hébergement!G:G,"Personne seule")</f>
        <v>1</v>
      </c>
      <c r="J6" s="40">
        <f>I6/C16</f>
        <v>2.7027027027027029E-2</v>
      </c>
    </row>
    <row r="7" spans="2:14" ht="15" customHeight="1" x14ac:dyDescent="0.2">
      <c r="B7" s="69" t="s">
        <v>13</v>
      </c>
      <c r="C7" s="56">
        <f ca="1">COUNTIF(hébergement!F:F,"&lt;18")</f>
        <v>31</v>
      </c>
      <c r="D7" s="57" t="e">
        <f ca="1">C7/C8</f>
        <v>#DIV/0!</v>
      </c>
      <c r="F7" s="26" t="s">
        <v>164</v>
      </c>
      <c r="G7" s="31">
        <f>SUM(cache!O1:O5)</f>
        <v>2</v>
      </c>
      <c r="H7" s="58">
        <f>G7/C16</f>
        <v>5.4054054054054057E-2</v>
      </c>
      <c r="I7" s="31">
        <f>COUNTIFS(hébergement!K:K,"Naissance",hébergement!G:G,"Personne seule")</f>
        <v>2</v>
      </c>
      <c r="J7" s="40">
        <f>I7/C16</f>
        <v>5.4054054054054057E-2</v>
      </c>
    </row>
    <row r="8" spans="2:14" ht="15" customHeight="1" x14ac:dyDescent="0.2">
      <c r="B8" s="39" t="s">
        <v>15</v>
      </c>
      <c r="C8" s="22">
        <f>COUNTA(hébergement!B:B)-1</f>
        <v>0</v>
      </c>
      <c r="D8" s="23"/>
      <c r="F8" s="26" t="s">
        <v>165</v>
      </c>
      <c r="G8" s="32">
        <f>SUM(cache!P1:P5)</f>
        <v>3</v>
      </c>
      <c r="H8" s="58">
        <f>G8/C16</f>
        <v>8.1081081081081086E-2</v>
      </c>
      <c r="I8" s="31">
        <f>COUNTIFS(hébergement!K:K,"Rejoignant",hébergement!G:G,"Personne seule")</f>
        <v>3</v>
      </c>
      <c r="J8" s="40">
        <f>I8/C16</f>
        <v>8.1081081081081086E-2</v>
      </c>
    </row>
    <row r="9" spans="2:14" ht="15" customHeight="1" x14ac:dyDescent="0.2">
      <c r="B9" s="50" t="s">
        <v>433</v>
      </c>
      <c r="C9" s="8" t="s">
        <v>5</v>
      </c>
      <c r="D9" s="71" t="s">
        <v>4</v>
      </c>
      <c r="F9" s="72" t="s">
        <v>189</v>
      </c>
      <c r="G9" s="90">
        <f>SUM(G4:G8)</f>
        <v>22</v>
      </c>
      <c r="H9" s="37"/>
      <c r="I9" s="44">
        <f>SUM(I4:I8)</f>
        <v>9</v>
      </c>
      <c r="J9" s="37"/>
    </row>
    <row r="10" spans="2:14" s="3" customFormat="1" ht="15" customHeight="1" x14ac:dyDescent="0.2">
      <c r="B10" s="9" t="s">
        <v>17</v>
      </c>
      <c r="C10" s="2">
        <f>C45</f>
        <v>15</v>
      </c>
      <c r="D10" s="19">
        <f>C10/C16</f>
        <v>0.40540540540540543</v>
      </c>
      <c r="E10" s="1"/>
      <c r="F10" s="86"/>
      <c r="G10" s="86"/>
      <c r="H10" s="86"/>
      <c r="I10" s="80"/>
      <c r="J10" s="80"/>
    </row>
    <row r="11" spans="2:14" s="3" customFormat="1" ht="15" customHeight="1" x14ac:dyDescent="0.3">
      <c r="B11" s="9" t="s">
        <v>0</v>
      </c>
      <c r="C11" s="2">
        <f>COUNTIF(hébergement!G:G,"Famille monoparentale")</f>
        <v>5</v>
      </c>
      <c r="D11" s="19">
        <f>C11/C16</f>
        <v>0.13513513513513514</v>
      </c>
      <c r="E11" s="1"/>
      <c r="F11" s="99" t="s">
        <v>419</v>
      </c>
      <c r="G11" s="100"/>
      <c r="H11" s="100"/>
      <c r="I11" s="83"/>
      <c r="J11" s="82"/>
    </row>
    <row r="12" spans="2:14" ht="15" customHeight="1" x14ac:dyDescent="0.2">
      <c r="B12" s="9" t="s">
        <v>132</v>
      </c>
      <c r="C12" s="2">
        <f>COUNTIF(hébergement!G:G,"Couple sans enfant")</f>
        <v>4</v>
      </c>
      <c r="D12" s="19">
        <f>C12/C16</f>
        <v>0.10810810810810811</v>
      </c>
      <c r="E12" s="3"/>
      <c r="F12" s="49" t="s">
        <v>425</v>
      </c>
      <c r="G12" s="48" t="s">
        <v>396</v>
      </c>
      <c r="H12" s="81" t="s">
        <v>187</v>
      </c>
      <c r="I12" s="84"/>
      <c r="J12" s="36"/>
    </row>
    <row r="13" spans="2:14" ht="15" customHeight="1" x14ac:dyDescent="0.2">
      <c r="B13" s="9" t="s">
        <v>131</v>
      </c>
      <c r="C13" s="2">
        <f>COUNTIF(hébergement!G:G,"Couple avec enfant")</f>
        <v>4</v>
      </c>
      <c r="D13" s="19">
        <f>C13/C16</f>
        <v>0.10810810810810811</v>
      </c>
      <c r="E13" s="3"/>
      <c r="F13" s="21" t="s">
        <v>437</v>
      </c>
      <c r="G13" s="53">
        <f>COUNTIF(hébergement!M:MI,"Procédure normale")</f>
        <v>5</v>
      </c>
      <c r="H13" s="91">
        <f>G13/G28</f>
        <v>0.12820512820512819</v>
      </c>
      <c r="I13" s="84"/>
      <c r="J13" s="36"/>
    </row>
    <row r="14" spans="2:14" ht="15" customHeight="1" x14ac:dyDescent="0.2">
      <c r="B14" s="9" t="s">
        <v>1</v>
      </c>
      <c r="C14" s="2">
        <f>COUNTIF(hébergement!G:G,"Famille élargie")</f>
        <v>6</v>
      </c>
      <c r="D14" s="19">
        <f>C14/C16</f>
        <v>0.16216216216216217</v>
      </c>
      <c r="E14" s="80"/>
      <c r="F14" s="21" t="s">
        <v>438</v>
      </c>
      <c r="G14" s="73">
        <f>COUNTIF(hébergement!M:MI,"Procédure accélérée")</f>
        <v>5</v>
      </c>
      <c r="H14" s="91">
        <f>G14/G28</f>
        <v>0.12820512820512819</v>
      </c>
      <c r="I14" s="84"/>
      <c r="J14" s="36"/>
    </row>
    <row r="15" spans="2:14" ht="15" customHeight="1" x14ac:dyDescent="0.25">
      <c r="B15" s="9" t="s">
        <v>185</v>
      </c>
      <c r="C15" s="2">
        <f>COUNTIF(hébergement!G:G,"Fraterie")</f>
        <v>3</v>
      </c>
      <c r="D15" s="19">
        <f>C15/C16</f>
        <v>8.1081081081081086E-2</v>
      </c>
      <c r="F15" s="21" t="s">
        <v>426</v>
      </c>
      <c r="G15" s="73">
        <f>COUNTIF(hébergement!M:MI,"Dublin")</f>
        <v>3</v>
      </c>
      <c r="H15" s="91">
        <f>G15/G28</f>
        <v>7.6923076923076927E-2</v>
      </c>
      <c r="I15" s="84"/>
      <c r="J15" s="36"/>
      <c r="K15" s="60"/>
      <c r="L15" s="59"/>
      <c r="M15" s="59"/>
      <c r="N15" s="59"/>
    </row>
    <row r="16" spans="2:14" s="17" customFormat="1" ht="15" customHeight="1" x14ac:dyDescent="0.25">
      <c r="B16" s="27" t="s">
        <v>21</v>
      </c>
      <c r="C16" s="22">
        <f>SUM(C10:C15)</f>
        <v>37</v>
      </c>
      <c r="D16" s="23"/>
      <c r="F16" s="21" t="s">
        <v>439</v>
      </c>
      <c r="G16" s="35">
        <f>COUNTIF(hébergement!M:MI,"Dédubliné")</f>
        <v>3</v>
      </c>
      <c r="H16" s="91">
        <f>G16/G28</f>
        <v>7.6923076923076927E-2</v>
      </c>
      <c r="I16" s="85"/>
      <c r="J16" s="36"/>
      <c r="K16" s="60"/>
      <c r="L16" s="59"/>
      <c r="M16" s="59"/>
      <c r="N16" s="59"/>
    </row>
    <row r="17" spans="2:14" ht="15" customHeight="1" x14ac:dyDescent="0.25">
      <c r="B17" s="18"/>
      <c r="C17" s="24"/>
      <c r="D17" s="25"/>
      <c r="F17" s="21" t="s">
        <v>427</v>
      </c>
      <c r="G17" s="35">
        <f>COUNTIF(hébergement!M:MI,"Attente de procédure")</f>
        <v>3</v>
      </c>
      <c r="H17" s="91">
        <f>G17/G28</f>
        <v>7.6923076923076927E-2</v>
      </c>
      <c r="I17" s="85"/>
      <c r="J17" s="36"/>
      <c r="K17" s="60"/>
      <c r="L17" s="59"/>
      <c r="M17" s="59"/>
      <c r="N17" s="59"/>
    </row>
    <row r="18" spans="2:14" ht="15" customHeight="1" x14ac:dyDescent="0.25">
      <c r="B18" s="99" t="s">
        <v>2</v>
      </c>
      <c r="C18" s="99"/>
      <c r="D18" s="99"/>
      <c r="F18" s="21" t="s">
        <v>422</v>
      </c>
      <c r="G18" s="31">
        <f>COUNTIF(hébergement!O:O,"Statut de réfugié")</f>
        <v>2</v>
      </c>
      <c r="H18" s="91">
        <f>G18/G28</f>
        <v>5.128205128205128E-2</v>
      </c>
      <c r="I18" s="85"/>
      <c r="J18" s="60"/>
      <c r="K18" s="59"/>
      <c r="L18" s="59"/>
      <c r="M18" s="59"/>
      <c r="N18" s="59"/>
    </row>
    <row r="19" spans="2:14" s="17" customFormat="1" ht="15" customHeight="1" x14ac:dyDescent="0.25">
      <c r="B19" s="68" t="s">
        <v>431</v>
      </c>
      <c r="C19" s="8" t="s">
        <v>5</v>
      </c>
      <c r="D19" s="8" t="s">
        <v>4</v>
      </c>
      <c r="F19" s="38" t="s">
        <v>420</v>
      </c>
      <c r="G19" s="31">
        <f>COUNTIF(hébergement!O:O,"Protection subsidiaire")</f>
        <v>2</v>
      </c>
      <c r="H19" s="91">
        <f>G19/G28</f>
        <v>5.128205128205128E-2</v>
      </c>
      <c r="I19" s="85"/>
      <c r="J19" s="60"/>
      <c r="K19" s="60"/>
      <c r="L19" s="60"/>
      <c r="M19" s="59"/>
      <c r="N19" s="59"/>
    </row>
    <row r="20" spans="2:14" ht="15" customHeight="1" x14ac:dyDescent="0.25">
      <c r="B20" s="74" t="s">
        <v>6</v>
      </c>
      <c r="C20" s="56">
        <f ca="1">COUNTIF(hébergement!F:F,"&lt;=2")</f>
        <v>10</v>
      </c>
      <c r="D20" s="57">
        <f ca="1">(C20/C24)</f>
        <v>0.4</v>
      </c>
      <c r="F20" s="38" t="s">
        <v>421</v>
      </c>
      <c r="G20" s="31">
        <f>COUNTIF(hébergement!Q:Q,"Statut de réfugié")</f>
        <v>3</v>
      </c>
      <c r="H20" s="91">
        <f>G20/G28</f>
        <v>7.6923076923076927E-2</v>
      </c>
      <c r="I20" s="85"/>
      <c r="J20" s="60"/>
      <c r="K20" s="60"/>
      <c r="L20" s="60"/>
      <c r="M20" s="59"/>
      <c r="N20" s="59"/>
    </row>
    <row r="21" spans="2:14" ht="15" customHeight="1" x14ac:dyDescent="0.25">
      <c r="B21" s="21" t="s">
        <v>8</v>
      </c>
      <c r="C21" s="56">
        <f ca="1">SUMPRODUCT((hébergement!F:F&gt;=3)*(hébergement!F:F&lt;=5))</f>
        <v>6</v>
      </c>
      <c r="D21" s="57">
        <f ca="1">C21/C24</f>
        <v>0.24</v>
      </c>
      <c r="F21" s="38" t="s">
        <v>423</v>
      </c>
      <c r="G21" s="31">
        <f>COUNTIF(hébergement!Q:Q,"Protection subsidiaire")</f>
        <v>3</v>
      </c>
      <c r="H21" s="91">
        <f>G21/G28</f>
        <v>7.6923076923076927E-2</v>
      </c>
      <c r="I21" s="85"/>
      <c r="J21" s="36"/>
      <c r="K21" s="5"/>
      <c r="L21" s="5"/>
    </row>
    <row r="22" spans="2:14" ht="15" customHeight="1" x14ac:dyDescent="0.25">
      <c r="B22" s="21" t="s">
        <v>10</v>
      </c>
      <c r="C22" s="56">
        <f ca="1">SUMPRODUCT((hébergement!F:F&gt;=6)*(hébergement!F:F&lt;=10))</f>
        <v>8</v>
      </c>
      <c r="D22" s="57">
        <f ca="1">C22/C24</f>
        <v>0.32</v>
      </c>
      <c r="F22" s="38" t="s">
        <v>401</v>
      </c>
      <c r="G22" s="31">
        <f>COUNTIF(hébergement!O:O,"Rejet")</f>
        <v>3</v>
      </c>
      <c r="H22" s="91">
        <f>G22/G28</f>
        <v>7.6923076923076927E-2</v>
      </c>
      <c r="I22" s="84"/>
      <c r="J22" s="60"/>
      <c r="K22" s="5"/>
      <c r="L22" s="5"/>
    </row>
    <row r="23" spans="2:14" ht="15" customHeight="1" x14ac:dyDescent="0.25">
      <c r="B23" s="21" t="s">
        <v>12</v>
      </c>
      <c r="C23" s="56">
        <f ca="1">SUMPRODUCT((hébergement!F:F&gt;=11)*(hébergement!F:F&lt;=16))</f>
        <v>6</v>
      </c>
      <c r="D23" s="57">
        <f ca="1">C23/C24</f>
        <v>0.24</v>
      </c>
      <c r="F23" s="38" t="s">
        <v>402</v>
      </c>
      <c r="G23" s="31">
        <f>COUNTIF(hébergement!Q:Q,"Rejet")</f>
        <v>3</v>
      </c>
      <c r="H23" s="91">
        <f>G23/G28</f>
        <v>7.6923076923076927E-2</v>
      </c>
      <c r="I23" s="84"/>
      <c r="J23" s="60"/>
    </row>
    <row r="24" spans="2:14" ht="15" customHeight="1" x14ac:dyDescent="0.25">
      <c r="B24" s="21" t="s">
        <v>14</v>
      </c>
      <c r="C24" s="54">
        <f ca="1">SUMPRODUCT((hébergement!F:F&gt;=18)*(hébergement!F:F&lt;=24))</f>
        <v>25</v>
      </c>
      <c r="D24" s="55" t="e">
        <f ca="1">C24/C29</f>
        <v>#DIV/0!</v>
      </c>
      <c r="F24" s="38" t="s">
        <v>442</v>
      </c>
      <c r="G24" s="31">
        <f>COUNTIFS(hébergement!M:M,"Procédure accélérée",hébergement!O:O,"Rejet")</f>
        <v>1</v>
      </c>
      <c r="H24" s="91">
        <f>G24/G28</f>
        <v>2.564102564102564E-2</v>
      </c>
      <c r="I24" s="84"/>
      <c r="J24" s="60"/>
    </row>
    <row r="25" spans="2:14" ht="15" customHeight="1" x14ac:dyDescent="0.25">
      <c r="B25" s="21" t="s">
        <v>16</v>
      </c>
      <c r="C25" s="2">
        <f ca="1">SUMPRODUCT((hébergement!F:F&gt;=25)*(hébergement!F:F&lt;=34))</f>
        <v>31</v>
      </c>
      <c r="D25" s="19" t="e">
        <f ca="1">C25/C29</f>
        <v>#DIV/0!</v>
      </c>
      <c r="F25" s="38" t="s">
        <v>443</v>
      </c>
      <c r="G25" s="31">
        <f>COUNTIFS(hébergement!Q:Q,"Rejet")</f>
        <v>3</v>
      </c>
      <c r="H25" s="91">
        <f>G25/G28</f>
        <v>7.6923076923076927E-2</v>
      </c>
      <c r="I25" s="84"/>
      <c r="J25" s="60"/>
    </row>
    <row r="26" spans="2:14" ht="15" customHeight="1" x14ac:dyDescent="0.25">
      <c r="B26" s="21" t="s">
        <v>18</v>
      </c>
      <c r="C26" s="2">
        <f ca="1">SUMPRODUCT((hébergement!F:F&gt;=35)*(hébergement!F:F&lt;=44))</f>
        <v>11</v>
      </c>
      <c r="D26" s="19" t="e">
        <f ca="1">C26/C29</f>
        <v>#DIV/0!</v>
      </c>
      <c r="F26" s="38" t="s">
        <v>406</v>
      </c>
      <c r="G26" s="31"/>
      <c r="H26" s="91">
        <f>G26/G28</f>
        <v>0</v>
      </c>
      <c r="I26" s="84"/>
      <c r="J26" s="60"/>
    </row>
    <row r="27" spans="2:14" ht="15" customHeight="1" x14ac:dyDescent="0.25">
      <c r="B27" s="21" t="s">
        <v>19</v>
      </c>
      <c r="C27" s="2">
        <f ca="1">SUMPRODUCT((hébergement!F:F&gt;=44)*(hébergement!F:F&lt;=54))</f>
        <v>2</v>
      </c>
      <c r="D27" s="19" t="e">
        <f ca="1">C27/C29</f>
        <v>#DIV/0!</v>
      </c>
      <c r="F27" s="38" t="s">
        <v>407</v>
      </c>
      <c r="G27" s="41"/>
      <c r="H27" s="91">
        <f>G27/G28</f>
        <v>0</v>
      </c>
      <c r="I27" s="85"/>
      <c r="J27" s="36"/>
    </row>
    <row r="28" spans="2:14" ht="15" customHeight="1" x14ac:dyDescent="0.2">
      <c r="B28" s="21" t="s">
        <v>20</v>
      </c>
      <c r="C28" s="2">
        <f ca="1">SUMPRODUCT((hébergement!F:F&gt;=55)*(hébergement!F:F&lt;=64))</f>
        <v>4</v>
      </c>
      <c r="D28" s="19" t="e">
        <f ca="1">C28/C29</f>
        <v>#DIV/0!</v>
      </c>
      <c r="F28" s="39" t="s">
        <v>189</v>
      </c>
      <c r="G28" s="44">
        <f>SUM(G13:G27)</f>
        <v>39</v>
      </c>
      <c r="H28" s="37"/>
      <c r="I28" s="84"/>
      <c r="J28" s="36"/>
    </row>
    <row r="29" spans="2:14" ht="15" customHeight="1" x14ac:dyDescent="0.2">
      <c r="B29" s="27"/>
      <c r="C29" s="22">
        <f>COUNTA(hébergement!B:B)-1</f>
        <v>0</v>
      </c>
      <c r="D29" s="23"/>
      <c r="F29" s="36"/>
      <c r="G29" s="36"/>
      <c r="H29" s="36"/>
      <c r="I29" s="86"/>
      <c r="J29" s="86"/>
    </row>
    <row r="30" spans="2:14" ht="15" customHeight="1" x14ac:dyDescent="0.3">
      <c r="B30" s="18"/>
      <c r="C30" s="6"/>
      <c r="D30" s="7"/>
      <c r="F30" s="99" t="s">
        <v>424</v>
      </c>
      <c r="G30" s="100"/>
      <c r="H30" s="100"/>
      <c r="I30" s="100"/>
      <c r="J30" s="100"/>
    </row>
    <row r="31" spans="2:14" ht="15" customHeight="1" x14ac:dyDescent="0.2">
      <c r="B31" s="97" t="s">
        <v>177</v>
      </c>
      <c r="C31" s="97"/>
      <c r="D31" s="97"/>
      <c r="F31" s="49" t="s">
        <v>435</v>
      </c>
      <c r="G31" s="48" t="s">
        <v>417</v>
      </c>
      <c r="H31" s="8" t="s">
        <v>187</v>
      </c>
      <c r="I31" s="20" t="s">
        <v>418</v>
      </c>
      <c r="J31" s="20" t="s">
        <v>4</v>
      </c>
    </row>
    <row r="32" spans="2:14" ht="15" customHeight="1" x14ac:dyDescent="0.2">
      <c r="B32" s="75" t="s">
        <v>432</v>
      </c>
      <c r="C32" s="20" t="s">
        <v>5</v>
      </c>
      <c r="D32" s="20" t="s">
        <v>4</v>
      </c>
      <c r="F32" s="63" t="s">
        <v>413</v>
      </c>
      <c r="G32" s="45"/>
      <c r="H32" s="35"/>
      <c r="I32" s="31">
        <f>COUNTIFS(hébergement!U:U,"Logement autonome",hébergement!G:G,"Personne seule")</f>
        <v>1</v>
      </c>
      <c r="J32" s="47"/>
    </row>
    <row r="33" spans="2:10" ht="15" customHeight="1" x14ac:dyDescent="0.2">
      <c r="B33" s="21" t="s">
        <v>166</v>
      </c>
      <c r="C33" s="2">
        <f>COUNTIF(hébergement!I:I,"maternelle")</f>
        <v>3</v>
      </c>
      <c r="D33" s="19">
        <f>C33/C40</f>
        <v>0.27272727272727271</v>
      </c>
      <c r="F33" s="63" t="s">
        <v>414</v>
      </c>
      <c r="G33" s="45"/>
      <c r="H33" s="31"/>
      <c r="I33" s="31">
        <f>COUNTIFS(hébergement!U:U,"CPH",hébergement!G:G,"Personne seule")</f>
        <v>1</v>
      </c>
      <c r="J33" s="47"/>
    </row>
    <row r="34" spans="2:10" ht="15" customHeight="1" x14ac:dyDescent="0.2">
      <c r="B34" s="21" t="s">
        <v>167</v>
      </c>
      <c r="C34" s="2">
        <f>COUNTIF(hébergement!I:I,"primaire")</f>
        <v>2</v>
      </c>
      <c r="D34" s="19">
        <f>C34/C40</f>
        <v>0.18181818181818182</v>
      </c>
      <c r="F34" s="63" t="s">
        <v>415</v>
      </c>
      <c r="G34" s="45"/>
      <c r="H34" s="42"/>
      <c r="I34" s="31">
        <f>COUNTIFS(hébergement!U:U,"CHRS /CHU…",hébergement!G:G,"Personne seule")</f>
        <v>1</v>
      </c>
      <c r="J34" s="47"/>
    </row>
    <row r="35" spans="2:10" ht="15" customHeight="1" x14ac:dyDescent="0.2">
      <c r="B35" s="9" t="s">
        <v>168</v>
      </c>
      <c r="C35" s="2">
        <f>COUNTIF(hébergement!I:I,"Collège")</f>
        <v>2</v>
      </c>
      <c r="D35" s="19">
        <f>C35/C40</f>
        <v>0.18181818181818182</v>
      </c>
      <c r="F35" s="63" t="s">
        <v>155</v>
      </c>
      <c r="G35" s="45"/>
      <c r="H35" s="42"/>
      <c r="I35" s="31">
        <f>COUNTIFS(hébergement!U:U,"Résidence sociale",hébergement!G:G,"Personne seule")</f>
        <v>1</v>
      </c>
      <c r="J35" s="47"/>
    </row>
    <row r="36" spans="2:10" ht="15" customHeight="1" x14ac:dyDescent="0.2">
      <c r="B36" s="9" t="s">
        <v>169</v>
      </c>
      <c r="C36" s="2">
        <f>COUNTIF(hébergement!I:I,"Lycée")</f>
        <v>1</v>
      </c>
      <c r="D36" s="19">
        <f>C36/C40</f>
        <v>9.0909090909090912E-2</v>
      </c>
      <c r="F36" s="63" t="s">
        <v>416</v>
      </c>
      <c r="G36" s="45"/>
      <c r="H36" s="31"/>
      <c r="I36" s="96">
        <f>COUNTIFS(hébergement!U:U,"Transfert",hébergement!G:G,"Personne seule")</f>
        <v>0</v>
      </c>
      <c r="J36" s="47"/>
    </row>
    <row r="37" spans="2:10" ht="15" customHeight="1" x14ac:dyDescent="0.2">
      <c r="B37" s="9" t="s">
        <v>170</v>
      </c>
      <c r="C37" s="2">
        <f>COUNTIF(hébergement!I:I,"Enseignement supérieur")</f>
        <v>1</v>
      </c>
      <c r="D37" s="19">
        <f>C37/C40</f>
        <v>9.0909090909090912E-2</v>
      </c>
      <c r="F37" s="63" t="s">
        <v>182</v>
      </c>
      <c r="G37" s="46"/>
      <c r="H37" s="31"/>
      <c r="I37" s="31">
        <f>COUNTIFS(hébergement!U:U,"Retour volontaire",hébergement!G:G,"Personne seule")</f>
        <v>0</v>
      </c>
      <c r="J37" s="47"/>
    </row>
    <row r="38" spans="2:10" ht="15" customHeight="1" x14ac:dyDescent="0.2">
      <c r="B38" s="9" t="s">
        <v>171</v>
      </c>
      <c r="C38" s="2">
        <f>COUNTIF(hébergement!I:I,"Enseignement spécialisé")</f>
        <v>2</v>
      </c>
      <c r="D38" s="19">
        <f>C38/C40</f>
        <v>0.18181818181818182</v>
      </c>
      <c r="F38" s="63" t="s">
        <v>444</v>
      </c>
      <c r="G38" s="46"/>
      <c r="H38" s="31"/>
      <c r="I38" s="31">
        <f>COUNTIFS(hébergement!U:U,"Solution individuelle (115/ hôtel …)",hébergement!G:G,"Personne seule")</f>
        <v>2</v>
      </c>
      <c r="J38" s="43"/>
    </row>
    <row r="39" spans="2:10" ht="15" customHeight="1" x14ac:dyDescent="0.2">
      <c r="B39" s="9" t="s">
        <v>174</v>
      </c>
      <c r="C39" s="2">
        <f>COUNTIF(hébergement!I:I,"Non scolarisé")</f>
        <v>2</v>
      </c>
      <c r="D39" s="19">
        <f>C39/C40</f>
        <v>0.18181818181818182</v>
      </c>
      <c r="F39" s="63" t="s">
        <v>157</v>
      </c>
      <c r="G39" s="46"/>
      <c r="H39" s="31"/>
      <c r="I39" s="31">
        <f>COUNTIFS(hébergement!U:U,"Reconduite à la frontière",hébergement!G:G,"Personne seule")</f>
        <v>1</v>
      </c>
      <c r="J39" s="47"/>
    </row>
    <row r="40" spans="2:10" ht="15" customHeight="1" x14ac:dyDescent="0.2">
      <c r="B40" s="27" t="s">
        <v>176</v>
      </c>
      <c r="C40" s="22">
        <f>SUM(C33:C38)</f>
        <v>11</v>
      </c>
      <c r="D40" s="23"/>
      <c r="F40" s="95" t="s">
        <v>158</v>
      </c>
      <c r="G40" s="94"/>
      <c r="H40" s="94"/>
      <c r="I40" s="31">
        <f>COUNTIFS(hébergement!U:U,"Expulsion",hébergement!G:G,"Personne seule")</f>
        <v>1</v>
      </c>
      <c r="J40" s="94"/>
    </row>
    <row r="41" spans="2:10" ht="15" customHeight="1" x14ac:dyDescent="0.2">
      <c r="B41" s="27" t="s">
        <v>190</v>
      </c>
      <c r="C41" s="22">
        <f>C39</f>
        <v>2</v>
      </c>
      <c r="D41" s="23"/>
      <c r="F41" s="95" t="s">
        <v>159</v>
      </c>
      <c r="G41" s="94"/>
      <c r="H41" s="94"/>
      <c r="I41" s="31">
        <f>COUNTIFS(hébergement!U:U,"Exclusion",hébergement!G:G,"Personne seule")</f>
        <v>1</v>
      </c>
      <c r="J41" s="94"/>
    </row>
    <row r="42" spans="2:10" ht="15" customHeight="1" x14ac:dyDescent="0.2">
      <c r="B42" s="4"/>
      <c r="C42" s="6"/>
      <c r="D42" s="7"/>
      <c r="F42" s="95" t="s">
        <v>160</v>
      </c>
      <c r="G42" s="94"/>
      <c r="H42" s="94"/>
      <c r="I42" s="31">
        <f>COUNTIFS(hébergement!U:U,"Abandon de la procédure",hébergement!G:G,"Personne seule")</f>
        <v>2</v>
      </c>
      <c r="J42" s="94"/>
    </row>
    <row r="43" spans="2:10" ht="15" customHeight="1" x14ac:dyDescent="0.2">
      <c r="B43" s="102" t="s">
        <v>391</v>
      </c>
      <c r="C43" s="102"/>
      <c r="D43" s="102"/>
      <c r="F43" s="63" t="s">
        <v>441</v>
      </c>
      <c r="G43" s="46"/>
      <c r="H43" s="31"/>
      <c r="I43" s="31">
        <f>COUNTIFS(hébergement!U:U,"Décès",hébergement!G:G,"Personne seule")</f>
        <v>1</v>
      </c>
      <c r="J43" s="47"/>
    </row>
    <row r="44" spans="2:10" ht="15" customHeight="1" x14ac:dyDescent="0.2">
      <c r="B44" s="76" t="s">
        <v>431</v>
      </c>
      <c r="C44" s="33" t="s">
        <v>5</v>
      </c>
      <c r="D44" s="34" t="s">
        <v>4</v>
      </c>
      <c r="F44" s="39" t="s">
        <v>189</v>
      </c>
      <c r="G44" s="37"/>
      <c r="H44" s="37"/>
      <c r="I44" s="37"/>
      <c r="J44" s="37"/>
    </row>
    <row r="45" spans="2:10" ht="15" customHeight="1" x14ac:dyDescent="0.2">
      <c r="B45" s="27" t="s">
        <v>189</v>
      </c>
      <c r="C45" s="92">
        <f>COUNTIF(hébergement!J:J,"OUI")</f>
        <v>15</v>
      </c>
      <c r="D45" s="93" t="e">
        <f>C45/C29</f>
        <v>#DIV/0!</v>
      </c>
      <c r="F45" s="62"/>
      <c r="G45" s="36"/>
      <c r="H45" s="36"/>
      <c r="I45" s="36"/>
      <c r="J45" s="36"/>
    </row>
    <row r="46" spans="2:10" ht="15" customHeight="1" x14ac:dyDescent="0.3">
      <c r="B46" s="18"/>
      <c r="C46" s="87"/>
      <c r="D46" s="87"/>
      <c r="F46" s="99" t="s">
        <v>436</v>
      </c>
      <c r="G46" s="100"/>
      <c r="H46" s="100"/>
      <c r="I46" s="100"/>
      <c r="J46" s="100"/>
    </row>
    <row r="47" spans="2:10" ht="15" customHeight="1" x14ac:dyDescent="0.2">
      <c r="B47" s="97" t="s">
        <v>430</v>
      </c>
      <c r="C47" s="97"/>
      <c r="D47" s="97"/>
      <c r="F47" s="49" t="s">
        <v>435</v>
      </c>
      <c r="G47" s="48" t="s">
        <v>417</v>
      </c>
      <c r="H47" s="8" t="s">
        <v>187</v>
      </c>
      <c r="I47" s="20" t="s">
        <v>418</v>
      </c>
      <c r="J47" s="20" t="s">
        <v>4</v>
      </c>
    </row>
    <row r="48" spans="2:10" ht="15" customHeight="1" x14ac:dyDescent="0.2">
      <c r="B48" s="76" t="s">
        <v>431</v>
      </c>
      <c r="C48" s="20" t="s">
        <v>5</v>
      </c>
      <c r="D48" s="20" t="s">
        <v>4</v>
      </c>
      <c r="F48" s="63" t="s">
        <v>408</v>
      </c>
      <c r="G48" s="64"/>
      <c r="H48" s="45"/>
      <c r="I48" s="35"/>
      <c r="J48" s="47"/>
    </row>
    <row r="49" spans="2:10" ht="15" customHeight="1" x14ac:dyDescent="0.25">
      <c r="B49" s="89"/>
      <c r="C49" s="88">
        <f>LARGE(C55:C254, 1)</f>
        <v>6</v>
      </c>
      <c r="D49" s="70" t="e">
        <f>C49/C8</f>
        <v>#DIV/0!</v>
      </c>
      <c r="F49" s="63" t="s">
        <v>409</v>
      </c>
      <c r="G49" s="64"/>
      <c r="H49" s="45"/>
      <c r="I49" s="31"/>
      <c r="J49" s="47"/>
    </row>
    <row r="50" spans="2:10" ht="15" customHeight="1" x14ac:dyDescent="0.2">
      <c r="B50" s="89"/>
      <c r="C50" s="32">
        <f>LARGE(C55:C254, 2)</f>
        <v>5</v>
      </c>
      <c r="D50" s="70" t="e">
        <f>C50/C8</f>
        <v>#DIV/0!</v>
      </c>
      <c r="F50" s="63" t="s">
        <v>407</v>
      </c>
      <c r="G50" s="64"/>
      <c r="H50" s="45"/>
      <c r="I50" s="42"/>
      <c r="J50" s="47"/>
    </row>
    <row r="51" spans="2:10" ht="15" customHeight="1" x14ac:dyDescent="0.2">
      <c r="B51" s="89"/>
      <c r="C51" s="32">
        <f>LARGE(C55:C254, 3)</f>
        <v>4</v>
      </c>
      <c r="D51" s="70" t="e">
        <f>C51/C8</f>
        <v>#DIV/0!</v>
      </c>
      <c r="F51" s="63" t="s">
        <v>410</v>
      </c>
      <c r="G51" s="64"/>
      <c r="H51" s="45"/>
      <c r="I51" s="31"/>
      <c r="J51" s="47"/>
    </row>
    <row r="52" spans="2:10" ht="15" customHeight="1" x14ac:dyDescent="0.2">
      <c r="B52" s="89"/>
      <c r="C52" s="32">
        <f>LARGE(C55:C254, 4)</f>
        <v>3</v>
      </c>
      <c r="D52" s="70" t="e">
        <f>C52/C8</f>
        <v>#DIV/0!</v>
      </c>
      <c r="F52" s="63" t="s">
        <v>411</v>
      </c>
      <c r="G52" s="64"/>
      <c r="H52" s="46"/>
      <c r="I52" s="31"/>
      <c r="J52" s="47"/>
    </row>
    <row r="53" spans="2:10" ht="15" customHeight="1" x14ac:dyDescent="0.2">
      <c r="B53" s="89"/>
      <c r="C53" s="32">
        <f>LARGE(C55:C254, 5)</f>
        <v>2</v>
      </c>
      <c r="D53" s="70" t="e">
        <f>C53/C8</f>
        <v>#DIV/0!</v>
      </c>
      <c r="F53" s="63" t="s">
        <v>412</v>
      </c>
      <c r="G53" s="64"/>
      <c r="H53" s="46"/>
      <c r="I53" s="31"/>
      <c r="J53" s="43"/>
    </row>
    <row r="54" spans="2:10" ht="15" customHeight="1" x14ac:dyDescent="0.25">
      <c r="B54" s="97" t="s">
        <v>186</v>
      </c>
      <c r="C54" s="101"/>
      <c r="D54" s="101"/>
      <c r="F54" s="67" t="s">
        <v>189</v>
      </c>
      <c r="G54" s="65"/>
      <c r="H54" s="44"/>
      <c r="I54" s="66"/>
      <c r="J54" s="37"/>
    </row>
    <row r="55" spans="2:10" ht="15" customHeight="1" x14ac:dyDescent="0.25">
      <c r="B55" s="51" t="s">
        <v>191</v>
      </c>
      <c r="C55" s="2">
        <f>COUNTIF(hébergement!D:D,"AFGHANE")</f>
        <v>4</v>
      </c>
      <c r="D55" s="19" t="e">
        <f>C55/C29</f>
        <v>#DIV/0!</v>
      </c>
      <c r="F55" s="86"/>
      <c r="G55" s="5"/>
      <c r="H55" s="5"/>
      <c r="I55" s="86"/>
      <c r="J55" s="86"/>
    </row>
    <row r="56" spans="2:10" ht="15" customHeight="1" x14ac:dyDescent="0.2">
      <c r="B56" s="51" t="s">
        <v>192</v>
      </c>
      <c r="C56" s="2">
        <f>COUNTIF(hébergement!D:D,"ALBANAISE")</f>
        <v>5</v>
      </c>
      <c r="D56" s="19" t="e">
        <f>C56/C29</f>
        <v>#DIV/0!</v>
      </c>
      <c r="F56" s="97" t="s">
        <v>22</v>
      </c>
      <c r="G56" s="98"/>
      <c r="H56" s="98"/>
      <c r="I56" s="86"/>
      <c r="J56" s="86"/>
    </row>
    <row r="57" spans="2:10" ht="15" customHeight="1" x14ac:dyDescent="0.2">
      <c r="B57" s="51" t="s">
        <v>193</v>
      </c>
      <c r="C57" s="2">
        <f>COUNTIF(hébergement!D:D,"ALGERIENNE")</f>
        <v>0</v>
      </c>
      <c r="D57" s="19" t="e">
        <f>C57/C29</f>
        <v>#DIV/0!</v>
      </c>
      <c r="F57" s="61" t="s">
        <v>429</v>
      </c>
      <c r="G57" s="48" t="s">
        <v>396</v>
      </c>
      <c r="H57" s="48" t="s">
        <v>4</v>
      </c>
      <c r="I57" s="86"/>
      <c r="J57" s="86"/>
    </row>
    <row r="58" spans="2:10" ht="15" customHeight="1" x14ac:dyDescent="0.2">
      <c r="B58" s="51" t="s">
        <v>194</v>
      </c>
      <c r="C58" s="2">
        <f>COUNTIF(hébergement!D:D,"ALLEMANDE")</f>
        <v>0</v>
      </c>
      <c r="D58" s="19" t="e">
        <f>C58/C29</f>
        <v>#DIV/0!</v>
      </c>
      <c r="F58" s="48" t="s">
        <v>23</v>
      </c>
      <c r="G58" s="52"/>
      <c r="H58" s="52"/>
      <c r="I58" s="86"/>
      <c r="J58" s="86"/>
    </row>
    <row r="59" spans="2:10" ht="15" customHeight="1" x14ac:dyDescent="0.2">
      <c r="B59" s="51" t="s">
        <v>195</v>
      </c>
      <c r="C59" s="2">
        <f>COUNTIF(hébergement!D:D,"AMERICAINE")</f>
        <v>2</v>
      </c>
      <c r="D59" s="19" t="e">
        <f>C59/C29</f>
        <v>#DIV/0!</v>
      </c>
      <c r="F59" s="77" t="s">
        <v>188</v>
      </c>
      <c r="G59" s="52"/>
      <c r="H59" s="52"/>
      <c r="I59" s="86"/>
      <c r="J59" s="86"/>
    </row>
    <row r="60" spans="2:10" ht="15" customHeight="1" x14ac:dyDescent="0.2">
      <c r="B60" s="51" t="s">
        <v>196</v>
      </c>
      <c r="C60" s="2">
        <f>COUNTIF(hébergement!D:D,"ANDORRANE")</f>
        <v>6</v>
      </c>
      <c r="D60" s="19" t="e">
        <f>C60/C29</f>
        <v>#DIV/0!</v>
      </c>
      <c r="F60" s="77" t="s">
        <v>428</v>
      </c>
      <c r="G60" s="53"/>
      <c r="H60" s="78"/>
      <c r="I60" s="86"/>
      <c r="J60" s="86"/>
    </row>
    <row r="61" spans="2:10" ht="15" customHeight="1" x14ac:dyDescent="0.2">
      <c r="B61" s="51" t="s">
        <v>197</v>
      </c>
      <c r="C61" s="2">
        <f>COUNTIF(hébergement!D:D,"ANGOLAISE")</f>
        <v>3</v>
      </c>
      <c r="D61" s="19" t="e">
        <f>C61/C29</f>
        <v>#DIV/0!</v>
      </c>
      <c r="F61" s="79" t="s">
        <v>189</v>
      </c>
      <c r="G61" s="37"/>
      <c r="H61" s="37"/>
      <c r="I61" s="86"/>
      <c r="J61" s="86"/>
    </row>
    <row r="62" spans="2:10" ht="15" customHeight="1" x14ac:dyDescent="0.2">
      <c r="B62" s="51" t="s">
        <v>198</v>
      </c>
      <c r="C62" s="2">
        <f>COUNTIF(hébergement!D:D,"ANTIGUAISE ET BARUDIENNE")</f>
        <v>0</v>
      </c>
      <c r="D62" s="19" t="e">
        <f>C62/C29</f>
        <v>#DIV/0!</v>
      </c>
    </row>
    <row r="63" spans="2:10" ht="15" customHeight="1" x14ac:dyDescent="0.2">
      <c r="B63" s="51" t="s">
        <v>199</v>
      </c>
      <c r="C63" s="30">
        <f>COUNTIF(hébergement!D:D,"ARGENTINE")</f>
        <v>0</v>
      </c>
      <c r="D63" s="19" t="e">
        <f>C63/C29</f>
        <v>#DIV/0!</v>
      </c>
    </row>
    <row r="64" spans="2:10" ht="15" customHeight="1" x14ac:dyDescent="0.2">
      <c r="B64" s="51" t="s">
        <v>200</v>
      </c>
      <c r="C64" s="31">
        <f>COUNTIF(hébergement!D:D,"ARMENIENNE")</f>
        <v>0</v>
      </c>
      <c r="D64" s="19" t="e">
        <f>C64/C29</f>
        <v>#DIV/0!</v>
      </c>
    </row>
    <row r="65" spans="2:4" ht="15" customHeight="1" x14ac:dyDescent="0.2">
      <c r="B65" s="51" t="s">
        <v>201</v>
      </c>
      <c r="C65" s="31">
        <f>COUNTIF(hébergement!D:D,"AUSTRALIENNE")</f>
        <v>0</v>
      </c>
      <c r="D65" s="19" t="e">
        <f>C65/C29</f>
        <v>#DIV/0!</v>
      </c>
    </row>
    <row r="66" spans="2:4" ht="15" customHeight="1" x14ac:dyDescent="0.2">
      <c r="B66" s="51" t="s">
        <v>202</v>
      </c>
      <c r="C66" s="31">
        <f>COUNTIF(hébergement!D:D,"AUTRICHIENNE")</f>
        <v>0</v>
      </c>
      <c r="D66" s="19" t="e">
        <f>C66/C29</f>
        <v>#DIV/0!</v>
      </c>
    </row>
    <row r="67" spans="2:4" ht="15" customHeight="1" x14ac:dyDescent="0.2">
      <c r="B67" s="51" t="s">
        <v>203</v>
      </c>
      <c r="C67" s="31">
        <f>COUNTIF(hébergement!D:D,"AZERBAÏDJANAISE")</f>
        <v>0</v>
      </c>
      <c r="D67" s="19" t="e">
        <f>C67/C29</f>
        <v>#DIV/0!</v>
      </c>
    </row>
    <row r="68" spans="2:4" ht="15" customHeight="1" x14ac:dyDescent="0.2">
      <c r="B68" s="51" t="s">
        <v>204</v>
      </c>
      <c r="C68" s="32">
        <f>COUNTIF(hébergement!D:D,"BAHAMIENNE")</f>
        <v>0</v>
      </c>
      <c r="D68" s="19" t="e">
        <f>C68/C29</f>
        <v>#DIV/0!</v>
      </c>
    </row>
    <row r="69" spans="2:4" ht="15" customHeight="1" x14ac:dyDescent="0.2">
      <c r="B69" s="51" t="s">
        <v>205</v>
      </c>
      <c r="C69" s="31">
        <f>COUNTIF(hébergement!D:D,"BAHREÏNIENNE")</f>
        <v>0</v>
      </c>
      <c r="D69" s="19">
        <f>C69/29</f>
        <v>0</v>
      </c>
    </row>
    <row r="70" spans="2:4" ht="15" customHeight="1" x14ac:dyDescent="0.2">
      <c r="B70" s="51" t="s">
        <v>206</v>
      </c>
      <c r="C70" s="31">
        <f>COUNTIF(hébergement!D:D,"BANGLADAISE")</f>
        <v>0</v>
      </c>
      <c r="D70" s="19" t="e">
        <f>C70/C29</f>
        <v>#DIV/0!</v>
      </c>
    </row>
    <row r="71" spans="2:4" ht="15" customHeight="1" x14ac:dyDescent="0.2">
      <c r="B71" s="51" t="s">
        <v>207</v>
      </c>
      <c r="C71" s="31">
        <f>COUNTIF(hébergement!D:D,"BARBADIENNE")</f>
        <v>0</v>
      </c>
      <c r="D71" s="19" t="e">
        <f>C71/C29</f>
        <v>#DIV/0!</v>
      </c>
    </row>
    <row r="72" spans="2:4" ht="15" customHeight="1" x14ac:dyDescent="0.2">
      <c r="B72" s="51" t="s">
        <v>208</v>
      </c>
      <c r="C72" s="31">
        <f>COUNTIF(hébergement!D:D,"BELGE")</f>
        <v>0</v>
      </c>
      <c r="D72" s="19" t="e">
        <f>C72/C29</f>
        <v>#DIV/0!</v>
      </c>
    </row>
    <row r="73" spans="2:4" ht="15" customHeight="1" x14ac:dyDescent="0.2">
      <c r="B73" s="51" t="s">
        <v>209</v>
      </c>
      <c r="C73" s="31">
        <f>COUNTIF(hébergement!D:D,"BELIZIENNE")</f>
        <v>0</v>
      </c>
      <c r="D73" s="19" t="e">
        <f>C73/C29</f>
        <v>#DIV/0!</v>
      </c>
    </row>
    <row r="74" spans="2:4" ht="15" customHeight="1" x14ac:dyDescent="0.2">
      <c r="B74" s="51" t="s">
        <v>210</v>
      </c>
      <c r="C74" s="31">
        <f>COUNTIF(hébergement!D:D,"BENINOISE")</f>
        <v>0</v>
      </c>
      <c r="D74" s="19" t="e">
        <f>C74/C29</f>
        <v>#DIV/0!</v>
      </c>
    </row>
    <row r="75" spans="2:4" ht="15" customHeight="1" x14ac:dyDescent="0.2">
      <c r="B75" s="51" t="s">
        <v>211</v>
      </c>
      <c r="C75" s="31">
        <f>COUNTIF(hébergement!D:D,"BHOUTANAISE")</f>
        <v>0</v>
      </c>
      <c r="D75" s="19" t="e">
        <f>C75/C29</f>
        <v>#DIV/0!</v>
      </c>
    </row>
    <row r="76" spans="2:4" ht="15" customHeight="1" x14ac:dyDescent="0.2">
      <c r="B76" s="51" t="s">
        <v>212</v>
      </c>
      <c r="C76" s="31">
        <f>COUNTIF(hébergement!D:D,"BIELORUSSE")</f>
        <v>0</v>
      </c>
      <c r="D76" s="19" t="e">
        <f>C76/C29</f>
        <v>#DIV/0!</v>
      </c>
    </row>
    <row r="77" spans="2:4" ht="15" customHeight="1" x14ac:dyDescent="0.2">
      <c r="B77" s="51" t="s">
        <v>213</v>
      </c>
      <c r="C77" s="31">
        <f>COUNTIF(hébergement!D:D,"BIRMANE")</f>
        <v>0</v>
      </c>
      <c r="D77" s="19" t="e">
        <f>C77/C29</f>
        <v>#DIV/0!</v>
      </c>
    </row>
    <row r="78" spans="2:4" ht="15" customHeight="1" x14ac:dyDescent="0.2">
      <c r="B78" s="51" t="s">
        <v>214</v>
      </c>
      <c r="C78" s="31">
        <f>COUNTIF(hébergement!D:D,"BISSAU-GUINEENNE")</f>
        <v>0</v>
      </c>
      <c r="D78" s="19" t="e">
        <f>C78/C29</f>
        <v>#DIV/0!</v>
      </c>
    </row>
    <row r="79" spans="2:4" ht="15" customHeight="1" x14ac:dyDescent="0.2">
      <c r="B79" s="51" t="s">
        <v>215</v>
      </c>
      <c r="C79" s="31">
        <f>COUNTIF(hébergement!D:D,"BOLIVIENNE")</f>
        <v>0</v>
      </c>
      <c r="D79" s="19" t="e">
        <f>C79/C29</f>
        <v>#DIV/0!</v>
      </c>
    </row>
    <row r="80" spans="2:4" ht="15" customHeight="1" x14ac:dyDescent="0.2">
      <c r="B80" s="51" t="s">
        <v>216</v>
      </c>
      <c r="C80" s="31">
        <f>COUNTIF(hébergement!D:D,"BOSNIENNE")</f>
        <v>0</v>
      </c>
      <c r="D80" s="19" t="e">
        <f>C80/C29</f>
        <v>#DIV/0!</v>
      </c>
    </row>
    <row r="81" spans="2:4" ht="15" customHeight="1" x14ac:dyDescent="0.2">
      <c r="B81" s="51" t="s">
        <v>217</v>
      </c>
      <c r="C81" s="31">
        <f>COUNTIF(hébergement!D:D,"BOTSWANAISE")</f>
        <v>0</v>
      </c>
      <c r="D81" s="19" t="e">
        <f>C81/C29</f>
        <v>#DIV/0!</v>
      </c>
    </row>
    <row r="82" spans="2:4" ht="15" customHeight="1" x14ac:dyDescent="0.2">
      <c r="B82" s="51" t="s">
        <v>218</v>
      </c>
      <c r="C82" s="31">
        <f>COUNTIF(hébergement!D:D,"BRESILIENNE")</f>
        <v>0</v>
      </c>
      <c r="D82" s="19" t="e">
        <f>C82/C29</f>
        <v>#DIV/0!</v>
      </c>
    </row>
    <row r="83" spans="2:4" ht="15" customHeight="1" x14ac:dyDescent="0.2">
      <c r="B83" s="51" t="s">
        <v>219</v>
      </c>
      <c r="C83" s="31">
        <f>COUNTIF(hébergement!D:D,"BRITANNIQUE")</f>
        <v>0</v>
      </c>
      <c r="D83" s="19" t="e">
        <f>C83/C29</f>
        <v>#DIV/0!</v>
      </c>
    </row>
    <row r="84" spans="2:4" ht="15" customHeight="1" x14ac:dyDescent="0.2">
      <c r="B84" s="51" t="s">
        <v>220</v>
      </c>
      <c r="C84" s="31">
        <f>COUNTIF(hébergement!D:D,"BRUNEIENNE")</f>
        <v>0</v>
      </c>
      <c r="D84" s="19" t="e">
        <f>C84/C29</f>
        <v>#DIV/0!</v>
      </c>
    </row>
    <row r="85" spans="2:4" ht="15" customHeight="1" x14ac:dyDescent="0.2">
      <c r="B85" s="51" t="s">
        <v>221</v>
      </c>
      <c r="C85" s="31">
        <f>COUNTIF(hébergement!D:D,"BULGARE")</f>
        <v>0</v>
      </c>
      <c r="D85" s="19" t="e">
        <f>C85/C29</f>
        <v>#DIV/0!</v>
      </c>
    </row>
    <row r="86" spans="2:4" ht="15" customHeight="1" x14ac:dyDescent="0.2">
      <c r="B86" s="51" t="s">
        <v>222</v>
      </c>
      <c r="C86" s="31">
        <f>COUNTIF(hébergement!D:D,"BURKINABE")</f>
        <v>0</v>
      </c>
      <c r="D86" s="19" t="e">
        <f>C86/C29</f>
        <v>#DIV/0!</v>
      </c>
    </row>
    <row r="87" spans="2:4" ht="15" customHeight="1" x14ac:dyDescent="0.2">
      <c r="B87" s="51" t="s">
        <v>223</v>
      </c>
      <c r="C87" s="31">
        <f>COUNTIF(hébergement!D:D,"BURUNDAISE")</f>
        <v>0</v>
      </c>
      <c r="D87" s="19" t="e">
        <f>C87/C29</f>
        <v>#DIV/0!</v>
      </c>
    </row>
    <row r="88" spans="2:4" ht="15" customHeight="1" x14ac:dyDescent="0.2">
      <c r="B88" s="51" t="s">
        <v>224</v>
      </c>
      <c r="C88" s="31">
        <f>COUNTIF(hébergement!D:D,"CAMBODGIENNE")</f>
        <v>0</v>
      </c>
      <c r="D88" s="19" t="e">
        <f>C88/C29</f>
        <v>#DIV/0!</v>
      </c>
    </row>
    <row r="89" spans="2:4" ht="15" customHeight="1" x14ac:dyDescent="0.2">
      <c r="B89" s="51" t="s">
        <v>225</v>
      </c>
      <c r="C89" s="31">
        <f>COUNTIF(hébergement!D:D,"CAMEROUNAISE")</f>
        <v>0</v>
      </c>
      <c r="D89" s="19" t="e">
        <f>C89/C29</f>
        <v>#DIV/0!</v>
      </c>
    </row>
    <row r="90" spans="2:4" ht="15" customHeight="1" x14ac:dyDescent="0.2">
      <c r="B90" s="51" t="s">
        <v>226</v>
      </c>
      <c r="C90" s="31">
        <f>COUNTIF(hébergement!D:D,"CANADIENNE")</f>
        <v>0</v>
      </c>
      <c r="D90" s="19" t="e">
        <f>C90/C29</f>
        <v>#DIV/0!</v>
      </c>
    </row>
    <row r="91" spans="2:4" ht="15" customHeight="1" x14ac:dyDescent="0.2">
      <c r="B91" s="51" t="s">
        <v>227</v>
      </c>
      <c r="C91" s="31">
        <f>COUNTIF(hébergement!D:D,"CAP-VERDIENNE")</f>
        <v>0</v>
      </c>
      <c r="D91" s="19" t="e">
        <f>C91/C29</f>
        <v>#DIV/0!</v>
      </c>
    </row>
    <row r="92" spans="2:4" ht="15" customHeight="1" x14ac:dyDescent="0.2">
      <c r="B92" s="51" t="s">
        <v>228</v>
      </c>
      <c r="C92" s="31">
        <f>COUNTIF(hébergement!D:D,"CENTRAFRICAINE")</f>
        <v>0</v>
      </c>
      <c r="D92" s="19" t="e">
        <f>C92/C29</f>
        <v>#DIV/0!</v>
      </c>
    </row>
    <row r="93" spans="2:4" ht="15" customHeight="1" x14ac:dyDescent="0.2">
      <c r="B93" s="51" t="s">
        <v>229</v>
      </c>
      <c r="C93" s="31">
        <f>COUNTIF(hébergement!D:D,"CHILIENNE")</f>
        <v>0</v>
      </c>
      <c r="D93" s="19" t="e">
        <f>C93/C29</f>
        <v>#DIV/0!</v>
      </c>
    </row>
    <row r="94" spans="2:4" ht="15" customHeight="1" x14ac:dyDescent="0.2">
      <c r="B94" s="51" t="s">
        <v>230</v>
      </c>
      <c r="C94" s="31">
        <f>COUNTIF(hébergement!D:D,"CHINOISE")</f>
        <v>0</v>
      </c>
      <c r="D94" s="19" t="e">
        <f>C94/C29</f>
        <v>#DIV/0!</v>
      </c>
    </row>
    <row r="95" spans="2:4" ht="15" customHeight="1" x14ac:dyDescent="0.2">
      <c r="B95" s="51" t="s">
        <v>231</v>
      </c>
      <c r="C95" s="31">
        <f>COUNTIF(hébergement!D:D,"CHINOISE (TAIWAN)")</f>
        <v>0</v>
      </c>
      <c r="D95" s="19" t="e">
        <f>C95/C29</f>
        <v>#DIV/0!</v>
      </c>
    </row>
    <row r="96" spans="2:4" ht="15" customHeight="1" x14ac:dyDescent="0.2">
      <c r="B96" s="51" t="s">
        <v>232</v>
      </c>
      <c r="C96" s="31">
        <f>COUNTIF(hébergement!D:D,"CHYPRIOTE")</f>
        <v>0</v>
      </c>
      <c r="D96" s="19" t="e">
        <f>C96/C29</f>
        <v>#DIV/0!</v>
      </c>
    </row>
    <row r="97" spans="2:4" ht="15" customHeight="1" x14ac:dyDescent="0.2">
      <c r="B97" s="51" t="s">
        <v>233</v>
      </c>
      <c r="C97" s="31">
        <f>COUNTIF(hébergement!D:D,"COLOMBIENNE")</f>
        <v>0</v>
      </c>
      <c r="D97" s="19" t="e">
        <f>C97/C29</f>
        <v>#DIV/0!</v>
      </c>
    </row>
    <row r="98" spans="2:4" ht="15" customHeight="1" x14ac:dyDescent="0.2">
      <c r="B98" s="51" t="s">
        <v>234</v>
      </c>
      <c r="C98" s="31">
        <f>COUNTIF(hébergement!D:D,"COMORIENNE")</f>
        <v>0</v>
      </c>
      <c r="D98" s="19" t="e">
        <f>C98/C29</f>
        <v>#DIV/0!</v>
      </c>
    </row>
    <row r="99" spans="2:4" ht="15" customHeight="1" x14ac:dyDescent="0.2">
      <c r="B99" s="51" t="s">
        <v>235</v>
      </c>
      <c r="C99" s="31">
        <f>COUNTIF(hébergement!D:D,"CONGOLAISE")</f>
        <v>0</v>
      </c>
      <c r="D99" s="19" t="e">
        <f>C99/C29</f>
        <v>#DIV/0!</v>
      </c>
    </row>
    <row r="100" spans="2:4" ht="15" customHeight="1" x14ac:dyDescent="0.2">
      <c r="B100" s="51" t="s">
        <v>236</v>
      </c>
      <c r="C100" s="31">
        <f>COUNTIF(hébergement!D:D,"CONGOLAISE (R.D.")</f>
        <v>0</v>
      </c>
      <c r="D100" s="19" t="e">
        <f>C100/C29</f>
        <v>#DIV/0!</v>
      </c>
    </row>
    <row r="101" spans="2:4" ht="15" customHeight="1" x14ac:dyDescent="0.2">
      <c r="B101" s="51" t="s">
        <v>237</v>
      </c>
      <c r="C101" s="31">
        <f>COUNTIF(hébergement!D:D,"COSTARICAINE")</f>
        <v>0</v>
      </c>
      <c r="D101" s="19" t="e">
        <f>C101/C29</f>
        <v>#DIV/0!</v>
      </c>
    </row>
    <row r="102" spans="2:4" ht="15" customHeight="1" x14ac:dyDescent="0.2">
      <c r="B102" s="51" t="s">
        <v>238</v>
      </c>
      <c r="C102" s="31">
        <f>COUNTIF(hébergement!D:D,"CROATE")</f>
        <v>0</v>
      </c>
      <c r="D102" s="19" t="e">
        <f>C102/C29</f>
        <v>#DIV/0!</v>
      </c>
    </row>
    <row r="103" spans="2:4" ht="15" customHeight="1" x14ac:dyDescent="0.2">
      <c r="B103" s="51" t="s">
        <v>239</v>
      </c>
      <c r="C103" s="31">
        <f>COUNTIF(hébergement!D:D,"CUBAINE")</f>
        <v>0</v>
      </c>
      <c r="D103" s="19" t="e">
        <f>C103/C29</f>
        <v>#DIV/0!</v>
      </c>
    </row>
    <row r="104" spans="2:4" ht="15" customHeight="1" x14ac:dyDescent="0.2">
      <c r="B104" s="51" t="s">
        <v>240</v>
      </c>
      <c r="C104" s="31">
        <f>COUNTIF(hébergement!D:D,"DANOISE")</f>
        <v>0</v>
      </c>
      <c r="D104" s="19" t="e">
        <f>C104/C29</f>
        <v>#DIV/0!</v>
      </c>
    </row>
    <row r="105" spans="2:4" ht="15" customHeight="1" x14ac:dyDescent="0.2">
      <c r="B105" s="51" t="s">
        <v>241</v>
      </c>
      <c r="C105" s="31">
        <f>COUNTIF(hébergement!D:D,"DJIBOUTIENNE")</f>
        <v>0</v>
      </c>
      <c r="D105" s="19" t="e">
        <f>C105/C29</f>
        <v>#DIV/0!</v>
      </c>
    </row>
    <row r="106" spans="2:4" ht="15" customHeight="1" x14ac:dyDescent="0.2">
      <c r="B106" s="51" t="s">
        <v>242</v>
      </c>
      <c r="C106" s="31">
        <f>COUNTIF(hébergement!D:D,"DOMINICAINE")</f>
        <v>0</v>
      </c>
      <c r="D106" s="19" t="e">
        <f>C106/C29</f>
        <v>#DIV/0!</v>
      </c>
    </row>
    <row r="107" spans="2:4" ht="15" customHeight="1" x14ac:dyDescent="0.2">
      <c r="B107" s="51" t="s">
        <v>243</v>
      </c>
      <c r="C107" s="31">
        <f>COUNTIF(hébergement!D:D,"DOMINIQUAISE")</f>
        <v>0</v>
      </c>
      <c r="D107" s="19" t="e">
        <f>C107/C29</f>
        <v>#DIV/0!</v>
      </c>
    </row>
    <row r="108" spans="2:4" ht="15" customHeight="1" x14ac:dyDescent="0.2">
      <c r="B108" s="51" t="s">
        <v>244</v>
      </c>
      <c r="C108" s="31">
        <f>COUNTIF(hébergement!D:D,"EGYPTIENNE")</f>
        <v>0</v>
      </c>
      <c r="D108" s="19" t="e">
        <f>C108/C29</f>
        <v>#DIV/0!</v>
      </c>
    </row>
    <row r="109" spans="2:4" ht="15" customHeight="1" x14ac:dyDescent="0.2">
      <c r="B109" s="51" t="s">
        <v>245</v>
      </c>
      <c r="C109" s="31">
        <f>COUNTIF(hébergement!D:D,"EMIRIENNE")</f>
        <v>0</v>
      </c>
      <c r="D109" s="19" t="e">
        <f>C109/C29</f>
        <v>#DIV/0!</v>
      </c>
    </row>
    <row r="110" spans="2:4" ht="15" customHeight="1" x14ac:dyDescent="0.2">
      <c r="B110" s="51" t="s">
        <v>246</v>
      </c>
      <c r="C110" s="31">
        <f>COUNTIF(hébergement!D:D,"EQUATO-GUINENNE")</f>
        <v>0</v>
      </c>
      <c r="D110" s="19" t="e">
        <f>C110/C29</f>
        <v>#DIV/0!</v>
      </c>
    </row>
    <row r="111" spans="2:4" ht="15" customHeight="1" x14ac:dyDescent="0.2">
      <c r="B111" s="51" t="s">
        <v>247</v>
      </c>
      <c r="C111" s="31">
        <f>COUNTIF(hébergement!D:D,"EQUATORIENNE")</f>
        <v>0</v>
      </c>
      <c r="D111" s="19" t="e">
        <f>C111/C29</f>
        <v>#DIV/0!</v>
      </c>
    </row>
    <row r="112" spans="2:4" ht="15" customHeight="1" x14ac:dyDescent="0.2">
      <c r="B112" s="51" t="s">
        <v>248</v>
      </c>
      <c r="C112" s="31">
        <f>COUNTIF(hébergement!D:D,"ERYTHRENNE")</f>
        <v>0</v>
      </c>
      <c r="D112" s="19" t="e">
        <f>C112/C29</f>
        <v>#DIV/0!</v>
      </c>
    </row>
    <row r="113" spans="2:4" ht="15" customHeight="1" x14ac:dyDescent="0.2">
      <c r="B113" s="51" t="s">
        <v>249</v>
      </c>
      <c r="C113" s="31">
        <f>COUNTIF(hébergement!D:D,"ESPAGNOLE")</f>
        <v>0</v>
      </c>
      <c r="D113" s="19" t="e">
        <f>C113/C29</f>
        <v>#DIV/0!</v>
      </c>
    </row>
    <row r="114" spans="2:4" ht="15" customHeight="1" x14ac:dyDescent="0.2">
      <c r="B114" s="51" t="s">
        <v>250</v>
      </c>
      <c r="C114" s="31">
        <f>COUNTIF(hébergement!D:D,"ESTONIENNE")</f>
        <v>0</v>
      </c>
      <c r="D114" s="19" t="e">
        <f>C114/C29</f>
        <v>#DIV/0!</v>
      </c>
    </row>
    <row r="115" spans="2:4" ht="15" customHeight="1" x14ac:dyDescent="0.2">
      <c r="B115" s="51" t="s">
        <v>251</v>
      </c>
      <c r="C115" s="31">
        <f>COUNTIF(hébergement!D:D,"ETHIOPIENNE")</f>
        <v>0</v>
      </c>
      <c r="D115" s="19" t="e">
        <f>C115/C29</f>
        <v>#DIV/0!</v>
      </c>
    </row>
    <row r="116" spans="2:4" ht="15" customHeight="1" x14ac:dyDescent="0.2">
      <c r="B116" s="51" t="s">
        <v>252</v>
      </c>
      <c r="C116" s="31">
        <f>COUNTIF(hébergement!D:D,"FIDJIENNE")</f>
        <v>0</v>
      </c>
      <c r="D116" s="19" t="e">
        <f>C116/C29</f>
        <v>#DIV/0!</v>
      </c>
    </row>
    <row r="117" spans="2:4" ht="15" customHeight="1" x14ac:dyDescent="0.2">
      <c r="B117" s="51" t="s">
        <v>253</v>
      </c>
      <c r="C117" s="31">
        <f>COUNTIF(hébergement!D:D,"FINLANDAISE")</f>
        <v>0</v>
      </c>
      <c r="D117" s="19" t="e">
        <f>C117/C29</f>
        <v>#DIV/0!</v>
      </c>
    </row>
    <row r="118" spans="2:4" ht="15" customHeight="1" x14ac:dyDescent="0.2">
      <c r="B118" s="51" t="s">
        <v>254</v>
      </c>
      <c r="C118" s="31">
        <f>COUNTIF(hébergement!D:D,"FRANCAISE")</f>
        <v>0</v>
      </c>
      <c r="D118" s="19" t="e">
        <f>C118/C29</f>
        <v>#DIV/0!</v>
      </c>
    </row>
    <row r="119" spans="2:4" ht="15" customHeight="1" x14ac:dyDescent="0.2">
      <c r="B119" s="51" t="s">
        <v>255</v>
      </c>
      <c r="C119" s="31">
        <f>COUNTIF(hébergement!D:D,"GABONAISE")</f>
        <v>0</v>
      </c>
      <c r="D119" s="19" t="e">
        <f>C119/C29</f>
        <v>#DIV/0!</v>
      </c>
    </row>
    <row r="120" spans="2:4" ht="15" customHeight="1" x14ac:dyDescent="0.2">
      <c r="B120" s="51" t="s">
        <v>256</v>
      </c>
      <c r="C120" s="31">
        <f>COUNTIF(hébergement!D:D,"GAMBIENNE")</f>
        <v>0</v>
      </c>
      <c r="D120" s="19" t="e">
        <f>C120/C29</f>
        <v>#DIV/0!</v>
      </c>
    </row>
    <row r="121" spans="2:4" ht="15" customHeight="1" x14ac:dyDescent="0.2">
      <c r="B121" s="51" t="s">
        <v>257</v>
      </c>
      <c r="C121" s="31">
        <f>COUNTIF(hébergement!D:D,"GEORGIENNE")</f>
        <v>0</v>
      </c>
      <c r="D121" s="19" t="e">
        <f>C121/C29</f>
        <v>#DIV/0!</v>
      </c>
    </row>
    <row r="122" spans="2:4" ht="15" customHeight="1" x14ac:dyDescent="0.2">
      <c r="B122" s="51" t="s">
        <v>258</v>
      </c>
      <c r="C122" s="31">
        <f>COUNTIF(hébergement!D:D,"GHANEENNE")</f>
        <v>0</v>
      </c>
      <c r="D122" s="19" t="e">
        <f>C122/C29</f>
        <v>#DIV/0!</v>
      </c>
    </row>
    <row r="123" spans="2:4" ht="15" customHeight="1" x14ac:dyDescent="0.2">
      <c r="B123" s="51" t="s">
        <v>259</v>
      </c>
      <c r="C123" s="31">
        <f>COUNTIF(hébergement!D:D,"GRENADIENNE")</f>
        <v>1</v>
      </c>
      <c r="D123" s="19" t="e">
        <f>C123/C29</f>
        <v>#DIV/0!</v>
      </c>
    </row>
    <row r="124" spans="2:4" ht="15" customHeight="1" x14ac:dyDescent="0.2">
      <c r="B124" s="51" t="s">
        <v>260</v>
      </c>
      <c r="C124" s="31">
        <f>COUNTIF(hébergement!D:D,"GUATEMALTEQUE")</f>
        <v>0</v>
      </c>
      <c r="D124" s="19" t="e">
        <f>C124/C29</f>
        <v>#DIV/0!</v>
      </c>
    </row>
    <row r="125" spans="2:4" ht="15" customHeight="1" x14ac:dyDescent="0.2">
      <c r="B125" s="51" t="s">
        <v>261</v>
      </c>
      <c r="C125" s="31">
        <f>COUNTIF(hébergement!D:D,"GUINEENNE")</f>
        <v>0</v>
      </c>
      <c r="D125" s="19" t="e">
        <f>C125/C29</f>
        <v>#DIV/0!</v>
      </c>
    </row>
    <row r="126" spans="2:4" ht="15" customHeight="1" x14ac:dyDescent="0.2">
      <c r="B126" s="51" t="s">
        <v>262</v>
      </c>
      <c r="C126" s="31">
        <f>COUNTIF(hébergement!D:D,"GUYANIENNE")</f>
        <v>0</v>
      </c>
      <c r="D126" s="19" t="e">
        <f>C126/C29</f>
        <v>#DIV/0!</v>
      </c>
    </row>
    <row r="127" spans="2:4" ht="15" customHeight="1" x14ac:dyDescent="0.2">
      <c r="B127" s="51" t="s">
        <v>263</v>
      </c>
      <c r="C127" s="31">
        <f>COUNTIF(hébergement!D:D,"HAÏTIENNE")</f>
        <v>0</v>
      </c>
      <c r="D127" s="19" t="e">
        <f>C127/C29</f>
        <v>#DIV/0!</v>
      </c>
    </row>
    <row r="128" spans="2:4" ht="15" customHeight="1" x14ac:dyDescent="0.2">
      <c r="B128" s="51" t="s">
        <v>264</v>
      </c>
      <c r="C128" s="31">
        <f>COUNTIF(hébergement!D:D,"HELLENIQUE")</f>
        <v>0</v>
      </c>
      <c r="D128" s="19" t="e">
        <f>C128/C29</f>
        <v>#DIV/0!</v>
      </c>
    </row>
    <row r="129" spans="2:4" ht="15" customHeight="1" x14ac:dyDescent="0.2">
      <c r="B129" s="51" t="s">
        <v>265</v>
      </c>
      <c r="C129" s="31">
        <f>COUNTIF(hébergement!D:D,"HONDURIENNE")</f>
        <v>0</v>
      </c>
      <c r="D129" s="19" t="e">
        <f>C129/C29</f>
        <v>#DIV/0!</v>
      </c>
    </row>
    <row r="130" spans="2:4" ht="15" customHeight="1" x14ac:dyDescent="0.2">
      <c r="B130" s="51" t="s">
        <v>266</v>
      </c>
      <c r="C130" s="31">
        <f>COUNTIF(hébergement!D:D,"HONGROISE")</f>
        <v>0</v>
      </c>
      <c r="D130" s="19" t="e">
        <f>C130/C29</f>
        <v>#DIV/0!</v>
      </c>
    </row>
    <row r="131" spans="2:4" ht="15" customHeight="1" x14ac:dyDescent="0.2">
      <c r="B131" s="51" t="s">
        <v>267</v>
      </c>
      <c r="C131" s="31">
        <f>COUNTIF(hébergement!D:D,"inconnue")</f>
        <v>0</v>
      </c>
      <c r="D131" s="19" t="e">
        <f>C131/C29</f>
        <v>#DIV/0!</v>
      </c>
    </row>
    <row r="132" spans="2:4" ht="15" customHeight="1" x14ac:dyDescent="0.2">
      <c r="B132" s="51" t="s">
        <v>268</v>
      </c>
      <c r="C132" s="31">
        <f>COUNTIF(hébergement!D:D,"INDIENNE")</f>
        <v>0</v>
      </c>
      <c r="D132" s="19" t="e">
        <f>C132/C29</f>
        <v>#DIV/0!</v>
      </c>
    </row>
    <row r="133" spans="2:4" ht="15" customHeight="1" x14ac:dyDescent="0.2">
      <c r="B133" s="51" t="s">
        <v>269</v>
      </c>
      <c r="C133" s="31">
        <f>COUNTIF(hébergement!D:D,"INDONESIENNE")</f>
        <v>0</v>
      </c>
      <c r="D133" s="19" t="e">
        <f>C133/C29</f>
        <v>#DIV/0!</v>
      </c>
    </row>
    <row r="134" spans="2:4" ht="15" customHeight="1" x14ac:dyDescent="0.2">
      <c r="B134" s="51" t="s">
        <v>270</v>
      </c>
      <c r="C134" s="31">
        <f>COUNTIF(hébergement!D:D,"IRAKIENNE")</f>
        <v>0</v>
      </c>
      <c r="D134" s="19" t="e">
        <f>C134/C29</f>
        <v>#DIV/0!</v>
      </c>
    </row>
    <row r="135" spans="2:4" ht="15" customHeight="1" x14ac:dyDescent="0.2">
      <c r="B135" s="51" t="s">
        <v>271</v>
      </c>
      <c r="C135" s="31">
        <f>COUNTIF(hébergement!D:D,"IRANIENNE")</f>
        <v>0</v>
      </c>
      <c r="D135" s="19" t="e">
        <f>C135/C29</f>
        <v>#DIV/0!</v>
      </c>
    </row>
    <row r="136" spans="2:4" ht="15" customHeight="1" x14ac:dyDescent="0.2">
      <c r="B136" s="51" t="s">
        <v>272</v>
      </c>
      <c r="C136" s="31">
        <f>COUNTIF(hébergement!D:D,"IRLANDAISE")</f>
        <v>0</v>
      </c>
      <c r="D136" s="19" t="e">
        <f>C136/C29</f>
        <v>#DIV/0!</v>
      </c>
    </row>
    <row r="137" spans="2:4" ht="15" customHeight="1" x14ac:dyDescent="0.2">
      <c r="B137" s="51" t="s">
        <v>273</v>
      </c>
      <c r="C137" s="31">
        <f>COUNTIF(hébergement!D:D,"ISLANDAISE")</f>
        <v>0</v>
      </c>
      <c r="D137" s="19" t="e">
        <f>C137/C29</f>
        <v>#DIV/0!</v>
      </c>
    </row>
    <row r="138" spans="2:4" ht="15" customHeight="1" x14ac:dyDescent="0.2">
      <c r="B138" s="51" t="s">
        <v>274</v>
      </c>
      <c r="C138" s="31">
        <f>COUNTIF(hébergement!D:D,"ISRAËLIENNE")</f>
        <v>0</v>
      </c>
      <c r="D138" s="19" t="e">
        <f>C138/C29</f>
        <v>#DIV/0!</v>
      </c>
    </row>
    <row r="139" spans="2:4" ht="15" customHeight="1" x14ac:dyDescent="0.2">
      <c r="B139" s="51" t="s">
        <v>275</v>
      </c>
      <c r="C139" s="31">
        <f>COUNTIF(hébergement!D:D,"ITALIENNE")</f>
        <v>0</v>
      </c>
      <c r="D139" s="19" t="e">
        <f>C139/C29</f>
        <v>#DIV/0!</v>
      </c>
    </row>
    <row r="140" spans="2:4" ht="15" customHeight="1" x14ac:dyDescent="0.2">
      <c r="B140" s="51" t="s">
        <v>276</v>
      </c>
      <c r="C140" s="31">
        <f>COUNTIF(hébergement!D:D,"IVOIRIENNE")</f>
        <v>1</v>
      </c>
      <c r="D140" s="19" t="e">
        <f>C140/C29</f>
        <v>#DIV/0!</v>
      </c>
    </row>
    <row r="141" spans="2:4" ht="15" customHeight="1" x14ac:dyDescent="0.2">
      <c r="B141" s="51" t="s">
        <v>277</v>
      </c>
      <c r="C141" s="31">
        <f>COUNTIF(hébergement!D:D,"JAMAÏCAINE")</f>
        <v>0</v>
      </c>
      <c r="D141" s="19" t="e">
        <f>C141/C29</f>
        <v>#DIV/0!</v>
      </c>
    </row>
    <row r="142" spans="2:4" ht="15" customHeight="1" x14ac:dyDescent="0.2">
      <c r="B142" s="51" t="s">
        <v>278</v>
      </c>
      <c r="C142" s="31">
        <f>COUNTIF(hébergement!D:D,"JAPONAISE")</f>
        <v>0</v>
      </c>
      <c r="D142" s="19" t="e">
        <f>C142/C29</f>
        <v>#DIV/0!</v>
      </c>
    </row>
    <row r="143" spans="2:4" ht="15" customHeight="1" x14ac:dyDescent="0.2">
      <c r="B143" s="51" t="s">
        <v>279</v>
      </c>
      <c r="C143" s="31">
        <f>COUNTIF(hébergement!D:D,"JORDANIENNE")</f>
        <v>0</v>
      </c>
      <c r="D143" s="19" t="e">
        <f>C143/C29</f>
        <v>#DIV/0!</v>
      </c>
    </row>
    <row r="144" spans="2:4" ht="15" customHeight="1" x14ac:dyDescent="0.2">
      <c r="B144" s="51" t="s">
        <v>280</v>
      </c>
      <c r="C144" s="31">
        <f>COUNTIF(hébergement!D:D,"KAZAKHSTANAISE")</f>
        <v>0</v>
      </c>
      <c r="D144" s="19" t="e">
        <f>C144/C29</f>
        <v>#DIV/0!</v>
      </c>
    </row>
    <row r="145" spans="2:4" ht="15" customHeight="1" x14ac:dyDescent="0.2">
      <c r="B145" s="51" t="s">
        <v>281</v>
      </c>
      <c r="C145" s="31">
        <f>COUNTIF(hébergement!D:D,"KENYANE")</f>
        <v>0</v>
      </c>
      <c r="D145" s="19" t="e">
        <f>C145/C29</f>
        <v>#DIV/0!</v>
      </c>
    </row>
    <row r="146" spans="2:4" ht="15" customHeight="1" x14ac:dyDescent="0.2">
      <c r="B146" s="51" t="s">
        <v>282</v>
      </c>
      <c r="C146" s="31">
        <f>COUNTIF(hébergement!D:D,"KIRGHIZE")</f>
        <v>0</v>
      </c>
      <c r="D146" s="19" t="e">
        <f>C146/C29</f>
        <v>#DIV/0!</v>
      </c>
    </row>
    <row r="147" spans="2:4" ht="15" customHeight="1" x14ac:dyDescent="0.2">
      <c r="B147" s="51" t="s">
        <v>283</v>
      </c>
      <c r="C147" s="31">
        <f>COUNTIF(hébergement!D:D,"KIRABATIENNE")</f>
        <v>0</v>
      </c>
      <c r="D147" s="19" t="e">
        <f>C147/C29</f>
        <v>#DIV/0!</v>
      </c>
    </row>
    <row r="148" spans="2:4" ht="15" customHeight="1" x14ac:dyDescent="0.2">
      <c r="B148" s="51" t="s">
        <v>284</v>
      </c>
      <c r="C148" s="31">
        <f>COUNTIF(hébergement!D:D,"KITTITIENNE-ET-NEVICIENNE")</f>
        <v>0</v>
      </c>
      <c r="D148" s="19" t="e">
        <f>C148/C29</f>
        <v>#DIV/0!</v>
      </c>
    </row>
    <row r="149" spans="2:4" ht="15" customHeight="1" x14ac:dyDescent="0.2">
      <c r="B149" s="51" t="s">
        <v>285</v>
      </c>
      <c r="C149" s="31">
        <f>COUNTIF(hébergement!D:D,"KOSSOVIENNE")</f>
        <v>0</v>
      </c>
      <c r="D149" s="19" t="e">
        <f>C149/C29</f>
        <v>#DIV/0!</v>
      </c>
    </row>
    <row r="150" spans="2:4" ht="15" customHeight="1" x14ac:dyDescent="0.2">
      <c r="B150" s="51" t="s">
        <v>286</v>
      </c>
      <c r="C150" s="31">
        <f>COUNTIF(hébergement!D:D,"KOWEÏTIENNE")</f>
        <v>0</v>
      </c>
      <c r="D150" s="19" t="e">
        <f>C150/C29</f>
        <v>#DIV/0!</v>
      </c>
    </row>
    <row r="151" spans="2:4" ht="15" customHeight="1" x14ac:dyDescent="0.2">
      <c r="B151" s="51" t="s">
        <v>287</v>
      </c>
      <c r="C151" s="31">
        <f>COUNTIF(hébergement!D:D,"LAOTIENNE")</f>
        <v>0</v>
      </c>
      <c r="D151" s="19" t="e">
        <f>C151/C29</f>
        <v>#DIV/0!</v>
      </c>
    </row>
    <row r="152" spans="2:4" ht="15" customHeight="1" x14ac:dyDescent="0.2">
      <c r="B152" s="51" t="s">
        <v>288</v>
      </c>
      <c r="C152" s="31">
        <f>COUNTIF(hébergement!D:D,"LESOTHANE")</f>
        <v>0</v>
      </c>
      <c r="D152" s="19" t="e">
        <f>C152/C29</f>
        <v>#DIV/0!</v>
      </c>
    </row>
    <row r="153" spans="2:4" ht="15" customHeight="1" x14ac:dyDescent="0.2">
      <c r="B153" s="51" t="s">
        <v>289</v>
      </c>
      <c r="C153" s="31">
        <f>COUNTIF(hébergement!D:D,"LETTONE")</f>
        <v>0</v>
      </c>
      <c r="D153" s="19" t="e">
        <f>C153/C29</f>
        <v>#DIV/0!</v>
      </c>
    </row>
    <row r="154" spans="2:4" ht="15" customHeight="1" x14ac:dyDescent="0.2">
      <c r="B154" s="51" t="s">
        <v>290</v>
      </c>
      <c r="C154" s="31">
        <f>COUNTIF(hébergement!D:D,"LIBANAISE")</f>
        <v>0</v>
      </c>
      <c r="D154" s="19" t="e">
        <f>C154/C29</f>
        <v>#DIV/0!</v>
      </c>
    </row>
    <row r="155" spans="2:4" ht="15" customHeight="1" x14ac:dyDescent="0.2">
      <c r="B155" s="51" t="s">
        <v>291</v>
      </c>
      <c r="C155" s="31">
        <f>COUNTIF(hébergement!D:D,"LIBERIENNE")</f>
        <v>0</v>
      </c>
      <c r="D155" s="19" t="e">
        <f>C155/C29</f>
        <v>#DIV/0!</v>
      </c>
    </row>
    <row r="156" spans="2:4" ht="15" customHeight="1" x14ac:dyDescent="0.2">
      <c r="B156" s="51" t="s">
        <v>292</v>
      </c>
      <c r="C156" s="31">
        <f>COUNTIF(hébergement!D:D,"LIBYENNE")</f>
        <v>0</v>
      </c>
      <c r="D156" s="19" t="e">
        <f>C156/C29</f>
        <v>#DIV/0!</v>
      </c>
    </row>
    <row r="157" spans="2:4" ht="15" customHeight="1" x14ac:dyDescent="0.2">
      <c r="B157" s="51" t="s">
        <v>293</v>
      </c>
      <c r="C157" s="31">
        <f>COUNTIF(hébergement!D:D,"LIECHTENSTENOISE")</f>
        <v>0</v>
      </c>
      <c r="D157" s="19" t="e">
        <f>C157/C29</f>
        <v>#DIV/0!</v>
      </c>
    </row>
    <row r="158" spans="2:4" ht="15" customHeight="1" x14ac:dyDescent="0.2">
      <c r="B158" s="51" t="s">
        <v>294</v>
      </c>
      <c r="C158" s="31">
        <f>COUNTIF(hébergement!D:D,"LITUANIENNE")</f>
        <v>0</v>
      </c>
      <c r="D158" s="19" t="e">
        <f>C158/C29</f>
        <v>#DIV/0!</v>
      </c>
    </row>
    <row r="159" spans="2:4" ht="15" customHeight="1" x14ac:dyDescent="0.2">
      <c r="B159" s="51" t="s">
        <v>295</v>
      </c>
      <c r="C159" s="31">
        <f>COUNTIF(hébergement!D:D,"LUXEMBOURGEOISE")</f>
        <v>0</v>
      </c>
      <c r="D159" s="19" t="e">
        <f>C159/C29</f>
        <v>#DIV/0!</v>
      </c>
    </row>
    <row r="160" spans="2:4" ht="15" customHeight="1" x14ac:dyDescent="0.2">
      <c r="B160" s="51" t="s">
        <v>296</v>
      </c>
      <c r="C160" s="31">
        <f>COUNTIF(hébergement!D:D,"MACEDONIENNE")</f>
        <v>0</v>
      </c>
      <c r="D160" s="19" t="e">
        <f>C160/C29</f>
        <v>#DIV/0!</v>
      </c>
    </row>
    <row r="161" spans="2:4" ht="15" customHeight="1" x14ac:dyDescent="0.2">
      <c r="B161" s="51" t="s">
        <v>297</v>
      </c>
      <c r="C161" s="31">
        <f>COUNTIF(hébergement!D:D,"MALAISIENNE")</f>
        <v>0</v>
      </c>
      <c r="D161" s="19" t="e">
        <f>C161/C29</f>
        <v>#DIV/0!</v>
      </c>
    </row>
    <row r="162" spans="2:4" ht="15" customHeight="1" x14ac:dyDescent="0.2">
      <c r="B162" s="51" t="s">
        <v>298</v>
      </c>
      <c r="C162" s="31">
        <f>COUNTIF(hébergement!D:D,"MALAWIENNE")</f>
        <v>0</v>
      </c>
      <c r="D162" s="19" t="e">
        <f>C162/C29</f>
        <v>#DIV/0!</v>
      </c>
    </row>
    <row r="163" spans="2:4" ht="15" customHeight="1" x14ac:dyDescent="0.2">
      <c r="B163" s="51" t="s">
        <v>299</v>
      </c>
      <c r="C163" s="31">
        <f>COUNTIF(hébergement!D:D,"MALDIVIENNE")</f>
        <v>0</v>
      </c>
      <c r="D163" s="19" t="e">
        <f>C163/C29</f>
        <v>#DIV/0!</v>
      </c>
    </row>
    <row r="164" spans="2:4" ht="15" customHeight="1" x14ac:dyDescent="0.2">
      <c r="B164" s="51" t="s">
        <v>300</v>
      </c>
      <c r="C164" s="31">
        <f>COUNTIF(hébergement!D:D,"MALGACHE")</f>
        <v>0</v>
      </c>
      <c r="D164" s="19" t="e">
        <f>C164/C29</f>
        <v>#DIV/0!</v>
      </c>
    </row>
    <row r="165" spans="2:4" ht="15" customHeight="1" x14ac:dyDescent="0.2">
      <c r="B165" s="51" t="s">
        <v>301</v>
      </c>
      <c r="C165" s="31">
        <f>COUNTIF(hébergement!D:D,"MALIENNE")</f>
        <v>0</v>
      </c>
      <c r="D165" s="19" t="e">
        <f>C165/C29</f>
        <v>#DIV/0!</v>
      </c>
    </row>
    <row r="166" spans="2:4" ht="15" customHeight="1" x14ac:dyDescent="0.2">
      <c r="B166" s="51" t="s">
        <v>302</v>
      </c>
      <c r="C166" s="31">
        <f>COUNTIF(hébergement!D:D,"MALTAISE")</f>
        <v>0</v>
      </c>
      <c r="D166" s="19" t="e">
        <f>C166/C29</f>
        <v>#DIV/0!</v>
      </c>
    </row>
    <row r="167" spans="2:4" ht="15" customHeight="1" x14ac:dyDescent="0.2">
      <c r="B167" s="51" t="s">
        <v>303</v>
      </c>
      <c r="C167" s="31">
        <f>COUNTIF(hébergement!D:D,"MAROCAINE")</f>
        <v>0</v>
      </c>
      <c r="D167" s="19" t="e">
        <f>C167/C29</f>
        <v>#DIV/0!</v>
      </c>
    </row>
    <row r="168" spans="2:4" ht="15" customHeight="1" x14ac:dyDescent="0.2">
      <c r="B168" s="51" t="s">
        <v>304</v>
      </c>
      <c r="C168" s="31">
        <f>COUNTIF(hébergement!D:D,"MARSHALLAISE")</f>
        <v>0</v>
      </c>
      <c r="D168" s="19" t="e">
        <f>C168/C29</f>
        <v>#DIV/0!</v>
      </c>
    </row>
    <row r="169" spans="2:4" ht="15" customHeight="1" x14ac:dyDescent="0.2">
      <c r="B169" s="51" t="s">
        <v>305</v>
      </c>
      <c r="C169" s="31">
        <f>COUNTIF(hébergement!D:D,"MAURICIENNE")</f>
        <v>0</v>
      </c>
      <c r="D169" s="19" t="e">
        <f>C169/C29</f>
        <v>#DIV/0!</v>
      </c>
    </row>
    <row r="170" spans="2:4" ht="15" customHeight="1" x14ac:dyDescent="0.2">
      <c r="B170" s="51" t="s">
        <v>306</v>
      </c>
      <c r="C170" s="31">
        <f>COUNTIF(hébergement!D:D,"MAURITANIENNE")</f>
        <v>0</v>
      </c>
      <c r="D170" s="19" t="e">
        <f>C170/C29</f>
        <v>#DIV/0!</v>
      </c>
    </row>
    <row r="171" spans="2:4" ht="15" customHeight="1" x14ac:dyDescent="0.2">
      <c r="B171" s="51" t="s">
        <v>307</v>
      </c>
      <c r="C171" s="31">
        <f>COUNTIF(hébergement!D:D,"MEXICAINE")</f>
        <v>0</v>
      </c>
      <c r="D171" s="19" t="e">
        <f>C171/C29</f>
        <v>#DIV/0!</v>
      </c>
    </row>
    <row r="172" spans="2:4" ht="15" customHeight="1" x14ac:dyDescent="0.2">
      <c r="B172" s="51" t="s">
        <v>308</v>
      </c>
      <c r="C172" s="31">
        <f>COUNTIF(hébergement!D:D,"MICRONESIENNE")</f>
        <v>0</v>
      </c>
      <c r="D172" s="19" t="e">
        <f>C172/C29</f>
        <v>#DIV/0!</v>
      </c>
    </row>
    <row r="173" spans="2:4" ht="15" customHeight="1" x14ac:dyDescent="0.2">
      <c r="B173" s="51" t="s">
        <v>309</v>
      </c>
      <c r="C173" s="31">
        <f>COUNTIF(hébergement!D:D,"MOLDAVE")</f>
        <v>0</v>
      </c>
      <c r="D173" s="19" t="e">
        <f>C173/C29</f>
        <v>#DIV/0!</v>
      </c>
    </row>
    <row r="174" spans="2:4" ht="15" customHeight="1" x14ac:dyDescent="0.2">
      <c r="B174" s="51" t="s">
        <v>310</v>
      </c>
      <c r="C174" s="31">
        <f>COUNTIF(hébergement!D:D,"MONEGASQUE")</f>
        <v>0</v>
      </c>
      <c r="D174" s="19" t="e">
        <f>C174/C29</f>
        <v>#DIV/0!</v>
      </c>
    </row>
    <row r="175" spans="2:4" ht="15" customHeight="1" x14ac:dyDescent="0.2">
      <c r="B175" s="51" t="s">
        <v>311</v>
      </c>
      <c r="C175" s="31">
        <f>COUNTIF(hébergement!D:D,"MONGOLE")</f>
        <v>0</v>
      </c>
      <c r="D175" s="19" t="e">
        <f>C175/C29</f>
        <v>#DIV/0!</v>
      </c>
    </row>
    <row r="176" spans="2:4" ht="15" customHeight="1" x14ac:dyDescent="0.2">
      <c r="B176" s="51" t="s">
        <v>312</v>
      </c>
      <c r="C176" s="31">
        <f>COUNTIF(hébergement!D:D,"MONTENEGRINE")</f>
        <v>0</v>
      </c>
      <c r="D176" s="19" t="e">
        <f>C176/C29</f>
        <v>#DIV/0!</v>
      </c>
    </row>
    <row r="177" spans="2:4" ht="15" customHeight="1" x14ac:dyDescent="0.2">
      <c r="B177" s="51" t="s">
        <v>313</v>
      </c>
      <c r="C177" s="31">
        <f>COUNTIF(hébergement!D:D,"MOZAMBICAINE")</f>
        <v>0</v>
      </c>
      <c r="D177" s="19" t="e">
        <f>C177/C29</f>
        <v>#DIV/0!</v>
      </c>
    </row>
    <row r="178" spans="2:4" ht="15" customHeight="1" x14ac:dyDescent="0.2">
      <c r="B178" s="51" t="s">
        <v>314</v>
      </c>
      <c r="C178" s="31">
        <f>COUNTIF(hébergement!D:D,"NAMIBIENNE")</f>
        <v>0</v>
      </c>
      <c r="D178" s="19" t="e">
        <f>C178/C29</f>
        <v>#DIV/0!</v>
      </c>
    </row>
    <row r="179" spans="2:4" ht="15" customHeight="1" x14ac:dyDescent="0.2">
      <c r="B179" s="51" t="s">
        <v>315</v>
      </c>
      <c r="C179" s="31">
        <f>COUNTIF(hébergement!D:D,"NAURUANE")</f>
        <v>0</v>
      </c>
      <c r="D179" s="19" t="e">
        <f>C179/C29</f>
        <v>#DIV/0!</v>
      </c>
    </row>
    <row r="180" spans="2:4" ht="15" customHeight="1" x14ac:dyDescent="0.2">
      <c r="B180" s="51" t="s">
        <v>316</v>
      </c>
      <c r="C180" s="31">
        <f>COUNTIF(hébergement!D:D,"NEERLANDAISE")</f>
        <v>0</v>
      </c>
      <c r="D180" s="19" t="e">
        <f>C180/C29</f>
        <v>#DIV/0!</v>
      </c>
    </row>
    <row r="181" spans="2:4" ht="15" customHeight="1" x14ac:dyDescent="0.2">
      <c r="B181" s="51" t="s">
        <v>317</v>
      </c>
      <c r="C181" s="31">
        <f>COUNTIF(hébergement!D:D,"NEO-ZELANDAISE")</f>
        <v>0</v>
      </c>
      <c r="D181" s="19" t="e">
        <f>C181/C29</f>
        <v>#DIV/0!</v>
      </c>
    </row>
    <row r="182" spans="2:4" ht="15" customHeight="1" x14ac:dyDescent="0.2">
      <c r="B182" s="51" t="s">
        <v>318</v>
      </c>
      <c r="C182" s="31">
        <f>COUNTIF(hébergement!D:D,"NEPALAISE")</f>
        <v>0</v>
      </c>
      <c r="D182" s="19" t="e">
        <f>C182/C29</f>
        <v>#DIV/0!</v>
      </c>
    </row>
    <row r="183" spans="2:4" ht="15" customHeight="1" x14ac:dyDescent="0.2">
      <c r="B183" s="51" t="s">
        <v>319</v>
      </c>
      <c r="C183" s="31">
        <f>COUNTIF(hébergement!D:D,"NICARAGUAYENNE")</f>
        <v>0</v>
      </c>
      <c r="D183" s="19" t="e">
        <f>C183/C29</f>
        <v>#DIV/0!</v>
      </c>
    </row>
    <row r="184" spans="2:4" ht="15" customHeight="1" x14ac:dyDescent="0.2">
      <c r="B184" s="51" t="s">
        <v>320</v>
      </c>
      <c r="C184" s="31">
        <f>COUNTIF(hébergement!D:D,"NIGERIANE")</f>
        <v>0</v>
      </c>
      <c r="D184" s="19" t="e">
        <f>C184/C29</f>
        <v>#DIV/0!</v>
      </c>
    </row>
    <row r="185" spans="2:4" ht="15" customHeight="1" x14ac:dyDescent="0.2">
      <c r="B185" s="51" t="s">
        <v>321</v>
      </c>
      <c r="C185" s="31">
        <f>COUNTIF(hébergement!D:D,"NIGERIENNE")</f>
        <v>0</v>
      </c>
      <c r="D185" s="19" t="e">
        <f>C185/C29</f>
        <v>#DIV/0!</v>
      </c>
    </row>
    <row r="186" spans="2:4" ht="15" customHeight="1" x14ac:dyDescent="0.2">
      <c r="B186" s="51" t="s">
        <v>322</v>
      </c>
      <c r="C186" s="31">
        <f>COUNTIF(hébergement!D:D,"NORD-COREENNE")</f>
        <v>0</v>
      </c>
      <c r="D186" s="19" t="e">
        <f>C186/C29</f>
        <v>#DIV/0!</v>
      </c>
    </row>
    <row r="187" spans="2:4" ht="15" customHeight="1" x14ac:dyDescent="0.2">
      <c r="B187" s="51" t="s">
        <v>323</v>
      </c>
      <c r="C187" s="31">
        <f>COUNTIF(hébergement!D:D,"NORVEGIENNE")</f>
        <v>0</v>
      </c>
      <c r="D187" s="19" t="e">
        <f>C187/C29</f>
        <v>#DIV/0!</v>
      </c>
    </row>
    <row r="188" spans="2:4" ht="15" customHeight="1" x14ac:dyDescent="0.2">
      <c r="B188" s="51" t="s">
        <v>324</v>
      </c>
      <c r="C188" s="31">
        <f>COUNTIF(hébergement!D:D,"OMANAISE")</f>
        <v>0</v>
      </c>
      <c r="D188" s="19" t="e">
        <f>C188/C29</f>
        <v>#DIV/0!</v>
      </c>
    </row>
    <row r="189" spans="2:4" ht="15" customHeight="1" x14ac:dyDescent="0.2">
      <c r="B189" s="51" t="s">
        <v>325</v>
      </c>
      <c r="C189" s="31">
        <f>COUNTIF(hébergement!D:D,"OUGANDAISE")</f>
        <v>0</v>
      </c>
      <c r="D189" s="19" t="e">
        <f>C189/C29</f>
        <v>#DIV/0!</v>
      </c>
    </row>
    <row r="190" spans="2:4" ht="15" customHeight="1" x14ac:dyDescent="0.2">
      <c r="B190" s="51" t="s">
        <v>326</v>
      </c>
      <c r="C190" s="31">
        <f>COUNTIF(hébergement!D:D,"OUZBEKE")</f>
        <v>0</v>
      </c>
      <c r="D190" s="19" t="e">
        <f>C190/C29</f>
        <v>#DIV/0!</v>
      </c>
    </row>
    <row r="191" spans="2:4" ht="15" customHeight="1" x14ac:dyDescent="0.2">
      <c r="B191" s="51" t="s">
        <v>327</v>
      </c>
      <c r="C191" s="31">
        <f>COUNTIF(hébergement!D:D,"PAKISTANAISE")</f>
        <v>0</v>
      </c>
      <c r="D191" s="19" t="e">
        <f>C191/C29</f>
        <v>#DIV/0!</v>
      </c>
    </row>
    <row r="192" spans="2:4" ht="15" customHeight="1" x14ac:dyDescent="0.2">
      <c r="B192" s="51" t="s">
        <v>328</v>
      </c>
      <c r="C192" s="31">
        <f>COUNTIF(hébergement!D:D,"PALAOISE")</f>
        <v>0</v>
      </c>
      <c r="D192" s="19" t="e">
        <f>C192/C29</f>
        <v>#DIV/0!</v>
      </c>
    </row>
    <row r="193" spans="2:4" ht="15" customHeight="1" x14ac:dyDescent="0.2">
      <c r="B193" s="51" t="s">
        <v>329</v>
      </c>
      <c r="C193" s="31">
        <f>COUNTIF(hébergement!D:D,"PALESTINIENNE")</f>
        <v>0</v>
      </c>
      <c r="D193" s="19" t="e">
        <f>C193/C29</f>
        <v>#DIV/0!</v>
      </c>
    </row>
    <row r="194" spans="2:4" ht="15" customHeight="1" x14ac:dyDescent="0.2">
      <c r="B194" s="51" t="s">
        <v>330</v>
      </c>
      <c r="C194" s="31">
        <f>COUNTIF(hébergement!D:D,"PANAMEENNE")</f>
        <v>0</v>
      </c>
      <c r="D194" s="19" t="e">
        <f>C194/C29</f>
        <v>#DIV/0!</v>
      </c>
    </row>
    <row r="195" spans="2:4" ht="15" customHeight="1" x14ac:dyDescent="0.2">
      <c r="B195" s="51" t="s">
        <v>331</v>
      </c>
      <c r="C195" s="31">
        <f>COUNTIF(hébergement!D:D,"PAPOUANE-NEOGUINEENNE")</f>
        <v>0</v>
      </c>
      <c r="D195" s="19" t="e">
        <f>C195/C29</f>
        <v>#DIV/0!</v>
      </c>
    </row>
    <row r="196" spans="2:4" ht="15" customHeight="1" x14ac:dyDescent="0.2">
      <c r="B196" s="51" t="s">
        <v>332</v>
      </c>
      <c r="C196" s="31">
        <f>COUNTIF(hébergement!D:D,"PARAGUAYENNE")</f>
        <v>0</v>
      </c>
      <c r="D196" s="19" t="e">
        <f>C196/C29</f>
        <v>#DIV/0!</v>
      </c>
    </row>
    <row r="197" spans="2:4" ht="15" customHeight="1" x14ac:dyDescent="0.2">
      <c r="B197" s="51" t="s">
        <v>333</v>
      </c>
      <c r="C197" s="31">
        <f>COUNTIF(hébergement!D:D,"PERUVIENNE")</f>
        <v>0</v>
      </c>
      <c r="D197" s="19" t="e">
        <f>C197/C29</f>
        <v>#DIV/0!</v>
      </c>
    </row>
    <row r="198" spans="2:4" ht="15" customHeight="1" x14ac:dyDescent="0.2">
      <c r="B198" s="51" t="s">
        <v>334</v>
      </c>
      <c r="C198" s="31">
        <f>COUNTIF(hébergement!D:D,"PHILIPPINE")</f>
        <v>0</v>
      </c>
      <c r="D198" s="19" t="e">
        <f>C198/C29</f>
        <v>#DIV/0!</v>
      </c>
    </row>
    <row r="199" spans="2:4" ht="15" customHeight="1" x14ac:dyDescent="0.2">
      <c r="B199" s="51" t="s">
        <v>335</v>
      </c>
      <c r="C199" s="31">
        <f>COUNTIF(hébergement!D:D,"POLONAISE")</f>
        <v>0</v>
      </c>
      <c r="D199" s="19" t="e">
        <f>C199/C29</f>
        <v>#DIV/0!</v>
      </c>
    </row>
    <row r="200" spans="2:4" ht="15" customHeight="1" x14ac:dyDescent="0.2">
      <c r="B200" s="51" t="s">
        <v>336</v>
      </c>
      <c r="C200" s="31">
        <f>COUNTIF(hébergement!D:D,"PORTORICAINE")</f>
        <v>0</v>
      </c>
      <c r="D200" s="19" t="e">
        <f>C200/C29</f>
        <v>#DIV/0!</v>
      </c>
    </row>
    <row r="201" spans="2:4" ht="15" customHeight="1" x14ac:dyDescent="0.2">
      <c r="B201" s="51" t="s">
        <v>337</v>
      </c>
      <c r="C201" s="31">
        <f>COUNTIF(hébergement!D:D,"PORTUGAISE")</f>
        <v>0</v>
      </c>
      <c r="D201" s="19" t="e">
        <f>C201/C29</f>
        <v>#DIV/0!</v>
      </c>
    </row>
    <row r="202" spans="2:4" ht="15" customHeight="1" x14ac:dyDescent="0.2">
      <c r="B202" s="51" t="s">
        <v>338</v>
      </c>
      <c r="C202" s="31">
        <f>COUNTIF(hébergement!D:D,"QATARIENNE")</f>
        <v>0</v>
      </c>
      <c r="D202" s="19" t="e">
        <f>C202/C29</f>
        <v>#DIV/0!</v>
      </c>
    </row>
    <row r="203" spans="2:4" ht="15" customHeight="1" x14ac:dyDescent="0.2">
      <c r="B203" s="51" t="s">
        <v>339</v>
      </c>
      <c r="C203" s="31">
        <f>COUNTIF(hébergement!D:D,"ROUMAINE")</f>
        <v>0</v>
      </c>
      <c r="D203" s="19" t="e">
        <f>C203/C29</f>
        <v>#DIV/0!</v>
      </c>
    </row>
    <row r="204" spans="2:4" ht="15" customHeight="1" x14ac:dyDescent="0.2">
      <c r="B204" s="51" t="s">
        <v>340</v>
      </c>
      <c r="C204" s="31">
        <f>COUNTIF(hébergement!D:D,"RUSSE")</f>
        <v>0</v>
      </c>
      <c r="D204" s="19" t="e">
        <f>C204/C29</f>
        <v>#DIV/0!</v>
      </c>
    </row>
    <row r="205" spans="2:4" ht="15" customHeight="1" x14ac:dyDescent="0.2">
      <c r="B205" s="51" t="s">
        <v>341</v>
      </c>
      <c r="C205" s="31">
        <f>COUNTIF(hébergement!D:D,"RWANDAISE")</f>
        <v>0</v>
      </c>
      <c r="D205" s="19" t="e">
        <f>C205/C29</f>
        <v>#DIV/0!</v>
      </c>
    </row>
    <row r="206" spans="2:4" ht="15" customHeight="1" x14ac:dyDescent="0.2">
      <c r="B206" s="51" t="s">
        <v>342</v>
      </c>
      <c r="C206" s="31">
        <f>COUNTIF(hébergement!D:D,"SAINT-LUCIENNE")</f>
        <v>0</v>
      </c>
      <c r="D206" s="19" t="e">
        <f>C206/C29</f>
        <v>#DIV/0!</v>
      </c>
    </row>
    <row r="207" spans="2:4" ht="15" customHeight="1" x14ac:dyDescent="0.2">
      <c r="B207" s="51" t="s">
        <v>343</v>
      </c>
      <c r="C207" s="31">
        <f>COUNTIF(hébergement!D:D,"SAINT-MARINAISE")</f>
        <v>0</v>
      </c>
      <c r="D207" s="19" t="e">
        <f>C207/C29</f>
        <v>#DIV/0!</v>
      </c>
    </row>
    <row r="208" spans="2:4" ht="15" customHeight="1" x14ac:dyDescent="0.2">
      <c r="B208" s="51" t="s">
        <v>344</v>
      </c>
      <c r="C208" s="31">
        <f>COUNTIF(hébergement!D:D,"SAINT-VINCENT-ET-GRENADINE")</f>
        <v>0</v>
      </c>
      <c r="D208" s="19" t="e">
        <f>C208/C29</f>
        <v>#DIV/0!</v>
      </c>
    </row>
    <row r="209" spans="2:4" ht="15" customHeight="1" x14ac:dyDescent="0.2">
      <c r="B209" s="51" t="s">
        <v>345</v>
      </c>
      <c r="C209" s="31">
        <f>COUNTIF(hébergement!D:D,"SALOMONAISE")</f>
        <v>0</v>
      </c>
      <c r="D209" s="19" t="e">
        <f>C209/C29</f>
        <v>#DIV/0!</v>
      </c>
    </row>
    <row r="210" spans="2:4" ht="15" customHeight="1" x14ac:dyDescent="0.2">
      <c r="B210" s="51" t="s">
        <v>346</v>
      </c>
      <c r="C210" s="31">
        <f>COUNTIF(hébergement!D:D,"SALVADORIENNE")</f>
        <v>0</v>
      </c>
      <c r="D210" s="19" t="e">
        <f>C210/C29</f>
        <v>#DIV/0!</v>
      </c>
    </row>
    <row r="211" spans="2:4" ht="15" customHeight="1" x14ac:dyDescent="0.2">
      <c r="B211" s="51" t="s">
        <v>347</v>
      </c>
      <c r="C211" s="31">
        <f>COUNTIF(hébergement!D:D,"SAMOANE")</f>
        <v>0</v>
      </c>
      <c r="D211" s="19" t="e">
        <f>C211/C29</f>
        <v>#DIV/0!</v>
      </c>
    </row>
    <row r="212" spans="2:4" ht="15" customHeight="1" x14ac:dyDescent="0.2">
      <c r="B212" s="51" t="s">
        <v>348</v>
      </c>
      <c r="C212" s="31">
        <f>COUNTIF(hébergement!D:D,"sans nationalité")</f>
        <v>0</v>
      </c>
      <c r="D212" s="19" t="e">
        <f>C212/C29</f>
        <v>#DIV/0!</v>
      </c>
    </row>
    <row r="213" spans="2:4" ht="15" customHeight="1" x14ac:dyDescent="0.2">
      <c r="B213" s="51" t="s">
        <v>349</v>
      </c>
      <c r="C213" s="31">
        <f>COUNTIF(hébergement!D:D,"SANTOMEENNE")</f>
        <v>0</v>
      </c>
      <c r="D213" s="19" t="e">
        <f>C213/C29</f>
        <v>#DIV/0!</v>
      </c>
    </row>
    <row r="214" spans="2:4" ht="15" customHeight="1" x14ac:dyDescent="0.2">
      <c r="B214" s="51" t="s">
        <v>350</v>
      </c>
      <c r="C214" s="31">
        <f>COUNTIF(hébergement!D:D,"SAOUDIENNE")</f>
        <v>0</v>
      </c>
      <c r="D214" s="19" t="e">
        <f>C214/C29</f>
        <v>#DIV/0!</v>
      </c>
    </row>
    <row r="215" spans="2:4" ht="15" customHeight="1" x14ac:dyDescent="0.2">
      <c r="B215" s="51" t="s">
        <v>351</v>
      </c>
      <c r="C215" s="31">
        <f>COUNTIF(hébergement!D:D,"SENEGALAISE")</f>
        <v>0</v>
      </c>
      <c r="D215" s="19" t="e">
        <f>C215/C29</f>
        <v>#DIV/0!</v>
      </c>
    </row>
    <row r="216" spans="2:4" ht="15" customHeight="1" x14ac:dyDescent="0.2">
      <c r="B216" s="51" t="s">
        <v>352</v>
      </c>
      <c r="C216" s="31">
        <f>COUNTIF(hébergement!D:D,"SERBE")</f>
        <v>0</v>
      </c>
      <c r="D216" s="19" t="e">
        <f>C216/C29</f>
        <v>#DIV/0!</v>
      </c>
    </row>
    <row r="217" spans="2:4" ht="15" customHeight="1" x14ac:dyDescent="0.2">
      <c r="B217" s="51" t="s">
        <v>353</v>
      </c>
      <c r="C217" s="31">
        <f>COUNTIF(hébergement!D:D,"SERBIE ET MONTENEGRO")</f>
        <v>0</v>
      </c>
      <c r="D217" s="19" t="e">
        <f>C217/C29</f>
        <v>#DIV/0!</v>
      </c>
    </row>
    <row r="218" spans="2:4" ht="15" customHeight="1" x14ac:dyDescent="0.2">
      <c r="B218" s="51" t="s">
        <v>354</v>
      </c>
      <c r="C218" s="31">
        <f>COUNTIF(hébergement!D:D,"SEYCHELLOISE")</f>
        <v>0</v>
      </c>
      <c r="D218" s="19" t="e">
        <f>C218/C29</f>
        <v>#DIV/0!</v>
      </c>
    </row>
    <row r="219" spans="2:4" ht="15" customHeight="1" x14ac:dyDescent="0.2">
      <c r="B219" s="51" t="s">
        <v>355</v>
      </c>
      <c r="C219" s="31">
        <f>COUNTIF(hébergement!D:D,"SIERRA-LEONAISE")</f>
        <v>0</v>
      </c>
      <c r="D219" s="19" t="e">
        <f>C219/C29</f>
        <v>#DIV/0!</v>
      </c>
    </row>
    <row r="220" spans="2:4" ht="15" customHeight="1" x14ac:dyDescent="0.2">
      <c r="B220" s="51" t="s">
        <v>356</v>
      </c>
      <c r="C220" s="31">
        <f>COUNTIF(hébergement!D:D,"SINGAPOURIENNE")</f>
        <v>0</v>
      </c>
      <c r="D220" s="19" t="e">
        <f>C220/C29</f>
        <v>#DIV/0!</v>
      </c>
    </row>
    <row r="221" spans="2:4" ht="15" customHeight="1" x14ac:dyDescent="0.2">
      <c r="B221" s="51" t="s">
        <v>357</v>
      </c>
      <c r="C221" s="31">
        <f>COUNTIF(hébergement!D:D,"SLOVAQUE")</f>
        <v>0</v>
      </c>
      <c r="D221" s="19" t="e">
        <f>C221/C29</f>
        <v>#DIV/0!</v>
      </c>
    </row>
    <row r="222" spans="2:4" ht="15" customHeight="1" x14ac:dyDescent="0.2">
      <c r="B222" s="51" t="s">
        <v>358</v>
      </c>
      <c r="C222" s="31">
        <f>COUNTIF(hébergement!D:D,"SLOVENE")</f>
        <v>0</v>
      </c>
      <c r="D222" s="19" t="e">
        <f>C222/C29</f>
        <v>#DIV/0!</v>
      </c>
    </row>
    <row r="223" spans="2:4" ht="15" customHeight="1" x14ac:dyDescent="0.2">
      <c r="B223" s="51" t="s">
        <v>359</v>
      </c>
      <c r="C223" s="31">
        <f>COUNTIF(hébergement!D:D,"SOMALIENNE")</f>
        <v>0</v>
      </c>
      <c r="D223" s="19" t="e">
        <f>C223/C29</f>
        <v>#DIV/0!</v>
      </c>
    </row>
    <row r="224" spans="2:4" ht="15" customHeight="1" x14ac:dyDescent="0.2">
      <c r="B224" s="51" t="s">
        <v>360</v>
      </c>
      <c r="C224" s="31">
        <f>COUNTIF(hébergement!D:D,"SOUDANAISE")</f>
        <v>0</v>
      </c>
      <c r="D224" s="19" t="e">
        <f>C224/C29</f>
        <v>#DIV/0!</v>
      </c>
    </row>
    <row r="225" spans="2:4" ht="15" customHeight="1" x14ac:dyDescent="0.2">
      <c r="B225" s="51" t="s">
        <v>361</v>
      </c>
      <c r="C225" s="31">
        <f>COUNTIF(hébergement!D:D,"SRI-LANKAISE")</f>
        <v>0</v>
      </c>
      <c r="D225" s="19" t="e">
        <f>C225/C29</f>
        <v>#DIV/0!</v>
      </c>
    </row>
    <row r="226" spans="2:4" ht="15" customHeight="1" x14ac:dyDescent="0.2">
      <c r="B226" s="51" t="s">
        <v>362</v>
      </c>
      <c r="C226" s="31">
        <f>COUNTIF(hébergement!D:D,"SUD-AFRICAINE")</f>
        <v>0</v>
      </c>
      <c r="D226" s="19" t="e">
        <f>C226/C29</f>
        <v>#DIV/0!</v>
      </c>
    </row>
    <row r="227" spans="2:4" ht="15" customHeight="1" x14ac:dyDescent="0.2">
      <c r="B227" s="51" t="s">
        <v>363</v>
      </c>
      <c r="C227" s="31">
        <f>COUNTIF(hébergement!D:D,"SUD-COREENNE")</f>
        <v>0</v>
      </c>
      <c r="D227" s="19" t="e">
        <f>C227/C29</f>
        <v>#DIV/0!</v>
      </c>
    </row>
    <row r="228" spans="2:4" ht="15" customHeight="1" x14ac:dyDescent="0.2">
      <c r="B228" s="51" t="s">
        <v>364</v>
      </c>
      <c r="C228" s="31">
        <f>COUNTIF(hébergement!D:D,"SUD-SOUDANAISE")</f>
        <v>0</v>
      </c>
      <c r="D228" s="19" t="e">
        <f>C228/C29</f>
        <v>#DIV/0!</v>
      </c>
    </row>
    <row r="229" spans="2:4" ht="15" customHeight="1" x14ac:dyDescent="0.2">
      <c r="B229" s="51" t="s">
        <v>365</v>
      </c>
      <c r="C229" s="31">
        <f>COUNTIF(hébergement!D:D,"SUEDOISE")</f>
        <v>0</v>
      </c>
      <c r="D229" s="19" t="e">
        <f>C229/C29</f>
        <v>#DIV/0!</v>
      </c>
    </row>
    <row r="230" spans="2:4" ht="15" customHeight="1" x14ac:dyDescent="0.2">
      <c r="B230" s="51" t="s">
        <v>366</v>
      </c>
      <c r="C230" s="31">
        <f>COUNTIF(hébergement!D:D,"SUEDOISE")</f>
        <v>0</v>
      </c>
      <c r="D230" s="19" t="e">
        <f>C230/C29</f>
        <v>#DIV/0!</v>
      </c>
    </row>
    <row r="231" spans="2:4" ht="15" customHeight="1" x14ac:dyDescent="0.2">
      <c r="B231" s="51" t="s">
        <v>367</v>
      </c>
      <c r="C231" s="31">
        <f>COUNTIF(hébergement!D:D,"SUISSE")</f>
        <v>0</v>
      </c>
      <c r="D231" s="19" t="e">
        <f>C231/C29</f>
        <v>#DIV/0!</v>
      </c>
    </row>
    <row r="232" spans="2:4" ht="15" customHeight="1" x14ac:dyDescent="0.2">
      <c r="B232" s="51" t="s">
        <v>368</v>
      </c>
      <c r="C232" s="31">
        <f>COUNTIF(hébergement!D:D,"SWAZIE")</f>
        <v>0</v>
      </c>
      <c r="D232" s="19" t="e">
        <f>C232/C29</f>
        <v>#DIV/0!</v>
      </c>
    </row>
    <row r="233" spans="2:4" ht="15" customHeight="1" x14ac:dyDescent="0.2">
      <c r="B233" s="51" t="s">
        <v>369</v>
      </c>
      <c r="C233" s="31">
        <f>COUNTIF(hébergement!D:D,"SYRIENNE")</f>
        <v>0</v>
      </c>
      <c r="D233" s="19" t="e">
        <f>C233/C29</f>
        <v>#DIV/0!</v>
      </c>
    </row>
    <row r="234" spans="2:4" ht="15" customHeight="1" x14ac:dyDescent="0.2">
      <c r="B234" s="51" t="s">
        <v>370</v>
      </c>
      <c r="C234" s="31">
        <f>COUNTIF(hébergement!D:D,"TADJIKE")</f>
        <v>0</v>
      </c>
      <c r="D234" s="19" t="e">
        <f>C234/C29</f>
        <v>#DIV/0!</v>
      </c>
    </row>
    <row r="235" spans="2:4" ht="15" customHeight="1" x14ac:dyDescent="0.2">
      <c r="B235" s="51" t="s">
        <v>371</v>
      </c>
      <c r="C235" s="31">
        <f>COUNTIF(hébergement!D:D,"TANZANIENNE")</f>
        <v>0</v>
      </c>
      <c r="D235" s="19" t="e">
        <f>C235/C29</f>
        <v>#DIV/0!</v>
      </c>
    </row>
    <row r="236" spans="2:4" ht="15" customHeight="1" x14ac:dyDescent="0.2">
      <c r="B236" s="51" t="s">
        <v>372</v>
      </c>
      <c r="C236" s="31">
        <f>COUNTIF(hébergement!D:D,"TCHADIENNE")</f>
        <v>0</v>
      </c>
      <c r="D236" s="19" t="e">
        <f>C236/C29</f>
        <v>#DIV/0!</v>
      </c>
    </row>
    <row r="237" spans="2:4" ht="15" customHeight="1" x14ac:dyDescent="0.2">
      <c r="B237" s="51" t="s">
        <v>373</v>
      </c>
      <c r="C237" s="31">
        <f>COUNTIF(hébergement!D:D,"TCHEQUE")</f>
        <v>0</v>
      </c>
      <c r="D237" s="19" t="e">
        <f>C237/C29</f>
        <v>#DIV/0!</v>
      </c>
    </row>
    <row r="238" spans="2:4" ht="15" customHeight="1" x14ac:dyDescent="0.2">
      <c r="B238" s="51" t="s">
        <v>374</v>
      </c>
      <c r="C238" s="31">
        <f>COUNTIF(hébergement!D:D,"THAÏLANDAISE")</f>
        <v>0</v>
      </c>
      <c r="D238" s="19" t="e">
        <f>C238/C29</f>
        <v>#DIV/0!</v>
      </c>
    </row>
    <row r="239" spans="2:4" ht="15" customHeight="1" x14ac:dyDescent="0.2">
      <c r="B239" s="51" t="s">
        <v>375</v>
      </c>
      <c r="C239" s="31">
        <f>COUNTIF(hébergement!D:D,"TIMORAISE")</f>
        <v>0</v>
      </c>
      <c r="D239" s="19" t="e">
        <f>C239/C29</f>
        <v>#DIV/0!</v>
      </c>
    </row>
    <row r="240" spans="2:4" ht="15" customHeight="1" x14ac:dyDescent="0.2">
      <c r="B240" s="51" t="s">
        <v>376</v>
      </c>
      <c r="C240" s="31">
        <f>COUNTIF(hébergement!D:D,"TOGOLAISE")</f>
        <v>0</v>
      </c>
      <c r="D240" s="19" t="e">
        <f>C240/C29</f>
        <v>#DIV/0!</v>
      </c>
    </row>
    <row r="241" spans="2:4" ht="15" customHeight="1" x14ac:dyDescent="0.2">
      <c r="B241" s="51" t="s">
        <v>377</v>
      </c>
      <c r="C241" s="31">
        <f>COUNTIF(hébergement!D:D,"TONGIENNE")</f>
        <v>0</v>
      </c>
      <c r="D241" s="19" t="e">
        <f>C241/C29</f>
        <v>#DIV/0!</v>
      </c>
    </row>
    <row r="242" spans="2:4" ht="15" customHeight="1" x14ac:dyDescent="0.2">
      <c r="B242" s="51" t="s">
        <v>378</v>
      </c>
      <c r="C242" s="31">
        <f>COUNTIF(hébergement!D:D,"TRINIDADIENNE")</f>
        <v>0</v>
      </c>
      <c r="D242" s="19" t="e">
        <f>C242/C29</f>
        <v>#DIV/0!</v>
      </c>
    </row>
    <row r="243" spans="2:4" ht="15" customHeight="1" x14ac:dyDescent="0.2">
      <c r="B243" s="51" t="s">
        <v>379</v>
      </c>
      <c r="C243" s="31">
        <f>COUNTIF(hébergement!D:D,"TUNISIENNE")</f>
        <v>0</v>
      </c>
      <c r="D243" s="19" t="e">
        <f>C243/C29</f>
        <v>#DIV/0!</v>
      </c>
    </row>
    <row r="244" spans="2:4" ht="15" customHeight="1" x14ac:dyDescent="0.2">
      <c r="B244" s="51" t="s">
        <v>380</v>
      </c>
      <c r="C244" s="31">
        <f>COUNTIF(hébergement!D:D,"TURKMENE")</f>
        <v>0</v>
      </c>
      <c r="D244" s="19" t="e">
        <f>C244/C29</f>
        <v>#DIV/0!</v>
      </c>
    </row>
    <row r="245" spans="2:4" ht="15" customHeight="1" x14ac:dyDescent="0.2">
      <c r="B245" s="51" t="s">
        <v>381</v>
      </c>
      <c r="C245" s="31">
        <f>COUNTIF(hébergement!D:D,"TURQUE")</f>
        <v>0</v>
      </c>
      <c r="D245" s="19" t="e">
        <f>C245/C29</f>
        <v>#DIV/0!</v>
      </c>
    </row>
    <row r="246" spans="2:4" ht="15" customHeight="1" x14ac:dyDescent="0.2">
      <c r="B246" s="51" t="s">
        <v>382</v>
      </c>
      <c r="C246" s="31">
        <f>COUNTIF(hébergement!D:D,"TUVALUANE")</f>
        <v>0</v>
      </c>
      <c r="D246" s="19" t="e">
        <f>C246/C29</f>
        <v>#DIV/0!</v>
      </c>
    </row>
    <row r="247" spans="2:4" ht="15" customHeight="1" x14ac:dyDescent="0.2">
      <c r="B247" s="51" t="s">
        <v>383</v>
      </c>
      <c r="C247" s="31">
        <f>COUNTIF(hébergement!D:D,"UKRAINIENNE")</f>
        <v>1</v>
      </c>
      <c r="D247" s="19" t="e">
        <f>C247/C29</f>
        <v>#DIV/0!</v>
      </c>
    </row>
    <row r="248" spans="2:4" ht="15" customHeight="1" x14ac:dyDescent="0.2">
      <c r="B248" s="51" t="s">
        <v>384</v>
      </c>
      <c r="C248" s="31">
        <f>COUNTIF(hébergement!D:D,"URUGUAYENNE")</f>
        <v>0</v>
      </c>
      <c r="D248" s="19" t="e">
        <f>C248/C29</f>
        <v>#DIV/0!</v>
      </c>
    </row>
    <row r="249" spans="2:4" ht="15" customHeight="1" x14ac:dyDescent="0.2">
      <c r="B249" s="51" t="s">
        <v>385</v>
      </c>
      <c r="C249" s="31">
        <f>COUNTIF(hébergement!D:D,"VANUATUANE")</f>
        <v>0</v>
      </c>
      <c r="D249" s="19" t="e">
        <f>C249/C29</f>
        <v>#DIV/0!</v>
      </c>
    </row>
    <row r="250" spans="2:4" ht="15" customHeight="1" x14ac:dyDescent="0.2">
      <c r="B250" s="51" t="s">
        <v>386</v>
      </c>
      <c r="C250" s="31">
        <f>COUNTIF(hébergement!D:D,"VENEZUELIENNE")</f>
        <v>0</v>
      </c>
      <c r="D250" s="19" t="e">
        <f>C250/C29</f>
        <v>#DIV/0!</v>
      </c>
    </row>
    <row r="251" spans="2:4" ht="15" customHeight="1" x14ac:dyDescent="0.2">
      <c r="B251" s="51" t="s">
        <v>387</v>
      </c>
      <c r="C251" s="31">
        <f>COUNTIF(hébergement!D:D,"VIETNAMIENNE")</f>
        <v>0</v>
      </c>
      <c r="D251" s="19" t="e">
        <f>C251/C29</f>
        <v>#DIV/0!</v>
      </c>
    </row>
    <row r="252" spans="2:4" ht="15" customHeight="1" x14ac:dyDescent="0.2">
      <c r="B252" s="51" t="s">
        <v>388</v>
      </c>
      <c r="C252" s="31">
        <f>COUNTIF(hébergement!D:D,"YEMENITE")</f>
        <v>1</v>
      </c>
      <c r="D252" s="19" t="e">
        <f>C252/C29</f>
        <v>#DIV/0!</v>
      </c>
    </row>
    <row r="253" spans="2:4" ht="15" customHeight="1" x14ac:dyDescent="0.2">
      <c r="B253" s="51" t="s">
        <v>389</v>
      </c>
      <c r="C253" s="31">
        <f>COUNTIF(hébergement!D:D,"ZAMBIENNE")</f>
        <v>0</v>
      </c>
      <c r="D253" s="19" t="e">
        <f>C253/C29</f>
        <v>#DIV/0!</v>
      </c>
    </row>
    <row r="254" spans="2:4" ht="15" customHeight="1" x14ac:dyDescent="0.2">
      <c r="B254" s="51" t="s">
        <v>390</v>
      </c>
      <c r="C254" s="31">
        <f>COUNTIF(hébergement!D:D,"ZIMBABWEENNE")</f>
        <v>0</v>
      </c>
      <c r="D254" s="19" t="e">
        <f>C254/C29</f>
        <v>#DIV/0!</v>
      </c>
    </row>
  </sheetData>
  <mergeCells count="11">
    <mergeCell ref="F56:H56"/>
    <mergeCell ref="F30:J30"/>
    <mergeCell ref="F2:J2"/>
    <mergeCell ref="B54:D54"/>
    <mergeCell ref="F46:J46"/>
    <mergeCell ref="B2:D2"/>
    <mergeCell ref="B18:D18"/>
    <mergeCell ref="B31:D31"/>
    <mergeCell ref="B43:D43"/>
    <mergeCell ref="B47:D47"/>
    <mergeCell ref="F11:H11"/>
  </mergeCells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0"/>
  <sheetViews>
    <sheetView topLeftCell="C1" workbookViewId="0">
      <selection activeCell="E7" sqref="E7"/>
    </sheetView>
  </sheetViews>
  <sheetFormatPr baseColWidth="10" defaultRowHeight="15" x14ac:dyDescent="0.25"/>
  <cols>
    <col min="1" max="1" width="11.42578125" style="10"/>
    <col min="2" max="2" width="34.28515625" style="12" customWidth="1"/>
    <col min="3" max="3" width="11.42578125" style="12"/>
    <col min="4" max="4" width="22.85546875" style="12" customWidth="1"/>
    <col min="5" max="5" width="18.7109375" style="12" customWidth="1"/>
    <col min="7" max="7" width="25.140625" customWidth="1"/>
    <col min="9" max="9" width="34.42578125" customWidth="1"/>
    <col min="10" max="10" width="24.140625" customWidth="1"/>
    <col min="11" max="11" width="23.140625" customWidth="1"/>
    <col min="12" max="12" width="23" customWidth="1"/>
    <col min="14" max="14" width="6.140625" customWidth="1"/>
  </cols>
  <sheetData>
    <row r="1" spans="1:16" ht="24" x14ac:dyDescent="0.25">
      <c r="A1" s="10" t="s">
        <v>126</v>
      </c>
      <c r="B1" s="12" t="s">
        <v>130</v>
      </c>
      <c r="C1" s="12" t="s">
        <v>136</v>
      </c>
      <c r="D1" s="12" t="s">
        <v>148</v>
      </c>
      <c r="E1" s="15" t="s">
        <v>178</v>
      </c>
      <c r="F1" s="14" t="s">
        <v>161</v>
      </c>
      <c r="G1" s="14" t="s">
        <v>166</v>
      </c>
      <c r="H1" s="14" t="s">
        <v>172</v>
      </c>
      <c r="I1" s="28" t="s">
        <v>191</v>
      </c>
      <c r="J1" s="14" t="s">
        <v>393</v>
      </c>
      <c r="K1" s="14" t="s">
        <v>400</v>
      </c>
      <c r="L1">
        <f>COUNTIFS(hébergement!K:K,"Nationale",hébergement!G:G,"Couple avec enfant")</f>
        <v>2</v>
      </c>
      <c r="M1">
        <f>COUNTIFS(hébergement!K:K,"Locale",hébergement!G:G,"Couple avec enfant")</f>
        <v>1</v>
      </c>
      <c r="N1">
        <f>COUNTIFS(hébergement!K:K,"Transfert",hébergement!G:G,"Couple avec enfant")</f>
        <v>0</v>
      </c>
      <c r="O1">
        <f>COUNTIFS(hébergement!K:K,"Naissance",hébergement!G:G,"Couple avec enfant")</f>
        <v>1</v>
      </c>
      <c r="P1">
        <f>COUNTIFS(hébergement!K:K,"Rejoignant",hébergement!G:G,"Couple sans enfant")</f>
        <v>0</v>
      </c>
    </row>
    <row r="2" spans="1:16" x14ac:dyDescent="0.25">
      <c r="A2" s="10" t="s">
        <v>127</v>
      </c>
      <c r="B2" s="12" t="s">
        <v>131</v>
      </c>
      <c r="C2" s="12" t="s">
        <v>137</v>
      </c>
      <c r="D2" s="12" t="s">
        <v>397</v>
      </c>
      <c r="E2" s="16" t="s">
        <v>179</v>
      </c>
      <c r="F2" s="14" t="s">
        <v>162</v>
      </c>
      <c r="G2" s="14" t="s">
        <v>167</v>
      </c>
      <c r="H2" s="14" t="s">
        <v>173</v>
      </c>
      <c r="I2" s="28" t="s">
        <v>192</v>
      </c>
      <c r="J2" s="14" t="s">
        <v>394</v>
      </c>
      <c r="K2" s="14" t="s">
        <v>394</v>
      </c>
      <c r="L2">
        <f>COUNTIFS(hébergement!K:K,"Nationale",hébergement!G:G,"Couple sans enfant")</f>
        <v>1</v>
      </c>
      <c r="M2">
        <f>COUNTIFS(hébergement!K:K,"Locale",hébergement!G:G,"Couple sans enfant")</f>
        <v>1</v>
      </c>
      <c r="N2">
        <f>COUNTIFS(hébergement!K:K,"Transfert",hébergement!G:G,"Couple sans enfant")</f>
        <v>2</v>
      </c>
      <c r="O2">
        <f>COUNTIFS(hébergement!K:K,"Naissance",hébergement!G:G,"Couple sans enfant")</f>
        <v>0</v>
      </c>
      <c r="P2">
        <f>COUNTIFS(hébergement!K:K,"Rejoignant",hébergement!G:G,"Couple avec enfant")</f>
        <v>0</v>
      </c>
    </row>
    <row r="3" spans="1:16" x14ac:dyDescent="0.25">
      <c r="B3" s="12" t="s">
        <v>132</v>
      </c>
      <c r="C3" s="12" t="s">
        <v>138</v>
      </c>
      <c r="D3" s="12" t="s">
        <v>150</v>
      </c>
      <c r="E3" s="16" t="s">
        <v>180</v>
      </c>
      <c r="F3" s="14" t="s">
        <v>163</v>
      </c>
      <c r="G3" s="14" t="s">
        <v>168</v>
      </c>
      <c r="I3" s="28" t="s">
        <v>193</v>
      </c>
      <c r="K3" s="12" t="s">
        <v>393</v>
      </c>
      <c r="L3">
        <f>COUNTIFS(hébergement!K:K,"Nationale",hébergement!G:G,"Famille élargie")</f>
        <v>2</v>
      </c>
      <c r="M3">
        <f>COUNTIFS(hébergement!K:K,"Locale",hébergement!G:G,"Famille élargie")</f>
        <v>2</v>
      </c>
      <c r="N3">
        <f>COUNTIFS(hébergement!K:K,"Transfert",hébergement!G:G,"Famille élargie")</f>
        <v>0</v>
      </c>
      <c r="O3">
        <f>COUNTIFS(hébergement!K:K,"Naissance",hébergement!G:G,"Famille élargie")</f>
        <v>0</v>
      </c>
      <c r="P3">
        <f>COUNTIFS(hébergement!K:K,"Rejoignant",hébergement!G:G,"Famille élargie")</f>
        <v>2</v>
      </c>
    </row>
    <row r="4" spans="1:16" x14ac:dyDescent="0.25">
      <c r="B4" s="12" t="s">
        <v>133</v>
      </c>
      <c r="C4" s="12" t="s">
        <v>139</v>
      </c>
      <c r="D4" s="12" t="s">
        <v>392</v>
      </c>
      <c r="E4" s="16" t="s">
        <v>155</v>
      </c>
      <c r="F4" s="14" t="s">
        <v>164</v>
      </c>
      <c r="G4" s="14" t="s">
        <v>169</v>
      </c>
      <c r="I4" s="28" t="s">
        <v>194</v>
      </c>
      <c r="L4">
        <f>COUNTIFS(hébergement!K:K,"Nationale",hébergement!G:G,"Famille monoparentale")</f>
        <v>2</v>
      </c>
      <c r="M4">
        <f>COUNTIFS(hébergement!K:K,"Locale",hébergement!G:G,"Famille monoparentale")</f>
        <v>1</v>
      </c>
      <c r="N4">
        <f>COUNTIFS(hébergement!K:K,"Transfert",hébergement!G:G,"Famille monoparentale")</f>
        <v>0</v>
      </c>
      <c r="O4">
        <f>COUNTIFS(hébergement!K:K,"Naissance",hébergement!G:G,"Famille monoparentale")</f>
        <v>1</v>
      </c>
      <c r="P4">
        <f>COUNTIFS(hébergement!K:K,"Rejoignant",hébergement!G:G,"Famille monoparentale")</f>
        <v>1</v>
      </c>
    </row>
    <row r="5" spans="1:16" x14ac:dyDescent="0.25">
      <c r="B5" s="12" t="s">
        <v>134</v>
      </c>
      <c r="D5" s="12" t="s">
        <v>440</v>
      </c>
      <c r="E5" s="16" t="s">
        <v>163</v>
      </c>
      <c r="F5" s="14" t="s">
        <v>165</v>
      </c>
      <c r="G5" s="14" t="s">
        <v>170</v>
      </c>
      <c r="I5" s="28" t="s">
        <v>195</v>
      </c>
      <c r="L5">
        <f>COUNTIFS(hébergement!K:K,"Nationale",hébergement!G:G,"Fraterie")</f>
        <v>2</v>
      </c>
      <c r="M5">
        <f>COUNTIFS(hébergement!K:K,"Locale",hébergement!G:G,"Fraterie")</f>
        <v>1</v>
      </c>
      <c r="N5">
        <f>COUNTIFS(hébergement!K:K,"Transfert",hébergement!G:G,"Fraterie")</f>
        <v>0</v>
      </c>
      <c r="O5">
        <f>COUNTIFS(hébergement!K:K,"Naissance",hébergement!G:G,"Fraterie")</f>
        <v>0</v>
      </c>
      <c r="P5">
        <f>COUNTIFS(hébergement!K:K,"Rejoignant",hébergement!G:G,"Fraterie")</f>
        <v>0</v>
      </c>
    </row>
    <row r="6" spans="1:16" x14ac:dyDescent="0.25">
      <c r="B6" s="12" t="s">
        <v>1</v>
      </c>
      <c r="E6" s="16" t="s">
        <v>403</v>
      </c>
      <c r="G6" s="14" t="s">
        <v>171</v>
      </c>
      <c r="I6" s="28" t="s">
        <v>196</v>
      </c>
    </row>
    <row r="7" spans="1:16" x14ac:dyDescent="0.25">
      <c r="B7" s="12" t="s">
        <v>0</v>
      </c>
      <c r="E7" s="16" t="s">
        <v>445</v>
      </c>
      <c r="G7" s="14" t="s">
        <v>174</v>
      </c>
      <c r="I7" s="28" t="s">
        <v>197</v>
      </c>
    </row>
    <row r="8" spans="1:16" ht="24" x14ac:dyDescent="0.25">
      <c r="B8" s="12" t="s">
        <v>185</v>
      </c>
      <c r="E8" s="16" t="s">
        <v>156</v>
      </c>
      <c r="I8" s="28" t="s">
        <v>198</v>
      </c>
    </row>
    <row r="9" spans="1:16" ht="24" x14ac:dyDescent="0.25">
      <c r="E9" s="16" t="s">
        <v>157</v>
      </c>
      <c r="I9" s="28" t="s">
        <v>199</v>
      </c>
    </row>
    <row r="10" spans="1:16" x14ac:dyDescent="0.25">
      <c r="E10" s="16" t="s">
        <v>158</v>
      </c>
      <c r="I10" s="28" t="s">
        <v>200</v>
      </c>
    </row>
    <row r="11" spans="1:16" x14ac:dyDescent="0.25">
      <c r="E11" s="16" t="s">
        <v>159</v>
      </c>
      <c r="I11" s="28" t="s">
        <v>201</v>
      </c>
    </row>
    <row r="12" spans="1:16" ht="24" x14ac:dyDescent="0.25">
      <c r="E12" s="16" t="s">
        <v>160</v>
      </c>
      <c r="I12" s="28" t="s">
        <v>202</v>
      </c>
    </row>
    <row r="13" spans="1:16" ht="35.25" x14ac:dyDescent="0.25">
      <c r="E13" s="16" t="s">
        <v>183</v>
      </c>
      <c r="I13" s="28" t="s">
        <v>203</v>
      </c>
    </row>
    <row r="14" spans="1:16" x14ac:dyDescent="0.25">
      <c r="E14" s="12" t="s">
        <v>441</v>
      </c>
      <c r="I14" s="28" t="s">
        <v>204</v>
      </c>
    </row>
    <row r="15" spans="1:16" x14ac:dyDescent="0.25">
      <c r="I15" s="28" t="s">
        <v>205</v>
      </c>
    </row>
    <row r="16" spans="1:16" x14ac:dyDescent="0.25">
      <c r="I16" s="28" t="s">
        <v>206</v>
      </c>
    </row>
    <row r="17" spans="9:9" x14ac:dyDescent="0.25">
      <c r="I17" s="28" t="s">
        <v>207</v>
      </c>
    </row>
    <row r="18" spans="9:9" x14ac:dyDescent="0.25">
      <c r="I18" s="28" t="s">
        <v>208</v>
      </c>
    </row>
    <row r="19" spans="9:9" x14ac:dyDescent="0.25">
      <c r="I19" s="28" t="s">
        <v>209</v>
      </c>
    </row>
    <row r="20" spans="9:9" x14ac:dyDescent="0.25">
      <c r="I20" s="28" t="s">
        <v>210</v>
      </c>
    </row>
    <row r="21" spans="9:9" x14ac:dyDescent="0.25">
      <c r="I21" s="28" t="s">
        <v>211</v>
      </c>
    </row>
    <row r="22" spans="9:9" x14ac:dyDescent="0.25">
      <c r="I22" s="28" t="s">
        <v>212</v>
      </c>
    </row>
    <row r="23" spans="9:9" x14ac:dyDescent="0.25">
      <c r="I23" s="28" t="s">
        <v>213</v>
      </c>
    </row>
    <row r="24" spans="9:9" x14ac:dyDescent="0.25">
      <c r="I24" s="28" t="s">
        <v>214</v>
      </c>
    </row>
    <row r="25" spans="9:9" x14ac:dyDescent="0.25">
      <c r="I25" s="28" t="s">
        <v>215</v>
      </c>
    </row>
    <row r="26" spans="9:9" x14ac:dyDescent="0.25">
      <c r="I26" s="28" t="s">
        <v>216</v>
      </c>
    </row>
    <row r="27" spans="9:9" x14ac:dyDescent="0.25">
      <c r="I27" s="28" t="s">
        <v>217</v>
      </c>
    </row>
    <row r="28" spans="9:9" x14ac:dyDescent="0.25">
      <c r="I28" s="28" t="s">
        <v>218</v>
      </c>
    </row>
    <row r="29" spans="9:9" x14ac:dyDescent="0.25">
      <c r="I29" s="28" t="s">
        <v>219</v>
      </c>
    </row>
    <row r="30" spans="9:9" x14ac:dyDescent="0.25">
      <c r="I30" s="28" t="s">
        <v>220</v>
      </c>
    </row>
    <row r="31" spans="9:9" x14ac:dyDescent="0.25">
      <c r="I31" s="28" t="s">
        <v>221</v>
      </c>
    </row>
    <row r="32" spans="9:9" x14ac:dyDescent="0.25">
      <c r="I32" s="28" t="s">
        <v>222</v>
      </c>
    </row>
    <row r="33" spans="9:9" x14ac:dyDescent="0.25">
      <c r="I33" s="28" t="s">
        <v>223</v>
      </c>
    </row>
    <row r="34" spans="9:9" x14ac:dyDescent="0.25">
      <c r="I34" s="28" t="s">
        <v>224</v>
      </c>
    </row>
    <row r="35" spans="9:9" x14ac:dyDescent="0.25">
      <c r="I35" s="28" t="s">
        <v>225</v>
      </c>
    </row>
    <row r="36" spans="9:9" x14ac:dyDescent="0.25">
      <c r="I36" s="28" t="s">
        <v>226</v>
      </c>
    </row>
    <row r="37" spans="9:9" x14ac:dyDescent="0.25">
      <c r="I37" s="28" t="s">
        <v>227</v>
      </c>
    </row>
    <row r="38" spans="9:9" x14ac:dyDescent="0.25">
      <c r="I38" s="28" t="s">
        <v>228</v>
      </c>
    </row>
    <row r="39" spans="9:9" x14ac:dyDescent="0.25">
      <c r="I39" s="28" t="s">
        <v>229</v>
      </c>
    </row>
    <row r="40" spans="9:9" x14ac:dyDescent="0.25">
      <c r="I40" s="28" t="s">
        <v>230</v>
      </c>
    </row>
    <row r="41" spans="9:9" x14ac:dyDescent="0.25">
      <c r="I41" s="28" t="s">
        <v>231</v>
      </c>
    </row>
    <row r="42" spans="9:9" x14ac:dyDescent="0.25">
      <c r="I42" s="28" t="s">
        <v>232</v>
      </c>
    </row>
    <row r="43" spans="9:9" x14ac:dyDescent="0.25">
      <c r="I43" s="28" t="s">
        <v>233</v>
      </c>
    </row>
    <row r="44" spans="9:9" x14ac:dyDescent="0.25">
      <c r="I44" s="28" t="s">
        <v>234</v>
      </c>
    </row>
    <row r="45" spans="9:9" x14ac:dyDescent="0.25">
      <c r="I45" s="28" t="s">
        <v>235</v>
      </c>
    </row>
    <row r="46" spans="9:9" x14ac:dyDescent="0.25">
      <c r="I46" s="28" t="s">
        <v>236</v>
      </c>
    </row>
    <row r="47" spans="9:9" x14ac:dyDescent="0.25">
      <c r="I47" s="28" t="s">
        <v>237</v>
      </c>
    </row>
    <row r="48" spans="9:9" x14ac:dyDescent="0.25">
      <c r="I48" s="28" t="s">
        <v>238</v>
      </c>
    </row>
    <row r="49" spans="9:9" x14ac:dyDescent="0.25">
      <c r="I49" s="28" t="s">
        <v>239</v>
      </c>
    </row>
    <row r="50" spans="9:9" x14ac:dyDescent="0.25">
      <c r="I50" s="28" t="s">
        <v>240</v>
      </c>
    </row>
    <row r="51" spans="9:9" x14ac:dyDescent="0.25">
      <c r="I51" s="28" t="s">
        <v>241</v>
      </c>
    </row>
    <row r="52" spans="9:9" x14ac:dyDescent="0.25">
      <c r="I52" s="28" t="s">
        <v>242</v>
      </c>
    </row>
    <row r="53" spans="9:9" x14ac:dyDescent="0.25">
      <c r="I53" s="28" t="s">
        <v>243</v>
      </c>
    </row>
    <row r="54" spans="9:9" x14ac:dyDescent="0.25">
      <c r="I54" s="28" t="s">
        <v>244</v>
      </c>
    </row>
    <row r="55" spans="9:9" x14ac:dyDescent="0.25">
      <c r="I55" s="28" t="s">
        <v>245</v>
      </c>
    </row>
    <row r="56" spans="9:9" x14ac:dyDescent="0.25">
      <c r="I56" s="28" t="s">
        <v>246</v>
      </c>
    </row>
    <row r="57" spans="9:9" x14ac:dyDescent="0.25">
      <c r="I57" s="28" t="s">
        <v>247</v>
      </c>
    </row>
    <row r="58" spans="9:9" x14ac:dyDescent="0.25">
      <c r="I58" s="28" t="s">
        <v>248</v>
      </c>
    </row>
    <row r="59" spans="9:9" x14ac:dyDescent="0.25">
      <c r="I59" s="28" t="s">
        <v>249</v>
      </c>
    </row>
    <row r="60" spans="9:9" x14ac:dyDescent="0.25">
      <c r="I60" s="28" t="s">
        <v>250</v>
      </c>
    </row>
    <row r="61" spans="9:9" x14ac:dyDescent="0.25">
      <c r="I61" s="28" t="s">
        <v>251</v>
      </c>
    </row>
    <row r="62" spans="9:9" x14ac:dyDescent="0.25">
      <c r="I62" s="28" t="s">
        <v>252</v>
      </c>
    </row>
    <row r="63" spans="9:9" x14ac:dyDescent="0.25">
      <c r="I63" s="28" t="s">
        <v>253</v>
      </c>
    </row>
    <row r="64" spans="9:9" x14ac:dyDescent="0.25">
      <c r="I64" s="28" t="s">
        <v>254</v>
      </c>
    </row>
    <row r="65" spans="9:9" x14ac:dyDescent="0.25">
      <c r="I65" s="28" t="s">
        <v>255</v>
      </c>
    </row>
    <row r="66" spans="9:9" x14ac:dyDescent="0.25">
      <c r="I66" s="28" t="s">
        <v>256</v>
      </c>
    </row>
    <row r="67" spans="9:9" x14ac:dyDescent="0.25">
      <c r="I67" s="28" t="s">
        <v>257</v>
      </c>
    </row>
    <row r="68" spans="9:9" x14ac:dyDescent="0.25">
      <c r="I68" s="28" t="s">
        <v>258</v>
      </c>
    </row>
    <row r="69" spans="9:9" x14ac:dyDescent="0.25">
      <c r="I69" s="28" t="s">
        <v>259</v>
      </c>
    </row>
    <row r="70" spans="9:9" x14ac:dyDescent="0.25">
      <c r="I70" s="28" t="s">
        <v>260</v>
      </c>
    </row>
    <row r="71" spans="9:9" x14ac:dyDescent="0.25">
      <c r="I71" s="28" t="s">
        <v>261</v>
      </c>
    </row>
    <row r="72" spans="9:9" x14ac:dyDescent="0.25">
      <c r="I72" s="28" t="s">
        <v>262</v>
      </c>
    </row>
    <row r="73" spans="9:9" x14ac:dyDescent="0.25">
      <c r="I73" s="28" t="s">
        <v>263</v>
      </c>
    </row>
    <row r="74" spans="9:9" x14ac:dyDescent="0.25">
      <c r="I74" s="28" t="s">
        <v>264</v>
      </c>
    </row>
    <row r="75" spans="9:9" x14ac:dyDescent="0.25">
      <c r="I75" s="28" t="s">
        <v>265</v>
      </c>
    </row>
    <row r="76" spans="9:9" x14ac:dyDescent="0.25">
      <c r="I76" s="28" t="s">
        <v>266</v>
      </c>
    </row>
    <row r="77" spans="9:9" x14ac:dyDescent="0.25">
      <c r="I77" s="28" t="s">
        <v>267</v>
      </c>
    </row>
    <row r="78" spans="9:9" x14ac:dyDescent="0.25">
      <c r="I78" s="28" t="s">
        <v>268</v>
      </c>
    </row>
    <row r="79" spans="9:9" x14ac:dyDescent="0.25">
      <c r="I79" s="28" t="s">
        <v>269</v>
      </c>
    </row>
    <row r="80" spans="9:9" x14ac:dyDescent="0.25">
      <c r="I80" s="28" t="s">
        <v>270</v>
      </c>
    </row>
    <row r="81" spans="9:9" x14ac:dyDescent="0.25">
      <c r="I81" s="28" t="s">
        <v>271</v>
      </c>
    </row>
    <row r="82" spans="9:9" x14ac:dyDescent="0.25">
      <c r="I82" s="28" t="s">
        <v>272</v>
      </c>
    </row>
    <row r="83" spans="9:9" x14ac:dyDescent="0.25">
      <c r="I83" s="28" t="s">
        <v>273</v>
      </c>
    </row>
    <row r="84" spans="9:9" x14ac:dyDescent="0.25">
      <c r="I84" s="28" t="s">
        <v>274</v>
      </c>
    </row>
    <row r="85" spans="9:9" x14ac:dyDescent="0.25">
      <c r="I85" s="28" t="s">
        <v>275</v>
      </c>
    </row>
    <row r="86" spans="9:9" x14ac:dyDescent="0.25">
      <c r="I86" s="28" t="s">
        <v>276</v>
      </c>
    </row>
    <row r="87" spans="9:9" x14ac:dyDescent="0.25">
      <c r="I87" s="28" t="s">
        <v>277</v>
      </c>
    </row>
    <row r="88" spans="9:9" x14ac:dyDescent="0.25">
      <c r="I88" s="28" t="s">
        <v>278</v>
      </c>
    </row>
    <row r="89" spans="9:9" x14ac:dyDescent="0.25">
      <c r="I89" s="28" t="s">
        <v>279</v>
      </c>
    </row>
    <row r="90" spans="9:9" x14ac:dyDescent="0.25">
      <c r="I90" s="28" t="s">
        <v>280</v>
      </c>
    </row>
    <row r="91" spans="9:9" x14ac:dyDescent="0.25">
      <c r="I91" s="28" t="s">
        <v>281</v>
      </c>
    </row>
    <row r="92" spans="9:9" x14ac:dyDescent="0.25">
      <c r="I92" s="28" t="s">
        <v>282</v>
      </c>
    </row>
    <row r="93" spans="9:9" x14ac:dyDescent="0.25">
      <c r="I93" s="28" t="s">
        <v>283</v>
      </c>
    </row>
    <row r="94" spans="9:9" x14ac:dyDescent="0.25">
      <c r="I94" s="28" t="s">
        <v>284</v>
      </c>
    </row>
    <row r="95" spans="9:9" x14ac:dyDescent="0.25">
      <c r="I95" s="28" t="s">
        <v>285</v>
      </c>
    </row>
    <row r="96" spans="9:9" x14ac:dyDescent="0.25">
      <c r="I96" s="28" t="s">
        <v>286</v>
      </c>
    </row>
    <row r="97" spans="9:9" x14ac:dyDescent="0.25">
      <c r="I97" s="28" t="s">
        <v>287</v>
      </c>
    </row>
    <row r="98" spans="9:9" x14ac:dyDescent="0.25">
      <c r="I98" s="28" t="s">
        <v>288</v>
      </c>
    </row>
    <row r="99" spans="9:9" x14ac:dyDescent="0.25">
      <c r="I99" s="28" t="s">
        <v>289</v>
      </c>
    </row>
    <row r="100" spans="9:9" x14ac:dyDescent="0.25">
      <c r="I100" s="28" t="s">
        <v>290</v>
      </c>
    </row>
    <row r="101" spans="9:9" x14ac:dyDescent="0.25">
      <c r="I101" s="28" t="s">
        <v>291</v>
      </c>
    </row>
    <row r="102" spans="9:9" x14ac:dyDescent="0.25">
      <c r="I102" s="28" t="s">
        <v>292</v>
      </c>
    </row>
    <row r="103" spans="9:9" x14ac:dyDescent="0.25">
      <c r="I103" s="28" t="s">
        <v>293</v>
      </c>
    </row>
    <row r="104" spans="9:9" x14ac:dyDescent="0.25">
      <c r="I104" s="28" t="s">
        <v>294</v>
      </c>
    </row>
    <row r="105" spans="9:9" x14ac:dyDescent="0.25">
      <c r="I105" s="28" t="s">
        <v>295</v>
      </c>
    </row>
    <row r="106" spans="9:9" x14ac:dyDescent="0.25">
      <c r="I106" s="28" t="s">
        <v>296</v>
      </c>
    </row>
    <row r="107" spans="9:9" x14ac:dyDescent="0.25">
      <c r="I107" s="28" t="s">
        <v>297</v>
      </c>
    </row>
    <row r="108" spans="9:9" x14ac:dyDescent="0.25">
      <c r="I108" s="28" t="s">
        <v>298</v>
      </c>
    </row>
    <row r="109" spans="9:9" x14ac:dyDescent="0.25">
      <c r="I109" s="28" t="s">
        <v>299</v>
      </c>
    </row>
    <row r="110" spans="9:9" x14ac:dyDescent="0.25">
      <c r="I110" s="28" t="s">
        <v>300</v>
      </c>
    </row>
    <row r="111" spans="9:9" x14ac:dyDescent="0.25">
      <c r="I111" s="28" t="s">
        <v>301</v>
      </c>
    </row>
    <row r="112" spans="9:9" x14ac:dyDescent="0.25">
      <c r="I112" s="28" t="s">
        <v>302</v>
      </c>
    </row>
    <row r="113" spans="9:9" x14ac:dyDescent="0.25">
      <c r="I113" s="28" t="s">
        <v>303</v>
      </c>
    </row>
    <row r="114" spans="9:9" x14ac:dyDescent="0.25">
      <c r="I114" s="28" t="s">
        <v>304</v>
      </c>
    </row>
    <row r="115" spans="9:9" x14ac:dyDescent="0.25">
      <c r="I115" s="28" t="s">
        <v>305</v>
      </c>
    </row>
    <row r="116" spans="9:9" x14ac:dyDescent="0.25">
      <c r="I116" s="28" t="s">
        <v>306</v>
      </c>
    </row>
    <row r="117" spans="9:9" x14ac:dyDescent="0.25">
      <c r="I117" s="28" t="s">
        <v>307</v>
      </c>
    </row>
    <row r="118" spans="9:9" x14ac:dyDescent="0.25">
      <c r="I118" s="28" t="s">
        <v>308</v>
      </c>
    </row>
    <row r="119" spans="9:9" x14ac:dyDescent="0.25">
      <c r="I119" s="28" t="s">
        <v>309</v>
      </c>
    </row>
    <row r="120" spans="9:9" x14ac:dyDescent="0.25">
      <c r="I120" s="28" t="s">
        <v>310</v>
      </c>
    </row>
    <row r="121" spans="9:9" x14ac:dyDescent="0.25">
      <c r="I121" s="28" t="s">
        <v>311</v>
      </c>
    </row>
    <row r="122" spans="9:9" x14ac:dyDescent="0.25">
      <c r="I122" s="28" t="s">
        <v>312</v>
      </c>
    </row>
    <row r="123" spans="9:9" x14ac:dyDescent="0.25">
      <c r="I123" s="28" t="s">
        <v>313</v>
      </c>
    </row>
    <row r="124" spans="9:9" x14ac:dyDescent="0.25">
      <c r="I124" s="28" t="s">
        <v>314</v>
      </c>
    </row>
    <row r="125" spans="9:9" x14ac:dyDescent="0.25">
      <c r="I125" s="28" t="s">
        <v>315</v>
      </c>
    </row>
    <row r="126" spans="9:9" x14ac:dyDescent="0.25">
      <c r="I126" s="28" t="s">
        <v>316</v>
      </c>
    </row>
    <row r="127" spans="9:9" x14ac:dyDescent="0.25">
      <c r="I127" s="28" t="s">
        <v>317</v>
      </c>
    </row>
    <row r="128" spans="9:9" x14ac:dyDescent="0.25">
      <c r="I128" s="28" t="s">
        <v>318</v>
      </c>
    </row>
    <row r="129" spans="9:9" x14ac:dyDescent="0.25">
      <c r="I129" s="28" t="s">
        <v>319</v>
      </c>
    </row>
    <row r="130" spans="9:9" x14ac:dyDescent="0.25">
      <c r="I130" s="28" t="s">
        <v>320</v>
      </c>
    </row>
    <row r="131" spans="9:9" x14ac:dyDescent="0.25">
      <c r="I131" s="28" t="s">
        <v>321</v>
      </c>
    </row>
    <row r="132" spans="9:9" x14ac:dyDescent="0.25">
      <c r="I132" s="28" t="s">
        <v>322</v>
      </c>
    </row>
    <row r="133" spans="9:9" x14ac:dyDescent="0.25">
      <c r="I133" s="28" t="s">
        <v>323</v>
      </c>
    </row>
    <row r="134" spans="9:9" x14ac:dyDescent="0.25">
      <c r="I134" s="28" t="s">
        <v>324</v>
      </c>
    </row>
    <row r="135" spans="9:9" x14ac:dyDescent="0.25">
      <c r="I135" s="28" t="s">
        <v>325</v>
      </c>
    </row>
    <row r="136" spans="9:9" x14ac:dyDescent="0.25">
      <c r="I136" s="28" t="s">
        <v>326</v>
      </c>
    </row>
    <row r="137" spans="9:9" x14ac:dyDescent="0.25">
      <c r="I137" s="28" t="s">
        <v>327</v>
      </c>
    </row>
    <row r="138" spans="9:9" x14ac:dyDescent="0.25">
      <c r="I138" s="28" t="s">
        <v>328</v>
      </c>
    </row>
    <row r="139" spans="9:9" x14ac:dyDescent="0.25">
      <c r="I139" s="28" t="s">
        <v>329</v>
      </c>
    </row>
    <row r="140" spans="9:9" x14ac:dyDescent="0.25">
      <c r="I140" s="28" t="s">
        <v>330</v>
      </c>
    </row>
    <row r="141" spans="9:9" x14ac:dyDescent="0.25">
      <c r="I141" s="28" t="s">
        <v>331</v>
      </c>
    </row>
    <row r="142" spans="9:9" x14ac:dyDescent="0.25">
      <c r="I142" s="28" t="s">
        <v>332</v>
      </c>
    </row>
    <row r="143" spans="9:9" x14ac:dyDescent="0.25">
      <c r="I143" s="28" t="s">
        <v>333</v>
      </c>
    </row>
    <row r="144" spans="9:9" x14ac:dyDescent="0.25">
      <c r="I144" s="28" t="s">
        <v>334</v>
      </c>
    </row>
    <row r="145" spans="9:9" x14ac:dyDescent="0.25">
      <c r="I145" s="28" t="s">
        <v>335</v>
      </c>
    </row>
    <row r="146" spans="9:9" x14ac:dyDescent="0.25">
      <c r="I146" s="28" t="s">
        <v>336</v>
      </c>
    </row>
    <row r="147" spans="9:9" x14ac:dyDescent="0.25">
      <c r="I147" s="28" t="s">
        <v>337</v>
      </c>
    </row>
    <row r="148" spans="9:9" x14ac:dyDescent="0.25">
      <c r="I148" s="28" t="s">
        <v>338</v>
      </c>
    </row>
    <row r="149" spans="9:9" x14ac:dyDescent="0.25">
      <c r="I149" s="28" t="s">
        <v>339</v>
      </c>
    </row>
    <row r="150" spans="9:9" x14ac:dyDescent="0.25">
      <c r="I150" s="28" t="s">
        <v>340</v>
      </c>
    </row>
    <row r="151" spans="9:9" x14ac:dyDescent="0.25">
      <c r="I151" s="28" t="s">
        <v>341</v>
      </c>
    </row>
    <row r="152" spans="9:9" x14ac:dyDescent="0.25">
      <c r="I152" s="28" t="s">
        <v>342</v>
      </c>
    </row>
    <row r="153" spans="9:9" x14ac:dyDescent="0.25">
      <c r="I153" s="28" t="s">
        <v>343</v>
      </c>
    </row>
    <row r="154" spans="9:9" x14ac:dyDescent="0.25">
      <c r="I154" s="28" t="s">
        <v>344</v>
      </c>
    </row>
    <row r="155" spans="9:9" x14ac:dyDescent="0.25">
      <c r="I155" s="28" t="s">
        <v>345</v>
      </c>
    </row>
    <row r="156" spans="9:9" x14ac:dyDescent="0.25">
      <c r="I156" s="28" t="s">
        <v>346</v>
      </c>
    </row>
    <row r="157" spans="9:9" x14ac:dyDescent="0.25">
      <c r="I157" s="28" t="s">
        <v>347</v>
      </c>
    </row>
    <row r="158" spans="9:9" x14ac:dyDescent="0.25">
      <c r="I158" s="28" t="s">
        <v>348</v>
      </c>
    </row>
    <row r="159" spans="9:9" x14ac:dyDescent="0.25">
      <c r="I159" s="28" t="s">
        <v>349</v>
      </c>
    </row>
    <row r="160" spans="9:9" x14ac:dyDescent="0.25">
      <c r="I160" s="28" t="s">
        <v>350</v>
      </c>
    </row>
    <row r="161" spans="9:9" x14ac:dyDescent="0.25">
      <c r="I161" s="28" t="s">
        <v>351</v>
      </c>
    </row>
    <row r="162" spans="9:9" x14ac:dyDescent="0.25">
      <c r="I162" s="28" t="s">
        <v>352</v>
      </c>
    </row>
    <row r="163" spans="9:9" x14ac:dyDescent="0.25">
      <c r="I163" s="28" t="s">
        <v>353</v>
      </c>
    </row>
    <row r="164" spans="9:9" x14ac:dyDescent="0.25">
      <c r="I164" s="28" t="s">
        <v>354</v>
      </c>
    </row>
    <row r="165" spans="9:9" x14ac:dyDescent="0.25">
      <c r="I165" s="28" t="s">
        <v>355</v>
      </c>
    </row>
    <row r="166" spans="9:9" x14ac:dyDescent="0.25">
      <c r="I166" s="28" t="s">
        <v>356</v>
      </c>
    </row>
    <row r="167" spans="9:9" x14ac:dyDescent="0.25">
      <c r="I167" s="28" t="s">
        <v>357</v>
      </c>
    </row>
    <row r="168" spans="9:9" x14ac:dyDescent="0.25">
      <c r="I168" s="28" t="s">
        <v>358</v>
      </c>
    </row>
    <row r="169" spans="9:9" x14ac:dyDescent="0.25">
      <c r="I169" s="28" t="s">
        <v>359</v>
      </c>
    </row>
    <row r="170" spans="9:9" x14ac:dyDescent="0.25">
      <c r="I170" s="28" t="s">
        <v>360</v>
      </c>
    </row>
    <row r="171" spans="9:9" x14ac:dyDescent="0.25">
      <c r="I171" s="28" t="s">
        <v>361</v>
      </c>
    </row>
    <row r="172" spans="9:9" x14ac:dyDescent="0.25">
      <c r="I172" s="28" t="s">
        <v>362</v>
      </c>
    </row>
    <row r="173" spans="9:9" x14ac:dyDescent="0.25">
      <c r="I173" s="28" t="s">
        <v>363</v>
      </c>
    </row>
    <row r="174" spans="9:9" x14ac:dyDescent="0.25">
      <c r="I174" s="28" t="s">
        <v>364</v>
      </c>
    </row>
    <row r="175" spans="9:9" x14ac:dyDescent="0.25">
      <c r="I175" s="28" t="s">
        <v>365</v>
      </c>
    </row>
    <row r="176" spans="9:9" x14ac:dyDescent="0.25">
      <c r="I176" s="28" t="s">
        <v>366</v>
      </c>
    </row>
    <row r="177" spans="9:9" x14ac:dyDescent="0.25">
      <c r="I177" s="28" t="s">
        <v>367</v>
      </c>
    </row>
    <row r="178" spans="9:9" x14ac:dyDescent="0.25">
      <c r="I178" s="28" t="s">
        <v>368</v>
      </c>
    </row>
    <row r="179" spans="9:9" x14ac:dyDescent="0.25">
      <c r="I179" s="28" t="s">
        <v>369</v>
      </c>
    </row>
    <row r="180" spans="9:9" x14ac:dyDescent="0.25">
      <c r="I180" s="28" t="s">
        <v>370</v>
      </c>
    </row>
    <row r="181" spans="9:9" x14ac:dyDescent="0.25">
      <c r="I181" s="28" t="s">
        <v>371</v>
      </c>
    </row>
    <row r="182" spans="9:9" x14ac:dyDescent="0.25">
      <c r="I182" s="28" t="s">
        <v>372</v>
      </c>
    </row>
    <row r="183" spans="9:9" x14ac:dyDescent="0.25">
      <c r="I183" s="28" t="s">
        <v>373</v>
      </c>
    </row>
    <row r="184" spans="9:9" x14ac:dyDescent="0.25">
      <c r="I184" s="28" t="s">
        <v>374</v>
      </c>
    </row>
    <row r="185" spans="9:9" x14ac:dyDescent="0.25">
      <c r="I185" s="28" t="s">
        <v>375</v>
      </c>
    </row>
    <row r="186" spans="9:9" x14ac:dyDescent="0.25">
      <c r="I186" s="28" t="s">
        <v>376</v>
      </c>
    </row>
    <row r="187" spans="9:9" x14ac:dyDescent="0.25">
      <c r="I187" s="28" t="s">
        <v>377</v>
      </c>
    </row>
    <row r="188" spans="9:9" x14ac:dyDescent="0.25">
      <c r="I188" s="28" t="s">
        <v>378</v>
      </c>
    </row>
    <row r="189" spans="9:9" x14ac:dyDescent="0.25">
      <c r="I189" s="28" t="s">
        <v>379</v>
      </c>
    </row>
    <row r="190" spans="9:9" x14ac:dyDescent="0.25">
      <c r="I190" s="28" t="s">
        <v>380</v>
      </c>
    </row>
    <row r="191" spans="9:9" x14ac:dyDescent="0.25">
      <c r="I191" s="28" t="s">
        <v>381</v>
      </c>
    </row>
    <row r="192" spans="9:9" x14ac:dyDescent="0.25">
      <c r="I192" s="28" t="s">
        <v>382</v>
      </c>
    </row>
    <row r="193" spans="9:9" x14ac:dyDescent="0.25">
      <c r="I193" s="28" t="s">
        <v>383</v>
      </c>
    </row>
    <row r="194" spans="9:9" x14ac:dyDescent="0.25">
      <c r="I194" s="28" t="s">
        <v>384</v>
      </c>
    </row>
    <row r="195" spans="9:9" x14ac:dyDescent="0.25">
      <c r="I195" s="28" t="s">
        <v>385</v>
      </c>
    </row>
    <row r="196" spans="9:9" x14ac:dyDescent="0.25">
      <c r="I196" s="28" t="s">
        <v>386</v>
      </c>
    </row>
    <row r="197" spans="9:9" x14ac:dyDescent="0.25">
      <c r="I197" s="28" t="s">
        <v>387</v>
      </c>
    </row>
    <row r="198" spans="9:9" x14ac:dyDescent="0.25">
      <c r="I198" s="28" t="s">
        <v>388</v>
      </c>
    </row>
    <row r="199" spans="9:9" x14ac:dyDescent="0.25">
      <c r="I199" s="28" t="s">
        <v>389</v>
      </c>
    </row>
    <row r="200" spans="9:9" x14ac:dyDescent="0.25">
      <c r="I200" s="28" t="s">
        <v>390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hébergement</vt:lpstr>
      <vt:lpstr>rapport d'activité</vt:lpstr>
      <vt:lpstr>cache</vt:lpstr>
    </vt:vector>
  </TitlesOfParts>
  <Company>ADOMA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GAYET</dc:creator>
  <cp:lastModifiedBy>fazangayet@gmail.com</cp:lastModifiedBy>
  <dcterms:created xsi:type="dcterms:W3CDTF">2021-04-19T14:57:13Z</dcterms:created>
  <dcterms:modified xsi:type="dcterms:W3CDTF">2021-04-28T14:12:04Z</dcterms:modified>
</cp:coreProperties>
</file>