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81\commun stagiaires\GOUPIL Antoine\Outil suivi\"/>
    </mc:Choice>
  </mc:AlternateContent>
  <xr:revisionPtr revIDLastSave="0" documentId="13_ncr:1_{913B5F26-8A3F-4DB4-AF3C-243CB898EC26}" xr6:coauthVersionLast="46" xr6:coauthVersionMax="46" xr10:uidLastSave="{00000000-0000-0000-0000-000000000000}"/>
  <bookViews>
    <workbookView xWindow="28680" yWindow="-120" windowWidth="29040" windowHeight="15840" activeTab="2" xr2:uid="{35E461BF-1E22-4854-8DE7-6BC02301E88A}"/>
  </bookViews>
  <sheets>
    <sheet name="Feuil1" sheetId="1" r:id="rId1"/>
    <sheet name="Feuil2" sheetId="2" r:id="rId2"/>
    <sheet name="Tableau" sheetId="4" r:id="rId3"/>
  </sheets>
  <definedNames>
    <definedName name="_xlnm._FilterDatabase" localSheetId="0" hidden="1">Feuil1!$A$1:$S$43</definedName>
    <definedName name="AUTRES">Feuil2!$H$4:$H$6</definedName>
    <definedName name="Gamme">Feuil2!$B$4:$B$14</definedName>
    <definedName name="LOCAL">Feuil2!$F$4:$F$10</definedName>
    <definedName name="SIQO">Feuil2!$D$4:$D$8</definedName>
    <definedName name="type">Feuil2!$J$4:$J$5</definedName>
  </definedNames>
  <calcPr calcId="191029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4" i="1" l="1"/>
  <c r="S25" i="1"/>
  <c r="S26" i="1"/>
  <c r="S27" i="1"/>
  <c r="S28" i="1"/>
  <c r="S29" i="1"/>
  <c r="S30" i="1"/>
  <c r="S31" i="1"/>
  <c r="S32" i="1"/>
  <c r="S33" i="1"/>
  <c r="S34" i="1"/>
  <c r="S35" i="1"/>
  <c r="S36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37" i="1"/>
  <c r="S38" i="1"/>
  <c r="N39" i="1"/>
  <c r="O39" i="1"/>
  <c r="L39" i="1"/>
  <c r="K39" i="1"/>
  <c r="H39" i="1"/>
  <c r="I39" i="1"/>
  <c r="G39" i="1"/>
  <c r="E12" i="4"/>
  <c r="F82" i="4"/>
  <c r="F58" i="4"/>
  <c r="F34" i="4"/>
  <c r="E82" i="4"/>
  <c r="E58" i="4"/>
  <c r="E34" i="4"/>
  <c r="F98" i="4"/>
  <c r="F74" i="4"/>
  <c r="F50" i="4"/>
  <c r="E98" i="4"/>
  <c r="E74" i="4"/>
  <c r="E50" i="4"/>
  <c r="F8" i="4"/>
  <c r="F97" i="4"/>
  <c r="F73" i="4"/>
  <c r="F49" i="4"/>
  <c r="E97" i="4"/>
  <c r="E73" i="4"/>
  <c r="E49" i="4"/>
  <c r="F15" i="4"/>
  <c r="F96" i="4"/>
  <c r="F72" i="4"/>
  <c r="F48" i="4"/>
  <c r="E96" i="4"/>
  <c r="E72" i="4"/>
  <c r="E48" i="4"/>
  <c r="F14" i="4"/>
  <c r="F95" i="4"/>
  <c r="F71" i="4"/>
  <c r="F47" i="4"/>
  <c r="E95" i="4"/>
  <c r="E71" i="4"/>
  <c r="E47" i="4"/>
  <c r="F13" i="4"/>
  <c r="F94" i="4"/>
  <c r="F70" i="4"/>
  <c r="F46" i="4"/>
  <c r="E94" i="4"/>
  <c r="E70" i="4"/>
  <c r="E46" i="4"/>
  <c r="F12" i="4"/>
  <c r="F93" i="4"/>
  <c r="F69" i="4"/>
  <c r="F45" i="4"/>
  <c r="E93" i="4"/>
  <c r="E69" i="4"/>
  <c r="E45" i="4"/>
  <c r="F11" i="4"/>
  <c r="F92" i="4"/>
  <c r="F68" i="4"/>
  <c r="F44" i="4"/>
  <c r="E92" i="4"/>
  <c r="E68" i="4"/>
  <c r="E44" i="4"/>
  <c r="F10" i="4"/>
  <c r="F91" i="4"/>
  <c r="F67" i="4"/>
  <c r="F43" i="4"/>
  <c r="E91" i="4"/>
  <c r="E67" i="4"/>
  <c r="E43" i="4"/>
  <c r="F9" i="4"/>
  <c r="F86" i="4"/>
  <c r="F62" i="4"/>
  <c r="F38" i="4"/>
  <c r="E86" i="4"/>
  <c r="E62" i="4"/>
  <c r="E38" i="4"/>
  <c r="E15" i="4"/>
  <c r="F85" i="4"/>
  <c r="F61" i="4"/>
  <c r="F37" i="4"/>
  <c r="E85" i="4"/>
  <c r="E61" i="4"/>
  <c r="E37" i="4"/>
  <c r="E14" i="4"/>
  <c r="F84" i="4"/>
  <c r="F60" i="4"/>
  <c r="F36" i="4"/>
  <c r="E84" i="4"/>
  <c r="E60" i="4"/>
  <c r="E36" i="4"/>
  <c r="E13" i="4"/>
  <c r="F83" i="4"/>
  <c r="F59" i="4"/>
  <c r="F35" i="4"/>
  <c r="E83" i="4"/>
  <c r="E59" i="4"/>
  <c r="E35" i="4"/>
  <c r="E9" i="4"/>
  <c r="E11" i="4"/>
  <c r="F81" i="4"/>
  <c r="F57" i="4"/>
  <c r="F33" i="4"/>
  <c r="E81" i="4"/>
  <c r="E57" i="4"/>
  <c r="E33" i="4"/>
  <c r="E10" i="4"/>
  <c r="F80" i="4"/>
  <c r="F56" i="4"/>
  <c r="F31" i="4"/>
  <c r="E80" i="4"/>
  <c r="E56" i="4"/>
  <c r="E32" i="4"/>
  <c r="E8" i="4"/>
  <c r="F79" i="4"/>
  <c r="F55" i="4"/>
  <c r="F32" i="4"/>
  <c r="E79" i="4"/>
  <c r="E55" i="4"/>
  <c r="E31" i="4"/>
  <c r="F63" i="4" l="1"/>
  <c r="P58" i="4" s="1"/>
  <c r="F87" i="4"/>
  <c r="P79" i="4" s="1"/>
  <c r="F39" i="4"/>
  <c r="P42" i="4" s="1"/>
  <c r="P59" i="4"/>
  <c r="P46" i="4"/>
  <c r="P62" i="4"/>
  <c r="P48" i="4"/>
  <c r="P64" i="4"/>
  <c r="F51" i="4"/>
  <c r="P50" i="4" s="1"/>
  <c r="F75" i="4"/>
  <c r="P67" i="4" s="1"/>
  <c r="F99" i="4"/>
  <c r="P85" i="4" s="1"/>
  <c r="P82" i="4"/>
  <c r="P83" i="4"/>
  <c r="P53" i="4"/>
  <c r="P86" i="4"/>
  <c r="P87" i="4"/>
  <c r="P57" i="4"/>
  <c r="F16" i="4"/>
  <c r="P36" i="4" s="1"/>
  <c r="G40" i="1"/>
  <c r="P41" i="4" l="1"/>
  <c r="P37" i="4"/>
  <c r="P61" i="4"/>
  <c r="P34" i="4"/>
  <c r="P54" i="4"/>
  <c r="P38" i="4"/>
  <c r="P35" i="4"/>
  <c r="P43" i="4"/>
  <c r="P45" i="4"/>
  <c r="P88" i="4"/>
  <c r="P55" i="4"/>
  <c r="P39" i="4"/>
  <c r="P84" i="4"/>
  <c r="P51" i="4"/>
  <c r="P65" i="4"/>
  <c r="P63" i="4"/>
  <c r="P60" i="4"/>
  <c r="P89" i="4"/>
  <c r="P56" i="4"/>
  <c r="P40" i="4"/>
  <c r="P52" i="4"/>
  <c r="P80" i="4"/>
  <c r="P47" i="4"/>
  <c r="P75" i="4"/>
  <c r="P66" i="4"/>
  <c r="P81" i="4"/>
  <c r="P76" i="4"/>
  <c r="P74" i="4"/>
  <c r="P78" i="4"/>
  <c r="P77" i="4"/>
  <c r="P73" i="4"/>
  <c r="P72" i="4"/>
  <c r="P71" i="4"/>
  <c r="P70" i="4"/>
  <c r="P69" i="4"/>
  <c r="P68" i="4"/>
  <c r="P49" i="4"/>
  <c r="P44" i="4"/>
  <c r="I41" i="1"/>
  <c r="L41" i="1"/>
  <c r="O41" i="1"/>
  <c r="K41" i="1"/>
  <c r="N41" i="1"/>
  <c r="M41" i="1"/>
  <c r="J41" i="1"/>
  <c r="H41" i="1"/>
  <c r="G41" i="1"/>
  <c r="G42" i="1" s="1"/>
  <c r="H43" i="1" l="1"/>
  <c r="H42" i="1"/>
  <c r="I43" i="1" s="1"/>
</calcChain>
</file>

<file path=xl/sharedStrings.xml><?xml version="1.0" encoding="utf-8"?>
<sst xmlns="http://schemas.openxmlformats.org/spreadsheetml/2006/main" count="317" uniqueCount="110">
  <si>
    <t xml:space="preserve">Date </t>
  </si>
  <si>
    <t>n°du bon de livraison</t>
  </si>
  <si>
    <t xml:space="preserve">Fournisseur </t>
  </si>
  <si>
    <t>Type de produits</t>
  </si>
  <si>
    <t xml:space="preserve">Produit </t>
  </si>
  <si>
    <t xml:space="preserve">Gamme </t>
  </si>
  <si>
    <t xml:space="preserve">Montant / Caractéristiques du produit </t>
  </si>
  <si>
    <t>Produits "durables"</t>
  </si>
  <si>
    <t xml:space="preserve">BIO </t>
  </si>
  <si>
    <t>Produits sans spécifications</t>
  </si>
  <si>
    <t>Total €</t>
  </si>
  <si>
    <t>Total global €</t>
  </si>
  <si>
    <t xml:space="preserve">Coût par rapport au coût total % </t>
  </si>
  <si>
    <t>BOF</t>
  </si>
  <si>
    <t xml:space="preserve">Viandes </t>
  </si>
  <si>
    <t>Volailles</t>
  </si>
  <si>
    <t>Fruits</t>
  </si>
  <si>
    <t>Légumes</t>
  </si>
  <si>
    <t>Poissons</t>
  </si>
  <si>
    <t>Epicerie</t>
  </si>
  <si>
    <t>Boisson</t>
  </si>
  <si>
    <t>Entretiens et jetables</t>
  </si>
  <si>
    <t>Charcuterie Traiteur</t>
  </si>
  <si>
    <t>Consommables</t>
  </si>
  <si>
    <t>AOP</t>
  </si>
  <si>
    <t>IGP</t>
  </si>
  <si>
    <t>AOC</t>
  </si>
  <si>
    <t>STG</t>
  </si>
  <si>
    <t>LABEL ROUGE</t>
  </si>
  <si>
    <t xml:space="preserve">LOCAL </t>
  </si>
  <si>
    <t xml:space="preserve">HVE </t>
  </si>
  <si>
    <t>SIQO</t>
  </si>
  <si>
    <t>Produit fermier</t>
  </si>
  <si>
    <t xml:space="preserve">Ecolabel </t>
  </si>
  <si>
    <t>Autres</t>
  </si>
  <si>
    <t>Fruits et légumes de ma région</t>
  </si>
  <si>
    <t>Les eleveurs de la charentonne</t>
  </si>
  <si>
    <t>Saveurs en OR</t>
  </si>
  <si>
    <t>Ferme des peupliers</t>
  </si>
  <si>
    <t>Adrien Labrouche</t>
  </si>
  <si>
    <t>Lionor</t>
  </si>
  <si>
    <t>100% LOCAL</t>
  </si>
  <si>
    <t>BLEU BLANC CŒUR</t>
  </si>
  <si>
    <t>Vergers ecoresponsables</t>
  </si>
  <si>
    <t>Bienvenue à la ferme</t>
  </si>
  <si>
    <t>HVE</t>
  </si>
  <si>
    <t>Total général</t>
  </si>
  <si>
    <t>Frais</t>
  </si>
  <si>
    <t>Surgelé</t>
  </si>
  <si>
    <t>Cuisse de poulet</t>
  </si>
  <si>
    <t>Rôti</t>
  </si>
  <si>
    <t>Dinde</t>
  </si>
  <si>
    <t>Yaourth aux fruits</t>
  </si>
  <si>
    <t>Fromage frais</t>
  </si>
  <si>
    <t>GOUDA</t>
  </si>
  <si>
    <t>Cabillau</t>
  </si>
  <si>
    <t>Truite</t>
  </si>
  <si>
    <t>Entrecote</t>
  </si>
  <si>
    <t>Vinaigrette</t>
  </si>
  <si>
    <t>Pomme</t>
  </si>
  <si>
    <t>Clementine</t>
  </si>
  <si>
    <t>Courgette</t>
  </si>
  <si>
    <t>Haricots</t>
  </si>
  <si>
    <t>Pommes de terres</t>
  </si>
  <si>
    <t>Eau pétillante</t>
  </si>
  <si>
    <t>Papillote de fromage</t>
  </si>
  <si>
    <t>Quiche</t>
  </si>
  <si>
    <t xml:space="preserve">Suivi des approvisionnements - 2021 </t>
  </si>
  <si>
    <t>LOCAL Prix</t>
  </si>
  <si>
    <t>LOCAL Libellé</t>
  </si>
  <si>
    <t>SIQO Prix</t>
  </si>
  <si>
    <t>SIQO Libellé</t>
  </si>
  <si>
    <t>Autres 1</t>
  </si>
  <si>
    <t>Autres 2</t>
  </si>
  <si>
    <t>Autres 3</t>
  </si>
  <si>
    <t>Autres 4</t>
  </si>
  <si>
    <t>Valeur</t>
  </si>
  <si>
    <t>Qualité des approvisionnements</t>
  </si>
  <si>
    <t>% De fruits sans spécificités</t>
  </si>
  <si>
    <t>TOTAL</t>
  </si>
  <si>
    <t xml:space="preserve">Produits sans spécifications </t>
  </si>
  <si>
    <t>BIO</t>
  </si>
  <si>
    <t>LOCAL</t>
  </si>
  <si>
    <t>Ecolabel</t>
  </si>
  <si>
    <t xml:space="preserve">Produit fermier </t>
  </si>
  <si>
    <t>ALT + F5 POUR ACTUALISER LE TCD</t>
  </si>
  <si>
    <t>% de fruits bios (ou en cours de conversion)</t>
  </si>
  <si>
    <t>% de Fruits LOCAUX</t>
  </si>
  <si>
    <t>% De Fruits HVE</t>
  </si>
  <si>
    <t>% de Fruits fermiers</t>
  </si>
  <si>
    <t>% de Fruits sous écolabel</t>
  </si>
  <si>
    <t>% de Fruits AUTRES</t>
  </si>
  <si>
    <t xml:space="preserve">VIANDES </t>
  </si>
  <si>
    <t>BOISSONS</t>
  </si>
  <si>
    <t xml:space="preserve">  AUTRES</t>
  </si>
  <si>
    <t xml:space="preserve"> écolabel</t>
  </si>
  <si>
    <t xml:space="preserve"> fermiers</t>
  </si>
  <si>
    <t xml:space="preserve"> SIQO</t>
  </si>
  <si>
    <t xml:space="preserve"> LOCAUX</t>
  </si>
  <si>
    <t xml:space="preserve"> bios (ou en cours de conversion)</t>
  </si>
  <si>
    <t xml:space="preserve"> sans spécificités</t>
  </si>
  <si>
    <t>%</t>
  </si>
  <si>
    <t>% De Fruits SIQO</t>
  </si>
  <si>
    <t xml:space="preserve">Catégorie </t>
  </si>
  <si>
    <t>FRUITS</t>
  </si>
  <si>
    <t xml:space="preserve">Sans spécificités </t>
  </si>
  <si>
    <t>Bios</t>
  </si>
  <si>
    <t>Fermiers</t>
  </si>
  <si>
    <t>ecolabel</t>
  </si>
  <si>
    <t>Viandes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</si>
</sst>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theme="1"/>
      <name val="Neue Haas Grotesk Text Pro Medi"/>
      <family val="2"/>
    </font>
    <font>
      <sz val="24"/>
      <color theme="1"/>
      <name val="Cooper Black"/>
      <family val="1"/>
    </font>
    <font>
      <sz val="20"/>
      <color theme="1"/>
      <name val="Arial Black"/>
      <family val="2"/>
    </font>
    <font>
      <b/>
      <sz val="20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7"/>
      </top>
      <bottom style="thin">
        <color theme="7"/>
      </bottom>
      <diagonal/>
    </border>
    <border>
      <left/>
      <right/>
      <top/>
      <bottom style="thin">
        <color theme="0"/>
      </bottom>
      <diagonal/>
    </border>
    <border>
      <left style="thin">
        <color theme="7"/>
      </left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10" fontId="0" fillId="0" borderId="5" xfId="0" applyNumberFormat="1" applyBorder="1"/>
    <xf numFmtId="10" fontId="0" fillId="0" borderId="7" xfId="0" applyNumberFormat="1" applyBorder="1"/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right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0" fontId="0" fillId="0" borderId="6" xfId="0" applyNumberFormat="1" applyBorder="1"/>
    <xf numFmtId="10" fontId="0" fillId="0" borderId="13" xfId="0" applyNumberFormat="1" applyBorder="1" applyAlignment="1"/>
    <xf numFmtId="10" fontId="0" fillId="0" borderId="14" xfId="0" applyNumberFormat="1" applyBorder="1" applyAlignment="1"/>
    <xf numFmtId="0" fontId="0" fillId="3" borderId="0" xfId="0" applyFill="1" applyAlignment="1"/>
    <xf numFmtId="0" fontId="2" fillId="0" borderId="0" xfId="0" applyFont="1"/>
    <xf numFmtId="0" fontId="0" fillId="0" borderId="11" xfId="0" applyFont="1" applyBorder="1"/>
    <xf numFmtId="164" fontId="0" fillId="0" borderId="19" xfId="0" applyNumberFormat="1" applyFont="1" applyBorder="1"/>
    <xf numFmtId="164" fontId="0" fillId="0" borderId="11" xfId="0" applyNumberFormat="1" applyFont="1" applyBorder="1"/>
    <xf numFmtId="0" fontId="0" fillId="0" borderId="19" xfId="0" applyFont="1" applyBorder="1"/>
    <xf numFmtId="0" fontId="0" fillId="0" borderId="6" xfId="0" applyFont="1" applyBorder="1"/>
    <xf numFmtId="0" fontId="4" fillId="4" borderId="0" xfId="0" applyFont="1" applyFill="1" applyBorder="1" applyAlignment="1">
      <alignment horizontal="center" vertical="center" wrapText="1"/>
    </xf>
    <xf numFmtId="0" fontId="0" fillId="0" borderId="14" xfId="0" applyBorder="1"/>
    <xf numFmtId="0" fontId="0" fillId="3" borderId="14" xfId="0" applyFill="1" applyBorder="1" applyAlignment="1"/>
    <xf numFmtId="164" fontId="0" fillId="0" borderId="14" xfId="0" applyNumberFormat="1" applyBorder="1"/>
    <xf numFmtId="164" fontId="0" fillId="0" borderId="14" xfId="0" applyNumberFormat="1" applyFill="1" applyBorder="1"/>
    <xf numFmtId="0" fontId="0" fillId="0" borderId="0" xfId="0" applyAlignment="1">
      <alignment wrapText="1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0" fontId="0" fillId="0" borderId="14" xfId="0" applyNumberFormat="1" applyBorder="1"/>
    <xf numFmtId="0" fontId="0" fillId="3" borderId="14" xfId="0" applyFill="1" applyBorder="1" applyAlignment="1">
      <alignment horizontal="center"/>
    </xf>
    <xf numFmtId="164" fontId="0" fillId="0" borderId="0" xfId="0" applyNumberFormat="1"/>
    <xf numFmtId="10" fontId="0" fillId="0" borderId="0" xfId="0" applyNumberFormat="1"/>
    <xf numFmtId="0" fontId="1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18" xfId="0" applyFill="1" applyBorder="1" applyAlignment="1">
      <alignment horizontal="center"/>
    </xf>
    <xf numFmtId="10" fontId="0" fillId="0" borderId="17" xfId="0" applyNumberFormat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10" fontId="0" fillId="0" borderId="7" xfId="0" applyNumberFormat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right"/>
    </xf>
    <xf numFmtId="164" fontId="0" fillId="0" borderId="7" xfId="0" applyNumberFormat="1" applyBorder="1" applyAlignment="1">
      <alignment horizontal="right"/>
    </xf>
    <xf numFmtId="164" fontId="0" fillId="0" borderId="9" xfId="0" applyNumberFormat="1" applyBorder="1" applyAlignment="1">
      <alignment horizontal="right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0" fillId="3" borderId="15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right"/>
    </xf>
    <xf numFmtId="0" fontId="7" fillId="0" borderId="29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29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0" fillId="0" borderId="0" xfId="0" applyBorder="1"/>
    <xf numFmtId="0" fontId="0" fillId="0" borderId="0" xfId="0" applyAlignment="1"/>
    <xf numFmtId="0" fontId="0" fillId="5" borderId="35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164" fontId="0" fillId="5" borderId="35" xfId="0" applyNumberFormat="1" applyFill="1" applyBorder="1"/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6" borderId="35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7" borderId="33" xfId="0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7" borderId="31" xfId="0" applyFill="1" applyBorder="1"/>
    <xf numFmtId="0" fontId="0" fillId="6" borderId="38" xfId="0" applyFill="1" applyBorder="1" applyAlignment="1">
      <alignment horizontal="center"/>
    </xf>
    <xf numFmtId="10" fontId="0" fillId="6" borderId="35" xfId="0" applyNumberFormat="1" applyFill="1" applyBorder="1"/>
    <xf numFmtId="10" fontId="0" fillId="6" borderId="14" xfId="0" applyNumberFormat="1" applyFill="1" applyBorder="1" applyAlignment="1">
      <alignment vertical="center"/>
    </xf>
    <xf numFmtId="0" fontId="0" fillId="5" borderId="38" xfId="0" applyFill="1" applyBorder="1" applyAlignment="1">
      <alignment horizontal="center"/>
    </xf>
    <xf numFmtId="10" fontId="0" fillId="5" borderId="35" xfId="0" applyNumberFormat="1" applyFill="1" applyBorder="1"/>
    <xf numFmtId="0" fontId="0" fillId="0" borderId="6" xfId="0" applyNumberFormat="1" applyFont="1" applyBorder="1"/>
  </cellXfs>
  <cellStyles count="1">
    <cellStyle name="Normal" xfId="0" builtinId="0"/>
  </cellStyles>
  <dxfs count="55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</dxf>
    <dxf>
      <numFmt numFmtId="164" formatCode="#,##0.00\ &quot;€&quot;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</dxf>
    <dxf>
      <numFmt numFmtId="164" formatCode="#,##0.00\ &quot;€&quot;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border outline="0">
        <top style="thin">
          <color theme="1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[suivi-des-approvisionnements-version-amelio-test.xlsx]Tableau!Tableau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2025371828521432E-2"/>
          <c:y val="0.14712744240303297"/>
          <c:w val="0.54084383202099739"/>
          <c:h val="0.658530912802566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Tableau!$C$18</c:f>
              <c:strCache>
                <c:ptCount val="1"/>
                <c:pt idx="0">
                  <c:v>Produits sans spécifications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Tableau!$C$19:$C$28</c:f>
              <c:numCache>
                <c:formatCode>#\ ##0.00\ "€"</c:formatCode>
                <c:ptCount val="9"/>
                <c:pt idx="0">
                  <c:v>115</c:v>
                </c:pt>
                <c:pt idx="7">
                  <c:v>25</c:v>
                </c:pt>
                <c:pt idx="8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30-47D3-815B-B9E8AE9991D0}"/>
            </c:ext>
          </c:extLst>
        </c:ser>
        <c:ser>
          <c:idx val="1"/>
          <c:order val="1"/>
          <c:tx>
            <c:strRef>
              <c:f>Tableau!$D$18</c:f>
              <c:strCache>
                <c:ptCount val="1"/>
                <c:pt idx="0">
                  <c:v>BIO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Tableau!$D$19:$D$28</c:f>
              <c:numCache>
                <c:formatCode>#\ ##0.00\ "€"</c:formatCode>
                <c:ptCount val="9"/>
                <c:pt idx="0">
                  <c:v>22</c:v>
                </c:pt>
                <c:pt idx="2">
                  <c:v>23</c:v>
                </c:pt>
                <c:pt idx="4">
                  <c:v>112</c:v>
                </c:pt>
                <c:pt idx="5">
                  <c:v>102</c:v>
                </c:pt>
                <c:pt idx="7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30-47D3-815B-B9E8AE9991D0}"/>
            </c:ext>
          </c:extLst>
        </c:ser>
        <c:ser>
          <c:idx val="2"/>
          <c:order val="2"/>
          <c:tx>
            <c:strRef>
              <c:f>Tableau!$E$18</c:f>
              <c:strCache>
                <c:ptCount val="1"/>
                <c:pt idx="0">
                  <c:v>LOCAL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Tableau!$E$19:$E$28</c:f>
              <c:numCache>
                <c:formatCode>#\ ##0.00\ "€"</c:formatCode>
                <c:ptCount val="9"/>
                <c:pt idx="4">
                  <c:v>54</c:v>
                </c:pt>
                <c:pt idx="5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30-47D3-815B-B9E8AE9991D0}"/>
            </c:ext>
          </c:extLst>
        </c:ser>
        <c:ser>
          <c:idx val="3"/>
          <c:order val="3"/>
          <c:tx>
            <c:strRef>
              <c:f>Tableau!$F$18</c:f>
              <c:strCache>
                <c:ptCount val="1"/>
                <c:pt idx="0">
                  <c:v>HVE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Tableau!$F$19:$F$28</c:f>
              <c:numCache>
                <c:formatCode>#\ ##0.00\ "€"</c:formatCode>
                <c:ptCount val="9"/>
                <c:pt idx="4">
                  <c:v>24</c:v>
                </c:pt>
                <c:pt idx="5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630-47D3-815B-B9E8AE9991D0}"/>
            </c:ext>
          </c:extLst>
        </c:ser>
        <c:ser>
          <c:idx val="4"/>
          <c:order val="4"/>
          <c:tx>
            <c:strRef>
              <c:f>Tableau!$G$18</c:f>
              <c:strCache>
                <c:ptCount val="1"/>
                <c:pt idx="0">
                  <c:v>SIQO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Tableau!$G$19:$G$28</c:f>
              <c:numCache>
                <c:formatCode>#\ ##0.00\ "€"</c:formatCode>
                <c:ptCount val="9"/>
                <c:pt idx="0">
                  <c:v>22</c:v>
                </c:pt>
                <c:pt idx="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630-47D3-815B-B9E8AE9991D0}"/>
            </c:ext>
          </c:extLst>
        </c:ser>
        <c:ser>
          <c:idx val="5"/>
          <c:order val="5"/>
          <c:tx>
            <c:strRef>
              <c:f>Tableau!$H$18</c:f>
              <c:strCache>
                <c:ptCount val="1"/>
                <c:pt idx="0">
                  <c:v>Produit fermier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Tableau!$H$19:$H$28</c:f>
              <c:numCache>
                <c:formatCode>#\ ##0.00\ "€"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5-A630-47D3-815B-B9E8AE9991D0}"/>
            </c:ext>
          </c:extLst>
        </c:ser>
        <c:ser>
          <c:idx val="6"/>
          <c:order val="6"/>
          <c:tx>
            <c:strRef>
              <c:f>Tableau!$I$18</c:f>
              <c:strCache>
                <c:ptCount val="1"/>
                <c:pt idx="0">
                  <c:v>Ecolabel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Tableau!$I$19:$I$28</c:f>
              <c:numCache>
                <c:formatCode>#\ ##0.00\ "€"</c:formatCode>
                <c:ptCount val="9"/>
                <c:pt idx="6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630-47D3-815B-B9E8AE9991D0}"/>
            </c:ext>
          </c:extLst>
        </c:ser>
        <c:ser>
          <c:idx val="7"/>
          <c:order val="7"/>
          <c:tx>
            <c:strRef>
              <c:f>Tableau!$J$18</c:f>
              <c:strCache>
                <c:ptCount val="1"/>
                <c:pt idx="0">
                  <c:v>Autres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Tableau!$B$19:$B$28</c:f>
              <c:strCache>
                <c:ptCount val="9"/>
                <c:pt idx="0">
                  <c:v>BOF</c:v>
                </c:pt>
                <c:pt idx="1">
                  <c:v>Boisson</c:v>
                </c:pt>
                <c:pt idx="2">
                  <c:v>Charcuterie Traiteur</c:v>
                </c:pt>
                <c:pt idx="3">
                  <c:v>Epicerie</c:v>
                </c:pt>
                <c:pt idx="4">
                  <c:v>Fruits</c:v>
                </c:pt>
                <c:pt idx="5">
                  <c:v>Légumes</c:v>
                </c:pt>
                <c:pt idx="6">
                  <c:v>Poissons</c:v>
                </c:pt>
                <c:pt idx="7">
                  <c:v>Viandes </c:v>
                </c:pt>
                <c:pt idx="8">
                  <c:v>Volailles</c:v>
                </c:pt>
              </c:strCache>
            </c:strRef>
          </c:cat>
          <c:val>
            <c:numRef>
              <c:f>Tableau!$J$19:$J$28</c:f>
              <c:numCache>
                <c:formatCode>#\ ##0.00\ "€"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7-A630-47D3-815B-B9E8AE999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3847048"/>
        <c:axId val="443851640"/>
      </c:barChart>
      <c:catAx>
        <c:axId val="443847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51640"/>
        <c:crosses val="autoZero"/>
        <c:auto val="1"/>
        <c:lblAlgn val="ctr"/>
        <c:lblOffset val="100"/>
        <c:noMultiLvlLbl val="0"/>
      </c:catAx>
      <c:valAx>
        <c:axId val="443851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847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898031496062992"/>
          <c:y val="0.16051983085447655"/>
          <c:w val="0.32435301837270336"/>
          <c:h val="0.637293307086614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114300</xdr:rowOff>
    </xdr:from>
    <xdr:to>
      <xdr:col>4</xdr:col>
      <xdr:colOff>904321</xdr:colOff>
      <xdr:row>2</xdr:row>
      <xdr:rowOff>504729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BF9429A-1833-4B97-808E-B791DB28B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114300"/>
          <a:ext cx="4428571" cy="7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16</xdr:row>
      <xdr:rowOff>23812</xdr:rowOff>
    </xdr:from>
    <xdr:to>
      <xdr:col>17</xdr:col>
      <xdr:colOff>161925</xdr:colOff>
      <xdr:row>28</xdr:row>
      <xdr:rowOff>100012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C3A8308-A379-45F6-9A0D-00DF7D5B40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agiaire-B" refreshedDate="44313.641552314817" createdVersion="6" refreshedVersion="7" minRefreshableVersion="3" recordCount="18" xr:uid="{EDF0F114-594A-42C4-A91F-E2E91BEC7E16}">
  <cacheSource type="worksheet">
    <worksheetSource name="Tableau2"/>
  </cacheSource>
  <cacheFields count="19">
    <cacheField name="Date " numFmtId="0">
      <sharedItems containsNonDate="0" containsString="0" containsBlank="1"/>
    </cacheField>
    <cacheField name="n°du bon de livraison" numFmtId="0">
      <sharedItems containsNonDate="0" containsString="0" containsBlank="1"/>
    </cacheField>
    <cacheField name="Fournisseur " numFmtId="0">
      <sharedItems containsNonDate="0" containsString="0" containsBlank="1"/>
    </cacheField>
    <cacheField name="Type de produits" numFmtId="0">
      <sharedItems/>
    </cacheField>
    <cacheField name="Produit " numFmtId="0">
      <sharedItems/>
    </cacheField>
    <cacheField name="Gamme " numFmtId="0">
      <sharedItems count="9">
        <s v="Viandes "/>
        <s v="Volailles"/>
        <s v="BOF"/>
        <s v="Poissons"/>
        <s v="Epicerie"/>
        <s v="Fruits"/>
        <s v="Légumes"/>
        <s v="Boisson"/>
        <s v="Charcuterie Traiteur"/>
      </sharedItems>
    </cacheField>
    <cacheField name="Produits sans spécifications" numFmtId="164">
      <sharedItems containsString="0" containsBlank="1" containsNumber="1" containsInteger="1" minValue="25" maxValue="86"/>
    </cacheField>
    <cacheField name="BIO " numFmtId="164">
      <sharedItems containsString="0" containsBlank="1" containsNumber="1" containsInteger="1" minValue="22" maxValue="120"/>
    </cacheField>
    <cacheField name="LOCAL Prix" numFmtId="164">
      <sharedItems containsString="0" containsBlank="1" containsNumber="1" containsInteger="1" minValue="12" maxValue="54"/>
    </cacheField>
    <cacheField name="LOCAL Libellé" numFmtId="164">
      <sharedItems containsBlank="1"/>
    </cacheField>
    <cacheField name="HVE " numFmtId="164">
      <sharedItems containsString="0" containsBlank="1" containsNumber="1" containsInteger="1" minValue="24" maxValue="35"/>
    </cacheField>
    <cacheField name="SIQO Prix" numFmtId="164">
      <sharedItems containsString="0" containsBlank="1" containsNumber="1" containsInteger="1" minValue="22" maxValue="22"/>
    </cacheField>
    <cacheField name="SIQO Libellé" numFmtId="164">
      <sharedItems/>
    </cacheField>
    <cacheField name="Produit fermier" numFmtId="164">
      <sharedItems containsNonDate="0" containsString="0" containsBlank="1"/>
    </cacheField>
    <cacheField name="Ecolabel " numFmtId="164">
      <sharedItems containsString="0" containsBlank="1" containsNumber="1" containsInteger="1" minValue="24" maxValue="54"/>
    </cacheField>
    <cacheField name="Autres 1" numFmtId="0">
      <sharedItems containsNonDate="0" containsString="0" containsBlank="1"/>
    </cacheField>
    <cacheField name="Autres 2" numFmtId="0">
      <sharedItems containsNonDate="0" containsString="0" containsBlank="1"/>
    </cacheField>
    <cacheField name="Autres 3" numFmtId="0">
      <sharedItems containsNonDate="0" containsString="0" containsBlank="1"/>
    </cacheField>
    <cacheField name="Autres 4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m/>
    <m/>
    <m/>
    <s v="Frais"/>
    <s v="Rôti"/>
    <x v="0"/>
    <n v="25"/>
    <m/>
    <m/>
    <m/>
    <m/>
    <m/>
    <s v="AOP"/>
    <m/>
    <m/>
    <m/>
    <m/>
    <m/>
    <n v="1"/>
  </r>
  <r>
    <m/>
    <m/>
    <m/>
    <s v="Frais"/>
    <s v="Cuisse de poulet"/>
    <x v="1"/>
    <n v="86"/>
    <m/>
    <m/>
    <m/>
    <m/>
    <m/>
    <s v="AOP"/>
    <m/>
    <m/>
    <m/>
    <m/>
    <m/>
    <n v="1"/>
  </r>
  <r>
    <m/>
    <m/>
    <m/>
    <s v="Frais"/>
    <s v="Dinde"/>
    <x v="1"/>
    <m/>
    <m/>
    <m/>
    <m/>
    <m/>
    <m/>
    <s v="AOP"/>
    <m/>
    <m/>
    <m/>
    <m/>
    <m/>
    <n v="1"/>
  </r>
  <r>
    <m/>
    <m/>
    <m/>
    <s v="Frais"/>
    <s v="Yaourth aux fruits"/>
    <x v="2"/>
    <n v="58"/>
    <m/>
    <m/>
    <m/>
    <m/>
    <m/>
    <s v="AOP"/>
    <m/>
    <m/>
    <m/>
    <m/>
    <m/>
    <n v="1"/>
  </r>
  <r>
    <m/>
    <m/>
    <m/>
    <s v="Frais"/>
    <s v="Fromage frais"/>
    <x v="2"/>
    <n v="57"/>
    <m/>
    <m/>
    <m/>
    <m/>
    <m/>
    <s v="AOP"/>
    <m/>
    <m/>
    <m/>
    <m/>
    <m/>
    <n v="1"/>
  </r>
  <r>
    <m/>
    <m/>
    <m/>
    <s v="Frais"/>
    <s v="GOUDA"/>
    <x v="2"/>
    <m/>
    <n v="22"/>
    <m/>
    <m/>
    <m/>
    <n v="22"/>
    <s v="AOP"/>
    <m/>
    <m/>
    <m/>
    <m/>
    <m/>
    <n v="1"/>
  </r>
  <r>
    <m/>
    <m/>
    <m/>
    <s v="Surgelé"/>
    <s v="Cabillau"/>
    <x v="3"/>
    <m/>
    <m/>
    <m/>
    <m/>
    <m/>
    <m/>
    <s v="AOP"/>
    <m/>
    <n v="54"/>
    <m/>
    <m/>
    <m/>
    <n v="1"/>
  </r>
  <r>
    <m/>
    <m/>
    <m/>
    <s v="Surgelé"/>
    <s v="Truite"/>
    <x v="3"/>
    <m/>
    <m/>
    <m/>
    <m/>
    <m/>
    <m/>
    <s v="AOP"/>
    <m/>
    <n v="24"/>
    <m/>
    <m/>
    <m/>
    <n v="1"/>
  </r>
  <r>
    <m/>
    <m/>
    <m/>
    <s v="Frais"/>
    <s v="Entrecote"/>
    <x v="0"/>
    <m/>
    <n v="120"/>
    <m/>
    <m/>
    <m/>
    <m/>
    <s v="LABEL ROUGE"/>
    <m/>
    <m/>
    <m/>
    <m/>
    <m/>
    <n v="1"/>
  </r>
  <r>
    <m/>
    <m/>
    <m/>
    <s v="Frais"/>
    <s v="Vinaigrette"/>
    <x v="4"/>
    <m/>
    <m/>
    <m/>
    <m/>
    <m/>
    <m/>
    <s v="AOP"/>
    <m/>
    <m/>
    <m/>
    <m/>
    <m/>
    <n v="1"/>
  </r>
  <r>
    <m/>
    <m/>
    <m/>
    <s v="Frais"/>
    <s v="Pomme"/>
    <x v="5"/>
    <m/>
    <n v="52"/>
    <n v="54"/>
    <m/>
    <n v="24"/>
    <m/>
    <s v="AOP"/>
    <m/>
    <m/>
    <m/>
    <m/>
    <m/>
    <n v="1"/>
  </r>
  <r>
    <m/>
    <m/>
    <m/>
    <s v="Frais"/>
    <s v="Clementine"/>
    <x v="5"/>
    <m/>
    <n v="60"/>
    <m/>
    <m/>
    <m/>
    <m/>
    <s v="AOP"/>
    <m/>
    <m/>
    <m/>
    <m/>
    <m/>
    <n v="1"/>
  </r>
  <r>
    <m/>
    <m/>
    <m/>
    <s v="Frais"/>
    <s v="Courgette"/>
    <x v="6"/>
    <m/>
    <n v="45"/>
    <n v="23"/>
    <s v="Fruits et légumes de ma région"/>
    <m/>
    <n v="22"/>
    <s v="AOP"/>
    <m/>
    <m/>
    <m/>
    <m/>
    <m/>
    <n v="1"/>
  </r>
  <r>
    <m/>
    <m/>
    <m/>
    <s v="Frais"/>
    <s v="Haricots"/>
    <x v="6"/>
    <m/>
    <n v="25"/>
    <n v="22"/>
    <s v="Fruits et légumes de ma région"/>
    <n v="35"/>
    <m/>
    <s v="IGP"/>
    <m/>
    <m/>
    <m/>
    <m/>
    <m/>
    <n v="1"/>
  </r>
  <r>
    <m/>
    <m/>
    <m/>
    <s v="Frais"/>
    <s v="Pommes de terres"/>
    <x v="6"/>
    <m/>
    <n v="32"/>
    <n v="12"/>
    <s v="100% LOCAL"/>
    <m/>
    <m/>
    <s v="AOP"/>
    <m/>
    <m/>
    <m/>
    <m/>
    <m/>
    <n v="1"/>
  </r>
  <r>
    <m/>
    <m/>
    <m/>
    <s v="Frais"/>
    <s v="Eau pétillante"/>
    <x v="7"/>
    <m/>
    <m/>
    <m/>
    <m/>
    <m/>
    <m/>
    <s v="AOC"/>
    <m/>
    <m/>
    <m/>
    <m/>
    <m/>
    <n v="1"/>
  </r>
  <r>
    <m/>
    <m/>
    <m/>
    <s v="Surgelé"/>
    <s v="Papillote de fromage"/>
    <x v="8"/>
    <m/>
    <m/>
    <m/>
    <m/>
    <m/>
    <m/>
    <s v="AOP"/>
    <m/>
    <m/>
    <m/>
    <m/>
    <m/>
    <n v="1"/>
  </r>
  <r>
    <m/>
    <m/>
    <m/>
    <s v="Surgelé"/>
    <s v="Quiche"/>
    <x v="8"/>
    <m/>
    <n v="23"/>
    <m/>
    <m/>
    <m/>
    <m/>
    <s v="AOP"/>
    <m/>
    <m/>
    <m/>
    <m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EAF91B-CCE4-413D-88C6-6B2EF1BDC096}" name="Tableau croisé dynamique1" cacheId="6" applyNumberFormats="0" applyBorderFormats="0" applyFontFormats="0" applyPatternFormats="0" applyAlignmentFormats="0" applyWidthHeightFormats="1" dataCaption="Valeurs" updatedVersion="7" minRefreshableVersion="3" colGrandTotals="0" itemPrintTitles="1" createdVersion="6" indent="0" compact="0" compactData="0" multipleFieldFilters="0" chartFormat="2">
  <location ref="B18:J28" firstHeaderRow="0" firstDataRow="1" firstDataCol="1"/>
  <pivotFields count="1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9">
        <item x="2"/>
        <item x="7"/>
        <item x="8"/>
        <item x="4"/>
        <item x="5"/>
        <item x="6"/>
        <item x="3"/>
        <item x="0"/>
        <item x="1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5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Produits sans spécifications " fld="6" baseField="0" baseItem="0"/>
    <dataField name="BIO" fld="7" baseField="0" baseItem="0"/>
    <dataField name="LOCAL" fld="8" baseField="0" baseItem="0"/>
    <dataField name="HVE" fld="10" baseField="0" baseItem="0"/>
    <dataField name="SIQO" fld="11" baseField="0" baseItem="0"/>
    <dataField name="Produit fermier " fld="13" subtotal="count" baseField="5" baseItem="1"/>
    <dataField name="Ecolabel" fld="14" baseField="0" baseItem="0"/>
    <dataField name="Autres" fld="15" baseField="5" baseItem="0"/>
  </dataFields>
  <formats count="9">
    <format dxfId="24">
      <pivotArea field="5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26">
      <pivotArea field="5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28">
      <pivotArea field="5" type="button" dataOnly="0" labelOnly="1" outline="0" axis="axisRow" fieldPosition="0"/>
    </format>
    <format dxfId="29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">
      <pivotArea dataOnly="0" outline="0" fieldPosition="0">
        <references count="1">
          <reference field="5" count="0"/>
        </references>
      </pivotArea>
    </format>
    <format dxfId="31">
      <pivotArea grandRow="1" outline="0" collapsedLevelsAreSubtotals="1" fieldPosition="0"/>
    </format>
    <format dxfId="32">
      <pivotArea outline="0" fieldPosition="0">
        <references count="1">
          <reference field="5" count="0" selected="0"/>
        </references>
      </pivotArea>
    </format>
  </formats>
  <chartFormats count="8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9C7C21-E94F-4034-81AF-C857F2CDFA2C}" name="Tableau2" displayName="Tableau2" ref="A7:S38" totalsRowShown="0" headerRowDxfId="54" dataDxfId="53" tableBorderDxfId="52">
  <autoFilter ref="A7:S38" xr:uid="{4C83C559-05F8-404B-A2F5-57441D461A01}"/>
  <tableColumns count="19">
    <tableColumn id="1" xr3:uid="{68986EBA-65FA-467D-9308-3BC06B17E665}" name="Date " dataDxfId="51"/>
    <tableColumn id="2" xr3:uid="{520AB6FE-E31F-49D5-8B60-F3C6437FBB47}" name="n°du bon de livraison" dataDxfId="50"/>
    <tableColumn id="3" xr3:uid="{54992B4C-68F0-4F49-B033-295F281319A2}" name="Fournisseur " dataDxfId="49"/>
    <tableColumn id="4" xr3:uid="{A817A04C-2026-4C07-BFB1-3E13A2591FD7}" name="Type de produits" dataDxfId="48"/>
    <tableColumn id="5" xr3:uid="{B1334ABD-DBEE-4E69-9BD5-1147E0CC2DE0}" name="Produit " dataDxfId="47"/>
    <tableColumn id="6" xr3:uid="{394042C5-200C-4F75-AA45-CE9334DEBC15}" name="Gamme " dataDxfId="46"/>
    <tableColumn id="7" xr3:uid="{9394A4AD-D967-4769-946E-FB0AB03415D8}" name="Produits sans spécifications" dataDxfId="45"/>
    <tableColumn id="8" xr3:uid="{25E8A727-10EA-4C40-B36D-0BAF09469C7C}" name="BIO " dataDxfId="44"/>
    <tableColumn id="9" xr3:uid="{B35F51D0-C1C9-4E92-9313-2928225B81A6}" name="LOCAL Prix" dataDxfId="43"/>
    <tableColumn id="10" xr3:uid="{92276C49-2C48-4F15-ADDC-A3AD07E8E3FC}" name="LOCAL Libellé" dataDxfId="42"/>
    <tableColumn id="11" xr3:uid="{A2E82381-BD53-4E74-BD98-F880E06967F8}" name="HVE " dataDxfId="41"/>
    <tableColumn id="12" xr3:uid="{FDE3D21B-A079-4DC9-A1FF-7D3890BA6BB4}" name="SIQO Prix" dataDxfId="40"/>
    <tableColumn id="13" xr3:uid="{768C1B57-4351-4C17-BDD1-E94D37F1BD53}" name="SIQO Libellé" dataDxfId="39"/>
    <tableColumn id="14" xr3:uid="{887F1FCF-25D2-4406-B7D1-573D4D4DB0DD}" name="Produit fermier" dataDxfId="38"/>
    <tableColumn id="15" xr3:uid="{EE65B5FF-2275-422A-AF51-9CE07896FE14}" name="Ecolabel " dataDxfId="37"/>
    <tableColumn id="16" xr3:uid="{AC5CD79A-8D6B-409D-9D3D-7F1A6B1C4CE5}" name="Autres 1" dataDxfId="36"/>
    <tableColumn id="17" xr3:uid="{1A892296-289B-46BC-B91C-4F159DFECD08}" name="Autres 2" dataDxfId="35"/>
    <tableColumn id="18" xr3:uid="{39760EC0-439C-4D9B-B0BE-543FC9C3E106}" name="Autres 3" dataDxfId="34"/>
    <tableColumn id="19" xr3:uid="{84B56400-4900-43FD-ADC4-ACDA8277E5EC}" name="Autres 4" dataDxfId="33">
      <calculatedColumnFormula>SUBTOTAL(3,D8)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D9540-FEDE-4CBA-A0D8-BAF7B969D3C2}">
  <dimension ref="A1:V63"/>
  <sheetViews>
    <sheetView workbookViewId="0">
      <selection activeCell="A44" sqref="A44:V63"/>
    </sheetView>
  </sheetViews>
  <sheetFormatPr baseColWidth="10" defaultRowHeight="15" outlineLevelCol="1" x14ac:dyDescent="0.25"/>
  <cols>
    <col min="1" max="1" width="12.7109375" customWidth="1"/>
    <col min="2" max="2" width="16" customWidth="1"/>
    <col min="4" max="4" width="16.140625" customWidth="1"/>
    <col min="5" max="5" width="25.5703125" customWidth="1"/>
    <col min="6" max="6" width="19.85546875" customWidth="1"/>
    <col min="7" max="7" width="20.28515625" customWidth="1"/>
    <col min="10" max="10" width="29.140625" customWidth="1"/>
    <col min="13" max="13" width="12.85546875" customWidth="1"/>
    <col min="14" max="14" width="12.42578125" customWidth="1"/>
    <col min="19" max="19" width="0" hidden="1" customWidth="1" outlineLevel="1"/>
    <col min="20" max="20" width="11.5703125" collapsed="1"/>
  </cols>
  <sheetData>
    <row r="1" spans="1:22" x14ac:dyDescent="0.25">
      <c r="A1" s="16"/>
      <c r="B1" s="38"/>
      <c r="C1" s="37" t="s">
        <v>67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6"/>
      <c r="U1" s="36"/>
      <c r="V1" s="36"/>
    </row>
    <row r="2" spans="1:22" x14ac:dyDescent="0.25">
      <c r="A2" s="16"/>
      <c r="B2" s="38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6"/>
      <c r="U2" s="36"/>
      <c r="V2" s="36"/>
    </row>
    <row r="3" spans="1:22" ht="47.25" customHeight="1" x14ac:dyDescent="0.25">
      <c r="A3" s="16"/>
      <c r="B3" s="39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6"/>
      <c r="U3" s="36"/>
      <c r="V3" s="36"/>
    </row>
    <row r="4" spans="1:22" ht="14.25" customHeight="1" x14ac:dyDescent="0.25">
      <c r="A4" s="46" t="s">
        <v>0</v>
      </c>
      <c r="B4" s="49" t="s">
        <v>1</v>
      </c>
      <c r="C4" s="46" t="s">
        <v>2</v>
      </c>
      <c r="D4" s="46" t="s">
        <v>3</v>
      </c>
      <c r="E4" s="46" t="s">
        <v>4</v>
      </c>
      <c r="F4" s="51" t="s">
        <v>5</v>
      </c>
      <c r="G4" s="53" t="s">
        <v>6</v>
      </c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5"/>
      <c r="T4" s="36"/>
      <c r="U4" s="36"/>
      <c r="V4" s="36"/>
    </row>
    <row r="5" spans="1:22" x14ac:dyDescent="0.25">
      <c r="A5" s="46"/>
      <c r="B5" s="49"/>
      <c r="C5" s="46"/>
      <c r="D5" s="46"/>
      <c r="E5" s="46"/>
      <c r="F5" s="51"/>
      <c r="G5" s="64" t="s">
        <v>9</v>
      </c>
      <c r="H5" s="53" t="s">
        <v>7</v>
      </c>
      <c r="I5" s="54"/>
      <c r="J5" s="54"/>
      <c r="K5" s="54"/>
      <c r="L5" s="54"/>
      <c r="M5" s="54"/>
      <c r="N5" s="54"/>
      <c r="O5" s="54"/>
      <c r="P5" s="54"/>
      <c r="Q5" s="54"/>
      <c r="R5" s="54"/>
      <c r="S5" s="55"/>
      <c r="T5" s="36"/>
      <c r="U5" s="36"/>
      <c r="V5" s="36"/>
    </row>
    <row r="6" spans="1:22" ht="36.75" customHeight="1" x14ac:dyDescent="0.25">
      <c r="A6" s="47"/>
      <c r="B6" s="50"/>
      <c r="C6" s="47"/>
      <c r="D6" s="47"/>
      <c r="E6" s="47"/>
      <c r="F6" s="52"/>
      <c r="G6" s="64"/>
      <c r="H6" s="6" t="s">
        <v>8</v>
      </c>
      <c r="I6" s="65" t="s">
        <v>29</v>
      </c>
      <c r="J6" s="45"/>
      <c r="K6" s="11" t="s">
        <v>30</v>
      </c>
      <c r="L6" s="35" t="s">
        <v>31</v>
      </c>
      <c r="M6" s="35"/>
      <c r="N6" s="12" t="s">
        <v>32</v>
      </c>
      <c r="O6" s="7" t="s">
        <v>33</v>
      </c>
      <c r="P6" s="44" t="s">
        <v>34</v>
      </c>
      <c r="Q6" s="44"/>
      <c r="R6" s="44"/>
      <c r="S6" s="45"/>
      <c r="T6" s="36"/>
      <c r="U6" s="36"/>
      <c r="V6" s="36"/>
    </row>
    <row r="7" spans="1:22" s="17" customFormat="1" x14ac:dyDescent="0.25">
      <c r="A7" s="23" t="s">
        <v>0</v>
      </c>
      <c r="B7" s="23" t="s">
        <v>1</v>
      </c>
      <c r="C7" s="23" t="s">
        <v>2</v>
      </c>
      <c r="D7" s="23" t="s">
        <v>3</v>
      </c>
      <c r="E7" s="23" t="s">
        <v>4</v>
      </c>
      <c r="F7" s="23" t="s">
        <v>5</v>
      </c>
      <c r="G7" s="23" t="s">
        <v>9</v>
      </c>
      <c r="H7" s="23" t="s">
        <v>8</v>
      </c>
      <c r="I7" s="23" t="s">
        <v>68</v>
      </c>
      <c r="J7" s="23" t="s">
        <v>69</v>
      </c>
      <c r="K7" s="23" t="s">
        <v>30</v>
      </c>
      <c r="L7" s="23" t="s">
        <v>70</v>
      </c>
      <c r="M7" s="23" t="s">
        <v>71</v>
      </c>
      <c r="N7" s="23" t="s">
        <v>32</v>
      </c>
      <c r="O7" s="23" t="s">
        <v>33</v>
      </c>
      <c r="P7" s="23" t="s">
        <v>72</v>
      </c>
      <c r="Q7" s="23" t="s">
        <v>73</v>
      </c>
      <c r="R7" s="23" t="s">
        <v>74</v>
      </c>
      <c r="S7" s="23" t="s">
        <v>75</v>
      </c>
      <c r="T7" s="36"/>
      <c r="U7" s="36"/>
      <c r="V7" s="36"/>
    </row>
    <row r="8" spans="1:22" x14ac:dyDescent="0.25">
      <c r="A8" s="18"/>
      <c r="B8" s="18"/>
      <c r="C8" s="18"/>
      <c r="D8" s="18" t="s">
        <v>47</v>
      </c>
      <c r="E8" s="18" t="s">
        <v>50</v>
      </c>
      <c r="F8" s="18" t="s">
        <v>14</v>
      </c>
      <c r="G8" s="19">
        <v>25</v>
      </c>
      <c r="H8" s="20"/>
      <c r="I8" s="19"/>
      <c r="J8" s="19"/>
      <c r="K8" s="19"/>
      <c r="L8" s="19"/>
      <c r="M8" s="19" t="s">
        <v>24</v>
      </c>
      <c r="N8" s="19"/>
      <c r="O8" s="19"/>
      <c r="P8" s="18"/>
      <c r="Q8" s="18"/>
      <c r="R8" s="21"/>
      <c r="S8" s="22">
        <f t="shared" ref="S8:S38" si="0">SUBTOTAL(3,D8)</f>
        <v>1</v>
      </c>
      <c r="T8" s="36"/>
      <c r="U8" s="36"/>
      <c r="V8" s="36"/>
    </row>
    <row r="9" spans="1:22" x14ac:dyDescent="0.25">
      <c r="A9" s="18"/>
      <c r="B9" s="18"/>
      <c r="C9" s="18"/>
      <c r="D9" s="18" t="s">
        <v>47</v>
      </c>
      <c r="E9" s="18" t="s">
        <v>49</v>
      </c>
      <c r="F9" s="18" t="s">
        <v>15</v>
      </c>
      <c r="G9" s="20">
        <v>86</v>
      </c>
      <c r="H9" s="20"/>
      <c r="I9" s="20"/>
      <c r="J9" s="20"/>
      <c r="K9" s="20"/>
      <c r="L9" s="20"/>
      <c r="M9" s="20" t="s">
        <v>24</v>
      </c>
      <c r="N9" s="20"/>
      <c r="O9" s="20"/>
      <c r="P9" s="18"/>
      <c r="Q9" s="18"/>
      <c r="R9" s="18"/>
      <c r="S9" s="22">
        <f t="shared" si="0"/>
        <v>1</v>
      </c>
      <c r="T9" s="36"/>
      <c r="U9" s="36"/>
      <c r="V9" s="36"/>
    </row>
    <row r="10" spans="1:22" x14ac:dyDescent="0.25">
      <c r="A10" s="18"/>
      <c r="B10" s="18"/>
      <c r="C10" s="18"/>
      <c r="D10" s="18" t="s">
        <v>47</v>
      </c>
      <c r="E10" s="18" t="s">
        <v>51</v>
      </c>
      <c r="F10" s="18" t="s">
        <v>15</v>
      </c>
      <c r="G10" s="20"/>
      <c r="H10" s="20"/>
      <c r="I10" s="20"/>
      <c r="J10" s="20"/>
      <c r="K10" s="20"/>
      <c r="L10" s="20"/>
      <c r="M10" s="20" t="s">
        <v>24</v>
      </c>
      <c r="N10" s="20"/>
      <c r="O10" s="20"/>
      <c r="P10" s="18"/>
      <c r="Q10" s="18"/>
      <c r="R10" s="18"/>
      <c r="S10" s="22">
        <f t="shared" si="0"/>
        <v>1</v>
      </c>
      <c r="T10" s="36"/>
      <c r="U10" s="36"/>
      <c r="V10" s="36"/>
    </row>
    <row r="11" spans="1:22" x14ac:dyDescent="0.25">
      <c r="A11" s="18"/>
      <c r="B11" s="18"/>
      <c r="C11" s="18"/>
      <c r="D11" s="18" t="s">
        <v>47</v>
      </c>
      <c r="E11" s="18" t="s">
        <v>52</v>
      </c>
      <c r="F11" s="18" t="s">
        <v>13</v>
      </c>
      <c r="G11" s="20">
        <v>58</v>
      </c>
      <c r="H11" s="20"/>
      <c r="I11" s="20"/>
      <c r="J11" s="20"/>
      <c r="K11" s="20"/>
      <c r="L11" s="20"/>
      <c r="M11" s="20" t="s">
        <v>24</v>
      </c>
      <c r="N11" s="20"/>
      <c r="O11" s="20"/>
      <c r="P11" s="18"/>
      <c r="Q11" s="18"/>
      <c r="R11" s="18"/>
      <c r="S11" s="22">
        <f t="shared" si="0"/>
        <v>1</v>
      </c>
      <c r="T11" s="36"/>
      <c r="U11" s="36"/>
      <c r="V11" s="36"/>
    </row>
    <row r="12" spans="1:22" x14ac:dyDescent="0.25">
      <c r="A12" s="18"/>
      <c r="B12" s="18"/>
      <c r="C12" s="18"/>
      <c r="D12" s="18" t="s">
        <v>47</v>
      </c>
      <c r="E12" s="18" t="s">
        <v>53</v>
      </c>
      <c r="F12" s="18" t="s">
        <v>13</v>
      </c>
      <c r="G12" s="20">
        <v>57</v>
      </c>
      <c r="H12" s="20"/>
      <c r="I12" s="20"/>
      <c r="J12" s="20"/>
      <c r="K12" s="20"/>
      <c r="L12" s="20"/>
      <c r="M12" s="20" t="s">
        <v>24</v>
      </c>
      <c r="N12" s="20"/>
      <c r="O12" s="20"/>
      <c r="P12" s="18"/>
      <c r="Q12" s="18"/>
      <c r="R12" s="18"/>
      <c r="S12" s="22">
        <f t="shared" si="0"/>
        <v>1</v>
      </c>
      <c r="T12" s="36"/>
      <c r="U12" s="36"/>
      <c r="V12" s="36"/>
    </row>
    <row r="13" spans="1:22" x14ac:dyDescent="0.25">
      <c r="A13" s="18"/>
      <c r="B13" s="18"/>
      <c r="C13" s="18"/>
      <c r="D13" s="18" t="s">
        <v>47</v>
      </c>
      <c r="E13" s="18" t="s">
        <v>54</v>
      </c>
      <c r="F13" s="18" t="s">
        <v>13</v>
      </c>
      <c r="G13" s="20"/>
      <c r="H13" s="20">
        <v>22</v>
      </c>
      <c r="I13" s="20"/>
      <c r="J13" s="20"/>
      <c r="K13" s="20"/>
      <c r="L13" s="20">
        <v>22</v>
      </c>
      <c r="M13" s="20" t="s">
        <v>24</v>
      </c>
      <c r="N13" s="20"/>
      <c r="O13" s="20"/>
      <c r="P13" s="18"/>
      <c r="Q13" s="18"/>
      <c r="R13" s="18"/>
      <c r="S13" s="22">
        <f t="shared" si="0"/>
        <v>1</v>
      </c>
      <c r="T13" s="36"/>
      <c r="U13" s="36"/>
      <c r="V13" s="36"/>
    </row>
    <row r="14" spans="1:22" x14ac:dyDescent="0.25">
      <c r="A14" s="18"/>
      <c r="B14" s="18"/>
      <c r="C14" s="18"/>
      <c r="D14" s="18" t="s">
        <v>48</v>
      </c>
      <c r="E14" s="18" t="s">
        <v>55</v>
      </c>
      <c r="F14" s="18" t="s">
        <v>18</v>
      </c>
      <c r="G14" s="20"/>
      <c r="H14" s="20"/>
      <c r="I14" s="20"/>
      <c r="J14" s="20"/>
      <c r="K14" s="20"/>
      <c r="L14" s="20"/>
      <c r="M14" s="20" t="s">
        <v>24</v>
      </c>
      <c r="N14" s="20"/>
      <c r="O14" s="20">
        <v>54</v>
      </c>
      <c r="P14" s="18"/>
      <c r="Q14" s="18"/>
      <c r="R14" s="18"/>
      <c r="S14" s="22">
        <f t="shared" si="0"/>
        <v>1</v>
      </c>
      <c r="T14" s="36"/>
      <c r="U14" s="36"/>
      <c r="V14" s="36"/>
    </row>
    <row r="15" spans="1:22" x14ac:dyDescent="0.25">
      <c r="A15" s="18"/>
      <c r="B15" s="18"/>
      <c r="C15" s="18"/>
      <c r="D15" s="18" t="s">
        <v>48</v>
      </c>
      <c r="E15" s="18" t="s">
        <v>56</v>
      </c>
      <c r="F15" s="18" t="s">
        <v>18</v>
      </c>
      <c r="G15" s="20"/>
      <c r="H15" s="20"/>
      <c r="I15" s="20"/>
      <c r="J15" s="20"/>
      <c r="K15" s="20"/>
      <c r="L15" s="20"/>
      <c r="M15" s="20" t="s">
        <v>24</v>
      </c>
      <c r="N15" s="20"/>
      <c r="O15" s="20">
        <v>24</v>
      </c>
      <c r="P15" s="18"/>
      <c r="Q15" s="18"/>
      <c r="R15" s="18"/>
      <c r="S15" s="22">
        <f t="shared" si="0"/>
        <v>1</v>
      </c>
      <c r="T15" s="36"/>
      <c r="U15" s="36"/>
      <c r="V15" s="36"/>
    </row>
    <row r="16" spans="1:22" x14ac:dyDescent="0.25">
      <c r="A16" s="18"/>
      <c r="B16" s="18"/>
      <c r="C16" s="18"/>
      <c r="D16" s="18" t="s">
        <v>47</v>
      </c>
      <c r="E16" s="18" t="s">
        <v>57</v>
      </c>
      <c r="F16" s="18" t="s">
        <v>14</v>
      </c>
      <c r="G16" s="20"/>
      <c r="H16" s="20">
        <v>120</v>
      </c>
      <c r="I16" s="20"/>
      <c r="J16" s="20"/>
      <c r="K16" s="20"/>
      <c r="L16" s="20"/>
      <c r="M16" s="20" t="s">
        <v>28</v>
      </c>
      <c r="N16" s="20"/>
      <c r="O16" s="20"/>
      <c r="P16" s="18"/>
      <c r="Q16" s="18"/>
      <c r="R16" s="18"/>
      <c r="S16" s="22">
        <f t="shared" si="0"/>
        <v>1</v>
      </c>
      <c r="T16" s="36"/>
      <c r="U16" s="36"/>
      <c r="V16" s="36"/>
    </row>
    <row r="17" spans="1:22" x14ac:dyDescent="0.25">
      <c r="A17" s="18"/>
      <c r="B17" s="18"/>
      <c r="C17" s="18"/>
      <c r="D17" s="18" t="s">
        <v>47</v>
      </c>
      <c r="E17" s="18" t="s">
        <v>58</v>
      </c>
      <c r="F17" s="18" t="s">
        <v>19</v>
      </c>
      <c r="G17" s="20"/>
      <c r="H17" s="20"/>
      <c r="I17" s="20"/>
      <c r="J17" s="20"/>
      <c r="K17" s="20"/>
      <c r="L17" s="20"/>
      <c r="M17" s="20" t="s">
        <v>24</v>
      </c>
      <c r="N17" s="20"/>
      <c r="O17" s="20"/>
      <c r="P17" s="18"/>
      <c r="Q17" s="18"/>
      <c r="R17" s="18"/>
      <c r="S17" s="22">
        <f t="shared" si="0"/>
        <v>1</v>
      </c>
      <c r="T17" s="36"/>
      <c r="U17" s="36"/>
      <c r="V17" s="36"/>
    </row>
    <row r="18" spans="1:22" x14ac:dyDescent="0.25">
      <c r="A18" s="18"/>
      <c r="B18" s="18"/>
      <c r="C18" s="18"/>
      <c r="D18" s="18" t="s">
        <v>47</v>
      </c>
      <c r="E18" s="18" t="s">
        <v>59</v>
      </c>
      <c r="F18" s="18" t="s">
        <v>16</v>
      </c>
      <c r="G18" s="20"/>
      <c r="H18" s="20">
        <v>52</v>
      </c>
      <c r="I18" s="20">
        <v>54</v>
      </c>
      <c r="J18" s="20"/>
      <c r="K18" s="20">
        <v>24</v>
      </c>
      <c r="L18" s="20"/>
      <c r="M18" s="20" t="s">
        <v>24</v>
      </c>
      <c r="N18" s="20"/>
      <c r="O18" s="20"/>
      <c r="P18" s="18"/>
      <c r="Q18" s="18"/>
      <c r="R18" s="18"/>
      <c r="S18" s="22">
        <f t="shared" si="0"/>
        <v>1</v>
      </c>
      <c r="T18" s="36"/>
      <c r="U18" s="36"/>
      <c r="V18" s="36"/>
    </row>
    <row r="19" spans="1:22" x14ac:dyDescent="0.25">
      <c r="A19" s="18"/>
      <c r="B19" s="18"/>
      <c r="C19" s="18"/>
      <c r="D19" s="18" t="s">
        <v>47</v>
      </c>
      <c r="E19" s="18" t="s">
        <v>60</v>
      </c>
      <c r="F19" s="18" t="s">
        <v>16</v>
      </c>
      <c r="G19" s="20"/>
      <c r="H19" s="20">
        <v>60</v>
      </c>
      <c r="I19" s="20"/>
      <c r="J19" s="20"/>
      <c r="K19" s="20"/>
      <c r="L19" s="20"/>
      <c r="M19" s="20" t="s">
        <v>24</v>
      </c>
      <c r="N19" s="20"/>
      <c r="O19" s="20"/>
      <c r="P19" s="18"/>
      <c r="Q19" s="18"/>
      <c r="R19" s="18"/>
      <c r="S19" s="22">
        <f t="shared" si="0"/>
        <v>1</v>
      </c>
      <c r="T19" s="36"/>
      <c r="U19" s="36"/>
      <c r="V19" s="36"/>
    </row>
    <row r="20" spans="1:22" x14ac:dyDescent="0.25">
      <c r="A20" s="18"/>
      <c r="B20" s="18"/>
      <c r="C20" s="18"/>
      <c r="D20" s="18" t="s">
        <v>47</v>
      </c>
      <c r="E20" s="18" t="s">
        <v>61</v>
      </c>
      <c r="F20" s="18" t="s">
        <v>17</v>
      </c>
      <c r="G20" s="20"/>
      <c r="H20" s="20">
        <v>45</v>
      </c>
      <c r="I20" s="20">
        <v>23</v>
      </c>
      <c r="J20" s="20" t="s">
        <v>35</v>
      </c>
      <c r="K20" s="20"/>
      <c r="L20" s="20">
        <v>22</v>
      </c>
      <c r="M20" s="20" t="s">
        <v>24</v>
      </c>
      <c r="N20" s="20"/>
      <c r="O20" s="20"/>
      <c r="P20" s="18"/>
      <c r="Q20" s="18"/>
      <c r="R20" s="18"/>
      <c r="S20" s="22">
        <f t="shared" si="0"/>
        <v>1</v>
      </c>
      <c r="T20" s="36"/>
      <c r="U20" s="36"/>
      <c r="V20" s="36"/>
    </row>
    <row r="21" spans="1:22" x14ac:dyDescent="0.25">
      <c r="A21" s="18"/>
      <c r="B21" s="18"/>
      <c r="C21" s="18"/>
      <c r="D21" s="18" t="s">
        <v>47</v>
      </c>
      <c r="E21" s="18" t="s">
        <v>62</v>
      </c>
      <c r="F21" s="18" t="s">
        <v>17</v>
      </c>
      <c r="G21" s="20"/>
      <c r="H21" s="20">
        <v>25</v>
      </c>
      <c r="I21" s="20">
        <v>22</v>
      </c>
      <c r="J21" s="20" t="s">
        <v>35</v>
      </c>
      <c r="K21" s="20">
        <v>35</v>
      </c>
      <c r="L21" s="20"/>
      <c r="M21" s="20" t="s">
        <v>25</v>
      </c>
      <c r="N21" s="20"/>
      <c r="O21" s="20"/>
      <c r="P21" s="18"/>
      <c r="Q21" s="18"/>
      <c r="R21" s="18"/>
      <c r="S21" s="22">
        <f t="shared" si="0"/>
        <v>1</v>
      </c>
      <c r="T21" s="36"/>
      <c r="U21" s="36"/>
      <c r="V21" s="36"/>
    </row>
    <row r="22" spans="1:22" x14ac:dyDescent="0.25">
      <c r="A22" s="18"/>
      <c r="B22" s="18"/>
      <c r="C22" s="18"/>
      <c r="D22" s="18" t="s">
        <v>47</v>
      </c>
      <c r="E22" s="18" t="s">
        <v>63</v>
      </c>
      <c r="F22" s="18" t="s">
        <v>17</v>
      </c>
      <c r="G22" s="20"/>
      <c r="H22" s="20">
        <v>32</v>
      </c>
      <c r="I22" s="20">
        <v>12</v>
      </c>
      <c r="J22" s="20" t="s">
        <v>41</v>
      </c>
      <c r="K22" s="20"/>
      <c r="L22" s="20"/>
      <c r="M22" s="20" t="s">
        <v>24</v>
      </c>
      <c r="N22" s="20"/>
      <c r="O22" s="20"/>
      <c r="P22" s="18"/>
      <c r="Q22" s="18"/>
      <c r="R22" s="18"/>
      <c r="S22" s="22">
        <f t="shared" si="0"/>
        <v>1</v>
      </c>
      <c r="T22" s="36"/>
      <c r="U22" s="36"/>
      <c r="V22" s="36"/>
    </row>
    <row r="23" spans="1:22" x14ac:dyDescent="0.25">
      <c r="A23" s="18"/>
      <c r="B23" s="18"/>
      <c r="C23" s="18"/>
      <c r="D23" s="18" t="s">
        <v>47</v>
      </c>
      <c r="E23" s="18" t="s">
        <v>64</v>
      </c>
      <c r="F23" s="18" t="s">
        <v>20</v>
      </c>
      <c r="G23" s="20"/>
      <c r="H23" s="20"/>
      <c r="I23" s="20"/>
      <c r="J23" s="20"/>
      <c r="K23" s="20"/>
      <c r="L23" s="20"/>
      <c r="M23" s="20" t="s">
        <v>26</v>
      </c>
      <c r="N23" s="20"/>
      <c r="O23" s="20"/>
      <c r="P23" s="18"/>
      <c r="Q23" s="18"/>
      <c r="R23" s="18"/>
      <c r="S23" s="22">
        <f t="shared" si="0"/>
        <v>1</v>
      </c>
      <c r="T23" s="36"/>
      <c r="U23" s="36"/>
      <c r="V23" s="36"/>
    </row>
    <row r="24" spans="1:22" hidden="1" x14ac:dyDescent="0.25">
      <c r="A24" s="18"/>
      <c r="B24" s="18"/>
      <c r="C24" s="18"/>
      <c r="D24" s="18"/>
      <c r="E24" s="18"/>
      <c r="F24" s="18"/>
      <c r="G24" s="20"/>
      <c r="H24" s="20"/>
      <c r="I24" s="20"/>
      <c r="J24" s="20"/>
      <c r="K24" s="20"/>
      <c r="L24" s="20"/>
      <c r="M24" s="20"/>
      <c r="N24" s="20"/>
      <c r="O24" s="20"/>
      <c r="P24" s="18"/>
      <c r="Q24" s="18"/>
      <c r="R24" s="18"/>
      <c r="S24" s="114">
        <f>SUBTOTAL(3,D24)</f>
        <v>0</v>
      </c>
      <c r="T24" s="36"/>
      <c r="U24" s="36"/>
      <c r="V24" s="36"/>
    </row>
    <row r="25" spans="1:22" hidden="1" x14ac:dyDescent="0.25">
      <c r="A25" s="18"/>
      <c r="B25" s="18"/>
      <c r="C25" s="18"/>
      <c r="D25" s="18"/>
      <c r="E25" s="18"/>
      <c r="F25" s="18"/>
      <c r="G25" s="20"/>
      <c r="H25" s="20"/>
      <c r="I25" s="20"/>
      <c r="J25" s="20"/>
      <c r="K25" s="20"/>
      <c r="L25" s="20"/>
      <c r="M25" s="20"/>
      <c r="N25" s="20"/>
      <c r="O25" s="20"/>
      <c r="P25" s="18"/>
      <c r="Q25" s="18"/>
      <c r="R25" s="18"/>
      <c r="S25" s="114">
        <f>SUBTOTAL(3,D25)</f>
        <v>0</v>
      </c>
      <c r="T25" s="36"/>
      <c r="U25" s="36"/>
      <c r="V25" s="36"/>
    </row>
    <row r="26" spans="1:22" hidden="1" x14ac:dyDescent="0.25">
      <c r="A26" s="18"/>
      <c r="B26" s="18"/>
      <c r="C26" s="18"/>
      <c r="D26" s="18"/>
      <c r="E26" s="18"/>
      <c r="F26" s="18"/>
      <c r="G26" s="20"/>
      <c r="H26" s="20"/>
      <c r="I26" s="20"/>
      <c r="J26" s="20"/>
      <c r="K26" s="20"/>
      <c r="L26" s="20"/>
      <c r="M26" s="20"/>
      <c r="N26" s="20"/>
      <c r="O26" s="20"/>
      <c r="P26" s="18"/>
      <c r="Q26" s="18"/>
      <c r="R26" s="18"/>
      <c r="S26" s="114">
        <f>SUBTOTAL(3,D26)</f>
        <v>0</v>
      </c>
      <c r="T26" s="36"/>
      <c r="U26" s="36"/>
      <c r="V26" s="36"/>
    </row>
    <row r="27" spans="1:22" hidden="1" x14ac:dyDescent="0.25">
      <c r="A27" s="18"/>
      <c r="B27" s="18"/>
      <c r="C27" s="18"/>
      <c r="D27" s="18"/>
      <c r="E27" s="18"/>
      <c r="F27" s="18"/>
      <c r="G27" s="20"/>
      <c r="H27" s="20"/>
      <c r="I27" s="20"/>
      <c r="J27" s="20"/>
      <c r="K27" s="20"/>
      <c r="L27" s="20"/>
      <c r="M27" s="20"/>
      <c r="N27" s="20"/>
      <c r="O27" s="20"/>
      <c r="P27" s="18"/>
      <c r="Q27" s="18"/>
      <c r="R27" s="18"/>
      <c r="S27" s="114">
        <f>SUBTOTAL(3,D27)</f>
        <v>0</v>
      </c>
      <c r="T27" s="36"/>
      <c r="U27" s="36"/>
      <c r="V27" s="36"/>
    </row>
    <row r="28" spans="1:22" hidden="1" x14ac:dyDescent="0.25">
      <c r="A28" s="18"/>
      <c r="B28" s="18"/>
      <c r="C28" s="18"/>
      <c r="D28" s="18"/>
      <c r="E28" s="18"/>
      <c r="F28" s="18"/>
      <c r="G28" s="20"/>
      <c r="H28" s="20"/>
      <c r="I28" s="20"/>
      <c r="J28" s="20"/>
      <c r="K28" s="20"/>
      <c r="L28" s="20"/>
      <c r="M28" s="20"/>
      <c r="N28" s="20"/>
      <c r="O28" s="20"/>
      <c r="P28" s="18"/>
      <c r="Q28" s="18"/>
      <c r="R28" s="18"/>
      <c r="S28" s="114">
        <f>SUBTOTAL(3,D28)</f>
        <v>0</v>
      </c>
      <c r="T28" s="36"/>
      <c r="U28" s="36"/>
      <c r="V28" s="36"/>
    </row>
    <row r="29" spans="1:22" hidden="1" x14ac:dyDescent="0.25">
      <c r="A29" s="18"/>
      <c r="B29" s="18"/>
      <c r="C29" s="18"/>
      <c r="D29" s="18"/>
      <c r="E29" s="18"/>
      <c r="F29" s="18"/>
      <c r="G29" s="20"/>
      <c r="H29" s="20"/>
      <c r="I29" s="20"/>
      <c r="J29" s="20"/>
      <c r="K29" s="20"/>
      <c r="L29" s="20"/>
      <c r="M29" s="20"/>
      <c r="N29" s="20"/>
      <c r="O29" s="20"/>
      <c r="P29" s="18"/>
      <c r="Q29" s="18"/>
      <c r="R29" s="18"/>
      <c r="S29" s="114">
        <f>SUBTOTAL(3,D29)</f>
        <v>0</v>
      </c>
      <c r="T29" s="36"/>
      <c r="U29" s="36"/>
      <c r="V29" s="36"/>
    </row>
    <row r="30" spans="1:22" hidden="1" x14ac:dyDescent="0.25">
      <c r="A30" s="18"/>
      <c r="B30" s="18"/>
      <c r="C30" s="18"/>
      <c r="D30" s="18"/>
      <c r="E30" s="18"/>
      <c r="F30" s="18"/>
      <c r="G30" s="20"/>
      <c r="H30" s="20"/>
      <c r="I30" s="20"/>
      <c r="J30" s="20"/>
      <c r="K30" s="20"/>
      <c r="L30" s="20"/>
      <c r="M30" s="20"/>
      <c r="N30" s="20"/>
      <c r="O30" s="20"/>
      <c r="P30" s="18"/>
      <c r="Q30" s="18"/>
      <c r="R30" s="18"/>
      <c r="S30" s="114">
        <f>SUBTOTAL(3,D30)</f>
        <v>0</v>
      </c>
      <c r="T30" s="36"/>
      <c r="U30" s="36"/>
      <c r="V30" s="36"/>
    </row>
    <row r="31" spans="1:22" hidden="1" x14ac:dyDescent="0.25">
      <c r="A31" s="18"/>
      <c r="B31" s="18"/>
      <c r="C31" s="18"/>
      <c r="D31" s="18"/>
      <c r="E31" s="18"/>
      <c r="F31" s="18"/>
      <c r="G31" s="20"/>
      <c r="H31" s="20"/>
      <c r="I31" s="20"/>
      <c r="J31" s="20"/>
      <c r="K31" s="20"/>
      <c r="L31" s="20"/>
      <c r="M31" s="20"/>
      <c r="N31" s="20"/>
      <c r="O31" s="20"/>
      <c r="P31" s="18"/>
      <c r="Q31" s="18"/>
      <c r="R31" s="18"/>
      <c r="S31" s="114">
        <f>SUBTOTAL(3,D31)</f>
        <v>0</v>
      </c>
      <c r="T31" s="36"/>
      <c r="U31" s="36"/>
      <c r="V31" s="36"/>
    </row>
    <row r="32" spans="1:22" hidden="1" x14ac:dyDescent="0.25">
      <c r="A32" s="18"/>
      <c r="B32" s="18"/>
      <c r="C32" s="18"/>
      <c r="D32" s="18"/>
      <c r="E32" s="18"/>
      <c r="F32" s="18"/>
      <c r="G32" s="20"/>
      <c r="H32" s="20"/>
      <c r="I32" s="20"/>
      <c r="J32" s="20"/>
      <c r="K32" s="20"/>
      <c r="L32" s="20"/>
      <c r="M32" s="20"/>
      <c r="N32" s="20"/>
      <c r="O32" s="20"/>
      <c r="P32" s="18"/>
      <c r="Q32" s="18"/>
      <c r="R32" s="18"/>
      <c r="S32" s="114">
        <f>SUBTOTAL(3,D32)</f>
        <v>0</v>
      </c>
      <c r="T32" s="36"/>
      <c r="U32" s="36"/>
      <c r="V32" s="36"/>
    </row>
    <row r="33" spans="1:22" hidden="1" x14ac:dyDescent="0.25">
      <c r="A33" s="18"/>
      <c r="B33" s="18"/>
      <c r="C33" s="18"/>
      <c r="D33" s="18"/>
      <c r="E33" s="18"/>
      <c r="F33" s="18"/>
      <c r="G33" s="20"/>
      <c r="H33" s="20"/>
      <c r="I33" s="20"/>
      <c r="J33" s="20"/>
      <c r="K33" s="20"/>
      <c r="L33" s="20"/>
      <c r="M33" s="20"/>
      <c r="N33" s="20"/>
      <c r="O33" s="20"/>
      <c r="P33" s="18"/>
      <c r="Q33" s="18"/>
      <c r="R33" s="18"/>
      <c r="S33" s="114">
        <f>SUBTOTAL(3,D33)</f>
        <v>0</v>
      </c>
      <c r="T33" s="36"/>
      <c r="U33" s="36"/>
      <c r="V33" s="36"/>
    </row>
    <row r="34" spans="1:22" hidden="1" x14ac:dyDescent="0.25">
      <c r="A34" s="18"/>
      <c r="B34" s="18"/>
      <c r="C34" s="18"/>
      <c r="D34" s="18"/>
      <c r="E34" s="18"/>
      <c r="F34" s="18"/>
      <c r="G34" s="20"/>
      <c r="H34" s="20"/>
      <c r="I34" s="20"/>
      <c r="J34" s="20"/>
      <c r="K34" s="20"/>
      <c r="L34" s="20"/>
      <c r="M34" s="20"/>
      <c r="N34" s="20"/>
      <c r="O34" s="20"/>
      <c r="P34" s="18"/>
      <c r="Q34" s="18"/>
      <c r="R34" s="18"/>
      <c r="S34" s="114">
        <f>SUBTOTAL(3,D34)</f>
        <v>0</v>
      </c>
      <c r="T34" s="36"/>
      <c r="U34" s="36"/>
      <c r="V34" s="36"/>
    </row>
    <row r="35" spans="1:22" hidden="1" x14ac:dyDescent="0.25">
      <c r="A35" s="18"/>
      <c r="B35" s="18"/>
      <c r="C35" s="18"/>
      <c r="D35" s="18"/>
      <c r="E35" s="18"/>
      <c r="F35" s="18"/>
      <c r="G35" s="20"/>
      <c r="H35" s="20"/>
      <c r="I35" s="20"/>
      <c r="J35" s="20"/>
      <c r="K35" s="20"/>
      <c r="L35" s="20"/>
      <c r="M35" s="20"/>
      <c r="N35" s="20"/>
      <c r="O35" s="20"/>
      <c r="P35" s="18"/>
      <c r="Q35" s="18"/>
      <c r="R35" s="18"/>
      <c r="S35" s="114">
        <f>SUBTOTAL(3,D35)</f>
        <v>0</v>
      </c>
      <c r="T35" s="36"/>
      <c r="U35" s="36"/>
      <c r="V35" s="36"/>
    </row>
    <row r="36" spans="1:22" hidden="1" x14ac:dyDescent="0.25">
      <c r="A36" s="18"/>
      <c r="B36" s="18"/>
      <c r="C36" s="18"/>
      <c r="D36" s="18"/>
      <c r="E36" s="18"/>
      <c r="F36" s="18"/>
      <c r="G36" s="20"/>
      <c r="H36" s="20"/>
      <c r="I36" s="20"/>
      <c r="J36" s="20"/>
      <c r="K36" s="20"/>
      <c r="L36" s="20"/>
      <c r="M36" s="20"/>
      <c r="N36" s="20"/>
      <c r="O36" s="20"/>
      <c r="P36" s="18"/>
      <c r="Q36" s="18"/>
      <c r="R36" s="18"/>
      <c r="S36" s="114">
        <f>SUBTOTAL(3,D36)</f>
        <v>0</v>
      </c>
      <c r="T36" s="36"/>
      <c r="U36" s="36"/>
      <c r="V36" s="36"/>
    </row>
    <row r="37" spans="1:22" ht="99.75" hidden="1" x14ac:dyDescent="0.25">
      <c r="A37" s="18"/>
      <c r="B37" s="18"/>
      <c r="C37" s="18"/>
      <c r="D37" s="18" t="s">
        <v>48</v>
      </c>
      <c r="E37" s="18" t="s">
        <v>65</v>
      </c>
      <c r="F37" s="18" t="s">
        <v>22</v>
      </c>
      <c r="G37" s="20"/>
      <c r="H37" s="20"/>
      <c r="I37" s="20"/>
      <c r="J37" s="20"/>
      <c r="K37" s="20"/>
      <c r="L37" s="20"/>
      <c r="M37" s="20" t="s">
        <v>24</v>
      </c>
      <c r="N37" s="20"/>
      <c r="O37" s="20"/>
      <c r="P37" s="18"/>
      <c r="Q37" s="18"/>
      <c r="R37" s="18"/>
      <c r="S37" s="22">
        <f t="shared" si="0"/>
        <v>1</v>
      </c>
      <c r="T37" s="36"/>
      <c r="U37" s="36"/>
      <c r="V37" s="36"/>
    </row>
    <row r="38" spans="1:22" x14ac:dyDescent="0.25">
      <c r="A38" s="18"/>
      <c r="B38" s="18"/>
      <c r="C38" s="18"/>
      <c r="D38" s="18" t="s">
        <v>48</v>
      </c>
      <c r="E38" s="18" t="s">
        <v>66</v>
      </c>
      <c r="F38" s="18" t="s">
        <v>22</v>
      </c>
      <c r="G38" s="20"/>
      <c r="H38" s="20">
        <v>23</v>
      </c>
      <c r="I38" s="20"/>
      <c r="J38" s="20"/>
      <c r="K38" s="20"/>
      <c r="L38" s="20"/>
      <c r="M38" s="20" t="s">
        <v>24</v>
      </c>
      <c r="N38" s="20"/>
      <c r="O38" s="20"/>
      <c r="P38" s="18"/>
      <c r="Q38" s="18"/>
      <c r="R38" s="18"/>
      <c r="S38" s="22">
        <f t="shared" si="0"/>
        <v>1</v>
      </c>
      <c r="T38" s="36"/>
      <c r="U38" s="36"/>
      <c r="V38" s="36"/>
    </row>
    <row r="39" spans="1:22" x14ac:dyDescent="0.25">
      <c r="A39" s="8" t="s">
        <v>10</v>
      </c>
      <c r="B39" s="9"/>
      <c r="C39" s="9"/>
      <c r="D39" s="9"/>
      <c r="E39" s="9"/>
      <c r="F39" s="10"/>
      <c r="G39" s="3">
        <f>_xlfn.AGGREGATE(9,3,Tableau2[Produits sans spécifications])</f>
        <v>226</v>
      </c>
      <c r="H39" s="3">
        <f>_xlfn.AGGREGATE(9,3,Tableau2[[BIO ]])</f>
        <v>379</v>
      </c>
      <c r="I39" s="3">
        <f>_xlfn.AGGREGATE(9,3,Tableau2[LOCAL Prix])</f>
        <v>111</v>
      </c>
      <c r="J39" s="3"/>
      <c r="K39" s="3">
        <f>_xlfn.AGGREGATE(9,3,Tableau2[[HVE ]])</f>
        <v>59</v>
      </c>
      <c r="L39" s="3">
        <f>_xlfn.AGGREGATE(9,3,Tableau2[SIQO Prix])</f>
        <v>44</v>
      </c>
      <c r="M39" s="3"/>
      <c r="N39" s="3">
        <f>_xlfn.AGGREGATE(9,3,Tableau2[Produit fermier])</f>
        <v>0</v>
      </c>
      <c r="O39" s="3">
        <f>_xlfn.AGGREGATE(9,3,Tableau2[[Ecolabel ]])</f>
        <v>78</v>
      </c>
      <c r="P39" s="3"/>
      <c r="Q39" s="3"/>
      <c r="R39" s="3"/>
      <c r="S39" s="3"/>
      <c r="T39" s="36"/>
      <c r="U39" s="36"/>
      <c r="V39" s="36"/>
    </row>
    <row r="40" spans="1:22" x14ac:dyDescent="0.25">
      <c r="A40" s="56" t="s">
        <v>11</v>
      </c>
      <c r="B40" s="57"/>
      <c r="C40" s="57"/>
      <c r="D40" s="57"/>
      <c r="E40" s="57"/>
      <c r="F40" s="61"/>
      <c r="G40" s="62">
        <f>SUM(G39:O39)</f>
        <v>897</v>
      </c>
      <c r="H40" s="63"/>
      <c r="I40" s="63"/>
      <c r="J40" s="63"/>
      <c r="K40" s="63"/>
      <c r="L40" s="63"/>
      <c r="M40" s="63"/>
      <c r="N40" s="63"/>
      <c r="O40" s="63"/>
      <c r="P40" s="1"/>
      <c r="Q40" s="1"/>
      <c r="R40" s="1"/>
      <c r="S40" s="1"/>
      <c r="T40" s="36"/>
      <c r="U40" s="36"/>
      <c r="V40" s="36"/>
    </row>
    <row r="41" spans="1:22" x14ac:dyDescent="0.25">
      <c r="A41" s="58" t="s">
        <v>12</v>
      </c>
      <c r="B41" s="59"/>
      <c r="C41" s="59"/>
      <c r="D41" s="59"/>
      <c r="E41" s="59"/>
      <c r="F41" s="60"/>
      <c r="G41" s="13">
        <f t="shared" ref="G41:O41" si="1">(G39/$G$40)</f>
        <v>0.25195094760312153</v>
      </c>
      <c r="H41" s="4">
        <f t="shared" si="1"/>
        <v>0.42251950947603123</v>
      </c>
      <c r="I41" s="4">
        <f t="shared" si="1"/>
        <v>0.12374581939799331</v>
      </c>
      <c r="J41" s="4">
        <f t="shared" si="1"/>
        <v>0</v>
      </c>
      <c r="K41" s="4">
        <f t="shared" si="1"/>
        <v>6.5774804905239681E-2</v>
      </c>
      <c r="L41" s="4">
        <f t="shared" si="1"/>
        <v>4.9052396878483832E-2</v>
      </c>
      <c r="M41" s="4">
        <f t="shared" si="1"/>
        <v>0</v>
      </c>
      <c r="N41" s="4">
        <f t="shared" si="1"/>
        <v>0</v>
      </c>
      <c r="O41" s="5">
        <f t="shared" si="1"/>
        <v>8.6956521739130432E-2</v>
      </c>
      <c r="P41" s="1"/>
      <c r="Q41" s="1"/>
      <c r="R41" s="1"/>
      <c r="S41" s="1"/>
      <c r="T41" s="36"/>
      <c r="U41" s="36"/>
      <c r="V41" s="36"/>
    </row>
    <row r="42" spans="1:22" x14ac:dyDescent="0.25">
      <c r="A42" s="56"/>
      <c r="B42" s="57"/>
      <c r="C42" s="57"/>
      <c r="D42" s="57"/>
      <c r="E42" s="57"/>
      <c r="F42" s="57"/>
      <c r="G42" s="15">
        <f>G41</f>
        <v>0.25195094760312153</v>
      </c>
      <c r="H42" s="40">
        <f>SUM(H41:O41)</f>
        <v>0.74804905239687858</v>
      </c>
      <c r="I42" s="41"/>
      <c r="J42" s="41"/>
      <c r="K42" s="41"/>
      <c r="L42" s="41"/>
      <c r="M42" s="41"/>
      <c r="N42" s="41"/>
      <c r="O42" s="41"/>
      <c r="P42" s="41"/>
      <c r="Q42" s="42"/>
      <c r="R42" s="1"/>
      <c r="S42" s="1"/>
      <c r="T42" s="36"/>
      <c r="U42" s="36"/>
      <c r="V42" s="36"/>
    </row>
    <row r="43" spans="1:22" x14ac:dyDescent="0.25">
      <c r="A43" s="56"/>
      <c r="B43" s="57"/>
      <c r="C43" s="57"/>
      <c r="D43" s="57"/>
      <c r="E43" s="57"/>
      <c r="F43" s="57"/>
      <c r="G43" s="14"/>
      <c r="H43" s="4">
        <f>H41</f>
        <v>0.42251950947603123</v>
      </c>
      <c r="I43" s="43">
        <f>H42-H41</f>
        <v>0.32552954292084735</v>
      </c>
      <c r="J43" s="41"/>
      <c r="K43" s="41"/>
      <c r="L43" s="41"/>
      <c r="M43" s="41"/>
      <c r="N43" s="41"/>
      <c r="O43" s="41"/>
      <c r="P43" s="41"/>
      <c r="Q43" s="42"/>
      <c r="R43" s="1"/>
      <c r="S43" s="1"/>
      <c r="T43" s="36"/>
      <c r="U43" s="36"/>
      <c r="V43" s="36"/>
    </row>
    <row r="44" spans="1:22" x14ac:dyDescent="0.25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</row>
    <row r="45" spans="1:22" x14ac:dyDescent="0.25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</row>
    <row r="46" spans="1:22" x14ac:dyDescent="0.25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</row>
    <row r="47" spans="1:22" x14ac:dyDescent="0.2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</row>
    <row r="48" spans="1:22" x14ac:dyDescent="0.2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</row>
    <row r="49" spans="1:22" x14ac:dyDescent="0.2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</row>
    <row r="50" spans="1:22" x14ac:dyDescent="0.2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</row>
    <row r="51" spans="1:22" x14ac:dyDescent="0.25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</row>
    <row r="52" spans="1:22" x14ac:dyDescent="0.25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</row>
    <row r="53" spans="1:22" x14ac:dyDescent="0.25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</row>
    <row r="54" spans="1:22" x14ac:dyDescent="0.25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</row>
    <row r="55" spans="1:22" x14ac:dyDescent="0.25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</row>
    <row r="56" spans="1:22" x14ac:dyDescent="0.25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</row>
    <row r="57" spans="1:22" x14ac:dyDescent="0.25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</row>
    <row r="58" spans="1:22" x14ac:dyDescent="0.25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</row>
    <row r="59" spans="1:22" x14ac:dyDescent="0.25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</row>
    <row r="60" spans="1:22" x14ac:dyDescent="0.25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</row>
    <row r="61" spans="1:22" x14ac:dyDescent="0.25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</row>
    <row r="62" spans="1:22" x14ac:dyDescent="0.25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</row>
    <row r="63" spans="1:22" x14ac:dyDescent="0.25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</row>
  </sheetData>
  <mergeCells count="24">
    <mergeCell ref="A4:A6"/>
    <mergeCell ref="A44:V63"/>
    <mergeCell ref="B4:B6"/>
    <mergeCell ref="C4:C6"/>
    <mergeCell ref="D4:D6"/>
    <mergeCell ref="E4:E6"/>
    <mergeCell ref="F4:F6"/>
    <mergeCell ref="G4:S4"/>
    <mergeCell ref="H5:S5"/>
    <mergeCell ref="A42:F42"/>
    <mergeCell ref="A41:F41"/>
    <mergeCell ref="A40:F40"/>
    <mergeCell ref="G40:O40"/>
    <mergeCell ref="A43:F43"/>
    <mergeCell ref="G5:G6"/>
    <mergeCell ref="I6:J6"/>
    <mergeCell ref="L6:M6"/>
    <mergeCell ref="T1:V43"/>
    <mergeCell ref="C1:S3"/>
    <mergeCell ref="B1:B3"/>
    <mergeCell ref="H42:Q42"/>
    <mergeCell ref="I43:Q43"/>
    <mergeCell ref="P6:Q6"/>
    <mergeCell ref="R6:S6"/>
  </mergeCells>
  <phoneticPr fontId="3" type="noConversion"/>
  <conditionalFormatting sqref="H43">
    <cfRule type="cellIs" dxfId="5" priority="6" operator="lessThan">
      <formula>20%</formula>
    </cfRule>
    <cfRule type="cellIs" dxfId="4" priority="7" operator="greaterThan">
      <formula>20%</formula>
    </cfRule>
  </conditionalFormatting>
  <conditionalFormatting sqref="I43">
    <cfRule type="cellIs" dxfId="3" priority="3" operator="lessThan">
      <formula>30%</formula>
    </cfRule>
    <cfRule type="cellIs" priority="4" operator="lessThan">
      <formula>30%</formula>
    </cfRule>
    <cfRule type="cellIs" dxfId="2" priority="5" operator="greaterThan">
      <formula>30%</formula>
    </cfRule>
  </conditionalFormatting>
  <conditionalFormatting sqref="H42">
    <cfRule type="cellIs" dxfId="1" priority="1" operator="lessThan">
      <formula>50%</formula>
    </cfRule>
    <cfRule type="cellIs" dxfId="0" priority="2" operator="greaterThan">
      <formula>50%</formula>
    </cfRule>
  </conditionalFormatting>
  <dataValidations count="5">
    <dataValidation type="list" allowBlank="1" showInputMessage="1" showErrorMessage="1" sqref="F8:F38" xr:uid="{0C718A48-2674-4419-843F-8E8D4DB2B42E}">
      <formula1>Gamme</formula1>
    </dataValidation>
    <dataValidation type="list" allowBlank="1" showInputMessage="1" showErrorMessage="1" sqref="M8:M38" xr:uid="{A9019B03-F2A3-4AB2-8A77-A34BF59AE716}">
      <formula1>SIQO</formula1>
    </dataValidation>
    <dataValidation type="list" allowBlank="1" showInputMessage="1" showErrorMessage="1" sqref="J8:J38" xr:uid="{77D41AE9-7FCE-4814-BAE6-884E893F0FC3}">
      <formula1>LOCAL</formula1>
    </dataValidation>
    <dataValidation type="list" allowBlank="1" showInputMessage="1" showErrorMessage="1" sqref="Q8:Q38" xr:uid="{1C7C5108-E719-410E-9BF2-16E5686F3707}">
      <formula1>AUTRES</formula1>
    </dataValidation>
    <dataValidation type="list" allowBlank="1" showInputMessage="1" showErrorMessage="1" sqref="D8:D38" xr:uid="{ED2B0C34-8A61-4A73-82E2-F96E5E39C2E3}">
      <formula1>type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99B8B-4C8D-4F02-800E-B7C61B8E0F42}">
  <dimension ref="B4:J14"/>
  <sheetViews>
    <sheetView workbookViewId="0">
      <selection activeCell="C30" sqref="C30"/>
    </sheetView>
  </sheetViews>
  <sheetFormatPr baseColWidth="10" defaultRowHeight="15" x14ac:dyDescent="0.25"/>
  <cols>
    <col min="2" max="2" width="22" customWidth="1"/>
    <col min="4" max="4" width="13.28515625" customWidth="1"/>
    <col min="6" max="6" width="28.85546875" customWidth="1"/>
    <col min="8" max="8" width="25.85546875" customWidth="1"/>
  </cols>
  <sheetData>
    <row r="4" spans="2:10" x14ac:dyDescent="0.25">
      <c r="B4" s="1" t="s">
        <v>13</v>
      </c>
      <c r="D4" t="s">
        <v>24</v>
      </c>
      <c r="F4" t="s">
        <v>35</v>
      </c>
      <c r="H4" t="s">
        <v>42</v>
      </c>
      <c r="J4" t="s">
        <v>47</v>
      </c>
    </row>
    <row r="5" spans="2:10" x14ac:dyDescent="0.25">
      <c r="B5" s="1" t="s">
        <v>14</v>
      </c>
      <c r="D5" t="s">
        <v>25</v>
      </c>
      <c r="F5" t="s">
        <v>36</v>
      </c>
      <c r="H5" t="s">
        <v>43</v>
      </c>
      <c r="J5" t="s">
        <v>48</v>
      </c>
    </row>
    <row r="6" spans="2:10" x14ac:dyDescent="0.25">
      <c r="B6" s="2" t="s">
        <v>15</v>
      </c>
      <c r="D6" t="s">
        <v>26</v>
      </c>
      <c r="F6" t="s">
        <v>37</v>
      </c>
      <c r="H6" t="s">
        <v>44</v>
      </c>
    </row>
    <row r="7" spans="2:10" x14ac:dyDescent="0.25">
      <c r="B7" s="1" t="s">
        <v>16</v>
      </c>
      <c r="D7" t="s">
        <v>27</v>
      </c>
      <c r="F7" t="s">
        <v>38</v>
      </c>
    </row>
    <row r="8" spans="2:10" x14ac:dyDescent="0.25">
      <c r="B8" s="1" t="s">
        <v>17</v>
      </c>
      <c r="D8" t="s">
        <v>28</v>
      </c>
      <c r="F8" t="s">
        <v>39</v>
      </c>
    </row>
    <row r="9" spans="2:10" x14ac:dyDescent="0.25">
      <c r="B9" s="1" t="s">
        <v>18</v>
      </c>
      <c r="F9" t="s">
        <v>40</v>
      </c>
    </row>
    <row r="10" spans="2:10" x14ac:dyDescent="0.25">
      <c r="B10" s="1" t="s">
        <v>19</v>
      </c>
      <c r="F10" t="s">
        <v>41</v>
      </c>
    </row>
    <row r="11" spans="2:10" x14ac:dyDescent="0.25">
      <c r="B11" s="1" t="s">
        <v>20</v>
      </c>
    </row>
    <row r="12" spans="2:10" x14ac:dyDescent="0.25">
      <c r="B12" s="1" t="s">
        <v>21</v>
      </c>
    </row>
    <row r="13" spans="2:10" x14ac:dyDescent="0.25">
      <c r="B13" s="1" t="s">
        <v>22</v>
      </c>
    </row>
    <row r="14" spans="2:10" x14ac:dyDescent="0.25">
      <c r="B14" s="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ACFA-F33A-4E31-8CD9-98909301BFE1}">
  <dimension ref="B5:Q99"/>
  <sheetViews>
    <sheetView showGridLines="0" tabSelected="1" topLeftCell="A7" workbookViewId="0">
      <selection activeCell="H33" sqref="H33"/>
    </sheetView>
  </sheetViews>
  <sheetFormatPr baseColWidth="10" defaultRowHeight="15" x14ac:dyDescent="0.25"/>
  <cols>
    <col min="2" max="2" width="19.7109375" bestFit="1" customWidth="1"/>
    <col min="3" max="10" width="12.7109375" customWidth="1"/>
  </cols>
  <sheetData>
    <row r="5" spans="2:13" x14ac:dyDescent="0.25">
      <c r="B5" s="82" t="s">
        <v>16</v>
      </c>
      <c r="C5" s="82"/>
      <c r="D5" s="82"/>
      <c r="E5" s="82"/>
      <c r="F5" s="82"/>
    </row>
    <row r="6" spans="2:13" x14ac:dyDescent="0.25">
      <c r="B6" s="83"/>
      <c r="C6" s="83"/>
      <c r="D6" s="83"/>
      <c r="E6" s="83"/>
      <c r="F6" s="83"/>
    </row>
    <row r="7" spans="2:13" ht="15.75" thickBot="1" x14ac:dyDescent="0.3">
      <c r="B7" s="75" t="s">
        <v>77</v>
      </c>
      <c r="C7" s="76"/>
      <c r="D7" s="77"/>
      <c r="E7" s="25"/>
      <c r="F7" s="25" t="s">
        <v>76</v>
      </c>
    </row>
    <row r="8" spans="2:13" x14ac:dyDescent="0.25">
      <c r="B8" s="78" t="s">
        <v>78</v>
      </c>
      <c r="C8" s="78"/>
      <c r="D8" s="78"/>
      <c r="E8" s="31">
        <f>GETPIVOTDATA("Produits sans spécifications ",$B$18,"Gamme ","Fruits")/GETPIVOTDATA("Produits sans spécifications ",$B$18)</f>
        <v>0</v>
      </c>
      <c r="F8" s="26">
        <f>GETPIVOTDATA("Produits sans spécifications ",$B$18,"Gamme ","Fruits")</f>
        <v>0</v>
      </c>
      <c r="H8" s="66" t="s">
        <v>85</v>
      </c>
      <c r="I8" s="67"/>
      <c r="J8" s="67"/>
      <c r="K8" s="67"/>
      <c r="L8" s="67"/>
      <c r="M8" s="68"/>
    </row>
    <row r="9" spans="2:13" x14ac:dyDescent="0.25">
      <c r="B9" s="78" t="s">
        <v>86</v>
      </c>
      <c r="C9" s="78"/>
      <c r="D9" s="78"/>
      <c r="E9" s="31">
        <f>GETPIVOTDATA("BIO",$B$18,"Gamme ","Fruits")/GETPIVOTDATA("BIO",$B$18)</f>
        <v>0.29551451187335093</v>
      </c>
      <c r="F9" s="26">
        <f>GETPIVOTDATA("BIO",$B$18,"Gamme ","Fruits")</f>
        <v>112</v>
      </c>
      <c r="H9" s="69"/>
      <c r="I9" s="70"/>
      <c r="J9" s="70"/>
      <c r="K9" s="70"/>
      <c r="L9" s="70"/>
      <c r="M9" s="71"/>
    </row>
    <row r="10" spans="2:13" x14ac:dyDescent="0.25">
      <c r="B10" s="78" t="s">
        <v>87</v>
      </c>
      <c r="C10" s="78"/>
      <c r="D10" s="78"/>
      <c r="E10" s="31">
        <f>GETPIVOTDATA("LOCAL",$B$18,"Gamme ","Fruits")/GETPIVOTDATA("LOCAL",$B$18)</f>
        <v>0.48648648648648651</v>
      </c>
      <c r="F10" s="26">
        <f>GETPIVOTDATA("LOCAL",$B$18,"Gamme ","Fruits")</f>
        <v>54</v>
      </c>
      <c r="H10" s="69"/>
      <c r="I10" s="70"/>
      <c r="J10" s="70"/>
      <c r="K10" s="70"/>
      <c r="L10" s="70"/>
      <c r="M10" s="71"/>
    </row>
    <row r="11" spans="2:13" x14ac:dyDescent="0.25">
      <c r="B11" s="78" t="s">
        <v>88</v>
      </c>
      <c r="C11" s="78"/>
      <c r="D11" s="78"/>
      <c r="E11" s="31">
        <f>GETPIVOTDATA("HVE",$B$18,"Gamme ","Fruits")/GETPIVOTDATA("HVE",$B$18)</f>
        <v>0.40677966101694918</v>
      </c>
      <c r="F11" s="26">
        <f>GETPIVOTDATA("HVE",$B$18,"Gamme ","Fruits")</f>
        <v>24</v>
      </c>
      <c r="H11" s="69"/>
      <c r="I11" s="70"/>
      <c r="J11" s="70"/>
      <c r="K11" s="70"/>
      <c r="L11" s="70"/>
      <c r="M11" s="71"/>
    </row>
    <row r="12" spans="2:13" ht="15.75" thickBot="1" x14ac:dyDescent="0.3">
      <c r="B12" s="78" t="s">
        <v>102</v>
      </c>
      <c r="C12" s="78"/>
      <c r="D12" s="78"/>
      <c r="E12" s="31">
        <f>GETPIVOTDATA("SIQO",$B$18,"Gamme ","Fruits")/GETPIVOTDATA("SIQO",$B$18)</f>
        <v>0</v>
      </c>
      <c r="F12" s="26">
        <f>GETPIVOTDATA("SIQO",$B$18,"Gamme ","Fruits")</f>
        <v>0</v>
      </c>
      <c r="H12" s="72"/>
      <c r="I12" s="73"/>
      <c r="J12" s="73"/>
      <c r="K12" s="73"/>
      <c r="L12" s="73"/>
      <c r="M12" s="74"/>
    </row>
    <row r="13" spans="2:13" x14ac:dyDescent="0.25">
      <c r="B13" s="78" t="s">
        <v>89</v>
      </c>
      <c r="C13" s="78"/>
      <c r="D13" s="78"/>
      <c r="E13" s="31" t="e">
        <f>GETPIVOTDATA("Produit fermier ",$B$18,"Gamme ","Fruits")/GETPIVOTDATA("Produit fermier ",$B$18)</f>
        <v>#DIV/0!</v>
      </c>
      <c r="F13" s="26">
        <f>GETPIVOTDATA("Produit fermier ",$B$18,"Gamme ","Fruits")</f>
        <v>0</v>
      </c>
    </row>
    <row r="14" spans="2:13" x14ac:dyDescent="0.25">
      <c r="B14" s="78" t="s">
        <v>90</v>
      </c>
      <c r="C14" s="78"/>
      <c r="D14" s="78"/>
      <c r="E14" s="31">
        <f>GETPIVOTDATA("Ecolabel",$B$18,"Gamme ","Fruits")/GETPIVOTDATA("Ecolabel",$B$18)</f>
        <v>0</v>
      </c>
      <c r="F14" s="26">
        <f>GETPIVOTDATA("Ecolabel",$B$18,"Gamme ","Fruits")</f>
        <v>0</v>
      </c>
    </row>
    <row r="15" spans="2:13" x14ac:dyDescent="0.25">
      <c r="B15" s="78" t="s">
        <v>91</v>
      </c>
      <c r="C15" s="78"/>
      <c r="D15" s="78"/>
      <c r="E15" s="31" t="e">
        <f>GETPIVOTDATA("Autres",$B$18,"Gamme ","Fruits")/GETPIVOTDATA("Autres",$B$18)</f>
        <v>#DIV/0!</v>
      </c>
      <c r="F15" s="27">
        <f>GETPIVOTDATA("Autres",$B$18,"Gamme ","Fruits")</f>
        <v>0</v>
      </c>
    </row>
    <row r="16" spans="2:13" x14ac:dyDescent="0.25">
      <c r="B16" s="79" t="s">
        <v>79</v>
      </c>
      <c r="C16" s="79"/>
      <c r="D16" s="79"/>
      <c r="E16" s="24"/>
      <c r="F16" s="27">
        <f>SUM(F8:F15)</f>
        <v>190</v>
      </c>
    </row>
    <row r="18" spans="2:17" s="28" customFormat="1" ht="45" x14ac:dyDescent="0.25">
      <c r="B18" s="29" t="s">
        <v>5</v>
      </c>
      <c r="C18" s="30" t="s">
        <v>80</v>
      </c>
      <c r="D18" s="30" t="s">
        <v>81</v>
      </c>
      <c r="E18" s="30" t="s">
        <v>82</v>
      </c>
      <c r="F18" s="30" t="s">
        <v>45</v>
      </c>
      <c r="G18" s="30" t="s">
        <v>31</v>
      </c>
      <c r="H18" s="30" t="s">
        <v>84</v>
      </c>
      <c r="I18" s="30" t="s">
        <v>83</v>
      </c>
      <c r="J18" s="30" t="s">
        <v>34</v>
      </c>
    </row>
    <row r="19" spans="2:17" x14ac:dyDescent="0.25">
      <c r="B19" s="24" t="s">
        <v>13</v>
      </c>
      <c r="C19" s="26">
        <v>115</v>
      </c>
      <c r="D19" s="26">
        <v>22</v>
      </c>
      <c r="E19" s="26"/>
      <c r="F19" s="26"/>
      <c r="G19" s="26">
        <v>22</v>
      </c>
      <c r="H19" s="26"/>
      <c r="I19" s="26"/>
      <c r="J19" s="26"/>
    </row>
    <row r="20" spans="2:17" x14ac:dyDescent="0.25">
      <c r="B20" s="24" t="s">
        <v>20</v>
      </c>
      <c r="C20" s="26"/>
      <c r="D20" s="26"/>
      <c r="E20" s="26"/>
      <c r="F20" s="26"/>
      <c r="G20" s="26"/>
      <c r="H20" s="26"/>
      <c r="I20" s="26"/>
      <c r="J20" s="26"/>
    </row>
    <row r="21" spans="2:17" x14ac:dyDescent="0.25">
      <c r="B21" s="24" t="s">
        <v>22</v>
      </c>
      <c r="C21" s="26"/>
      <c r="D21" s="26">
        <v>23</v>
      </c>
      <c r="E21" s="26"/>
      <c r="F21" s="26"/>
      <c r="G21" s="26"/>
      <c r="H21" s="26"/>
      <c r="I21" s="26"/>
      <c r="J21" s="26"/>
    </row>
    <row r="22" spans="2:17" x14ac:dyDescent="0.25">
      <c r="B22" s="24" t="s">
        <v>19</v>
      </c>
      <c r="C22" s="26"/>
      <c r="D22" s="26"/>
      <c r="E22" s="26"/>
      <c r="F22" s="26"/>
      <c r="G22" s="26"/>
      <c r="H22" s="26"/>
      <c r="I22" s="26"/>
      <c r="J22" s="26"/>
    </row>
    <row r="23" spans="2:17" x14ac:dyDescent="0.25">
      <c r="B23" s="24" t="s">
        <v>16</v>
      </c>
      <c r="C23" s="26"/>
      <c r="D23" s="26">
        <v>112</v>
      </c>
      <c r="E23" s="26">
        <v>54</v>
      </c>
      <c r="F23" s="26">
        <v>24</v>
      </c>
      <c r="G23" s="26"/>
      <c r="H23" s="26"/>
      <c r="I23" s="26"/>
      <c r="J23" s="26"/>
    </row>
    <row r="24" spans="2:17" x14ac:dyDescent="0.25">
      <c r="B24" s="24" t="s">
        <v>17</v>
      </c>
      <c r="C24" s="26"/>
      <c r="D24" s="26">
        <v>102</v>
      </c>
      <c r="E24" s="26">
        <v>57</v>
      </c>
      <c r="F24" s="26">
        <v>35</v>
      </c>
      <c r="G24" s="26">
        <v>22</v>
      </c>
      <c r="H24" s="26"/>
      <c r="I24" s="26"/>
      <c r="J24" s="26"/>
    </row>
    <row r="25" spans="2:17" x14ac:dyDescent="0.25">
      <c r="B25" s="24" t="s">
        <v>18</v>
      </c>
      <c r="C25" s="26"/>
      <c r="D25" s="26"/>
      <c r="E25" s="26"/>
      <c r="F25" s="26"/>
      <c r="G25" s="26"/>
      <c r="H25" s="26"/>
      <c r="I25" s="26">
        <v>78</v>
      </c>
      <c r="J25" s="26"/>
    </row>
    <row r="26" spans="2:17" x14ac:dyDescent="0.25">
      <c r="B26" s="24" t="s">
        <v>14</v>
      </c>
      <c r="C26" s="26">
        <v>25</v>
      </c>
      <c r="D26" s="26">
        <v>120</v>
      </c>
      <c r="E26" s="26"/>
      <c r="F26" s="26"/>
      <c r="G26" s="26"/>
      <c r="H26" s="26"/>
      <c r="I26" s="26"/>
      <c r="J26" s="26"/>
    </row>
    <row r="27" spans="2:17" x14ac:dyDescent="0.25">
      <c r="B27" s="24" t="s">
        <v>15</v>
      </c>
      <c r="C27" s="26">
        <v>86</v>
      </c>
      <c r="D27" s="26"/>
      <c r="E27" s="26"/>
      <c r="F27" s="26"/>
      <c r="G27" s="26"/>
      <c r="H27" s="26"/>
      <c r="I27" s="26"/>
      <c r="J27" s="26"/>
    </row>
    <row r="28" spans="2:17" x14ac:dyDescent="0.25">
      <c r="B28" t="s">
        <v>46</v>
      </c>
      <c r="C28" s="33">
        <v>226</v>
      </c>
      <c r="D28" s="33">
        <v>379</v>
      </c>
      <c r="E28" s="33">
        <v>111</v>
      </c>
      <c r="F28" s="33">
        <v>59</v>
      </c>
      <c r="G28" s="33">
        <v>44</v>
      </c>
      <c r="H28" s="33"/>
      <c r="I28" s="33">
        <v>78</v>
      </c>
      <c r="J28" s="33"/>
    </row>
    <row r="29" spans="2:17" ht="33" customHeight="1" x14ac:dyDescent="0.25">
      <c r="B29" s="85" t="s">
        <v>93</v>
      </c>
      <c r="C29" s="85"/>
      <c r="D29" s="85"/>
      <c r="E29" s="85"/>
      <c r="F29" s="85"/>
    </row>
    <row r="30" spans="2:17" x14ac:dyDescent="0.25">
      <c r="B30" s="75" t="s">
        <v>77</v>
      </c>
      <c r="C30" s="76"/>
      <c r="D30" s="77"/>
      <c r="E30" s="32" t="s">
        <v>101</v>
      </c>
      <c r="F30" s="25" t="s">
        <v>76</v>
      </c>
      <c r="L30" s="86"/>
      <c r="M30" s="86"/>
      <c r="N30" s="86"/>
      <c r="O30" s="86"/>
      <c r="P30" s="86"/>
      <c r="Q30" s="86"/>
    </row>
    <row r="31" spans="2:17" x14ac:dyDescent="0.25">
      <c r="B31" s="78" t="s">
        <v>100</v>
      </c>
      <c r="C31" s="78"/>
      <c r="D31" s="78"/>
      <c r="E31" s="31">
        <f>GETPIVOTDATA("Produits sans spécifications ",$B$18,"Gamme ","Boisson")/GETPIVOTDATA("Produits sans spécifications ",$B$18)</f>
        <v>0</v>
      </c>
      <c r="F31" s="26">
        <f>GETPIVOTDATA("Produits sans spécifications ",$B$18,"Gamme ","Boisson")</f>
        <v>0</v>
      </c>
      <c r="L31" s="86"/>
      <c r="M31" s="48"/>
      <c r="N31" s="48"/>
      <c r="O31" s="48"/>
      <c r="P31" s="48"/>
      <c r="Q31" s="48"/>
    </row>
    <row r="32" spans="2:17" ht="15.75" thickBot="1" x14ac:dyDescent="0.3">
      <c r="B32" s="78" t="s">
        <v>99</v>
      </c>
      <c r="C32" s="78"/>
      <c r="D32" s="78"/>
      <c r="E32" s="31">
        <f>GETPIVOTDATA("BIO",$B$18,"Gamme ","Boisson")/GETPIVOTDATA("BIO",$B$18)</f>
        <v>0</v>
      </c>
      <c r="F32" s="26">
        <f>GETPIVOTDATA("BIO",$B$18,"Gamme ","Boisson")</f>
        <v>0</v>
      </c>
      <c r="L32" s="86"/>
      <c r="M32" s="48"/>
      <c r="N32" s="48"/>
      <c r="O32" s="48"/>
      <c r="P32" s="48"/>
      <c r="Q32" s="48"/>
    </row>
    <row r="33" spans="2:17" ht="15.75" thickBot="1" x14ac:dyDescent="0.3">
      <c r="B33" s="78" t="s">
        <v>98</v>
      </c>
      <c r="C33" s="78"/>
      <c r="D33" s="78"/>
      <c r="E33" s="31">
        <f>GETPIVOTDATA("LOCAL",$B$18,"Gamme ","Boisson")/GETPIVOTDATA("LOCAL",$B$18)</f>
        <v>0</v>
      </c>
      <c r="F33" s="26">
        <f>GETPIVOTDATA("LOCAL",$B$18,"Gamme ","Boisson")</f>
        <v>0</v>
      </c>
      <c r="I33" s="34"/>
      <c r="L33" s="105" t="s">
        <v>103</v>
      </c>
      <c r="M33" s="106"/>
      <c r="N33" s="106"/>
      <c r="O33" s="107"/>
      <c r="P33" s="108" t="s">
        <v>101</v>
      </c>
      <c r="Q33" s="86"/>
    </row>
    <row r="34" spans="2:17" x14ac:dyDescent="0.25">
      <c r="B34" s="78" t="s">
        <v>45</v>
      </c>
      <c r="C34" s="78"/>
      <c r="D34" s="78"/>
      <c r="E34" s="31">
        <f>GETPIVOTDATA("HVE",$B$18,"Gamme ","Boisson")/GETPIVOTDATA("HVE",$B$18)</f>
        <v>0</v>
      </c>
      <c r="F34" s="26">
        <f>GETPIVOTDATA("HVE",$B$18,"Gamme ","Boisson")</f>
        <v>0</v>
      </c>
      <c r="L34" s="97" t="s">
        <v>104</v>
      </c>
      <c r="M34" s="98" t="s">
        <v>105</v>
      </c>
      <c r="N34" s="99"/>
      <c r="O34" s="100"/>
      <c r="P34" s="111">
        <f t="shared" ref="P34:P40" si="0">F8/$F$16</f>
        <v>0</v>
      </c>
      <c r="Q34" s="86"/>
    </row>
    <row r="35" spans="2:17" x14ac:dyDescent="0.25">
      <c r="B35" s="78" t="s">
        <v>97</v>
      </c>
      <c r="C35" s="78"/>
      <c r="D35" s="78"/>
      <c r="E35" s="31">
        <f>GETPIVOTDATA("SIQO",$B$18,"Gamme ","Boisson")/GETPIVOTDATA("SIQO",$B$18)</f>
        <v>0</v>
      </c>
      <c r="F35" s="26">
        <f>GETPIVOTDATA("SIQO",$B$18,"Gamme ","Boisson")</f>
        <v>0</v>
      </c>
      <c r="L35" s="101"/>
      <c r="M35" s="102" t="s">
        <v>106</v>
      </c>
      <c r="N35" s="103"/>
      <c r="O35" s="104"/>
      <c r="P35" s="111">
        <f t="shared" si="0"/>
        <v>0.58947368421052626</v>
      </c>
      <c r="Q35" s="86"/>
    </row>
    <row r="36" spans="2:17" x14ac:dyDescent="0.25">
      <c r="B36" s="78" t="s">
        <v>96</v>
      </c>
      <c r="C36" s="78"/>
      <c r="D36" s="78"/>
      <c r="E36" s="31" t="e">
        <f>GETPIVOTDATA("Produit fermier ",$B$18,"Gamme ","Boisson")/GETPIVOTDATA("Produit fermier ",$B$18)</f>
        <v>#DIV/0!</v>
      </c>
      <c r="F36" s="26">
        <f>GETPIVOTDATA("Produit fermier ",$B$18,"Gamme ","Boisson")</f>
        <v>0</v>
      </c>
      <c r="L36" s="101"/>
      <c r="M36" s="102" t="s">
        <v>82</v>
      </c>
      <c r="N36" s="103"/>
      <c r="O36" s="104"/>
      <c r="P36" s="111">
        <f t="shared" si="0"/>
        <v>0.28421052631578947</v>
      </c>
      <c r="Q36" s="86"/>
    </row>
    <row r="37" spans="2:17" x14ac:dyDescent="0.25">
      <c r="B37" s="78" t="s">
        <v>95</v>
      </c>
      <c r="C37" s="78"/>
      <c r="D37" s="78"/>
      <c r="E37" s="31">
        <f>GETPIVOTDATA("Ecolabel",$B$18,"Gamme ","Boisson")/GETPIVOTDATA("Ecolabel",$B$18)</f>
        <v>0</v>
      </c>
      <c r="F37" s="26">
        <f>GETPIVOTDATA("Ecolabel",$B$18,"Gamme ","Boisson")</f>
        <v>0</v>
      </c>
      <c r="L37" s="101"/>
      <c r="M37" s="102" t="s">
        <v>45</v>
      </c>
      <c r="N37" s="103"/>
      <c r="O37" s="104"/>
      <c r="P37" s="111">
        <f t="shared" si="0"/>
        <v>0.12631578947368421</v>
      </c>
      <c r="Q37" s="86"/>
    </row>
    <row r="38" spans="2:17" x14ac:dyDescent="0.25">
      <c r="B38" s="78" t="s">
        <v>94</v>
      </c>
      <c r="C38" s="78"/>
      <c r="D38" s="78"/>
      <c r="E38" s="31" t="e">
        <f>GETPIVOTDATA("Autres",$B$18,"Gamme ","Boisson")/GETPIVOTDATA("Autres",$B$18)</f>
        <v>#DIV/0!</v>
      </c>
      <c r="F38" s="26">
        <f>GETPIVOTDATA("Autres",$B$18,"Gamme ","Boisson")</f>
        <v>0</v>
      </c>
      <c r="L38" s="101"/>
      <c r="M38" s="102" t="s">
        <v>31</v>
      </c>
      <c r="N38" s="103"/>
      <c r="O38" s="104"/>
      <c r="P38" s="111">
        <f t="shared" si="0"/>
        <v>0</v>
      </c>
      <c r="Q38" s="86"/>
    </row>
    <row r="39" spans="2:17" x14ac:dyDescent="0.25">
      <c r="B39" s="79" t="s">
        <v>79</v>
      </c>
      <c r="C39" s="79"/>
      <c r="D39" s="79"/>
      <c r="E39" s="31"/>
      <c r="F39" s="26">
        <f>SUM(F31:F38)</f>
        <v>0</v>
      </c>
      <c r="L39" s="101"/>
      <c r="M39" s="102" t="s">
        <v>107</v>
      </c>
      <c r="N39" s="103"/>
      <c r="O39" s="104"/>
      <c r="P39" s="111">
        <f t="shared" si="0"/>
        <v>0</v>
      </c>
      <c r="Q39" s="86"/>
    </row>
    <row r="40" spans="2:17" x14ac:dyDescent="0.25">
      <c r="B40" s="84" t="s">
        <v>92</v>
      </c>
      <c r="C40" s="84"/>
      <c r="D40" s="84"/>
      <c r="E40" s="84"/>
      <c r="F40" s="84"/>
      <c r="L40" s="101"/>
      <c r="M40" s="109" t="s">
        <v>108</v>
      </c>
      <c r="N40" s="109"/>
      <c r="O40" s="109"/>
      <c r="P40" s="111">
        <f t="shared" si="0"/>
        <v>0</v>
      </c>
      <c r="Q40" s="86"/>
    </row>
    <row r="41" spans="2:17" x14ac:dyDescent="0.25">
      <c r="B41" s="85"/>
      <c r="C41" s="85"/>
      <c r="D41" s="85"/>
      <c r="E41" s="85"/>
      <c r="F41" s="85"/>
      <c r="L41" s="101"/>
      <c r="M41" s="101" t="s">
        <v>34</v>
      </c>
      <c r="N41" s="101"/>
      <c r="O41" s="101"/>
      <c r="P41" s="111">
        <f>F15/$F$16</f>
        <v>0</v>
      </c>
      <c r="Q41" s="86"/>
    </row>
    <row r="42" spans="2:17" x14ac:dyDescent="0.25">
      <c r="B42" s="75" t="s">
        <v>77</v>
      </c>
      <c r="C42" s="76"/>
      <c r="D42" s="77"/>
      <c r="E42" s="32" t="s">
        <v>101</v>
      </c>
      <c r="F42" s="25" t="s">
        <v>76</v>
      </c>
      <c r="L42" s="88" t="s">
        <v>93</v>
      </c>
      <c r="M42" s="89" t="s">
        <v>105</v>
      </c>
      <c r="N42" s="90"/>
      <c r="O42" s="91"/>
      <c r="P42" s="92" t="e">
        <f>F31/$F$39</f>
        <v>#DIV/0!</v>
      </c>
      <c r="Q42" s="86"/>
    </row>
    <row r="43" spans="2:17" x14ac:dyDescent="0.25">
      <c r="B43" s="78" t="s">
        <v>100</v>
      </c>
      <c r="C43" s="78"/>
      <c r="D43" s="78"/>
      <c r="E43" s="31">
        <f>GETPIVOTDATA("Produits sans spécifications ",$B$18,"Gamme ","Viandes ")/GETPIVOTDATA("Produits sans spécifications ",$B$18)</f>
        <v>0.11061946902654868</v>
      </c>
      <c r="F43" s="26">
        <f>GETPIVOTDATA("Produits sans spécifications ",$B$18,"Gamme ","Viandes ")</f>
        <v>25</v>
      </c>
      <c r="L43" s="93"/>
      <c r="M43" s="94" t="s">
        <v>106</v>
      </c>
      <c r="N43" s="95"/>
      <c r="O43" s="96"/>
      <c r="P43" s="92" t="e">
        <f t="shared" ref="P43:P49" si="1">F32/$F$39</f>
        <v>#DIV/0!</v>
      </c>
      <c r="Q43" s="86"/>
    </row>
    <row r="44" spans="2:17" x14ac:dyDescent="0.25">
      <c r="B44" s="78" t="s">
        <v>99</v>
      </c>
      <c r="C44" s="78"/>
      <c r="D44" s="78"/>
      <c r="E44" s="31">
        <f>GETPIVOTDATA("BIO",$B$18,"Gamme ","Viandes ")/GETPIVOTDATA("BIO",$B$18)</f>
        <v>0.31662269129287601</v>
      </c>
      <c r="F44" s="26">
        <f>GETPIVOTDATA("BIO",$B$18,"Gamme ","Viandes ")</f>
        <v>120</v>
      </c>
      <c r="L44" s="93"/>
      <c r="M44" s="94" t="s">
        <v>82</v>
      </c>
      <c r="N44" s="95"/>
      <c r="O44" s="96"/>
      <c r="P44" s="92" t="e">
        <f t="shared" si="1"/>
        <v>#DIV/0!</v>
      </c>
    </row>
    <row r="45" spans="2:17" x14ac:dyDescent="0.25">
      <c r="B45" s="78" t="s">
        <v>98</v>
      </c>
      <c r="C45" s="78"/>
      <c r="D45" s="78"/>
      <c r="E45" s="31">
        <f>GETPIVOTDATA("LOCAL",$B$18,"Gamme ","Viandes ")/GETPIVOTDATA("LOCAL",$B$18)</f>
        <v>0</v>
      </c>
      <c r="F45" s="26">
        <f>GETPIVOTDATA("LOCAL",$B$18,"Gamme ","Viandes ")</f>
        <v>0</v>
      </c>
      <c r="L45" s="93"/>
      <c r="M45" s="94" t="s">
        <v>45</v>
      </c>
      <c r="N45" s="95"/>
      <c r="O45" s="96"/>
      <c r="P45" s="92" t="e">
        <f t="shared" si="1"/>
        <v>#DIV/0!</v>
      </c>
    </row>
    <row r="46" spans="2:17" x14ac:dyDescent="0.25">
      <c r="B46" s="78" t="s">
        <v>45</v>
      </c>
      <c r="C46" s="78"/>
      <c r="D46" s="78"/>
      <c r="E46" s="31">
        <f>GETPIVOTDATA("HVE",$B$18,"Gamme ","Viandes ")/GETPIVOTDATA("HVE",$B$18)</f>
        <v>0</v>
      </c>
      <c r="F46" s="26">
        <f>GETPIVOTDATA("HVE",$B$18,"Gamme ","Viandes ")</f>
        <v>0</v>
      </c>
      <c r="L46" s="93"/>
      <c r="M46" s="94" t="s">
        <v>31</v>
      </c>
      <c r="N46" s="95"/>
      <c r="O46" s="96"/>
      <c r="P46" s="92" t="e">
        <f t="shared" si="1"/>
        <v>#DIV/0!</v>
      </c>
    </row>
    <row r="47" spans="2:17" x14ac:dyDescent="0.25">
      <c r="B47" s="78" t="s">
        <v>97</v>
      </c>
      <c r="C47" s="78"/>
      <c r="D47" s="78"/>
      <c r="E47" s="31">
        <f>GETPIVOTDATA("SIQO",$B$18,"Gamme ","Viandes ")/GETPIVOTDATA("SIQO",$B$18)</f>
        <v>0</v>
      </c>
      <c r="F47" s="26">
        <f>GETPIVOTDATA("SIQO",$B$18,"Gamme ","Viandes ")</f>
        <v>0</v>
      </c>
      <c r="L47" s="93"/>
      <c r="M47" s="94" t="s">
        <v>107</v>
      </c>
      <c r="N47" s="95"/>
      <c r="O47" s="96"/>
      <c r="P47" s="92" t="e">
        <f t="shared" si="1"/>
        <v>#DIV/0!</v>
      </c>
    </row>
    <row r="48" spans="2:17" x14ac:dyDescent="0.25">
      <c r="B48" s="78" t="s">
        <v>96</v>
      </c>
      <c r="C48" s="78"/>
      <c r="D48" s="78"/>
      <c r="E48" s="31" t="e">
        <f>GETPIVOTDATA("Produit fermier ",$B$18,"Gamme ","Viandes ")/GETPIVOTDATA("Produit fermier ",$B$18)</f>
        <v>#DIV/0!</v>
      </c>
      <c r="F48" s="26">
        <f>GETPIVOTDATA("Produit fermier ",$B$18,"Gamme ","Viandes ")</f>
        <v>0</v>
      </c>
      <c r="L48" s="93"/>
      <c r="M48" s="112" t="s">
        <v>108</v>
      </c>
      <c r="N48" s="112"/>
      <c r="O48" s="112"/>
      <c r="P48" s="92" t="e">
        <f t="shared" si="1"/>
        <v>#DIV/0!</v>
      </c>
    </row>
    <row r="49" spans="2:16" x14ac:dyDescent="0.25">
      <c r="B49" s="78" t="s">
        <v>95</v>
      </c>
      <c r="C49" s="78"/>
      <c r="D49" s="78"/>
      <c r="E49" s="31">
        <f>GETPIVOTDATA("Ecolabel",$B$18,"Gamme ","Viandes ")/GETPIVOTDATA("Ecolabel",$B$18)</f>
        <v>0</v>
      </c>
      <c r="F49" s="26">
        <f>GETPIVOTDATA("Ecolabel",$B$18,"Gamme ","Viandes ")</f>
        <v>0</v>
      </c>
      <c r="L49" s="93"/>
      <c r="M49" s="93" t="s">
        <v>34</v>
      </c>
      <c r="N49" s="93"/>
      <c r="O49" s="93"/>
      <c r="P49" s="92" t="e">
        <f t="shared" si="1"/>
        <v>#DIV/0!</v>
      </c>
    </row>
    <row r="50" spans="2:16" x14ac:dyDescent="0.25">
      <c r="B50" s="78" t="s">
        <v>94</v>
      </c>
      <c r="C50" s="78"/>
      <c r="D50" s="78"/>
      <c r="E50" s="31" t="e">
        <f>GETPIVOTDATA("Autres",$B$18,"Gamme ","Viandes ")/GETPIVOTDATA("Autres",$B$18)</f>
        <v>#DIV/0!</v>
      </c>
      <c r="F50" s="26">
        <f>GETPIVOTDATA("Autres",$B$18,"Gamme ","Viandes ")</f>
        <v>0</v>
      </c>
      <c r="L50" s="97" t="s">
        <v>109</v>
      </c>
      <c r="M50" s="98" t="s">
        <v>105</v>
      </c>
      <c r="N50" s="99"/>
      <c r="O50" s="100"/>
      <c r="P50" s="110">
        <f>F43/$F$51</f>
        <v>0.17241379310344829</v>
      </c>
    </row>
    <row r="51" spans="2:16" x14ac:dyDescent="0.25">
      <c r="B51" s="79" t="s">
        <v>79</v>
      </c>
      <c r="C51" s="79"/>
      <c r="D51" s="79"/>
      <c r="E51" s="31"/>
      <c r="F51" s="26">
        <f>SUM(F43:F50)</f>
        <v>145</v>
      </c>
      <c r="L51" s="101"/>
      <c r="M51" s="102" t="s">
        <v>106</v>
      </c>
      <c r="N51" s="103"/>
      <c r="O51" s="104"/>
      <c r="P51" s="110">
        <f t="shared" ref="P51:P57" si="2">F44/$F$51</f>
        <v>0.82758620689655171</v>
      </c>
    </row>
    <row r="52" spans="2:16" x14ac:dyDescent="0.25">
      <c r="B52" s="84" t="s">
        <v>15</v>
      </c>
      <c r="C52" s="84"/>
      <c r="D52" s="84"/>
      <c r="E52" s="84"/>
      <c r="F52" s="84"/>
      <c r="L52" s="101"/>
      <c r="M52" s="102" t="s">
        <v>82</v>
      </c>
      <c r="N52" s="103"/>
      <c r="O52" s="104"/>
      <c r="P52" s="110">
        <f t="shared" si="2"/>
        <v>0</v>
      </c>
    </row>
    <row r="53" spans="2:16" x14ac:dyDescent="0.25">
      <c r="B53" s="85"/>
      <c r="C53" s="85"/>
      <c r="D53" s="85"/>
      <c r="E53" s="85"/>
      <c r="F53" s="85"/>
      <c r="L53" s="101"/>
      <c r="M53" s="102" t="s">
        <v>45</v>
      </c>
      <c r="N53" s="103"/>
      <c r="O53" s="104"/>
      <c r="P53" s="110">
        <f t="shared" si="2"/>
        <v>0</v>
      </c>
    </row>
    <row r="54" spans="2:16" x14ac:dyDescent="0.25">
      <c r="B54" s="75" t="s">
        <v>77</v>
      </c>
      <c r="C54" s="76"/>
      <c r="D54" s="77"/>
      <c r="E54" s="32" t="s">
        <v>101</v>
      </c>
      <c r="F54" s="25" t="s">
        <v>76</v>
      </c>
      <c r="L54" s="101"/>
      <c r="M54" s="102" t="s">
        <v>31</v>
      </c>
      <c r="N54" s="103"/>
      <c r="O54" s="104"/>
      <c r="P54" s="110">
        <f t="shared" si="2"/>
        <v>0</v>
      </c>
    </row>
    <row r="55" spans="2:16" x14ac:dyDescent="0.25">
      <c r="B55" s="78" t="s">
        <v>100</v>
      </c>
      <c r="C55" s="78"/>
      <c r="D55" s="78"/>
      <c r="E55" s="31">
        <f>GETPIVOTDATA("Produits sans spécifications ",$B$18,"Gamme ","Volailles")/GETPIVOTDATA("Produits sans spécifications ",$B$18)</f>
        <v>0.38053097345132741</v>
      </c>
      <c r="F55" s="26">
        <f>GETPIVOTDATA("Produits sans spécifications ",$B$18,"Gamme ","Volailles")</f>
        <v>86</v>
      </c>
      <c r="L55" s="101"/>
      <c r="M55" s="102" t="s">
        <v>107</v>
      </c>
      <c r="N55" s="103"/>
      <c r="O55" s="104"/>
      <c r="P55" s="110">
        <f t="shared" si="2"/>
        <v>0</v>
      </c>
    </row>
    <row r="56" spans="2:16" x14ac:dyDescent="0.25">
      <c r="B56" s="78" t="s">
        <v>99</v>
      </c>
      <c r="C56" s="78"/>
      <c r="D56" s="78"/>
      <c r="E56" s="31">
        <f>GETPIVOTDATA("BIO",$B$18,"Gamme ","Viandes ")/GETPIVOTDATA("BIO",$B$18)</f>
        <v>0.31662269129287601</v>
      </c>
      <c r="F56" s="26">
        <f>GETPIVOTDATA("BIO",$B$18,"Gamme ","Volailles")</f>
        <v>0</v>
      </c>
      <c r="L56" s="101"/>
      <c r="M56" s="109" t="s">
        <v>108</v>
      </c>
      <c r="N56" s="109"/>
      <c r="O56" s="109"/>
      <c r="P56" s="110">
        <f t="shared" si="2"/>
        <v>0</v>
      </c>
    </row>
    <row r="57" spans="2:16" x14ac:dyDescent="0.25">
      <c r="B57" s="78" t="s">
        <v>98</v>
      </c>
      <c r="C57" s="78"/>
      <c r="D57" s="78"/>
      <c r="E57" s="31">
        <f>GETPIVOTDATA("LOCAL",$B$18,"Gamme ","Viandes ")/GETPIVOTDATA("LOCAL",$B$18)</f>
        <v>0</v>
      </c>
      <c r="F57" s="26">
        <f>GETPIVOTDATA("LOCAL",$B$18,"Gamme ","Volailles")</f>
        <v>0</v>
      </c>
      <c r="L57" s="101"/>
      <c r="M57" s="101" t="s">
        <v>34</v>
      </c>
      <c r="N57" s="101"/>
      <c r="O57" s="101"/>
      <c r="P57" s="110">
        <f t="shared" si="2"/>
        <v>0</v>
      </c>
    </row>
    <row r="58" spans="2:16" x14ac:dyDescent="0.25">
      <c r="B58" s="78" t="s">
        <v>45</v>
      </c>
      <c r="C58" s="78"/>
      <c r="D58" s="78"/>
      <c r="E58" s="31">
        <f>GETPIVOTDATA("HVE",$B$18,"Gamme ","Viandes ")/GETPIVOTDATA("HVE",$B$18)</f>
        <v>0</v>
      </c>
      <c r="F58" s="26">
        <f>GETPIVOTDATA("HVE",$B$18,"Gamme ","Volailles")</f>
        <v>0</v>
      </c>
      <c r="L58" s="88" t="s">
        <v>15</v>
      </c>
      <c r="M58" s="89" t="s">
        <v>105</v>
      </c>
      <c r="N58" s="90"/>
      <c r="O58" s="91"/>
      <c r="P58" s="113">
        <f>F55/$F$63</f>
        <v>1</v>
      </c>
    </row>
    <row r="59" spans="2:16" x14ac:dyDescent="0.25">
      <c r="B59" s="78" t="s">
        <v>97</v>
      </c>
      <c r="C59" s="78"/>
      <c r="D59" s="78"/>
      <c r="E59" s="31">
        <f>GETPIVOTDATA("SIQO",$B$18:$B$18,"Gamme ","Viandes ")/GETPIVOTDATA("SIQO",$B$18)</f>
        <v>0</v>
      </c>
      <c r="F59" s="26">
        <f>GETPIVOTDATA("SIQO",$B$18,"Gamme ","Volailles")</f>
        <v>0</v>
      </c>
      <c r="L59" s="93"/>
      <c r="M59" s="94" t="s">
        <v>106</v>
      </c>
      <c r="N59" s="95"/>
      <c r="O59" s="96"/>
      <c r="P59" s="113">
        <f t="shared" ref="P59:P65" si="3">F56/$F$63</f>
        <v>0</v>
      </c>
    </row>
    <row r="60" spans="2:16" x14ac:dyDescent="0.25">
      <c r="B60" s="78" t="s">
        <v>96</v>
      </c>
      <c r="C60" s="78"/>
      <c r="D60" s="78"/>
      <c r="E60" s="31" t="e">
        <f>GETPIVOTDATA("Produit fermier ",$B$18,"Gamme ","Viandes ")/GETPIVOTDATA("Produit fermier ",$B$18)</f>
        <v>#DIV/0!</v>
      </c>
      <c r="F60" s="26">
        <f>GETPIVOTDATA("Produit fermier ",$B$18,"Gamme ","Volailles")</f>
        <v>0</v>
      </c>
      <c r="L60" s="93"/>
      <c r="M60" s="94" t="s">
        <v>82</v>
      </c>
      <c r="N60" s="95"/>
      <c r="O60" s="96"/>
      <c r="P60" s="113">
        <f t="shared" si="3"/>
        <v>0</v>
      </c>
    </row>
    <row r="61" spans="2:16" x14ac:dyDescent="0.25">
      <c r="B61" s="78" t="s">
        <v>95</v>
      </c>
      <c r="C61" s="78"/>
      <c r="D61" s="78"/>
      <c r="E61" s="31">
        <f>GETPIVOTDATA("Ecolabel",$B$18,"Gamme ","Viandes ")/GETPIVOTDATA("Ecolabel",$B$18)</f>
        <v>0</v>
      </c>
      <c r="F61" s="26">
        <f>GETPIVOTDATA("Ecolabel",$B$18,"Gamme ","Volailles")</f>
        <v>0</v>
      </c>
      <c r="L61" s="93"/>
      <c r="M61" s="94" t="s">
        <v>45</v>
      </c>
      <c r="N61" s="95"/>
      <c r="O61" s="96"/>
      <c r="P61" s="113">
        <f t="shared" si="3"/>
        <v>0</v>
      </c>
    </row>
    <row r="62" spans="2:16" x14ac:dyDescent="0.25">
      <c r="B62" s="78" t="s">
        <v>94</v>
      </c>
      <c r="C62" s="78"/>
      <c r="D62" s="78"/>
      <c r="E62" s="31" t="e">
        <f>GETPIVOTDATA("Autres",$B$18,"Gamme ","Viandes ")/GETPIVOTDATA("Autres",$B$18)</f>
        <v>#DIV/0!</v>
      </c>
      <c r="F62" s="26">
        <f>GETPIVOTDATA("Autres",$B$18,"Gamme ","Volailles")</f>
        <v>0</v>
      </c>
      <c r="L62" s="93"/>
      <c r="M62" s="94" t="s">
        <v>31</v>
      </c>
      <c r="N62" s="95"/>
      <c r="O62" s="96"/>
      <c r="P62" s="113">
        <f t="shared" si="3"/>
        <v>0</v>
      </c>
    </row>
    <row r="63" spans="2:16" x14ac:dyDescent="0.25">
      <c r="B63" s="79" t="s">
        <v>79</v>
      </c>
      <c r="C63" s="79"/>
      <c r="D63" s="79"/>
      <c r="E63" s="31"/>
      <c r="F63" s="26">
        <f>SUM(F55:F62)</f>
        <v>86</v>
      </c>
      <c r="L63" s="93"/>
      <c r="M63" s="94" t="s">
        <v>107</v>
      </c>
      <c r="N63" s="95"/>
      <c r="O63" s="96"/>
      <c r="P63" s="113">
        <f t="shared" si="3"/>
        <v>0</v>
      </c>
    </row>
    <row r="64" spans="2:16" x14ac:dyDescent="0.25">
      <c r="B64" s="80" t="s">
        <v>17</v>
      </c>
      <c r="C64" s="80"/>
      <c r="D64" s="80"/>
      <c r="E64" s="80"/>
      <c r="F64" s="80"/>
      <c r="L64" s="93"/>
      <c r="M64" s="112" t="s">
        <v>108</v>
      </c>
      <c r="N64" s="112"/>
      <c r="O64" s="112"/>
      <c r="P64" s="113">
        <f t="shared" si="3"/>
        <v>0</v>
      </c>
    </row>
    <row r="65" spans="2:17" x14ac:dyDescent="0.25">
      <c r="B65" s="81"/>
      <c r="C65" s="81"/>
      <c r="D65" s="81"/>
      <c r="E65" s="81"/>
      <c r="F65" s="81"/>
      <c r="L65" s="93"/>
      <c r="M65" s="93" t="s">
        <v>34</v>
      </c>
      <c r="N65" s="93"/>
      <c r="O65" s="93"/>
      <c r="P65" s="113">
        <f t="shared" si="3"/>
        <v>0</v>
      </c>
    </row>
    <row r="66" spans="2:17" x14ac:dyDescent="0.25">
      <c r="B66" s="75" t="s">
        <v>77</v>
      </c>
      <c r="C66" s="76"/>
      <c r="D66" s="77"/>
      <c r="E66" s="32" t="s">
        <v>101</v>
      </c>
      <c r="F66" s="25" t="s">
        <v>76</v>
      </c>
      <c r="L66" s="97" t="s">
        <v>17</v>
      </c>
      <c r="M66" s="98" t="s">
        <v>105</v>
      </c>
      <c r="N66" s="99"/>
      <c r="O66" s="100"/>
      <c r="P66" s="110">
        <f>F67/$F$75</f>
        <v>0</v>
      </c>
    </row>
    <row r="67" spans="2:17" x14ac:dyDescent="0.25">
      <c r="B67" s="78" t="s">
        <v>100</v>
      </c>
      <c r="C67" s="78"/>
      <c r="D67" s="78"/>
      <c r="E67" s="31">
        <f>GETPIVOTDATA("Produits sans spécifications ",$B$18,"Gamme ","Légumes")/GETPIVOTDATA("Produits sans spécifications ",$B$18)</f>
        <v>0</v>
      </c>
      <c r="F67" s="26">
        <f>GETPIVOTDATA("Produits sans spécifications ",$B$18,"Gamme ","Légumes")</f>
        <v>0</v>
      </c>
      <c r="L67" s="101"/>
      <c r="M67" s="102" t="s">
        <v>106</v>
      </c>
      <c r="N67" s="103"/>
      <c r="O67" s="104"/>
      <c r="P67" s="110">
        <f t="shared" ref="P67:P73" si="4">F68/$F$75</f>
        <v>0.47222222222222221</v>
      </c>
    </row>
    <row r="68" spans="2:17" x14ac:dyDescent="0.25">
      <c r="B68" s="78" t="s">
        <v>99</v>
      </c>
      <c r="C68" s="78"/>
      <c r="D68" s="78"/>
      <c r="E68" s="31">
        <f>GETPIVOTDATA("BIO",$B$18,"Gamme ","Légumes")/GETPIVOTDATA("BIO",$B$18)</f>
        <v>0.26912928759894461</v>
      </c>
      <c r="F68" s="26">
        <f>GETPIVOTDATA("BIO",$B$18,"Gamme ","Légumes")</f>
        <v>102</v>
      </c>
      <c r="L68" s="101"/>
      <c r="M68" s="102" t="s">
        <v>82</v>
      </c>
      <c r="N68" s="103"/>
      <c r="O68" s="104"/>
      <c r="P68" s="110">
        <f t="shared" si="4"/>
        <v>0.2638888888888889</v>
      </c>
    </row>
    <row r="69" spans="2:17" x14ac:dyDescent="0.25">
      <c r="B69" s="78" t="s">
        <v>98</v>
      </c>
      <c r="C69" s="78"/>
      <c r="D69" s="78"/>
      <c r="E69" s="31">
        <f>GETPIVOTDATA("LOCAL",$B$18,"Gamme ","Légumes")/GETPIVOTDATA("LOCAL",$B$18)</f>
        <v>0.51351351351351349</v>
      </c>
      <c r="F69" s="26">
        <f>GETPIVOTDATA("LOCAL",$B$18,"Gamme ","Légumes")</f>
        <v>57</v>
      </c>
      <c r="K69" s="87"/>
      <c r="L69" s="101"/>
      <c r="M69" s="102" t="s">
        <v>45</v>
      </c>
      <c r="N69" s="103"/>
      <c r="O69" s="104"/>
      <c r="P69" s="110">
        <f t="shared" si="4"/>
        <v>0.16203703703703703</v>
      </c>
      <c r="Q69" s="87"/>
    </row>
    <row r="70" spans="2:17" x14ac:dyDescent="0.25">
      <c r="B70" s="78" t="s">
        <v>45</v>
      </c>
      <c r="C70" s="78"/>
      <c r="D70" s="78"/>
      <c r="E70" s="31">
        <f>GETPIVOTDATA("HVE",$B$18,"Gamme ","Légumes")/GETPIVOTDATA("HVE",$B$18)</f>
        <v>0.59322033898305082</v>
      </c>
      <c r="F70" s="26">
        <f>GETPIVOTDATA("HVE",$B$18,"Gamme ","Légumes")</f>
        <v>35</v>
      </c>
      <c r="K70" s="87"/>
      <c r="L70" s="101"/>
      <c r="M70" s="102" t="s">
        <v>31</v>
      </c>
      <c r="N70" s="103"/>
      <c r="O70" s="104"/>
      <c r="P70" s="110">
        <f t="shared" si="4"/>
        <v>0.10185185185185185</v>
      </c>
      <c r="Q70" s="87"/>
    </row>
    <row r="71" spans="2:17" x14ac:dyDescent="0.25">
      <c r="B71" s="78" t="s">
        <v>97</v>
      </c>
      <c r="C71" s="78"/>
      <c r="D71" s="78"/>
      <c r="E71" s="31">
        <f>GETPIVOTDATA("SIQO",$B$18,"Gamme ","Légumes")/GETPIVOTDATA("SIQO",$B$18)</f>
        <v>0.5</v>
      </c>
      <c r="F71" s="26">
        <f>GETPIVOTDATA("SIQO",$B$18,"Gamme ","Légumes")</f>
        <v>22</v>
      </c>
      <c r="K71" s="87"/>
      <c r="L71" s="101"/>
      <c r="M71" s="102" t="s">
        <v>107</v>
      </c>
      <c r="N71" s="103"/>
      <c r="O71" s="104"/>
      <c r="P71" s="110">
        <f t="shared" si="4"/>
        <v>0</v>
      </c>
      <c r="Q71" s="87"/>
    </row>
    <row r="72" spans="2:17" x14ac:dyDescent="0.25">
      <c r="B72" s="78" t="s">
        <v>96</v>
      </c>
      <c r="C72" s="78"/>
      <c r="D72" s="78"/>
      <c r="E72" s="31" t="e">
        <f>GETPIVOTDATA("Produit fermier ",$B$18,"Gamme ","Légumes")/GETPIVOTDATA("Produit fermier ",$B$18)</f>
        <v>#DIV/0!</v>
      </c>
      <c r="F72" s="26">
        <f>GETPIVOTDATA("Produit fermier ",$B$18,"Gamme ","Légumes")</f>
        <v>0</v>
      </c>
      <c r="K72" s="87"/>
      <c r="L72" s="101"/>
      <c r="M72" s="109" t="s">
        <v>108</v>
      </c>
      <c r="N72" s="109"/>
      <c r="O72" s="109"/>
      <c r="P72" s="110">
        <f t="shared" si="4"/>
        <v>0</v>
      </c>
      <c r="Q72" s="87"/>
    </row>
    <row r="73" spans="2:17" x14ac:dyDescent="0.25">
      <c r="B73" s="78" t="s">
        <v>95</v>
      </c>
      <c r="C73" s="78"/>
      <c r="D73" s="78"/>
      <c r="E73" s="31">
        <f>GETPIVOTDATA("Ecolabel",$B$18,"Gamme ","Légumes")/GETPIVOTDATA("Ecolabel",$B$18)</f>
        <v>0</v>
      </c>
      <c r="F73" s="26">
        <f>GETPIVOTDATA("Ecolabel",$B$18,"Gamme ","Légumes")</f>
        <v>0</v>
      </c>
      <c r="K73" s="87"/>
      <c r="L73" s="101"/>
      <c r="M73" s="101" t="s">
        <v>34</v>
      </c>
      <c r="N73" s="101"/>
      <c r="O73" s="101"/>
      <c r="P73" s="110">
        <f t="shared" si="4"/>
        <v>0</v>
      </c>
      <c r="Q73" s="87"/>
    </row>
    <row r="74" spans="2:17" x14ac:dyDescent="0.25">
      <c r="B74" s="78" t="s">
        <v>94</v>
      </c>
      <c r="C74" s="78"/>
      <c r="D74" s="78"/>
      <c r="E74" s="31" t="e">
        <f>GETPIVOTDATA("Autres",$B$18,"Gamme ","Légumes")/GETPIVOTDATA("Autres",$B$18)</f>
        <v>#DIV/0!</v>
      </c>
      <c r="F74" s="26">
        <f>GETPIVOTDATA("Autres",$B$18,"Gamme ","Légumes")</f>
        <v>0</v>
      </c>
      <c r="K74" s="87"/>
      <c r="L74" s="88" t="s">
        <v>19</v>
      </c>
      <c r="M74" s="89" t="s">
        <v>105</v>
      </c>
      <c r="N74" s="90"/>
      <c r="O74" s="91"/>
      <c r="P74" s="92" t="e">
        <f>F79/$F$87</f>
        <v>#DIV/0!</v>
      </c>
      <c r="Q74" s="87"/>
    </row>
    <row r="75" spans="2:17" x14ac:dyDescent="0.25">
      <c r="B75" s="79" t="s">
        <v>79</v>
      </c>
      <c r="C75" s="79"/>
      <c r="D75" s="79"/>
      <c r="E75" s="31"/>
      <c r="F75" s="26">
        <f>SUM(F67:F74)</f>
        <v>216</v>
      </c>
      <c r="K75" s="87"/>
      <c r="L75" s="93"/>
      <c r="M75" s="94" t="s">
        <v>106</v>
      </c>
      <c r="N75" s="95"/>
      <c r="O75" s="96"/>
      <c r="P75" s="92" t="e">
        <f t="shared" ref="P75:P81" si="5">F80/$F$87</f>
        <v>#DIV/0!</v>
      </c>
      <c r="Q75" s="87"/>
    </row>
    <row r="76" spans="2:17" x14ac:dyDescent="0.25">
      <c r="B76" s="80" t="s">
        <v>19</v>
      </c>
      <c r="C76" s="80"/>
      <c r="D76" s="80"/>
      <c r="E76" s="80"/>
      <c r="F76" s="80"/>
      <c r="K76" s="87"/>
      <c r="L76" s="93"/>
      <c r="M76" s="94" t="s">
        <v>82</v>
      </c>
      <c r="N76" s="95"/>
      <c r="O76" s="96"/>
      <c r="P76" s="92" t="e">
        <f t="shared" si="5"/>
        <v>#DIV/0!</v>
      </c>
      <c r="Q76" s="87"/>
    </row>
    <row r="77" spans="2:17" x14ac:dyDescent="0.25">
      <c r="B77" s="81"/>
      <c r="C77" s="81"/>
      <c r="D77" s="81"/>
      <c r="E77" s="81"/>
      <c r="F77" s="81"/>
      <c r="K77" s="87"/>
      <c r="L77" s="93"/>
      <c r="M77" s="94" t="s">
        <v>45</v>
      </c>
      <c r="N77" s="95"/>
      <c r="O77" s="96"/>
      <c r="P77" s="92" t="e">
        <f t="shared" si="5"/>
        <v>#DIV/0!</v>
      </c>
      <c r="Q77" s="87"/>
    </row>
    <row r="78" spans="2:17" x14ac:dyDescent="0.25">
      <c r="B78" s="75" t="s">
        <v>77</v>
      </c>
      <c r="C78" s="76"/>
      <c r="D78" s="77"/>
      <c r="E78" s="32" t="s">
        <v>101</v>
      </c>
      <c r="F78" s="25" t="s">
        <v>76</v>
      </c>
      <c r="K78" s="87"/>
      <c r="L78" s="93"/>
      <c r="M78" s="94" t="s">
        <v>31</v>
      </c>
      <c r="N78" s="95"/>
      <c r="O78" s="96"/>
      <c r="P78" s="92" t="e">
        <f t="shared" si="5"/>
        <v>#DIV/0!</v>
      </c>
      <c r="Q78" s="87"/>
    </row>
    <row r="79" spans="2:17" x14ac:dyDescent="0.25">
      <c r="B79" s="78" t="s">
        <v>100</v>
      </c>
      <c r="C79" s="78"/>
      <c r="D79" s="78"/>
      <c r="E79" s="31">
        <f>GETPIVOTDATA("Produits sans spécifications ",$B$18,"Gamme ","Epicerie")/GETPIVOTDATA("Produits sans spécifications ",$B$18)</f>
        <v>0</v>
      </c>
      <c r="F79" s="26">
        <f>GETPIVOTDATA("Produits sans spécifications ",$B$18,"Gamme ","Epicerie")</f>
        <v>0</v>
      </c>
      <c r="K79" s="87"/>
      <c r="L79" s="93"/>
      <c r="M79" s="94" t="s">
        <v>107</v>
      </c>
      <c r="N79" s="95"/>
      <c r="O79" s="96"/>
      <c r="P79" s="92" t="e">
        <f t="shared" si="5"/>
        <v>#DIV/0!</v>
      </c>
      <c r="Q79" s="87"/>
    </row>
    <row r="80" spans="2:17" x14ac:dyDescent="0.25">
      <c r="B80" s="78" t="s">
        <v>99</v>
      </c>
      <c r="C80" s="78"/>
      <c r="D80" s="78"/>
      <c r="E80" s="31">
        <f>GETPIVOTDATA("BIO",$B$18,"Gamme ","Epicerie")/GETPIVOTDATA("BIO",$B$18)</f>
        <v>0</v>
      </c>
      <c r="F80" s="26">
        <f>GETPIVOTDATA("BIO",$B$18,"Gamme ","Epicerie")</f>
        <v>0</v>
      </c>
      <c r="K80" s="87"/>
      <c r="L80" s="93"/>
      <c r="M80" s="112" t="s">
        <v>108</v>
      </c>
      <c r="N80" s="112"/>
      <c r="O80" s="112"/>
      <c r="P80" s="92" t="e">
        <f t="shared" si="5"/>
        <v>#DIV/0!</v>
      </c>
      <c r="Q80" s="87"/>
    </row>
    <row r="81" spans="2:17" x14ac:dyDescent="0.25">
      <c r="B81" s="78" t="s">
        <v>98</v>
      </c>
      <c r="C81" s="78"/>
      <c r="D81" s="78"/>
      <c r="E81" s="31">
        <f>GETPIVOTDATA("LOCAL",$B$18,"Gamme ","Epicerie")/GETPIVOTDATA("LOCAL",$B$18)</f>
        <v>0</v>
      </c>
      <c r="F81" s="26">
        <f>GETPIVOTDATA("LOCAL",$B$18,"Gamme ","Epicerie")</f>
        <v>0</v>
      </c>
      <c r="K81" s="87"/>
      <c r="L81" s="93"/>
      <c r="M81" s="93" t="s">
        <v>34</v>
      </c>
      <c r="N81" s="93"/>
      <c r="O81" s="93"/>
      <c r="P81" s="92" t="e">
        <f t="shared" si="5"/>
        <v>#DIV/0!</v>
      </c>
      <c r="Q81" s="87"/>
    </row>
    <row r="82" spans="2:17" x14ac:dyDescent="0.25">
      <c r="B82" s="78" t="s">
        <v>45</v>
      </c>
      <c r="C82" s="78"/>
      <c r="D82" s="78"/>
      <c r="E82" s="31">
        <f>GETPIVOTDATA("HVE",$B$18,"Gamme ","Epicerie")/GETPIVOTDATA("HVE",$B$18)</f>
        <v>0</v>
      </c>
      <c r="F82" s="26">
        <f>GETPIVOTDATA("HVE",$B$18,"Gamme ","Epicerie")</f>
        <v>0</v>
      </c>
      <c r="K82" s="87"/>
      <c r="L82" s="97" t="s">
        <v>18</v>
      </c>
      <c r="M82" s="98" t="s">
        <v>105</v>
      </c>
      <c r="N82" s="99"/>
      <c r="O82" s="100"/>
      <c r="P82" s="110">
        <f>F91/$F$99</f>
        <v>0</v>
      </c>
      <c r="Q82" s="87"/>
    </row>
    <row r="83" spans="2:17" x14ac:dyDescent="0.25">
      <c r="B83" s="78" t="s">
        <v>97</v>
      </c>
      <c r="C83" s="78"/>
      <c r="D83" s="78"/>
      <c r="E83" s="31">
        <f>GETPIVOTDATA("SIQO",$B$18,"Gamme ","Epicerie")/GETPIVOTDATA("SIQO",$B$18)</f>
        <v>0</v>
      </c>
      <c r="F83" s="26">
        <f>GETPIVOTDATA("SIQO",$B$18,"Gamme ","Epicerie")</f>
        <v>0</v>
      </c>
      <c r="K83" s="87"/>
      <c r="L83" s="101"/>
      <c r="M83" s="102" t="s">
        <v>106</v>
      </c>
      <c r="N83" s="103"/>
      <c r="O83" s="104"/>
      <c r="P83" s="110">
        <f t="shared" ref="P83:P89" si="6">F92/$F$99</f>
        <v>0</v>
      </c>
      <c r="Q83" s="87"/>
    </row>
    <row r="84" spans="2:17" x14ac:dyDescent="0.25">
      <c r="B84" s="78" t="s">
        <v>96</v>
      </c>
      <c r="C84" s="78"/>
      <c r="D84" s="78"/>
      <c r="E84" s="31" t="e">
        <f>GETPIVOTDATA("Produit fermier ",$B$18,"Gamme ","Epicerie")/GETPIVOTDATA("Produit fermier ",$B$18)</f>
        <v>#DIV/0!</v>
      </c>
      <c r="F84" s="26">
        <f>GETPIVOTDATA("Produit fermier ",$B$18,"Gamme ","Epicerie")</f>
        <v>0</v>
      </c>
      <c r="L84" s="101"/>
      <c r="M84" s="102" t="s">
        <v>82</v>
      </c>
      <c r="N84" s="103"/>
      <c r="O84" s="104"/>
      <c r="P84" s="110">
        <f t="shared" si="6"/>
        <v>0</v>
      </c>
    </row>
    <row r="85" spans="2:17" x14ac:dyDescent="0.25">
      <c r="B85" s="78" t="s">
        <v>95</v>
      </c>
      <c r="C85" s="78"/>
      <c r="D85" s="78"/>
      <c r="E85" s="31">
        <f>GETPIVOTDATA("Ecolabel",$B$18,"Gamme ","Epicerie")/GETPIVOTDATA("Ecolabel",$B$18)</f>
        <v>0</v>
      </c>
      <c r="F85" s="26">
        <f>GETPIVOTDATA("Ecolabel",$B$18,"Gamme ","Epicerie")</f>
        <v>0</v>
      </c>
      <c r="L85" s="101"/>
      <c r="M85" s="102" t="s">
        <v>45</v>
      </c>
      <c r="N85" s="103"/>
      <c r="O85" s="104"/>
      <c r="P85" s="110">
        <f t="shared" si="6"/>
        <v>0</v>
      </c>
    </row>
    <row r="86" spans="2:17" x14ac:dyDescent="0.25">
      <c r="B86" s="78" t="s">
        <v>94</v>
      </c>
      <c r="C86" s="78"/>
      <c r="D86" s="78"/>
      <c r="E86" s="31" t="e">
        <f>GETPIVOTDATA("Autres",$B$18,"Gamme ","Epicerie")/GETPIVOTDATA("Autres",$B$18)</f>
        <v>#DIV/0!</v>
      </c>
      <c r="F86" s="26">
        <f>GETPIVOTDATA("Autres",$B$18,"Gamme ","Epicerie")</f>
        <v>0</v>
      </c>
      <c r="L86" s="101"/>
      <c r="M86" s="102" t="s">
        <v>31</v>
      </c>
      <c r="N86" s="103"/>
      <c r="O86" s="104"/>
      <c r="P86" s="110">
        <f t="shared" si="6"/>
        <v>0</v>
      </c>
    </row>
    <row r="87" spans="2:17" x14ac:dyDescent="0.25">
      <c r="B87" s="79" t="s">
        <v>79</v>
      </c>
      <c r="C87" s="79"/>
      <c r="D87" s="79"/>
      <c r="E87" s="31"/>
      <c r="F87" s="26">
        <f>SUM(F79:F86)</f>
        <v>0</v>
      </c>
      <c r="L87" s="101"/>
      <c r="M87" s="102" t="s">
        <v>107</v>
      </c>
      <c r="N87" s="103"/>
      <c r="O87" s="104"/>
      <c r="P87" s="110">
        <f t="shared" si="6"/>
        <v>0</v>
      </c>
    </row>
    <row r="88" spans="2:17" x14ac:dyDescent="0.25">
      <c r="B88" s="80" t="s">
        <v>18</v>
      </c>
      <c r="C88" s="80"/>
      <c r="D88" s="80"/>
      <c r="E88" s="80"/>
      <c r="F88" s="80"/>
      <c r="L88" s="101"/>
      <c r="M88" s="109" t="s">
        <v>108</v>
      </c>
      <c r="N88" s="109"/>
      <c r="O88" s="109"/>
      <c r="P88" s="110">
        <f t="shared" si="6"/>
        <v>1</v>
      </c>
    </row>
    <row r="89" spans="2:17" x14ac:dyDescent="0.25">
      <c r="B89" s="81"/>
      <c r="C89" s="81"/>
      <c r="D89" s="81"/>
      <c r="E89" s="81"/>
      <c r="F89" s="81"/>
      <c r="L89" s="101"/>
      <c r="M89" s="101" t="s">
        <v>34</v>
      </c>
      <c r="N89" s="101"/>
      <c r="O89" s="101"/>
      <c r="P89" s="110">
        <f t="shared" si="6"/>
        <v>0</v>
      </c>
    </row>
    <row r="90" spans="2:17" x14ac:dyDescent="0.25">
      <c r="B90" s="75" t="s">
        <v>77</v>
      </c>
      <c r="C90" s="76"/>
      <c r="D90" s="77"/>
      <c r="E90" s="32" t="s">
        <v>101</v>
      </c>
      <c r="F90" s="25" t="s">
        <v>76</v>
      </c>
    </row>
    <row r="91" spans="2:17" x14ac:dyDescent="0.25">
      <c r="B91" s="78" t="s">
        <v>100</v>
      </c>
      <c r="C91" s="78"/>
      <c r="D91" s="78"/>
      <c r="E91" s="31">
        <f>GETPIVOTDATA("Produits sans spécifications ",$B$18,"Gamme ","Poissons")/GETPIVOTDATA("Produits sans spécifications ",$B$18)</f>
        <v>0</v>
      </c>
      <c r="F91" s="26">
        <f>GETPIVOTDATA("Produits sans spécifications ",$B$18,"Gamme ","Poissons")</f>
        <v>0</v>
      </c>
    </row>
    <row r="92" spans="2:17" x14ac:dyDescent="0.25">
      <c r="B92" s="78" t="s">
        <v>99</v>
      </c>
      <c r="C92" s="78"/>
      <c r="D92" s="78"/>
      <c r="E92" s="31">
        <f>GETPIVOTDATA("BIO",$B$18,"Gamme ","Poissons")/GETPIVOTDATA("BIO",$B$18)</f>
        <v>0</v>
      </c>
      <c r="F92" s="26">
        <f>GETPIVOTDATA("BIO",$B$18,"Gamme ","Poissons")</f>
        <v>0</v>
      </c>
    </row>
    <row r="93" spans="2:17" x14ac:dyDescent="0.25">
      <c r="B93" s="78" t="s">
        <v>98</v>
      </c>
      <c r="C93" s="78"/>
      <c r="D93" s="78"/>
      <c r="E93" s="31">
        <f>GETPIVOTDATA("LOCAL",$B$18,"Gamme ","Poissons")/GETPIVOTDATA("LOCAL",$B$18)</f>
        <v>0</v>
      </c>
      <c r="F93" s="26">
        <f>GETPIVOTDATA("LOCAL",$B$18,"Gamme ","Poissons")</f>
        <v>0</v>
      </c>
    </row>
    <row r="94" spans="2:17" x14ac:dyDescent="0.25">
      <c r="B94" s="78" t="s">
        <v>45</v>
      </c>
      <c r="C94" s="78"/>
      <c r="D94" s="78"/>
      <c r="E94" s="31">
        <f>GETPIVOTDATA("HVE",$B$18,"Gamme ","Poissons")/GETPIVOTDATA("HVE",$B$18)</f>
        <v>0</v>
      </c>
      <c r="F94" s="26">
        <f>GETPIVOTDATA("HVE",$B$18,"Gamme ","Poissons")</f>
        <v>0</v>
      </c>
    </row>
    <row r="95" spans="2:17" x14ac:dyDescent="0.25">
      <c r="B95" s="78" t="s">
        <v>97</v>
      </c>
      <c r="C95" s="78"/>
      <c r="D95" s="78"/>
      <c r="E95" s="31">
        <f>GETPIVOTDATA("SIQO",$B$18,"Gamme ","Poissons")/GETPIVOTDATA("SIQO",$B$18)</f>
        <v>0</v>
      </c>
      <c r="F95" s="26">
        <f>GETPIVOTDATA("SIQO",$B$18,"Gamme ","Poissons")</f>
        <v>0</v>
      </c>
    </row>
    <row r="96" spans="2:17" x14ac:dyDescent="0.25">
      <c r="B96" s="78" t="s">
        <v>96</v>
      </c>
      <c r="C96" s="78"/>
      <c r="D96" s="78"/>
      <c r="E96" s="31" t="e">
        <f>GETPIVOTDATA("Produit fermier ",$B$18,"Gamme ","Poissons")/GETPIVOTDATA("Produit fermier ",$B$18)</f>
        <v>#DIV/0!</v>
      </c>
      <c r="F96" s="26">
        <f>GETPIVOTDATA("Produit fermier ",$B$18,"Gamme ","Poissons")</f>
        <v>0</v>
      </c>
    </row>
    <row r="97" spans="2:6" x14ac:dyDescent="0.25">
      <c r="B97" s="78" t="s">
        <v>95</v>
      </c>
      <c r="C97" s="78"/>
      <c r="D97" s="78"/>
      <c r="E97" s="31">
        <f>GETPIVOTDATA("Ecolabel",$B$18,"Gamme ","Poissons")/GETPIVOTDATA("Ecolabel",$B$18)</f>
        <v>1</v>
      </c>
      <c r="F97" s="26">
        <f>GETPIVOTDATA("Ecolabel",$B$18,"Gamme ","Poissons")</f>
        <v>78</v>
      </c>
    </row>
    <row r="98" spans="2:6" x14ac:dyDescent="0.25">
      <c r="B98" s="78" t="s">
        <v>94</v>
      </c>
      <c r="C98" s="78"/>
      <c r="D98" s="78"/>
      <c r="E98" s="31" t="e">
        <f>GETPIVOTDATA("Autres",$B$18,"Gamme ","Poissons")/GETPIVOTDATA("Autres",$B$18)</f>
        <v>#DIV/0!</v>
      </c>
      <c r="F98" s="26">
        <f>GETPIVOTDATA("Autres",$B$18,"Gamme ","Poissons")</f>
        <v>0</v>
      </c>
    </row>
    <row r="99" spans="2:6" x14ac:dyDescent="0.25">
      <c r="B99" s="79" t="s">
        <v>79</v>
      </c>
      <c r="C99" s="79"/>
      <c r="D99" s="79"/>
      <c r="E99" s="31"/>
      <c r="F99" s="26">
        <f>SUM(F91:F98)</f>
        <v>78</v>
      </c>
    </row>
  </sheetData>
  <mergeCells count="144">
    <mergeCell ref="L74:L81"/>
    <mergeCell ref="L82:L89"/>
    <mergeCell ref="M82:O82"/>
    <mergeCell ref="M83:O83"/>
    <mergeCell ref="M84:O84"/>
    <mergeCell ref="M85:O85"/>
    <mergeCell ref="M86:O86"/>
    <mergeCell ref="M87:O87"/>
    <mergeCell ref="M88:O88"/>
    <mergeCell ref="M89:O89"/>
    <mergeCell ref="L34:L41"/>
    <mergeCell ref="L42:L49"/>
    <mergeCell ref="L50:L57"/>
    <mergeCell ref="L58:L65"/>
    <mergeCell ref="M69:O69"/>
    <mergeCell ref="M70:O70"/>
    <mergeCell ref="M71:O71"/>
    <mergeCell ref="M72:O72"/>
    <mergeCell ref="M73:O73"/>
    <mergeCell ref="M74:O74"/>
    <mergeCell ref="M75:O75"/>
    <mergeCell ref="M76:O76"/>
    <mergeCell ref="M77:O77"/>
    <mergeCell ref="M78:O78"/>
    <mergeCell ref="M79:O79"/>
    <mergeCell ref="M80:O80"/>
    <mergeCell ref="M81:O81"/>
    <mergeCell ref="M62:O62"/>
    <mergeCell ref="M63:O63"/>
    <mergeCell ref="M64:O64"/>
    <mergeCell ref="M65:O65"/>
    <mergeCell ref="M66:O66"/>
    <mergeCell ref="M67:O67"/>
    <mergeCell ref="M68:O68"/>
    <mergeCell ref="L66:L73"/>
    <mergeCell ref="M55:O55"/>
    <mergeCell ref="M56:O56"/>
    <mergeCell ref="M57:O57"/>
    <mergeCell ref="M58:O58"/>
    <mergeCell ref="M59:O59"/>
    <mergeCell ref="M60:O60"/>
    <mergeCell ref="M61:O61"/>
    <mergeCell ref="M48:O48"/>
    <mergeCell ref="M49:O49"/>
    <mergeCell ref="M50:O50"/>
    <mergeCell ref="M51:O51"/>
    <mergeCell ref="M52:O52"/>
    <mergeCell ref="M53:O53"/>
    <mergeCell ref="M54:O54"/>
    <mergeCell ref="M41:O41"/>
    <mergeCell ref="M42:O42"/>
    <mergeCell ref="M43:O43"/>
    <mergeCell ref="M44:O44"/>
    <mergeCell ref="M45:O45"/>
    <mergeCell ref="M46:O46"/>
    <mergeCell ref="M47:O47"/>
    <mergeCell ref="M31:P32"/>
    <mergeCell ref="Q31:Q32"/>
    <mergeCell ref="L33:O33"/>
    <mergeCell ref="M34:O34"/>
    <mergeCell ref="M35:O35"/>
    <mergeCell ref="M36:O36"/>
    <mergeCell ref="M37:O37"/>
    <mergeCell ref="M38:O38"/>
    <mergeCell ref="M39:O39"/>
    <mergeCell ref="M40:O40"/>
    <mergeCell ref="B88:F89"/>
    <mergeCell ref="B5:F6"/>
    <mergeCell ref="B40:F41"/>
    <mergeCell ref="B29:F29"/>
    <mergeCell ref="B52:F53"/>
    <mergeCell ref="B64:F65"/>
    <mergeCell ref="B76:F77"/>
    <mergeCell ref="B83:D83"/>
    <mergeCell ref="B84:D84"/>
    <mergeCell ref="B85:D85"/>
    <mergeCell ref="B86:D86"/>
    <mergeCell ref="B87:D87"/>
    <mergeCell ref="B78:D78"/>
    <mergeCell ref="B79:D79"/>
    <mergeCell ref="B80:D80"/>
    <mergeCell ref="B81:D81"/>
    <mergeCell ref="B95:D95"/>
    <mergeCell ref="B96:D96"/>
    <mergeCell ref="B97:D97"/>
    <mergeCell ref="B98:D98"/>
    <mergeCell ref="B99:D99"/>
    <mergeCell ref="B90:D90"/>
    <mergeCell ref="B91:D91"/>
    <mergeCell ref="B92:D92"/>
    <mergeCell ref="B93:D93"/>
    <mergeCell ref="B94:D94"/>
    <mergeCell ref="B82:D82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30:D30"/>
    <mergeCell ref="B31:D31"/>
    <mergeCell ref="B32:D32"/>
    <mergeCell ref="B33:D33"/>
    <mergeCell ref="B34:D34"/>
    <mergeCell ref="B16:D16"/>
    <mergeCell ref="B8:D8"/>
    <mergeCell ref="B9:D9"/>
    <mergeCell ref="B10:D10"/>
    <mergeCell ref="B11:D11"/>
    <mergeCell ref="B12:D12"/>
    <mergeCell ref="H8:M12"/>
    <mergeCell ref="B7:D7"/>
    <mergeCell ref="B13:D13"/>
    <mergeCell ref="B14:D14"/>
    <mergeCell ref="B15:D15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Tableau</vt:lpstr>
      <vt:lpstr>AUTRES</vt:lpstr>
      <vt:lpstr>Gamme</vt:lpstr>
      <vt:lpstr>LOCAL</vt:lpstr>
      <vt:lpstr>SIQO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Stagiaire-B</cp:lastModifiedBy>
  <dcterms:created xsi:type="dcterms:W3CDTF">2021-04-21T07:54:09Z</dcterms:created>
  <dcterms:modified xsi:type="dcterms:W3CDTF">2021-04-27T14:33:55Z</dcterms:modified>
</cp:coreProperties>
</file>