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Bureau\"/>
    </mc:Choice>
  </mc:AlternateContent>
  <xr:revisionPtr revIDLastSave="0" documentId="8_{0B87B367-8326-4819-8744-DEAD758A1760}" xr6:coauthVersionLast="47" xr6:coauthVersionMax="47" xr10:uidLastSave="{00000000-0000-0000-0000-000000000000}"/>
  <bookViews>
    <workbookView xWindow="-120" yWindow="-120" windowWidth="29040" windowHeight="15840" xr2:uid="{41EBDC4B-31CA-430C-905A-BBAB45AE91A9}"/>
  </bookViews>
  <sheets>
    <sheet name="ANALYSE VENTES" sheetId="1" r:id="rId1"/>
  </sheets>
  <externalReferences>
    <externalReference r:id="rId2"/>
  </externalReferences>
  <definedNames>
    <definedName name="DatePrévision">#REF!</definedName>
    <definedName name="fAnnée">#REF!</definedName>
    <definedName name="fDate">#REF!</definedName>
    <definedName name="fJour">#REF!</definedName>
    <definedName name="fMo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49" i="1" l="1"/>
  <c r="T48" i="1"/>
  <c r="N51" i="1"/>
  <c r="M51" i="1"/>
  <c r="L51" i="1"/>
  <c r="K51" i="1"/>
  <c r="I51" i="1"/>
  <c r="H51" i="1"/>
  <c r="G51" i="1"/>
  <c r="H49" i="1"/>
  <c r="G49" i="1"/>
  <c r="S48" i="1"/>
  <c r="O48" i="1"/>
  <c r="N48" i="1"/>
  <c r="I48" i="1"/>
  <c r="S47" i="1"/>
  <c r="O47" i="1"/>
  <c r="N47" i="1"/>
  <c r="I47" i="1"/>
  <c r="S45" i="1"/>
  <c r="O45" i="1"/>
  <c r="N45" i="1"/>
  <c r="I45" i="1"/>
  <c r="S44" i="1"/>
  <c r="N44" i="1"/>
  <c r="I44" i="1"/>
  <c r="S43" i="1"/>
  <c r="O43" i="1"/>
  <c r="N43" i="1"/>
  <c r="I43" i="1"/>
  <c r="S32" i="1"/>
  <c r="O32" i="1"/>
  <c r="N32" i="1"/>
  <c r="I32" i="1"/>
  <c r="S24" i="1"/>
  <c r="O24" i="1"/>
  <c r="N24" i="1"/>
  <c r="I24" i="1"/>
  <c r="S22" i="1"/>
  <c r="N22" i="1"/>
  <c r="I22" i="1"/>
  <c r="S21" i="1"/>
  <c r="N21" i="1"/>
  <c r="I21" i="1"/>
  <c r="T41" i="1"/>
  <c r="S41" i="1"/>
  <c r="O41" i="1"/>
  <c r="N41" i="1"/>
  <c r="I41" i="1"/>
  <c r="S40" i="1"/>
  <c r="O40" i="1"/>
  <c r="N40" i="1"/>
  <c r="I40" i="1"/>
  <c r="S42" i="1"/>
  <c r="O42" i="1"/>
  <c r="N42" i="1"/>
  <c r="I42" i="1"/>
  <c r="S46" i="1"/>
  <c r="O46" i="1"/>
  <c r="N46" i="1"/>
  <c r="I46" i="1"/>
  <c r="T38" i="1"/>
  <c r="S38" i="1"/>
  <c r="O38" i="1"/>
  <c r="N38" i="1"/>
  <c r="I38" i="1"/>
  <c r="S37" i="1"/>
  <c r="O37" i="1"/>
  <c r="N37" i="1"/>
  <c r="I37" i="1"/>
  <c r="S36" i="1"/>
  <c r="O36" i="1"/>
  <c r="N36" i="1"/>
  <c r="I36" i="1"/>
  <c r="S39" i="1"/>
  <c r="O39" i="1"/>
  <c r="N39" i="1"/>
  <c r="I39" i="1"/>
  <c r="S33" i="1"/>
  <c r="O33" i="1"/>
  <c r="N33" i="1"/>
  <c r="I33" i="1"/>
  <c r="S35" i="1"/>
  <c r="T35" i="1" s="1"/>
  <c r="O35" i="1"/>
  <c r="N35" i="1"/>
  <c r="I35" i="1"/>
  <c r="S34" i="1"/>
  <c r="O34" i="1"/>
  <c r="N34" i="1"/>
  <c r="I34" i="1"/>
  <c r="S28" i="1"/>
  <c r="O28" i="1"/>
  <c r="N28" i="1"/>
  <c r="I28" i="1"/>
  <c r="T31" i="1"/>
  <c r="O31" i="1"/>
  <c r="N31" i="1"/>
  <c r="I31" i="1"/>
  <c r="S30" i="1"/>
  <c r="O30" i="1"/>
  <c r="N30" i="1"/>
  <c r="I30" i="1"/>
  <c r="S27" i="1"/>
  <c r="O27" i="1"/>
  <c r="N27" i="1"/>
  <c r="I27" i="1"/>
  <c r="S29" i="1"/>
  <c r="T29" i="1" s="1"/>
  <c r="O29" i="1"/>
  <c r="N29" i="1"/>
  <c r="I29" i="1"/>
  <c r="S26" i="1"/>
  <c r="O26" i="1"/>
  <c r="N26" i="1"/>
  <c r="I26" i="1"/>
  <c r="S25" i="1"/>
  <c r="T25" i="1" s="1"/>
  <c r="O25" i="1"/>
  <c r="N25" i="1"/>
  <c r="I25" i="1"/>
  <c r="S19" i="1"/>
  <c r="O19" i="1"/>
  <c r="N19" i="1"/>
  <c r="I19" i="1"/>
  <c r="S18" i="1"/>
  <c r="O18" i="1"/>
  <c r="N18" i="1"/>
  <c r="I18" i="1"/>
  <c r="S20" i="1"/>
  <c r="T20" i="1" s="1"/>
  <c r="O20" i="1"/>
  <c r="N20" i="1"/>
  <c r="I20" i="1"/>
  <c r="S6" i="1"/>
  <c r="O6" i="1"/>
  <c r="N6" i="1"/>
  <c r="I6" i="1"/>
  <c r="S14" i="1"/>
  <c r="O14" i="1"/>
  <c r="N14" i="1"/>
  <c r="I14" i="1"/>
  <c r="S15" i="1"/>
  <c r="O15" i="1"/>
  <c r="N15" i="1"/>
  <c r="I15" i="1"/>
  <c r="S16" i="1"/>
  <c r="O16" i="1"/>
  <c r="N16" i="1"/>
  <c r="K16" i="1"/>
  <c r="I16" i="1"/>
  <c r="S13" i="1"/>
  <c r="T13" i="1" s="1"/>
  <c r="O13" i="1"/>
  <c r="N13" i="1"/>
  <c r="K13" i="1"/>
  <c r="I13" i="1"/>
  <c r="S23" i="1"/>
  <c r="T23" i="1" s="1"/>
  <c r="O23" i="1"/>
  <c r="N23" i="1"/>
  <c r="K23" i="1"/>
  <c r="I23" i="1"/>
  <c r="S5" i="1"/>
  <c r="T5" i="1" s="1"/>
  <c r="O5" i="1"/>
  <c r="N5" i="1"/>
  <c r="K5" i="1"/>
  <c r="I5" i="1"/>
  <c r="S17" i="1"/>
  <c r="O17" i="1"/>
  <c r="N17" i="1"/>
  <c r="K17" i="1"/>
  <c r="I17" i="1"/>
  <c r="S10" i="1"/>
  <c r="T10" i="1" s="1"/>
  <c r="O10" i="1"/>
  <c r="N10" i="1"/>
  <c r="K10" i="1"/>
  <c r="I10" i="1"/>
  <c r="S8" i="1"/>
  <c r="O8" i="1"/>
  <c r="N8" i="1"/>
  <c r="K8" i="1"/>
  <c r="I8" i="1"/>
  <c r="S9" i="1"/>
  <c r="O9" i="1"/>
  <c r="N9" i="1"/>
  <c r="K9" i="1"/>
  <c r="I9" i="1"/>
  <c r="S11" i="1"/>
  <c r="T11" i="1" s="1"/>
  <c r="O11" i="1"/>
  <c r="N11" i="1"/>
  <c r="K11" i="1"/>
  <c r="I11" i="1"/>
  <c r="T4" i="1"/>
  <c r="S4" i="1"/>
  <c r="O4" i="1"/>
  <c r="N4" i="1"/>
  <c r="K4" i="1"/>
  <c r="I4" i="1"/>
  <c r="S7" i="1"/>
  <c r="O7" i="1"/>
  <c r="N7" i="1"/>
  <c r="K7" i="1"/>
  <c r="I7" i="1"/>
  <c r="S12" i="1"/>
  <c r="O12" i="1"/>
  <c r="N12" i="1"/>
  <c r="K12" i="1"/>
  <c r="I12" i="1"/>
  <c r="O49" i="1" l="1"/>
  <c r="I49" i="1"/>
  <c r="S49" i="1"/>
  <c r="K49" i="1"/>
  <c r="N49" i="1"/>
</calcChain>
</file>

<file path=xl/sharedStrings.xml><?xml version="1.0" encoding="utf-8"?>
<sst xmlns="http://schemas.openxmlformats.org/spreadsheetml/2006/main" count="69" uniqueCount="27">
  <si>
    <t>ANALYSE VENTES</t>
  </si>
  <si>
    <t>DATE OFFRE</t>
  </si>
  <si>
    <t>DATE SSP</t>
  </si>
  <si>
    <t>DATE ACTE</t>
  </si>
  <si>
    <t>VENDEUR</t>
  </si>
  <si>
    <t>ACQUEREUR</t>
  </si>
  <si>
    <t>MONTANT DE LA VENTE</t>
  </si>
  <si>
    <t>HONORAIRES TTC</t>
  </si>
  <si>
    <t>HONORAIRES HT</t>
  </si>
  <si>
    <t>NEGO</t>
  </si>
  <si>
    <t>DELAI SSP-ACTE</t>
  </si>
  <si>
    <t>DATE MANDAT</t>
  </si>
  <si>
    <t>PRIX MANDAT</t>
  </si>
  <si>
    <t>NEGO (%)</t>
  </si>
  <si>
    <t>DELAI POUR OFFRE (Jours)</t>
  </si>
  <si>
    <t>FOURCHETTE BASSE</t>
  </si>
  <si>
    <t>PRIX ESTIME - MILIEU DE FOURCHETTE</t>
  </si>
  <si>
    <t>FOURCHETTE HAUTE</t>
  </si>
  <si>
    <t>PRIX VENDU</t>
  </si>
  <si>
    <t>VARIATION PRIX ESTIME - PRIX VENDU</t>
  </si>
  <si>
    <t>M</t>
  </si>
  <si>
    <t>A</t>
  </si>
  <si>
    <t>D</t>
  </si>
  <si>
    <t>N</t>
  </si>
  <si>
    <t>LIA SIGNEES DANS L ANNEE = chiffre d'affaires</t>
  </si>
  <si>
    <t>Total honoraires HT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</si>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</sst>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8" formatCode="#,##0.00\ &quot;€&quot;;[Red]\-#,##0.00\ &quot;€&quot;"/>
    <numFmt numFmtId="164" formatCode="[$-40C]d\-mmm\-yy;@"/>
    <numFmt numFmtId="165" formatCode="dd/mm/yy;@"/>
    <numFmt numFmtId="166" formatCode="#,##0.00\ &quot;€&quot;"/>
  </numFmts>
  <fonts count="19"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5"/>
      <name val="Calibri"/>
      <family val="2"/>
      <scheme val="minor"/>
    </font>
    <font>
      <b/>
      <sz val="10"/>
      <color theme="5"/>
      <name val="Bahnschrift SemiBold"/>
      <family val="2"/>
    </font>
    <font>
      <b/>
      <sz val="8"/>
      <color theme="5"/>
      <name val="Bahnschrift SemiBold"/>
      <family val="2"/>
    </font>
    <font>
      <sz val="10"/>
      <color theme="1"/>
      <name val="Calibri"/>
      <family val="2"/>
      <scheme val="minor"/>
    </font>
    <font>
      <outline/>
      <shadow/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outline/>
      <shadow/>
      <sz val="8"/>
      <color theme="1"/>
      <name val="Calibri"/>
      <family val="2"/>
      <scheme val="minor"/>
    </font>
    <font>
      <b/>
      <sz val="8"/>
      <color theme="3"/>
      <name val="Calibri"/>
      <family val="2"/>
      <scheme val="minor"/>
    </font>
    <font>
      <outline/>
      <shadow/>
      <sz val="8"/>
      <color theme="3"/>
      <name val="Calibri"/>
      <family val="2"/>
      <scheme val="minor"/>
    </font>
    <font>
      <i/>
      <sz val="9"/>
      <color theme="1"/>
      <name val="Calibri"/>
      <family val="2"/>
      <scheme val="minor"/>
    </font>
    <font>
      <outline/>
      <shadow/>
      <sz val="14"/>
      <color theme="0"/>
      <name val="Bahnschrift SemiBold SemiConden"/>
      <family val="2"/>
    </font>
    <font>
      <sz val="14"/>
      <color theme="0"/>
      <name val="Bahnschrift SemiBold SemiConden"/>
      <family val="2"/>
    </font>
    <font>
      <b/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 Unicode MS"/>
    </font>
  </fonts>
  <fills count="14">
    <fill>
      <patternFill patternType="none"/>
    </fill>
    <fill>
      <patternFill patternType="gray125"/>
    </fill>
    <fill>
      <patternFill patternType="solid">
        <fgColor rgb="FFE9CFF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91F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DCEFF"/>
        <bgColor indexed="64"/>
      </patternFill>
    </fill>
    <fill>
      <patternFill patternType="solid">
        <fgColor rgb="FFCAEEFE"/>
        <bgColor indexed="64"/>
      </patternFill>
    </fill>
    <fill>
      <patternFill patternType="solid">
        <fgColor rgb="FF9FDFFF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/>
  </cellStyleXfs>
  <cellXfs count="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textRotation="45" wrapText="1"/>
    </xf>
    <xf numFmtId="0" fontId="3" fillId="0" borderId="5" xfId="1" applyFont="1" applyBorder="1" applyAlignment="1">
      <alignment horizontal="center" vertical="center" textRotation="45" wrapText="1"/>
    </xf>
    <xf numFmtId="0" fontId="4" fillId="0" borderId="4" xfId="1" applyFont="1" applyBorder="1" applyAlignment="1">
      <alignment horizontal="center" vertical="center" textRotation="45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left" vertical="center" wrapText="1"/>
    </xf>
    <xf numFmtId="3" fontId="8" fillId="0" borderId="0" xfId="0" applyNumberFormat="1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166" fontId="6" fillId="3" borderId="0" xfId="0" applyNumberFormat="1" applyFont="1" applyFill="1" applyAlignment="1">
      <alignment horizontal="left" vertical="center"/>
    </xf>
    <xf numFmtId="0" fontId="6" fillId="3" borderId="0" xfId="0" applyFont="1" applyFill="1" applyAlignment="1">
      <alignment horizontal="center" vertical="center" wrapText="1"/>
    </xf>
    <xf numFmtId="166" fontId="7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 wrapText="1"/>
    </xf>
    <xf numFmtId="166" fontId="10" fillId="2" borderId="0" xfId="0" applyNumberFormat="1" applyFont="1" applyFill="1" applyAlignment="1">
      <alignment horizontal="left" vertical="center"/>
    </xf>
    <xf numFmtId="166" fontId="6" fillId="2" borderId="0" xfId="0" applyNumberFormat="1" applyFont="1" applyFill="1" applyAlignment="1">
      <alignment horizontal="center" vertical="center"/>
    </xf>
    <xf numFmtId="164" fontId="10" fillId="3" borderId="0" xfId="0" applyNumberFormat="1" applyFont="1" applyFill="1" applyAlignment="1">
      <alignment horizontal="left" vertical="center" wrapText="1"/>
    </xf>
    <xf numFmtId="0" fontId="10" fillId="5" borderId="0" xfId="0" applyFont="1" applyFill="1" applyAlignment="1">
      <alignment horizontal="left" vertical="center" wrapText="1"/>
    </xf>
    <xf numFmtId="0" fontId="8" fillId="5" borderId="0" xfId="0" applyFont="1" applyFill="1" applyAlignment="1">
      <alignment horizontal="left" vertical="center" wrapText="1"/>
    </xf>
    <xf numFmtId="166" fontId="10" fillId="5" borderId="0" xfId="0" applyNumberFormat="1" applyFont="1" applyFill="1" applyAlignment="1">
      <alignment horizontal="left" vertical="center"/>
    </xf>
    <xf numFmtId="166" fontId="6" fillId="5" borderId="0" xfId="0" applyNumberFormat="1" applyFont="1" applyFill="1" applyAlignment="1">
      <alignment horizontal="center" vertical="center"/>
    </xf>
    <xf numFmtId="166" fontId="7" fillId="5" borderId="0" xfId="0" applyNumberFormat="1" applyFont="1" applyFill="1" applyAlignment="1">
      <alignment horizontal="center" vertical="center"/>
    </xf>
    <xf numFmtId="166" fontId="6" fillId="3" borderId="0" xfId="0" applyNumberFormat="1" applyFont="1" applyFill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  <xf numFmtId="166" fontId="12" fillId="3" borderId="9" xfId="0" applyNumberFormat="1" applyFont="1" applyFill="1" applyBorder="1" applyAlignment="1">
      <alignment horizontal="center" vertical="center"/>
    </xf>
    <xf numFmtId="0" fontId="10" fillId="7" borderId="0" xfId="0" applyFont="1" applyFill="1" applyAlignment="1">
      <alignment horizontal="left" vertical="center" wrapText="1"/>
    </xf>
    <xf numFmtId="0" fontId="8" fillId="7" borderId="0" xfId="0" applyFont="1" applyFill="1" applyAlignment="1">
      <alignment horizontal="left" vertical="center" wrapText="1"/>
    </xf>
    <xf numFmtId="166" fontId="10" fillId="7" borderId="0" xfId="0" applyNumberFormat="1" applyFont="1" applyFill="1" applyAlignment="1">
      <alignment horizontal="left" vertical="center"/>
    </xf>
    <xf numFmtId="166" fontId="6" fillId="7" borderId="0" xfId="0" applyNumberFormat="1" applyFont="1" applyFill="1" applyAlignment="1">
      <alignment horizontal="center" vertical="center"/>
    </xf>
    <xf numFmtId="166" fontId="7" fillId="7" borderId="0" xfId="0" applyNumberFormat="1" applyFont="1" applyFill="1" applyAlignment="1">
      <alignment horizontal="center" vertical="center"/>
    </xf>
    <xf numFmtId="10" fontId="0" fillId="0" borderId="0" xfId="0" applyNumberFormat="1">
      <alignment vertical="center"/>
    </xf>
    <xf numFmtId="0" fontId="10" fillId="8" borderId="0" xfId="0" applyFont="1" applyFill="1" applyAlignment="1">
      <alignment horizontal="left" vertical="center" wrapText="1"/>
    </xf>
    <xf numFmtId="0" fontId="8" fillId="8" borderId="0" xfId="0" applyFont="1" applyFill="1" applyAlignment="1">
      <alignment horizontal="left" vertical="center" wrapText="1"/>
    </xf>
    <xf numFmtId="166" fontId="10" fillId="8" borderId="0" xfId="0" applyNumberFormat="1" applyFont="1" applyFill="1" applyAlignment="1">
      <alignment horizontal="left" vertical="center"/>
    </xf>
    <xf numFmtId="166" fontId="6" fillId="8" borderId="0" xfId="0" applyNumberFormat="1" applyFont="1" applyFill="1" applyAlignment="1">
      <alignment horizontal="center" vertical="center"/>
    </xf>
    <xf numFmtId="166" fontId="7" fillId="8" borderId="0" xfId="0" applyNumberFormat="1" applyFont="1" applyFill="1" applyAlignment="1">
      <alignment horizontal="center" vertical="center"/>
    </xf>
    <xf numFmtId="165" fontId="7" fillId="9" borderId="0" xfId="0" applyNumberFormat="1" applyFont="1" applyFill="1" applyAlignment="1">
      <alignment horizontal="left" vertical="center"/>
    </xf>
    <xf numFmtId="165" fontId="11" fillId="10" borderId="0" xfId="0" applyNumberFormat="1" applyFont="1" applyFill="1" applyAlignment="1">
      <alignment horizontal="left" vertical="center"/>
    </xf>
    <xf numFmtId="164" fontId="6" fillId="11" borderId="7" xfId="0" applyNumberFormat="1" applyFont="1" applyFill="1" applyBorder="1" applyAlignment="1">
      <alignment horizontal="left" vertical="center" wrapText="1"/>
    </xf>
    <xf numFmtId="165" fontId="13" fillId="9" borderId="0" xfId="0" applyNumberFormat="1" applyFont="1" applyFill="1">
      <alignment vertical="center"/>
    </xf>
    <xf numFmtId="166" fontId="0" fillId="0" borderId="8" xfId="0" applyNumberFormat="1" applyBorder="1" applyAlignment="1">
      <alignment horizontal="center" vertical="center"/>
    </xf>
    <xf numFmtId="0" fontId="14" fillId="12" borderId="10" xfId="0" applyFont="1" applyFill="1" applyBorder="1" applyAlignment="1">
      <alignment horizontal="left" vertical="center" wrapText="1"/>
    </xf>
    <xf numFmtId="0" fontId="15" fillId="12" borderId="10" xfId="0" applyFont="1" applyFill="1" applyBorder="1" applyAlignment="1">
      <alignment horizontal="left" vertical="center"/>
    </xf>
    <xf numFmtId="0" fontId="15" fillId="12" borderId="10" xfId="0" applyFont="1" applyFill="1" applyBorder="1">
      <alignment vertical="center"/>
    </xf>
    <xf numFmtId="0" fontId="15" fillId="12" borderId="10" xfId="0" applyFont="1" applyFill="1" applyBorder="1" applyAlignment="1">
      <alignment horizontal="left" vertical="center" wrapText="1"/>
    </xf>
    <xf numFmtId="166" fontId="14" fillId="12" borderId="10" xfId="0" applyNumberFormat="1" applyFont="1" applyFill="1" applyBorder="1" applyAlignment="1">
      <alignment horizontal="left" vertical="center"/>
    </xf>
    <xf numFmtId="166" fontId="14" fillId="12" borderId="10" xfId="0" applyNumberFormat="1" applyFont="1" applyFill="1" applyBorder="1" applyAlignment="1">
      <alignment horizontal="center" vertical="center"/>
    </xf>
    <xf numFmtId="166" fontId="15" fillId="12" borderId="10" xfId="0" applyNumberFormat="1" applyFont="1" applyFill="1" applyBorder="1" applyAlignment="1">
      <alignment horizontal="center" vertical="center"/>
    </xf>
    <xf numFmtId="1" fontId="15" fillId="12" borderId="10" xfId="0" applyNumberFormat="1" applyFont="1" applyFill="1" applyBorder="1" applyAlignment="1">
      <alignment horizontal="center" vertical="center"/>
    </xf>
    <xf numFmtId="0" fontId="14" fillId="12" borderId="10" xfId="0" applyFont="1" applyFill="1" applyBorder="1" applyAlignment="1">
      <alignment horizontal="left" vertical="center"/>
    </xf>
    <xf numFmtId="10" fontId="14" fillId="12" borderId="10" xfId="0" applyNumberFormat="1" applyFont="1" applyFill="1" applyBorder="1" applyAlignment="1">
      <alignment horizontal="center" vertical="center"/>
    </xf>
    <xf numFmtId="1" fontId="14" fillId="12" borderId="10" xfId="0" applyNumberFormat="1" applyFont="1" applyFill="1" applyBorder="1" applyAlignment="1">
      <alignment horizontal="center" vertical="center" wrapText="1"/>
    </xf>
    <xf numFmtId="0" fontId="15" fillId="12" borderId="10" xfId="0" applyFont="1" applyFill="1" applyBorder="1" applyAlignment="1">
      <alignment horizontal="center" vertical="center"/>
    </xf>
    <xf numFmtId="10" fontId="15" fillId="12" borderId="10" xfId="0" applyNumberFormat="1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8" fontId="7" fillId="3" borderId="18" xfId="0" applyNumberFormat="1" applyFont="1" applyFill="1" applyBorder="1" applyAlignment="1">
      <alignment horizontal="center" vertical="center"/>
    </xf>
    <xf numFmtId="8" fontId="7" fillId="3" borderId="1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166" fontId="16" fillId="4" borderId="21" xfId="0" applyNumberFormat="1" applyFont="1" applyFill="1" applyBorder="1" applyAlignment="1">
      <alignment horizontal="center" vertical="center"/>
    </xf>
    <xf numFmtId="8" fontId="17" fillId="4" borderId="21" xfId="0" applyNumberFormat="1" applyFont="1" applyFill="1" applyBorder="1" applyAlignment="1">
      <alignment horizontal="center" vertical="center"/>
    </xf>
    <xf numFmtId="8" fontId="17" fillId="4" borderId="19" xfId="0" applyNumberFormat="1" applyFont="1" applyFill="1" applyBorder="1" applyAlignment="1">
      <alignment horizontal="center" vertical="center"/>
    </xf>
    <xf numFmtId="0" fontId="8" fillId="13" borderId="20" xfId="0" applyFont="1" applyFill="1" applyBorder="1" applyAlignment="1">
      <alignment horizontal="center" vertical="center" wrapText="1"/>
    </xf>
    <xf numFmtId="166" fontId="16" fillId="13" borderId="21" xfId="0" applyNumberFormat="1" applyFont="1" applyFill="1" applyBorder="1" applyAlignment="1">
      <alignment horizontal="center" vertical="center"/>
    </xf>
    <xf numFmtId="8" fontId="17" fillId="13" borderId="21" xfId="0" applyNumberFormat="1" applyFont="1" applyFill="1" applyBorder="1" applyAlignment="1">
      <alignment horizontal="center" vertical="center"/>
    </xf>
    <xf numFmtId="8" fontId="17" fillId="13" borderId="19" xfId="0" applyNumberFormat="1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166" fontId="16" fillId="2" borderId="21" xfId="0" applyNumberFormat="1" applyFont="1" applyFill="1" applyBorder="1" applyAlignment="1">
      <alignment horizontal="center" vertical="center"/>
    </xf>
    <xf numFmtId="8" fontId="17" fillId="2" borderId="21" xfId="0" applyNumberFormat="1" applyFont="1" applyFill="1" applyBorder="1" applyAlignment="1">
      <alignment horizontal="center" vertical="center"/>
    </xf>
    <xf numFmtId="8" fontId="17" fillId="2" borderId="19" xfId="0" applyNumberFormat="1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 wrapText="1"/>
    </xf>
    <xf numFmtId="166" fontId="16" fillId="8" borderId="21" xfId="0" applyNumberFormat="1" applyFont="1" applyFill="1" applyBorder="1" applyAlignment="1">
      <alignment horizontal="center" vertical="center"/>
    </xf>
    <xf numFmtId="8" fontId="17" fillId="8" borderId="21" xfId="0" applyNumberFormat="1" applyFont="1" applyFill="1" applyBorder="1" applyAlignment="1">
      <alignment horizontal="center" vertical="center"/>
    </xf>
    <xf numFmtId="8" fontId="17" fillId="8" borderId="19" xfId="0" applyNumberFormat="1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 wrapText="1"/>
    </xf>
    <xf numFmtId="166" fontId="16" fillId="5" borderId="21" xfId="0" applyNumberFormat="1" applyFont="1" applyFill="1" applyBorder="1" applyAlignment="1">
      <alignment horizontal="center" vertical="center"/>
    </xf>
    <xf numFmtId="8" fontId="17" fillId="5" borderId="21" xfId="0" applyNumberFormat="1" applyFont="1" applyFill="1" applyBorder="1" applyAlignment="1">
      <alignment horizontal="center" vertical="center"/>
    </xf>
    <xf numFmtId="8" fontId="17" fillId="5" borderId="19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 wrapText="1"/>
    </xf>
    <xf numFmtId="166" fontId="16" fillId="6" borderId="21" xfId="0" applyNumberFormat="1" applyFont="1" applyFill="1" applyBorder="1" applyAlignment="1">
      <alignment horizontal="center" vertical="center"/>
    </xf>
    <xf numFmtId="8" fontId="17" fillId="6" borderId="21" xfId="0" applyNumberFormat="1" applyFont="1" applyFill="1" applyBorder="1" applyAlignment="1">
      <alignment horizontal="center" vertical="center"/>
    </xf>
    <xf numFmtId="8" fontId="17" fillId="6" borderId="19" xfId="0" applyNumberFormat="1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center" vertical="center" wrapText="1"/>
    </xf>
    <xf numFmtId="166" fontId="16" fillId="7" borderId="23" xfId="0" applyNumberFormat="1" applyFont="1" applyFill="1" applyBorder="1" applyAlignment="1">
      <alignment horizontal="center" vertical="center"/>
    </xf>
    <xf numFmtId="8" fontId="17" fillId="7" borderId="23" xfId="0" applyNumberFormat="1" applyFont="1" applyFill="1" applyBorder="1" applyAlignment="1">
      <alignment horizontal="center" vertical="center"/>
    </xf>
    <xf numFmtId="8" fontId="17" fillId="7" borderId="24" xfId="0" applyNumberFormat="1" applyFont="1" applyFill="1" applyBorder="1" applyAlignment="1">
      <alignment horizontal="center" vertical="center"/>
    </xf>
    <xf numFmtId="0" fontId="18" fillId="0" borderId="0" xfId="0" applyFont="1">
      <alignment vertical="center"/>
    </xf>
  </cellXfs>
  <cellStyles count="2">
    <cellStyle name="Normal" xfId="0" builtinId="0"/>
    <cellStyle name="Titre 4" xfId="1" builtinId="19"/>
  </cellStyles>
  <dxfs count="1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ahnschrift SemiBold SemiConden"/>
        <family val="2"/>
        <scheme val="none"/>
      </font>
      <numFmt numFmtId="14" formatCode="0.00%"/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ahnschrift SemiBold SemiConden"/>
        <family val="2"/>
        <scheme val="none"/>
      </font>
      <numFmt numFmtId="166" formatCode="#,##0.00\ &quot;€&quot;"/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ahnschrift SemiBold SemiConden"/>
        <family val="2"/>
        <scheme val="none"/>
      </font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ahnschrift SemiBold SemiConden"/>
        <family val="2"/>
        <scheme val="none"/>
      </font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ahnschrift SemiBold SemiConden"/>
        <family val="2"/>
        <scheme val="none"/>
      </font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14"/>
        <color theme="0"/>
        <name val="Bahnschrift SemiBold SemiConden"/>
        <family val="2"/>
        <scheme val="none"/>
      </font>
      <numFmt numFmtId="1" formatCode="0"/>
      <fill>
        <patternFill patternType="solid">
          <fgColor indexed="64"/>
          <bgColor rgb="FFFF0066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14"/>
        <color theme="0"/>
        <name val="Bahnschrift SemiBold SemiConden"/>
        <family val="2"/>
        <scheme val="none"/>
      </font>
      <numFmt numFmtId="14" formatCode="0.00%"/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14"/>
        <color theme="0"/>
        <name val="Bahnschrift SemiBold SemiConden"/>
        <family val="2"/>
        <scheme val="none"/>
      </font>
      <fill>
        <patternFill patternType="solid">
          <fgColor indexed="64"/>
          <bgColor rgb="FFFF0066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14"/>
        <color theme="0"/>
        <name val="Bahnschrift SemiBold SemiConden"/>
        <family val="2"/>
        <scheme val="none"/>
      </font>
      <fill>
        <patternFill patternType="solid">
          <fgColor indexed="64"/>
          <bgColor rgb="FFFF0066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ahnschrift SemiBold SemiConden"/>
        <family val="2"/>
        <scheme val="none"/>
      </font>
      <numFmt numFmtId="1" formatCode="0"/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ahnschrift SemiBold SemiConden"/>
        <family val="2"/>
        <scheme val="none"/>
      </font>
      <numFmt numFmtId="166" formatCode="#,##0.00\ &quot;€&quot;"/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ahnschrift SemiBold SemiConden"/>
        <family val="2"/>
        <scheme val="none"/>
      </font>
      <numFmt numFmtId="166" formatCode="#,##0.00\ &quot;€&quot;"/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14"/>
        <color theme="0"/>
        <name val="Bahnschrift SemiBold SemiConden"/>
        <family val="2"/>
        <scheme val="none"/>
      </font>
      <numFmt numFmtId="166" formatCode="#,##0.00\ &quot;€&quot;"/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14"/>
        <color theme="0"/>
        <name val="Bahnschrift SemiBold SemiConden"/>
        <family val="2"/>
        <scheme val="none"/>
      </font>
      <numFmt numFmtId="166" formatCode="#,##0.00\ &quot;€&quot;"/>
      <fill>
        <patternFill patternType="solid">
          <fgColor indexed="64"/>
          <bgColor rgb="FFFF0066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ahnschrift SemiBold SemiConden"/>
        <family val="2"/>
        <scheme val="none"/>
      </font>
      <fill>
        <patternFill patternType="solid">
          <fgColor indexed="64"/>
          <bgColor rgb="FFFF0066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14"/>
        <color theme="0"/>
        <name val="Bahnschrift SemiBold SemiConden"/>
        <family val="2"/>
        <scheme val="none"/>
      </font>
      <fill>
        <patternFill patternType="solid">
          <fgColor indexed="64"/>
          <bgColor rgb="FFFF0066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ahnschrift SemiBold SemiConden"/>
        <family val="2"/>
        <scheme val="none"/>
      </font>
      <fill>
        <patternFill patternType="solid">
          <fgColor indexed="64"/>
          <bgColor rgb="FFFF0066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ahnschrift SemiBold SemiConden"/>
        <family val="2"/>
        <scheme val="none"/>
      </font>
      <fill>
        <patternFill patternType="solid">
          <fgColor indexed="64"/>
          <bgColor rgb="FFFF0066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14"/>
        <color theme="0"/>
        <name val="Bahnschrift SemiBold SemiConden"/>
        <family val="2"/>
        <scheme val="none"/>
      </font>
      <fill>
        <patternFill patternType="solid">
          <fgColor indexed="64"/>
          <bgColor rgb="FFFF0066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9966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9966"/>
        </patternFill>
      </fill>
    </dxf>
    <dxf>
      <numFmt numFmtId="166" formatCode="#,##0.00\ &quot;€&quot;"/>
      <alignment horizontal="center" vertical="center" indent="0" justifyLastLine="0" shrinkToFit="0" readingOrder="0"/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outline/>
        <shadow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alibri"/>
        <family val="2"/>
        <scheme val="minor"/>
      </font>
      <numFmt numFmtId="164" formatCode="[$-40C]d\-mmm\-yy;@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dd/mm/yy;@"/>
      <fill>
        <patternFill patternType="solid">
          <fgColor indexed="64"/>
          <bgColor rgb="FF99FF3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/>
        <name val="Calibri"/>
        <family val="2"/>
        <scheme val="minor"/>
      </font>
      <numFmt numFmtId="165" formatCode="dd/mm/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alibri"/>
        <family val="2"/>
        <scheme val="minor"/>
      </font>
      <numFmt numFmtId="164" formatCode="[$-40C]d\-mmm\-yy;@"/>
      <fill>
        <patternFill patternType="solid">
          <fgColor indexed="64"/>
          <bgColor rgb="FF99FFCC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border>
        <top style="medium">
          <color indexed="64"/>
        </top>
      </border>
    </dxf>
    <dxf>
      <border>
        <bottom style="medium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u val="none"/>
        <vertAlign val="baseline"/>
        <sz val="14"/>
        <color theme="0"/>
        <name val="Bahnschrift SemiBold SemiConden"/>
        <family val="2"/>
        <scheme val="none"/>
      </font>
      <fill>
        <patternFill patternType="solid">
          <fgColor indexed="64"/>
          <bgColor rgb="FFFF0066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Bahnschrift SemiBold"/>
        <family val="2"/>
        <scheme val="none"/>
      </font>
      <alignment horizontal="center" vertical="center" textRotation="45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color theme="5"/>
      </font>
      <border diagonalUp="0" diagonalDown="0">
        <left/>
        <right/>
        <top/>
        <bottom style="thin">
          <color theme="3" tint="0.79998168889431442"/>
        </bottom>
        <vertical/>
        <horizontal/>
      </border>
    </dxf>
    <dxf>
      <font>
        <b val="0"/>
        <i val="0"/>
        <color theme="3"/>
      </font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</dxfs>
  <tableStyles count="1" defaultTableStyle="TableStyleMedium2" defaultPivotStyle="PivotStyleLight16">
    <tableStyle name="Monthly Sales Report Table Style" pivot="0" count="2" xr9:uid="{7BB46545-A034-4577-A62F-3935AD305FB5}">
      <tableStyleElement type="wholeTable" dxfId="119"/>
      <tableStyleElement type="headerRow" dxfId="1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0%20SAIS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es données"/>
      <sheetName val="ANALYSE VENTES"/>
      <sheetName val="CHIFFRES"/>
      <sheetName val="RECAP STATS"/>
      <sheetName val="FACEBOOK"/>
      <sheetName val="COMMANDES AGENCE"/>
      <sheetName val="VENTES INTER AGENCES"/>
      <sheetName val="VOUS FINANCER"/>
      <sheetName val="SUIVI FORM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D075D0-210D-4EFF-AD0C-88A925A640F7}" name="Tableau3" displayName="Tableau3" ref="B3:T49" totalsRowCount="1" headerRowDxfId="117" totalsRowDxfId="116" headerRowBorderDxfId="114" tableBorderDxfId="115" totalsRowBorderDxfId="113" headerRowCellStyle="Titre 4">
  <autoFilter ref="B3:T48" xr:uid="{FF6D9F7E-9A6A-443F-9158-6A28C1DF8F02}"/>
  <sortState xmlns:xlrd2="http://schemas.microsoft.com/office/spreadsheetml/2017/richdata2" ref="B4:T48">
    <sortCondition ref="B3:B48"/>
  </sortState>
  <tableColumns count="19">
    <tableColumn id="12" xr3:uid="{7B8CC6E4-6AF2-4FD4-9F94-97BBD5A01249}" name="DATE OFFRE" dataDxfId="112" totalsRowDxfId="18"/>
    <tableColumn id="1" xr3:uid="{9B4A6773-6377-49D5-879C-41EA8695ACDF}" name="DATE SSP" dataDxfId="111" totalsRowDxfId="17"/>
    <tableColumn id="2" xr3:uid="{2011334B-2B46-49F8-BDAC-9C8AC313855B}" name="DATE ACTE" dataDxfId="110" totalsRowDxfId="16"/>
    <tableColumn id="3" xr3:uid="{DF672B29-15FE-451A-BE6E-4DE0198B4073}" name="VENDEUR" dataDxfId="109" totalsRowDxfId="15"/>
    <tableColumn id="4" xr3:uid="{C672AD9C-B948-4C61-B76A-9F3524737528}" name="ACQUEREUR" dataDxfId="108" totalsRowDxfId="14"/>
    <tableColumn id="5" xr3:uid="{776D037B-D9BC-40B5-8174-BCC3CFC8E928}" name="MONTANT DE LA VENTE" totalsRowFunction="average" dataDxfId="107" totalsRowDxfId="13"/>
    <tableColumn id="6" xr3:uid="{86A81A96-E8FE-4FC8-97E0-A60A3AFAB9DF}" name="HONORAIRES TTC" totalsRowFunction="average" dataDxfId="106" totalsRowDxfId="12"/>
    <tableColumn id="7" xr3:uid="{4603C8E9-2E07-44A2-A7F0-D924D75F6EFF}" name="HONORAIRES HT" totalsRowFunction="average" dataDxfId="105" totalsRowDxfId="11">
      <calculatedColumnFormula>H4/1.2</calculatedColumnFormula>
    </tableColumn>
    <tableColumn id="14" xr3:uid="{33E9E9BD-212D-4048-ADAF-2571A530647C}" name="NEGO" totalsRowDxfId="10"/>
    <tableColumn id="8" xr3:uid="{0C2C4DFD-8D36-4514-A9B3-1C6C684595B1}" name="DELAI SSP-ACTE" totalsRowFunction="average" dataDxfId="104" totalsRowDxfId="9">
      <calculatedColumnFormula>_xlfn.DAYS(Tableau3[[#This Row],[DATE ACTE]],C4)</calculatedColumnFormula>
    </tableColumn>
    <tableColumn id="11" xr3:uid="{2C9D4F32-9FA3-40A5-8FBE-94F472BAB9C1}" name="DATE MANDAT" dataDxfId="103" totalsRowDxfId="8"/>
    <tableColumn id="9" xr3:uid="{28A24A69-C39D-4FC3-B19C-50E87CF676FB}" name="PRIX MANDAT" dataDxfId="102" totalsRowDxfId="7"/>
    <tableColumn id="10" xr3:uid="{5738DD15-E02D-4018-8627-EB9D771115C0}" name="NEGO (%)" totalsRowFunction="average" dataDxfId="101" totalsRowDxfId="6">
      <calculatedColumnFormula>(G4-M4)/M4</calculatedColumnFormula>
    </tableColumn>
    <tableColumn id="13" xr3:uid="{FC8AE749-2773-41B1-8771-F3C8E42A61A0}" name="DELAI POUR OFFRE (Jours)" totalsRowFunction="average" dataDxfId="100" totalsRowDxfId="5">
      <calculatedColumnFormula>_xlfn.DAYS(B4,L4)</calculatedColumnFormula>
    </tableColumn>
    <tableColumn id="18" xr3:uid="{35892798-0D5B-4D01-A2F9-7357DA4A01C4}" name="FOURCHETTE BASSE" dataDxfId="99" totalsRowDxfId="4"/>
    <tableColumn id="15" xr3:uid="{E76B00DD-79E8-4FE4-82B0-EB0CD6FD4CD6}" name="PRIX ESTIME - MILIEU DE FOURCHETTE" dataDxfId="98" totalsRowDxfId="3"/>
    <tableColumn id="19" xr3:uid="{FA67DD5A-5E3B-4E20-9090-2C00F988D498}" name="FOURCHETTE HAUTE" dataDxfId="97" totalsRowDxfId="2"/>
    <tableColumn id="20" xr3:uid="{D8F20F18-D120-4AD2-BA13-451D0E2D5684}" name="PRIX VENDU" totalsRowFunction="average" dataDxfId="96" totalsRowDxfId="1">
      <calculatedColumnFormula>Tableau3[[#This Row],[MONTANT DE LA VENTE]]-Tableau3[[#This Row],[HONORAIRES TTC]]</calculatedColumnFormula>
    </tableColumn>
    <tableColumn id="16" xr3:uid="{EFA43490-89AA-4457-88D0-492F7A9B196C}" name="VARIATION PRIX ESTIME - PRIX VENDU" totalsRowFunction="average" dataDxfId="95" totalsRowDxfId="0">
      <calculatedColumnFormula>((Tableau3[[#This Row],[MONTANT DE LA VENTE]]-Tableau3[[#This Row],[HONORAIRES TTC]])-Tableau3[[#This Row],[PRIX ESTIME - MILIEU DE FOURCHETTE]])/(Tableau3[[#This Row],[MONTANT DE LA VENTE]]-Tableau3[[#This Row],[HONORAIRES TTC]])</calculatedColumnFormula>
    </tableColumn>
  </tableColumns>
  <tableStyleInfo name="Monthly Sales Report Table Styl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BBD22-4A46-46A7-8457-6EDBA4298F02}">
  <sheetPr>
    <pageSetUpPr fitToPage="1"/>
  </sheetPr>
  <dimension ref="A1:X282"/>
  <sheetViews>
    <sheetView tabSelected="1" workbookViewId="0">
      <pane ySplit="3" topLeftCell="A28" activePane="bottomLeft" state="frozen"/>
      <selection pane="bottomLeft" activeCell="P52" sqref="P52"/>
    </sheetView>
  </sheetViews>
  <sheetFormatPr baseColWidth="10" defaultRowHeight="11.25"/>
  <cols>
    <col min="1" max="1" width="5.83203125" customWidth="1"/>
    <col min="2" max="2" width="11.1640625" bestFit="1" customWidth="1"/>
    <col min="3" max="3" width="10.5" bestFit="1" customWidth="1"/>
    <col min="4" max="4" width="10.83203125" bestFit="1" customWidth="1"/>
    <col min="5" max="5" width="20.33203125" bestFit="1" customWidth="1"/>
    <col min="6" max="6" width="23.1640625" bestFit="1" customWidth="1"/>
    <col min="7" max="7" width="17.6640625" bestFit="1" customWidth="1"/>
    <col min="8" max="8" width="14.6640625" bestFit="1" customWidth="1"/>
    <col min="9" max="9" width="14.33203125" bestFit="1" customWidth="1"/>
    <col min="10" max="10" width="7.6640625" customWidth="1"/>
    <col min="11" max="11" width="13.83203125" customWidth="1"/>
    <col min="12" max="14" width="13.83203125" bestFit="1" customWidth="1"/>
    <col min="15" max="15" width="10.5" bestFit="1" customWidth="1"/>
    <col min="17" max="17" width="11.6640625" style="1" customWidth="1"/>
    <col min="18" max="18" width="12.5" style="1" customWidth="1"/>
    <col min="19" max="19" width="16.6640625" style="1" bestFit="1" customWidth="1"/>
    <col min="20" max="20" width="9.83203125" style="1" bestFit="1" customWidth="1"/>
    <col min="21" max="21" width="11" style="1" bestFit="1" customWidth="1"/>
  </cols>
  <sheetData>
    <row r="1" spans="2:21" ht="12" thickBot="1">
      <c r="P1" s="1"/>
      <c r="U1"/>
    </row>
    <row r="2" spans="2:21" ht="24" thickBot="1"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/>
    </row>
    <row r="3" spans="2:21" s="8" customFormat="1" ht="132" thickBot="1"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7" t="s">
        <v>19</v>
      </c>
    </row>
    <row r="4" spans="2:21" ht="12">
      <c r="B4" s="40">
        <v>44564</v>
      </c>
      <c r="C4" s="39">
        <v>44587</v>
      </c>
      <c r="D4" s="38">
        <v>44694</v>
      </c>
      <c r="E4" s="19"/>
      <c r="F4" s="20"/>
      <c r="G4" s="21">
        <v>80250</v>
      </c>
      <c r="H4" s="22">
        <v>5250</v>
      </c>
      <c r="I4" s="23">
        <f>H4/1.2</f>
        <v>4375</v>
      </c>
      <c r="J4" s="23" t="s">
        <v>21</v>
      </c>
      <c r="K4" s="10">
        <f>_xlfn.DAYS(Tableau3[[#This Row],[DATE ACTE]],C4)</f>
        <v>107</v>
      </c>
      <c r="L4" s="18">
        <v>44552</v>
      </c>
      <c r="M4" s="12">
        <v>80250</v>
      </c>
      <c r="N4" s="11">
        <f>(G4-M4)/M4</f>
        <v>0</v>
      </c>
      <c r="O4" s="13">
        <f>_xlfn.DAYS(B4,L4)</f>
        <v>12</v>
      </c>
      <c r="P4" s="24">
        <v>60000</v>
      </c>
      <c r="Q4" s="24">
        <v>65000</v>
      </c>
      <c r="R4" s="24">
        <v>70000</v>
      </c>
      <c r="S4" s="24">
        <f>Tableau3[[#This Row],[MONTANT DE LA VENTE]]-Tableau3[[#This Row],[HONORAIRES TTC]]</f>
        <v>75000</v>
      </c>
      <c r="T4" s="25">
        <f>((Tableau3[[#This Row],[PRIX VENDU]])-Tableau3[[#This Row],[PRIX ESTIME - MILIEU DE FOURCHETTE]])/(Tableau3[[#This Row],[PRIX VENDU]])</f>
        <v>0.13333333333333333</v>
      </c>
      <c r="U4"/>
    </row>
    <row r="5" spans="2:21" ht="12">
      <c r="B5" s="40">
        <v>44566</v>
      </c>
      <c r="C5" s="39">
        <v>44596</v>
      </c>
      <c r="D5" s="38">
        <v>44722</v>
      </c>
      <c r="E5" s="33"/>
      <c r="F5" s="34"/>
      <c r="G5" s="35">
        <v>278250</v>
      </c>
      <c r="H5" s="36">
        <v>13250</v>
      </c>
      <c r="I5" s="37">
        <f>H5/1.2</f>
        <v>11041.666666666668</v>
      </c>
      <c r="J5" s="37" t="s">
        <v>22</v>
      </c>
      <c r="K5" s="10">
        <f>_xlfn.DAYS(Tableau3[[#This Row],[DATE ACTE]],C5)</f>
        <v>126</v>
      </c>
      <c r="L5" s="18">
        <v>44524</v>
      </c>
      <c r="M5" s="12">
        <v>294000</v>
      </c>
      <c r="N5" s="11">
        <f>(G5-M5)/M5</f>
        <v>-5.3571428571428568E-2</v>
      </c>
      <c r="O5" s="13">
        <f>_xlfn.DAYS(B5,L5)</f>
        <v>42</v>
      </c>
      <c r="P5" s="24">
        <v>340000</v>
      </c>
      <c r="Q5" s="24">
        <v>345000</v>
      </c>
      <c r="R5" s="24">
        <v>350000</v>
      </c>
      <c r="S5" s="24">
        <f>Tableau3[[#This Row],[MONTANT DE LA VENTE]]-Tableau3[[#This Row],[HONORAIRES TTC]]</f>
        <v>265000</v>
      </c>
      <c r="T5" s="25">
        <f>((Tableau3[[#This Row],[PRIX VENDU]])-Tableau3[[#This Row],[PRIX ESTIME - MILIEU DE FOURCHETTE]])/(Tableau3[[#This Row],[PRIX VENDU]])</f>
        <v>-0.30188679245283018</v>
      </c>
      <c r="U5"/>
    </row>
    <row r="6" spans="2:21" ht="12">
      <c r="B6" s="40">
        <v>44572</v>
      </c>
      <c r="C6" s="39">
        <v>44625</v>
      </c>
      <c r="D6" s="41"/>
      <c r="E6" s="33"/>
      <c r="F6" s="34"/>
      <c r="G6" s="35">
        <v>58000</v>
      </c>
      <c r="H6" s="36">
        <v>4300</v>
      </c>
      <c r="I6" s="37">
        <f>H6/1.2</f>
        <v>3583.3333333333335</v>
      </c>
      <c r="J6" s="37" t="s">
        <v>22</v>
      </c>
      <c r="K6" s="10"/>
      <c r="L6" s="18">
        <v>44565</v>
      </c>
      <c r="M6" s="12">
        <v>64800</v>
      </c>
      <c r="N6" s="11">
        <f>(G6-M6)/M6</f>
        <v>-0.10493827160493827</v>
      </c>
      <c r="O6" s="13">
        <f>_xlfn.DAYS(B6,L6)</f>
        <v>7</v>
      </c>
      <c r="P6" s="24">
        <v>50000</v>
      </c>
      <c r="Q6" s="24"/>
      <c r="R6" s="24">
        <v>60000</v>
      </c>
      <c r="S6" s="24">
        <f>Tableau3[[#This Row],[MONTANT DE LA VENTE]]-Tableau3[[#This Row],[HONORAIRES TTC]]</f>
        <v>53700</v>
      </c>
      <c r="T6" s="25"/>
      <c r="U6"/>
    </row>
    <row r="7" spans="2:21" ht="12">
      <c r="B7" s="40">
        <v>44575</v>
      </c>
      <c r="C7" s="39">
        <v>44590</v>
      </c>
      <c r="D7" s="38">
        <v>44687</v>
      </c>
      <c r="E7" s="15"/>
      <c r="F7" s="9"/>
      <c r="G7" s="16">
        <v>101650</v>
      </c>
      <c r="H7" s="17">
        <v>6650</v>
      </c>
      <c r="I7" s="14">
        <f>H7/1.2</f>
        <v>5541.666666666667</v>
      </c>
      <c r="J7" s="14" t="s">
        <v>20</v>
      </c>
      <c r="K7" s="10">
        <f>_xlfn.DAYS(Tableau3[[#This Row],[DATE ACTE]],C7)</f>
        <v>97</v>
      </c>
      <c r="L7" s="18">
        <v>44572</v>
      </c>
      <c r="M7" s="12">
        <v>101650</v>
      </c>
      <c r="N7" s="11">
        <f>(G7-M7)/M7</f>
        <v>0</v>
      </c>
      <c r="O7" s="13">
        <f>_xlfn.DAYS(B7,L7)</f>
        <v>3</v>
      </c>
      <c r="P7" s="24"/>
      <c r="Q7" s="24"/>
      <c r="R7" s="24"/>
      <c r="S7" s="24">
        <f>Tableau3[[#This Row],[MONTANT DE LA VENTE]]-Tableau3[[#This Row],[HONORAIRES TTC]]</f>
        <v>95000</v>
      </c>
      <c r="T7" s="25"/>
      <c r="U7"/>
    </row>
    <row r="8" spans="2:21" ht="12">
      <c r="B8" s="40">
        <v>44579</v>
      </c>
      <c r="C8" s="39">
        <v>44603</v>
      </c>
      <c r="D8" s="38">
        <v>44704</v>
      </c>
      <c r="E8" s="19"/>
      <c r="F8" s="20"/>
      <c r="G8" s="21">
        <v>93625</v>
      </c>
      <c r="H8" s="22">
        <v>6125</v>
      </c>
      <c r="I8" s="23">
        <f>H8/1.2</f>
        <v>5104.166666666667</v>
      </c>
      <c r="J8" s="23" t="s">
        <v>21</v>
      </c>
      <c r="K8" s="10">
        <f>_xlfn.DAYS(Tableau3[[#This Row],[DATE ACTE]],C8)</f>
        <v>101</v>
      </c>
      <c r="L8" s="18">
        <v>44564</v>
      </c>
      <c r="M8" s="12">
        <v>93625</v>
      </c>
      <c r="N8" s="11">
        <f>(G8-M8)/M8</f>
        <v>0</v>
      </c>
      <c r="O8" s="13">
        <f>_xlfn.DAYS(B8,L8)</f>
        <v>15</v>
      </c>
      <c r="P8" s="24">
        <v>85000</v>
      </c>
      <c r="Q8" s="24"/>
      <c r="R8" s="24">
        <v>95000</v>
      </c>
      <c r="S8" s="24">
        <f>Tableau3[[#This Row],[MONTANT DE LA VENTE]]-Tableau3[[#This Row],[HONORAIRES TTC]]</f>
        <v>87500</v>
      </c>
      <c r="T8" s="25"/>
      <c r="U8"/>
    </row>
    <row r="9" spans="2:21" ht="12">
      <c r="B9" s="40">
        <v>44580</v>
      </c>
      <c r="C9" s="39">
        <v>44600</v>
      </c>
      <c r="D9" s="38">
        <v>44699</v>
      </c>
      <c r="E9" s="15"/>
      <c r="F9" s="9"/>
      <c r="G9" s="16">
        <v>96300</v>
      </c>
      <c r="H9" s="17">
        <v>6300</v>
      </c>
      <c r="I9" s="14">
        <f>H9/1.2</f>
        <v>5250</v>
      </c>
      <c r="J9" s="14" t="s">
        <v>20</v>
      </c>
      <c r="K9" s="10">
        <f>_xlfn.DAYS(Tableau3[[#This Row],[DATE ACTE]],C9)</f>
        <v>99</v>
      </c>
      <c r="L9" s="18">
        <v>44572</v>
      </c>
      <c r="M9" s="12">
        <v>96300</v>
      </c>
      <c r="N9" s="11">
        <f>(G9-M9)/M9</f>
        <v>0</v>
      </c>
      <c r="O9" s="13">
        <f>_xlfn.DAYS(B9,L9)</f>
        <v>8</v>
      </c>
      <c r="P9" s="24"/>
      <c r="Q9" s="24"/>
      <c r="R9" s="24"/>
      <c r="S9" s="24">
        <f>Tableau3[[#This Row],[MONTANT DE LA VENTE]]-Tableau3[[#This Row],[HONORAIRES TTC]]</f>
        <v>90000</v>
      </c>
      <c r="T9" s="25"/>
      <c r="U9"/>
    </row>
    <row r="10" spans="2:21" ht="12">
      <c r="B10" s="40">
        <v>44587</v>
      </c>
      <c r="C10" s="39">
        <v>44600</v>
      </c>
      <c r="D10" s="38">
        <v>44705</v>
      </c>
      <c r="E10" s="33"/>
      <c r="F10" s="34"/>
      <c r="G10" s="35">
        <v>101000</v>
      </c>
      <c r="H10" s="36">
        <v>6500</v>
      </c>
      <c r="I10" s="37">
        <f>H10/1.2</f>
        <v>5416.666666666667</v>
      </c>
      <c r="J10" s="37" t="s">
        <v>22</v>
      </c>
      <c r="K10" s="10">
        <f>_xlfn.DAYS(Tableau3[[#This Row],[DATE ACTE]],C10)</f>
        <v>105</v>
      </c>
      <c r="L10" s="18">
        <v>44349</v>
      </c>
      <c r="M10" s="12">
        <v>105930</v>
      </c>
      <c r="N10" s="11">
        <f>(G10-M10)/M10</f>
        <v>-4.6540168035495141E-2</v>
      </c>
      <c r="O10" s="13">
        <f>_xlfn.DAYS(B10,L10)</f>
        <v>238</v>
      </c>
      <c r="P10" s="24">
        <v>125000</v>
      </c>
      <c r="Q10" s="24">
        <v>130000</v>
      </c>
      <c r="R10" s="24">
        <v>135000</v>
      </c>
      <c r="S10" s="24">
        <f>Tableau3[[#This Row],[MONTANT DE LA VENTE]]-Tableau3[[#This Row],[HONORAIRES TTC]]</f>
        <v>94500</v>
      </c>
      <c r="T10" s="25">
        <f>((Tableau3[[#This Row],[PRIX VENDU]])-Tableau3[[#This Row],[PRIX ESTIME - MILIEU DE FOURCHETTE]])/(Tableau3[[#This Row],[PRIX VENDU]])</f>
        <v>-0.37566137566137564</v>
      </c>
      <c r="U10"/>
    </row>
    <row r="11" spans="2:21" ht="12">
      <c r="B11" s="40">
        <v>44593</v>
      </c>
      <c r="C11" s="39">
        <v>44610</v>
      </c>
      <c r="D11" s="38">
        <v>44697</v>
      </c>
      <c r="E11" s="15"/>
      <c r="F11" s="9"/>
      <c r="G11" s="16">
        <v>190800</v>
      </c>
      <c r="H11" s="17">
        <v>10800</v>
      </c>
      <c r="I11" s="14">
        <f>H11/1.2</f>
        <v>9000</v>
      </c>
      <c r="J11" s="14" t="s">
        <v>20</v>
      </c>
      <c r="K11" s="10">
        <f>_xlfn.DAYS(Tableau3[[#This Row],[DATE ACTE]],C11)</f>
        <v>87</v>
      </c>
      <c r="L11" s="18">
        <v>44572</v>
      </c>
      <c r="M11" s="12">
        <v>190800</v>
      </c>
      <c r="N11" s="11">
        <f>(G11-M11)/M11</f>
        <v>0</v>
      </c>
      <c r="O11" s="13">
        <f>_xlfn.DAYS(B11,L11)</f>
        <v>21</v>
      </c>
      <c r="P11" s="24">
        <v>130000</v>
      </c>
      <c r="Q11" s="24">
        <v>135000</v>
      </c>
      <c r="R11" s="24">
        <v>140000</v>
      </c>
      <c r="S11" s="24">
        <f>Tableau3[[#This Row],[MONTANT DE LA VENTE]]-Tableau3[[#This Row],[HONORAIRES TTC]]</f>
        <v>180000</v>
      </c>
      <c r="T11" s="25">
        <f>((Tableau3[[#This Row],[PRIX VENDU]])-Tableau3[[#This Row],[PRIX ESTIME - MILIEU DE FOURCHETTE]])/(Tableau3[[#This Row],[PRIX VENDU]])</f>
        <v>0.25</v>
      </c>
      <c r="U11"/>
    </row>
    <row r="12" spans="2:21" ht="12">
      <c r="B12" s="40">
        <v>44596</v>
      </c>
      <c r="C12" s="39">
        <v>44601</v>
      </c>
      <c r="D12" s="38">
        <v>44665</v>
      </c>
      <c r="E12" s="15"/>
      <c r="F12" s="9"/>
      <c r="G12" s="16">
        <v>80250</v>
      </c>
      <c r="H12" s="17">
        <v>5250</v>
      </c>
      <c r="I12" s="14">
        <f>H12/1.2</f>
        <v>4375</v>
      </c>
      <c r="J12" s="14" t="s">
        <v>20</v>
      </c>
      <c r="K12" s="10">
        <f>_xlfn.DAYS(Tableau3[[#This Row],[DATE ACTE]],C12)</f>
        <v>64</v>
      </c>
      <c r="L12" s="18">
        <v>44595</v>
      </c>
      <c r="M12" s="12">
        <v>85600</v>
      </c>
      <c r="N12" s="11">
        <f>(G12-M12)/M12</f>
        <v>-6.25E-2</v>
      </c>
      <c r="O12" s="13">
        <f>_xlfn.DAYS(B12,L12)</f>
        <v>1</v>
      </c>
      <c r="P12" s="24">
        <v>65000</v>
      </c>
      <c r="Q12" s="24"/>
      <c r="R12" s="24">
        <v>75000</v>
      </c>
      <c r="S12" s="24">
        <f>Tableau3[[#This Row],[MONTANT DE LA VENTE]]-Tableau3[[#This Row],[HONORAIRES TTC]]</f>
        <v>75000</v>
      </c>
      <c r="T12" s="25"/>
      <c r="U12"/>
    </row>
    <row r="13" spans="2:21" ht="12">
      <c r="B13" s="40">
        <v>44603</v>
      </c>
      <c r="C13" s="39">
        <v>44634</v>
      </c>
      <c r="D13" s="38">
        <v>44729</v>
      </c>
      <c r="E13" s="33"/>
      <c r="F13" s="34"/>
      <c r="G13" s="35">
        <v>107000</v>
      </c>
      <c r="H13" s="36">
        <v>7000</v>
      </c>
      <c r="I13" s="37">
        <f>H13/1.2</f>
        <v>5833.3333333333339</v>
      </c>
      <c r="J13" s="37" t="s">
        <v>22</v>
      </c>
      <c r="K13" s="10">
        <f>_xlfn.DAYS(Tableau3[[#This Row],[DATE ACTE]],C13)</f>
        <v>95</v>
      </c>
      <c r="L13" s="18">
        <v>44406</v>
      </c>
      <c r="M13" s="12">
        <v>117700</v>
      </c>
      <c r="N13" s="11">
        <f>(G13-M13)/M13</f>
        <v>-9.0909090909090912E-2</v>
      </c>
      <c r="O13" s="13">
        <f>_xlfn.DAYS(B13,L13)</f>
        <v>197</v>
      </c>
      <c r="P13" s="24">
        <v>105000</v>
      </c>
      <c r="Q13" s="24">
        <v>110000</v>
      </c>
      <c r="R13" s="24">
        <v>115000</v>
      </c>
      <c r="S13" s="24">
        <f>Tableau3[[#This Row],[MONTANT DE LA VENTE]]-Tableau3[[#This Row],[HONORAIRES TTC]]</f>
        <v>100000</v>
      </c>
      <c r="T13" s="25">
        <f>((Tableau3[[#This Row],[PRIX VENDU]])-Tableau3[[#This Row],[PRIX ESTIME - MILIEU DE FOURCHETTE]])/(Tableau3[[#This Row],[PRIX VENDU]])</f>
        <v>-0.1</v>
      </c>
      <c r="U13"/>
    </row>
    <row r="14" spans="2:21" ht="12">
      <c r="B14" s="40">
        <v>44606</v>
      </c>
      <c r="C14" s="39">
        <v>44616</v>
      </c>
      <c r="D14" s="38"/>
      <c r="E14" s="27"/>
      <c r="F14" s="28"/>
      <c r="G14" s="29">
        <v>144450</v>
      </c>
      <c r="H14" s="30">
        <v>9450</v>
      </c>
      <c r="I14" s="31">
        <f>H14/1.2</f>
        <v>7875</v>
      </c>
      <c r="J14" s="31" t="s">
        <v>23</v>
      </c>
      <c r="K14" s="10"/>
      <c r="L14" s="18">
        <v>44606</v>
      </c>
      <c r="M14" s="12">
        <v>144450</v>
      </c>
      <c r="N14" s="11">
        <f>(G14-M14)/M14</f>
        <v>0</v>
      </c>
      <c r="O14" s="13">
        <f>_xlfn.DAYS(B14,L14)</f>
        <v>0</v>
      </c>
      <c r="P14" s="24">
        <v>125000</v>
      </c>
      <c r="Q14" s="24"/>
      <c r="R14" s="24">
        <v>135000</v>
      </c>
      <c r="S14" s="24">
        <f>Tableau3[[#This Row],[MONTANT DE LA VENTE]]-Tableau3[[#This Row],[HONORAIRES TTC]]</f>
        <v>135000</v>
      </c>
      <c r="T14" s="25"/>
      <c r="U14"/>
    </row>
    <row r="15" spans="2:21" ht="12">
      <c r="B15" s="40">
        <v>44607</v>
      </c>
      <c r="C15" s="39">
        <v>44628</v>
      </c>
      <c r="D15" s="38"/>
      <c r="E15" s="33"/>
      <c r="F15" s="34"/>
      <c r="G15" s="35">
        <v>169600</v>
      </c>
      <c r="H15" s="36">
        <v>9600</v>
      </c>
      <c r="I15" s="37">
        <f>H15/1.2</f>
        <v>8000</v>
      </c>
      <c r="J15" s="37" t="s">
        <v>22</v>
      </c>
      <c r="K15" s="10"/>
      <c r="L15" s="18">
        <v>44602</v>
      </c>
      <c r="M15" s="12">
        <v>169600</v>
      </c>
      <c r="N15" s="11">
        <f>(G15-M15)/M15</f>
        <v>0</v>
      </c>
      <c r="O15" s="13">
        <f>_xlfn.DAYS(B15,L15)</f>
        <v>5</v>
      </c>
      <c r="P15" s="24">
        <v>150000</v>
      </c>
      <c r="Q15" s="24">
        <v>155000</v>
      </c>
      <c r="R15" s="24">
        <v>160000</v>
      </c>
      <c r="S15" s="24">
        <f>Tableau3[[#This Row],[MONTANT DE LA VENTE]]-Tableau3[[#This Row],[HONORAIRES TTC]]</f>
        <v>160000</v>
      </c>
      <c r="T15" s="25"/>
      <c r="U15"/>
    </row>
    <row r="16" spans="2:21" ht="12">
      <c r="B16" s="40">
        <v>44614</v>
      </c>
      <c r="C16" s="39">
        <v>44635</v>
      </c>
      <c r="D16" s="38">
        <v>44729</v>
      </c>
      <c r="E16" s="19"/>
      <c r="F16" s="20"/>
      <c r="G16" s="21">
        <v>90950</v>
      </c>
      <c r="H16" s="22">
        <v>5950</v>
      </c>
      <c r="I16" s="23">
        <f>H16/1.2</f>
        <v>4958.3333333333339</v>
      </c>
      <c r="J16" s="23" t="s">
        <v>21</v>
      </c>
      <c r="K16" s="10">
        <f>_xlfn.DAYS(Tableau3[[#This Row],[DATE ACTE]],C16)</f>
        <v>94</v>
      </c>
      <c r="L16" s="18">
        <v>44526</v>
      </c>
      <c r="M16" s="12">
        <v>90950</v>
      </c>
      <c r="N16" s="11">
        <f>(G16-M16)/M16</f>
        <v>0</v>
      </c>
      <c r="O16" s="13">
        <f>_xlfn.DAYS(B16,L16)</f>
        <v>88</v>
      </c>
      <c r="P16" s="24">
        <v>80000</v>
      </c>
      <c r="Q16" s="24">
        <v>85000</v>
      </c>
      <c r="R16" s="24">
        <v>90000</v>
      </c>
      <c r="S16" s="24">
        <f>Tableau3[[#This Row],[MONTANT DE LA VENTE]]-Tableau3[[#This Row],[HONORAIRES TTC]]</f>
        <v>85000</v>
      </c>
      <c r="T16" s="25"/>
      <c r="U16"/>
    </row>
    <row r="17" spans="2:21" ht="12">
      <c r="B17" s="40">
        <v>44628</v>
      </c>
      <c r="C17" s="39">
        <v>44645</v>
      </c>
      <c r="D17" s="38">
        <v>44721</v>
      </c>
      <c r="E17" s="19"/>
      <c r="F17" s="20"/>
      <c r="G17" s="21">
        <v>80250</v>
      </c>
      <c r="H17" s="22">
        <v>5250</v>
      </c>
      <c r="I17" s="23">
        <f>H17/1.2</f>
        <v>4375</v>
      </c>
      <c r="J17" s="23" t="s">
        <v>21</v>
      </c>
      <c r="K17" s="10">
        <f>_xlfn.DAYS(Tableau3[[#This Row],[DATE ACTE]],C17)</f>
        <v>76</v>
      </c>
      <c r="L17" s="18">
        <v>44610</v>
      </c>
      <c r="M17" s="12">
        <v>85600</v>
      </c>
      <c r="N17" s="11">
        <f>(G17-M17)/M17</f>
        <v>-6.25E-2</v>
      </c>
      <c r="O17" s="13">
        <f>_xlfn.DAYS(B17,L17)</f>
        <v>18</v>
      </c>
      <c r="P17" s="24">
        <v>65000</v>
      </c>
      <c r="Q17" s="24">
        <v>70000</v>
      </c>
      <c r="R17" s="24">
        <v>75000</v>
      </c>
      <c r="S17" s="24">
        <f>Tableau3[[#This Row],[MONTANT DE LA VENTE]]-Tableau3[[#This Row],[HONORAIRES TTC]]</f>
        <v>75000</v>
      </c>
      <c r="T17" s="25"/>
      <c r="U17"/>
    </row>
    <row r="18" spans="2:21" ht="12">
      <c r="B18" s="40">
        <v>44631</v>
      </c>
      <c r="C18" s="39">
        <v>44657</v>
      </c>
      <c r="D18" s="41"/>
      <c r="E18" s="33"/>
      <c r="F18" s="34"/>
      <c r="G18" s="35">
        <v>85600</v>
      </c>
      <c r="H18" s="36">
        <v>5600</v>
      </c>
      <c r="I18" s="37">
        <f>H18/1.2</f>
        <v>4666.666666666667</v>
      </c>
      <c r="J18" s="37" t="s">
        <v>22</v>
      </c>
      <c r="K18" s="10"/>
      <c r="L18" s="18">
        <v>44361</v>
      </c>
      <c r="M18" s="12">
        <v>107000</v>
      </c>
      <c r="N18" s="11">
        <f>(G18-M18)/M18</f>
        <v>-0.2</v>
      </c>
      <c r="O18" s="13">
        <f>_xlfn.DAYS(B18,L18)</f>
        <v>270</v>
      </c>
      <c r="P18" s="24"/>
      <c r="Q18" s="24"/>
      <c r="R18" s="24"/>
      <c r="S18" s="24">
        <f>Tableau3[[#This Row],[MONTANT DE LA VENTE]]-Tableau3[[#This Row],[HONORAIRES TTC]]</f>
        <v>80000</v>
      </c>
      <c r="T18" s="25"/>
      <c r="U18"/>
    </row>
    <row r="19" spans="2:21" ht="12">
      <c r="B19" s="40">
        <v>44643</v>
      </c>
      <c r="C19" s="39">
        <v>44664</v>
      </c>
      <c r="D19" s="41"/>
      <c r="E19" s="27"/>
      <c r="F19" s="28"/>
      <c r="G19" s="29">
        <v>22000</v>
      </c>
      <c r="H19" s="30">
        <v>2000</v>
      </c>
      <c r="I19" s="31">
        <f>H19/1.2</f>
        <v>1666.6666666666667</v>
      </c>
      <c r="J19" s="31" t="s">
        <v>23</v>
      </c>
      <c r="K19" s="10"/>
      <c r="L19" s="18">
        <v>44635</v>
      </c>
      <c r="M19" s="12">
        <v>27500</v>
      </c>
      <c r="N19" s="11">
        <f>(G19-M19)/M19</f>
        <v>-0.2</v>
      </c>
      <c r="O19" s="13">
        <f>_xlfn.DAYS(B19,L19)</f>
        <v>8</v>
      </c>
      <c r="P19" s="24"/>
      <c r="Q19" s="24">
        <v>20000</v>
      </c>
      <c r="R19" s="24"/>
      <c r="S19" s="24">
        <f>Tableau3[[#This Row],[MONTANT DE LA VENTE]]-Tableau3[[#This Row],[HONORAIRES TTC]]</f>
        <v>20000</v>
      </c>
      <c r="T19" s="25"/>
      <c r="U19"/>
    </row>
    <row r="20" spans="2:21" ht="12">
      <c r="B20" s="40">
        <v>44644</v>
      </c>
      <c r="C20" s="39">
        <v>44651</v>
      </c>
      <c r="D20" s="41"/>
      <c r="E20" s="15"/>
      <c r="F20" s="9"/>
      <c r="G20" s="16">
        <v>159000</v>
      </c>
      <c r="H20" s="17">
        <v>9000</v>
      </c>
      <c r="I20" s="14">
        <f>H20/1.2</f>
        <v>7500</v>
      </c>
      <c r="J20" s="14" t="s">
        <v>20</v>
      </c>
      <c r="K20" s="10"/>
      <c r="L20" s="18">
        <v>44635</v>
      </c>
      <c r="M20" s="12">
        <v>159000</v>
      </c>
      <c r="N20" s="11">
        <f>(G20-M20)/M20</f>
        <v>0</v>
      </c>
      <c r="O20" s="13">
        <f>_xlfn.DAYS(B20,L20)</f>
        <v>9</v>
      </c>
      <c r="P20" s="24">
        <v>135000</v>
      </c>
      <c r="Q20" s="24">
        <v>130000</v>
      </c>
      <c r="R20" s="24">
        <v>140000</v>
      </c>
      <c r="S20" s="24">
        <f>Tableau3[[#This Row],[MONTANT DE LA VENTE]]-Tableau3[[#This Row],[HONORAIRES TTC]]</f>
        <v>150000</v>
      </c>
      <c r="T20" s="25">
        <f>((Tableau3[[#This Row],[PRIX VENDU]])-Tableau3[[#This Row],[PRIX ESTIME - MILIEU DE FOURCHETTE]])/(Tableau3[[#This Row],[PRIX VENDU]])</f>
        <v>0.13333333333333333</v>
      </c>
      <c r="U20"/>
    </row>
    <row r="21" spans="2:21" ht="12">
      <c r="B21" s="40">
        <v>44645</v>
      </c>
      <c r="C21" s="39"/>
      <c r="D21" s="41"/>
      <c r="E21" s="27"/>
      <c r="F21" s="28"/>
      <c r="G21" s="29">
        <v>44392.32</v>
      </c>
      <c r="H21" s="30">
        <v>3288.32</v>
      </c>
      <c r="I21" s="31">
        <f>H21/1.2</f>
        <v>2740.2666666666669</v>
      </c>
      <c r="J21" s="31" t="s">
        <v>23</v>
      </c>
      <c r="K21" s="10"/>
      <c r="L21" s="18"/>
      <c r="M21" s="12">
        <v>44392</v>
      </c>
      <c r="N21" s="11">
        <f>(G21-M21)/M21</f>
        <v>7.20850603711725E-6</v>
      </c>
      <c r="O21" s="13"/>
      <c r="P21" s="24"/>
      <c r="Q21" s="24"/>
      <c r="R21" s="24"/>
      <c r="S21" s="24">
        <f>Tableau3[[#This Row],[MONTANT DE LA VENTE]]-Tableau3[[#This Row],[HONORAIRES TTC]]</f>
        <v>41104</v>
      </c>
      <c r="T21" s="25"/>
      <c r="U21"/>
    </row>
    <row r="22" spans="2:21" ht="12">
      <c r="B22" s="40">
        <v>44648</v>
      </c>
      <c r="C22" s="39"/>
      <c r="D22" s="41"/>
      <c r="E22" s="27"/>
      <c r="F22" s="28"/>
      <c r="G22" s="29">
        <v>54000</v>
      </c>
      <c r="H22" s="30">
        <v>4000</v>
      </c>
      <c r="I22" s="31">
        <f>H22/1.2</f>
        <v>3333.3333333333335</v>
      </c>
      <c r="J22" s="31" t="s">
        <v>23</v>
      </c>
      <c r="K22" s="10"/>
      <c r="L22" s="18"/>
      <c r="M22" s="12">
        <v>54000</v>
      </c>
      <c r="N22" s="11">
        <f>(G22-M22)/M22</f>
        <v>0</v>
      </c>
      <c r="O22" s="13"/>
      <c r="P22" s="24"/>
      <c r="Q22" s="24"/>
      <c r="R22" s="24"/>
      <c r="S22" s="24">
        <f>Tableau3[[#This Row],[MONTANT DE LA VENTE]]-Tableau3[[#This Row],[HONORAIRES TTC]]</f>
        <v>50000</v>
      </c>
      <c r="T22" s="25"/>
      <c r="U22"/>
    </row>
    <row r="23" spans="2:21" ht="12">
      <c r="B23" s="40">
        <v>44650</v>
      </c>
      <c r="C23" s="39">
        <v>44659</v>
      </c>
      <c r="D23" s="38">
        <v>44727</v>
      </c>
      <c r="E23" s="19"/>
      <c r="F23" s="20"/>
      <c r="G23" s="21">
        <v>94160</v>
      </c>
      <c r="H23" s="22">
        <v>3080</v>
      </c>
      <c r="I23" s="23">
        <f>H23/1.2</f>
        <v>2566.666666666667</v>
      </c>
      <c r="J23" s="23" t="s">
        <v>21</v>
      </c>
      <c r="K23" s="10">
        <f>_xlfn.DAYS(Tableau3[[#This Row],[DATE ACTE]],C23)</f>
        <v>68</v>
      </c>
      <c r="L23" s="18">
        <v>44616</v>
      </c>
      <c r="M23" s="12">
        <v>107000</v>
      </c>
      <c r="N23" s="11">
        <f>(G23-M23)/M23</f>
        <v>-0.12</v>
      </c>
      <c r="O23" s="13">
        <f>_xlfn.DAYS(B23,L23)</f>
        <v>34</v>
      </c>
      <c r="P23" s="24">
        <v>80000</v>
      </c>
      <c r="Q23" s="24">
        <v>85000</v>
      </c>
      <c r="R23" s="24">
        <v>90000</v>
      </c>
      <c r="S23" s="24">
        <f>Tableau3[[#This Row],[MONTANT DE LA VENTE]]-Tableau3[[#This Row],[HONORAIRES TTC]]</f>
        <v>91080</v>
      </c>
      <c r="T23" s="25">
        <f>((Tableau3[[#This Row],[PRIX VENDU]])-Tableau3[[#This Row],[PRIX ESTIME - MILIEU DE FOURCHETTE]])/(Tableau3[[#This Row],[PRIX VENDU]])</f>
        <v>6.6754501537110239E-2</v>
      </c>
      <c r="U23"/>
    </row>
    <row r="24" spans="2:21" ht="12">
      <c r="B24" s="40">
        <v>44650</v>
      </c>
      <c r="C24" s="39"/>
      <c r="D24" s="41"/>
      <c r="E24" s="15"/>
      <c r="F24" s="9"/>
      <c r="G24" s="16">
        <v>416000</v>
      </c>
      <c r="H24" s="17">
        <v>16000</v>
      </c>
      <c r="I24" s="14">
        <f>H24/1.2</f>
        <v>13333.333333333334</v>
      </c>
      <c r="J24" s="14" t="s">
        <v>20</v>
      </c>
      <c r="K24" s="10"/>
      <c r="L24" s="18">
        <v>44518</v>
      </c>
      <c r="M24" s="12">
        <v>416000</v>
      </c>
      <c r="N24" s="11">
        <f>(G24-M24)/M24</f>
        <v>0</v>
      </c>
      <c r="O24" s="13">
        <f>_xlfn.DAYS(B24,L24)</f>
        <v>132</v>
      </c>
      <c r="P24" s="24"/>
      <c r="Q24" s="24"/>
      <c r="R24" s="24"/>
      <c r="S24" s="24">
        <f>Tableau3[[#This Row],[MONTANT DE LA VENTE]]-Tableau3[[#This Row],[HONORAIRES TTC]]</f>
        <v>400000</v>
      </c>
      <c r="T24" s="25"/>
      <c r="U24"/>
    </row>
    <row r="25" spans="2:21" ht="12">
      <c r="B25" s="40">
        <v>44662</v>
      </c>
      <c r="C25" s="39">
        <v>44673</v>
      </c>
      <c r="D25" s="41"/>
      <c r="E25" s="19"/>
      <c r="F25" s="20"/>
      <c r="G25" s="21">
        <v>157825</v>
      </c>
      <c r="H25" s="22">
        <v>10325</v>
      </c>
      <c r="I25" s="23">
        <f>H25/1.2</f>
        <v>8604.1666666666679</v>
      </c>
      <c r="J25" s="23" t="s">
        <v>21</v>
      </c>
      <c r="K25" s="10"/>
      <c r="L25" s="18">
        <v>44551</v>
      </c>
      <c r="M25" s="12">
        <v>159000</v>
      </c>
      <c r="N25" s="11">
        <f>(G25-M25)/M25</f>
        <v>-7.3899371069182391E-3</v>
      </c>
      <c r="O25" s="13">
        <f>_xlfn.DAYS(B25,L25)</f>
        <v>111</v>
      </c>
      <c r="P25" s="24">
        <v>150000</v>
      </c>
      <c r="Q25" s="24">
        <v>155000</v>
      </c>
      <c r="R25" s="24">
        <v>160000</v>
      </c>
      <c r="S25" s="24">
        <f>Tableau3[[#This Row],[MONTANT DE LA VENTE]]-Tableau3[[#This Row],[HONORAIRES TTC]]</f>
        <v>147500</v>
      </c>
      <c r="T25" s="25">
        <f>((Tableau3[[#This Row],[PRIX VENDU]])-Tableau3[[#This Row],[PRIX ESTIME - MILIEU DE FOURCHETTE]])/(Tableau3[[#This Row],[PRIX VENDU]])</f>
        <v>-5.0847457627118647E-2</v>
      </c>
      <c r="U25"/>
    </row>
    <row r="26" spans="2:21" ht="12">
      <c r="B26" s="40">
        <v>44670</v>
      </c>
      <c r="C26" s="39">
        <v>44683</v>
      </c>
      <c r="D26" s="41"/>
      <c r="E26" s="33"/>
      <c r="F26" s="34"/>
      <c r="G26" s="35">
        <v>70200</v>
      </c>
      <c r="H26" s="36">
        <v>5200</v>
      </c>
      <c r="I26" s="37">
        <f>H26/1.2</f>
        <v>4333.3333333333339</v>
      </c>
      <c r="J26" s="37" t="s">
        <v>22</v>
      </c>
      <c r="K26" s="10"/>
      <c r="L26" s="18">
        <v>44537</v>
      </c>
      <c r="M26" s="12">
        <v>75600</v>
      </c>
      <c r="N26" s="11">
        <f>(G26-M26)/M26</f>
        <v>-7.1428571428571425E-2</v>
      </c>
      <c r="O26" s="13">
        <f>_xlfn.DAYS(B26,L26)</f>
        <v>133</v>
      </c>
      <c r="P26" s="24">
        <v>60000</v>
      </c>
      <c r="Q26" s="24">
        <v>65000</v>
      </c>
      <c r="R26" s="24">
        <v>70000</v>
      </c>
      <c r="S26" s="24">
        <f>Tableau3[[#This Row],[MONTANT DE LA VENTE]]-Tableau3[[#This Row],[HONORAIRES TTC]]</f>
        <v>65000</v>
      </c>
      <c r="T26" s="25"/>
      <c r="U26"/>
    </row>
    <row r="27" spans="2:21" ht="12">
      <c r="B27" s="40">
        <v>44672</v>
      </c>
      <c r="C27" s="39">
        <v>44686</v>
      </c>
      <c r="D27" s="41"/>
      <c r="E27" s="27"/>
      <c r="F27" s="28"/>
      <c r="G27" s="29">
        <v>96300</v>
      </c>
      <c r="H27" s="30">
        <v>6300</v>
      </c>
      <c r="I27" s="31">
        <f>H27/1.2</f>
        <v>5250</v>
      </c>
      <c r="J27" s="31" t="s">
        <v>23</v>
      </c>
      <c r="K27" s="10"/>
      <c r="L27" s="18">
        <v>44664</v>
      </c>
      <c r="M27" s="12">
        <v>99510</v>
      </c>
      <c r="N27" s="11">
        <f>(G27-M27)/M27</f>
        <v>-3.2258064516129031E-2</v>
      </c>
      <c r="O27" s="13">
        <f>_xlfn.DAYS(B27,L27)</f>
        <v>8</v>
      </c>
      <c r="P27" s="24"/>
      <c r="Q27" s="24"/>
      <c r="R27" s="24"/>
      <c r="S27" s="24">
        <f>Tableau3[[#This Row],[MONTANT DE LA VENTE]]-Tableau3[[#This Row],[HONORAIRES TTC]]</f>
        <v>90000</v>
      </c>
      <c r="T27" s="25"/>
      <c r="U27"/>
    </row>
    <row r="28" spans="2:21" ht="12">
      <c r="B28" s="40">
        <v>44673</v>
      </c>
      <c r="C28" s="39">
        <v>44694</v>
      </c>
      <c r="D28" s="41"/>
      <c r="E28" s="33"/>
      <c r="F28" s="34"/>
      <c r="G28" s="35">
        <v>107000</v>
      </c>
      <c r="H28" s="36">
        <v>7000</v>
      </c>
      <c r="I28" s="37">
        <f>H28/1.2</f>
        <v>5833.3333333333339</v>
      </c>
      <c r="J28" s="37" t="s">
        <v>22</v>
      </c>
      <c r="K28" s="10"/>
      <c r="L28" s="18">
        <v>44638</v>
      </c>
      <c r="M28" s="12">
        <v>117700</v>
      </c>
      <c r="N28" s="11">
        <f>(G28-M28)/M28</f>
        <v>-9.0909090909090912E-2</v>
      </c>
      <c r="O28" s="13">
        <f>_xlfn.DAYS(B28,L28)</f>
        <v>35</v>
      </c>
      <c r="P28" s="24">
        <v>100000</v>
      </c>
      <c r="Q28" s="24">
        <v>105000</v>
      </c>
      <c r="R28" s="24">
        <v>110000</v>
      </c>
      <c r="S28" s="24">
        <f>Tableau3[[#This Row],[MONTANT DE LA VENTE]]-Tableau3[[#This Row],[HONORAIRES TTC]]</f>
        <v>100000</v>
      </c>
      <c r="T28" s="25"/>
      <c r="U28"/>
    </row>
    <row r="29" spans="2:21" ht="12">
      <c r="B29" s="40">
        <v>44674</v>
      </c>
      <c r="C29" s="39">
        <v>44685</v>
      </c>
      <c r="D29" s="41"/>
      <c r="E29" s="33"/>
      <c r="F29" s="34"/>
      <c r="G29" s="35">
        <v>142500</v>
      </c>
      <c r="H29" s="36">
        <v>3750</v>
      </c>
      <c r="I29" s="37">
        <f>H29/1.2</f>
        <v>3125</v>
      </c>
      <c r="J29" s="37" t="s">
        <v>22</v>
      </c>
      <c r="K29" s="10"/>
      <c r="L29" s="18">
        <v>44668</v>
      </c>
      <c r="M29" s="12">
        <v>142500</v>
      </c>
      <c r="N29" s="11">
        <f>(G29-M29)/M29</f>
        <v>0</v>
      </c>
      <c r="O29" s="13">
        <f>_xlfn.DAYS(B29,L29)</f>
        <v>6</v>
      </c>
      <c r="P29" s="24">
        <v>125000</v>
      </c>
      <c r="Q29" s="24">
        <v>130000</v>
      </c>
      <c r="R29" s="24">
        <v>135000</v>
      </c>
      <c r="S29" s="24">
        <f>Tableau3[[#This Row],[MONTANT DE LA VENTE]]-Tableau3[[#This Row],[HONORAIRES TTC]]</f>
        <v>138750</v>
      </c>
      <c r="T29" s="25">
        <f>((Tableau3[[#This Row],[PRIX VENDU]])-Tableau3[[#This Row],[PRIX ESTIME - MILIEU DE FOURCHETTE]])/(Tableau3[[#This Row],[PRIX VENDU]])</f>
        <v>6.3063063063063057E-2</v>
      </c>
      <c r="U29"/>
    </row>
    <row r="30" spans="2:21" ht="12">
      <c r="B30" s="40">
        <v>44679</v>
      </c>
      <c r="C30" s="39">
        <v>44691</v>
      </c>
      <c r="D30" s="41"/>
      <c r="E30" s="27"/>
      <c r="F30" s="28"/>
      <c r="G30" s="29">
        <v>117700</v>
      </c>
      <c r="H30" s="30">
        <v>7700</v>
      </c>
      <c r="I30" s="31">
        <f>H30/1.2</f>
        <v>6416.666666666667</v>
      </c>
      <c r="J30" s="31" t="s">
        <v>23</v>
      </c>
      <c r="K30" s="10"/>
      <c r="L30" s="18">
        <v>44638</v>
      </c>
      <c r="M30" s="12">
        <v>120910</v>
      </c>
      <c r="N30" s="11">
        <f>(G30-M30)/M30</f>
        <v>-2.6548672566371681E-2</v>
      </c>
      <c r="O30" s="13">
        <f>_xlfn.DAYS(B30,L30)</f>
        <v>41</v>
      </c>
      <c r="P30" s="24">
        <v>105000</v>
      </c>
      <c r="Q30" s="24">
        <v>110000</v>
      </c>
      <c r="R30" s="24">
        <v>115000</v>
      </c>
      <c r="S30" s="24">
        <f>Tableau3[[#This Row],[MONTANT DE LA VENTE]]-Tableau3[[#This Row],[HONORAIRES TTC]]</f>
        <v>110000</v>
      </c>
      <c r="T30" s="25"/>
      <c r="U30"/>
    </row>
    <row r="31" spans="2:21" ht="12">
      <c r="B31" s="40">
        <v>44684</v>
      </c>
      <c r="C31" s="39">
        <v>44693</v>
      </c>
      <c r="D31" s="41"/>
      <c r="E31" s="15"/>
      <c r="F31" s="9"/>
      <c r="G31" s="16">
        <v>180200</v>
      </c>
      <c r="H31" s="17">
        <v>5100</v>
      </c>
      <c r="I31" s="14">
        <f>H31/1.2</f>
        <v>4250</v>
      </c>
      <c r="J31" s="14" t="s">
        <v>20</v>
      </c>
      <c r="K31" s="10"/>
      <c r="L31" s="18">
        <v>44677</v>
      </c>
      <c r="M31" s="12">
        <v>180200</v>
      </c>
      <c r="N31" s="11">
        <f>(G31-M31)/M31</f>
        <v>0</v>
      </c>
      <c r="O31" s="13">
        <f>_xlfn.DAYS(B31,L31)</f>
        <v>7</v>
      </c>
      <c r="P31" s="24">
        <v>150000</v>
      </c>
      <c r="Q31" s="24">
        <v>155000</v>
      </c>
      <c r="R31" s="24">
        <v>160000</v>
      </c>
      <c r="S31" s="24">
        <v>170000</v>
      </c>
      <c r="T31" s="25">
        <f>((Tableau3[[#This Row],[PRIX VENDU]])-Tableau3[[#This Row],[PRIX ESTIME - MILIEU DE FOURCHETTE]])/(Tableau3[[#This Row],[PRIX VENDU]])</f>
        <v>8.8235294117647065E-2</v>
      </c>
      <c r="U31"/>
    </row>
    <row r="32" spans="2:21" ht="12">
      <c r="B32" s="40">
        <v>44684</v>
      </c>
      <c r="C32" s="39"/>
      <c r="D32" s="41"/>
      <c r="E32" s="27"/>
      <c r="F32" s="28"/>
      <c r="G32" s="29">
        <v>169600</v>
      </c>
      <c r="H32" s="30">
        <v>9600</v>
      </c>
      <c r="I32" s="31">
        <f>H32/1.2</f>
        <v>8000</v>
      </c>
      <c r="J32" s="31" t="s">
        <v>23</v>
      </c>
      <c r="K32" s="10"/>
      <c r="L32" s="18">
        <v>44606</v>
      </c>
      <c r="M32" s="12">
        <v>180200</v>
      </c>
      <c r="N32" s="11">
        <f>(G32-M32)/M32</f>
        <v>-5.8823529411764705E-2</v>
      </c>
      <c r="O32" s="13">
        <f>_xlfn.DAYS(B32,L32)</f>
        <v>78</v>
      </c>
      <c r="P32" s="24">
        <v>155000</v>
      </c>
      <c r="Q32" s="24">
        <v>160000</v>
      </c>
      <c r="R32" s="24">
        <v>165000</v>
      </c>
      <c r="S32" s="24">
        <f>Tableau3[[#This Row],[MONTANT DE LA VENTE]]-Tableau3[[#This Row],[HONORAIRES TTC]]</f>
        <v>160000</v>
      </c>
      <c r="T32" s="25"/>
      <c r="U32"/>
    </row>
    <row r="33" spans="2:21" ht="12">
      <c r="B33" s="40">
        <v>44685</v>
      </c>
      <c r="C33" s="39">
        <v>44713</v>
      </c>
      <c r="D33" s="41"/>
      <c r="E33" s="27"/>
      <c r="F33" s="28"/>
      <c r="G33" s="29">
        <v>166420</v>
      </c>
      <c r="H33" s="30">
        <v>9420</v>
      </c>
      <c r="I33" s="31">
        <f>H33/1.2</f>
        <v>7850</v>
      </c>
      <c r="J33" s="31" t="s">
        <v>23</v>
      </c>
      <c r="K33" s="10"/>
      <c r="L33" s="18">
        <v>44676</v>
      </c>
      <c r="M33" s="12">
        <v>180200</v>
      </c>
      <c r="N33" s="11">
        <f>(G33-M33)/M33</f>
        <v>-7.6470588235294124E-2</v>
      </c>
      <c r="O33" s="13">
        <f>_xlfn.DAYS(B33,L33)</f>
        <v>9</v>
      </c>
      <c r="P33" s="24">
        <v>150000</v>
      </c>
      <c r="Q33" s="24">
        <v>155000</v>
      </c>
      <c r="R33" s="24">
        <v>160000</v>
      </c>
      <c r="S33" s="24">
        <f>Tableau3[[#This Row],[MONTANT DE LA VENTE]]-Tableau3[[#This Row],[HONORAIRES TTC]]</f>
        <v>157000</v>
      </c>
      <c r="T33" s="25"/>
      <c r="U33"/>
    </row>
    <row r="34" spans="2:21" ht="12">
      <c r="B34" s="40">
        <v>44690</v>
      </c>
      <c r="C34" s="39">
        <v>44697</v>
      </c>
      <c r="D34" s="41"/>
      <c r="E34" s="15"/>
      <c r="F34" s="9"/>
      <c r="G34" s="16">
        <v>273000</v>
      </c>
      <c r="H34" s="17">
        <v>13000</v>
      </c>
      <c r="I34" s="14">
        <f>H34/1.2</f>
        <v>10833.333333333334</v>
      </c>
      <c r="J34" s="14" t="s">
        <v>20</v>
      </c>
      <c r="K34" s="10"/>
      <c r="L34" s="18">
        <v>44680</v>
      </c>
      <c r="M34" s="12">
        <v>273000</v>
      </c>
      <c r="N34" s="11">
        <f>(G34-M34)/M34</f>
        <v>0</v>
      </c>
      <c r="O34" s="13">
        <f>_xlfn.DAYS(B34,L34)</f>
        <v>10</v>
      </c>
      <c r="P34" s="24">
        <v>250000</v>
      </c>
      <c r="Q34" s="24">
        <v>255000</v>
      </c>
      <c r="R34" s="24">
        <v>260000</v>
      </c>
      <c r="S34" s="24">
        <f>Tableau3[[#This Row],[MONTANT DE LA VENTE]]-Tableau3[[#This Row],[HONORAIRES TTC]]</f>
        <v>260000</v>
      </c>
      <c r="T34" s="25"/>
      <c r="U34"/>
    </row>
    <row r="35" spans="2:21" ht="12">
      <c r="B35" s="40">
        <v>44691</v>
      </c>
      <c r="C35" s="39">
        <v>44706</v>
      </c>
      <c r="D35" s="41"/>
      <c r="E35" s="27"/>
      <c r="F35" s="28"/>
      <c r="G35" s="29">
        <v>159000</v>
      </c>
      <c r="H35" s="30">
        <v>9000</v>
      </c>
      <c r="I35" s="31">
        <f>H35/1.2</f>
        <v>7500</v>
      </c>
      <c r="J35" s="31" t="s">
        <v>23</v>
      </c>
      <c r="K35" s="10"/>
      <c r="L35" s="18">
        <v>44684</v>
      </c>
      <c r="M35" s="12">
        <v>159000</v>
      </c>
      <c r="N35" s="11">
        <f>(G35-M35)/M35</f>
        <v>0</v>
      </c>
      <c r="O35" s="13">
        <f>_xlfn.DAYS(B35,L35)</f>
        <v>7</v>
      </c>
      <c r="P35" s="24">
        <v>135000</v>
      </c>
      <c r="Q35" s="24">
        <v>140000</v>
      </c>
      <c r="R35" s="24">
        <v>145000</v>
      </c>
      <c r="S35" s="24">
        <f>Tableau3[[#This Row],[MONTANT DE LA VENTE]]-Tableau3[[#This Row],[HONORAIRES TTC]]</f>
        <v>150000</v>
      </c>
      <c r="T35" s="25">
        <f>((Tableau3[[#This Row],[PRIX VENDU]])-Tableau3[[#This Row],[PRIX ESTIME - MILIEU DE FOURCHETTE]])/(Tableau3[[#This Row],[PRIX VENDU]])</f>
        <v>6.6666666666666666E-2</v>
      </c>
      <c r="U35"/>
    </row>
    <row r="36" spans="2:21" ht="12">
      <c r="B36" s="40">
        <v>44691</v>
      </c>
      <c r="C36" s="39">
        <v>44723</v>
      </c>
      <c r="D36" s="41"/>
      <c r="E36" s="27"/>
      <c r="F36" s="28"/>
      <c r="G36" s="29">
        <v>107000</v>
      </c>
      <c r="H36" s="30">
        <v>7000</v>
      </c>
      <c r="I36" s="31">
        <f>H36/1.2</f>
        <v>5833.3333333333339</v>
      </c>
      <c r="J36" s="31" t="s">
        <v>23</v>
      </c>
      <c r="K36" s="10"/>
      <c r="L36" s="18">
        <v>44658</v>
      </c>
      <c r="M36" s="12">
        <v>112350</v>
      </c>
      <c r="N36" s="11">
        <f>(G36-M36)/M36</f>
        <v>-4.7619047619047616E-2</v>
      </c>
      <c r="O36" s="13">
        <f>_xlfn.DAYS(B36,L36)</f>
        <v>33</v>
      </c>
      <c r="P36" s="24">
        <v>95000</v>
      </c>
      <c r="Q36" s="24">
        <v>100000</v>
      </c>
      <c r="R36" s="24">
        <v>105000</v>
      </c>
      <c r="S36" s="24">
        <f>Tableau3[[#This Row],[MONTANT DE LA VENTE]]-Tableau3[[#This Row],[HONORAIRES TTC]]</f>
        <v>100000</v>
      </c>
      <c r="T36" s="25"/>
      <c r="U36"/>
    </row>
    <row r="37" spans="2:21" ht="12">
      <c r="B37" s="40">
        <v>44699</v>
      </c>
      <c r="C37" s="39">
        <v>44727</v>
      </c>
      <c r="D37" s="41"/>
      <c r="E37" s="33"/>
      <c r="F37" s="34"/>
      <c r="G37" s="35">
        <v>153700</v>
      </c>
      <c r="H37" s="36">
        <v>3700</v>
      </c>
      <c r="I37" s="37">
        <f>H37/1.2</f>
        <v>3083.3333333333335</v>
      </c>
      <c r="J37" s="37" t="s">
        <v>22</v>
      </c>
      <c r="K37" s="10"/>
      <c r="L37" s="18">
        <v>44607</v>
      </c>
      <c r="M37" s="12">
        <v>169600</v>
      </c>
      <c r="N37" s="11">
        <f>(G37-M37)/M37</f>
        <v>-9.375E-2</v>
      </c>
      <c r="O37" s="13">
        <f>_xlfn.DAYS(B37,L37)</f>
        <v>92</v>
      </c>
      <c r="P37" s="24">
        <v>150000</v>
      </c>
      <c r="Q37" s="24">
        <v>155000</v>
      </c>
      <c r="R37" s="24">
        <v>160000</v>
      </c>
      <c r="S37" s="24">
        <f>Tableau3[[#This Row],[MONTANT DE LA VENTE]]-Tableau3[[#This Row],[HONORAIRES TTC]]</f>
        <v>150000</v>
      </c>
      <c r="T37" s="25"/>
      <c r="U37"/>
    </row>
    <row r="38" spans="2:21" ht="12">
      <c r="B38" s="40">
        <v>44705</v>
      </c>
      <c r="C38" s="39">
        <v>44727</v>
      </c>
      <c r="D38" s="41"/>
      <c r="E38" s="33"/>
      <c r="F38" s="34"/>
      <c r="G38" s="35">
        <v>100000</v>
      </c>
      <c r="H38" s="36">
        <v>6500</v>
      </c>
      <c r="I38" s="37">
        <f>H38/1.2</f>
        <v>5416.666666666667</v>
      </c>
      <c r="J38" s="37" t="s">
        <v>22</v>
      </c>
      <c r="K38" s="10"/>
      <c r="L38" s="18">
        <v>44690</v>
      </c>
      <c r="M38" s="12">
        <v>112350</v>
      </c>
      <c r="N38" s="11">
        <f>(G38-M38)/M38</f>
        <v>-0.10992434356920339</v>
      </c>
      <c r="O38" s="13">
        <f>_xlfn.DAYS(B38,L38)</f>
        <v>15</v>
      </c>
      <c r="P38" s="24">
        <v>95000</v>
      </c>
      <c r="Q38" s="24">
        <v>100000</v>
      </c>
      <c r="R38" s="24">
        <v>105000</v>
      </c>
      <c r="S38" s="24">
        <f>Tableau3[[#This Row],[MONTANT DE LA VENTE]]-Tableau3[[#This Row],[HONORAIRES TTC]]</f>
        <v>93500</v>
      </c>
      <c r="T38" s="25">
        <f>((Tableau3[[#This Row],[MONTANT DE LA VENTE]]-Tableau3[[#This Row],[HONORAIRES TTC]])-Tableau3[[#This Row],[PRIX ESTIME - MILIEU DE FOURCHETTE]])/(Tableau3[[#This Row],[MONTANT DE LA VENTE]]-Tableau3[[#This Row],[HONORAIRES TTC]])</f>
        <v>-6.9518716577540107E-2</v>
      </c>
      <c r="U38"/>
    </row>
    <row r="39" spans="2:21" ht="12">
      <c r="B39" s="40">
        <v>44705</v>
      </c>
      <c r="C39" s="39">
        <v>44716</v>
      </c>
      <c r="D39" s="41"/>
      <c r="E39" s="27"/>
      <c r="F39" s="28"/>
      <c r="G39" s="29">
        <v>128400</v>
      </c>
      <c r="H39" s="30">
        <v>8400</v>
      </c>
      <c r="I39" s="31">
        <f>H39/1.2</f>
        <v>7000</v>
      </c>
      <c r="J39" s="31" t="s">
        <v>23</v>
      </c>
      <c r="K39" s="10"/>
      <c r="L39" s="18">
        <v>44701</v>
      </c>
      <c r="M39" s="12">
        <v>128400</v>
      </c>
      <c r="N39" s="11">
        <f>(G39-M39)/M39</f>
        <v>0</v>
      </c>
      <c r="O39" s="13">
        <f>_xlfn.DAYS(B39,L39)</f>
        <v>4</v>
      </c>
      <c r="P39" s="24">
        <v>120000</v>
      </c>
      <c r="Q39" s="24">
        <v>115000</v>
      </c>
      <c r="R39" s="24">
        <v>125000</v>
      </c>
      <c r="S39" s="24">
        <f>Tableau3[[#This Row],[MONTANT DE LA VENTE]]-Tableau3[[#This Row],[HONORAIRES TTC]]</f>
        <v>120000</v>
      </c>
      <c r="T39" s="25"/>
      <c r="U39"/>
    </row>
    <row r="40" spans="2:21" ht="12">
      <c r="B40" s="40">
        <v>44706</v>
      </c>
      <c r="C40" s="39">
        <v>44731</v>
      </c>
      <c r="D40" s="41"/>
      <c r="E40" s="33"/>
      <c r="F40" s="34"/>
      <c r="G40" s="35">
        <v>149400</v>
      </c>
      <c r="H40" s="36">
        <v>9400</v>
      </c>
      <c r="I40" s="37">
        <f>H40/1.2</f>
        <v>7833.3333333333339</v>
      </c>
      <c r="J40" s="37" t="s">
        <v>22</v>
      </c>
      <c r="K40" s="10"/>
      <c r="L40" s="18">
        <v>44669</v>
      </c>
      <c r="M40" s="12">
        <v>159000</v>
      </c>
      <c r="N40" s="11">
        <f>(G40-M40)/M40</f>
        <v>-6.0377358490566038E-2</v>
      </c>
      <c r="O40" s="13">
        <f>_xlfn.DAYS(B40,L40)</f>
        <v>37</v>
      </c>
      <c r="P40" s="24">
        <v>140000</v>
      </c>
      <c r="Q40" s="24">
        <v>145000</v>
      </c>
      <c r="R40" s="24">
        <v>150000</v>
      </c>
      <c r="S40" s="24">
        <f>Tableau3[[#This Row],[MONTANT DE LA VENTE]]-Tableau3[[#This Row],[HONORAIRES TTC]]</f>
        <v>140000</v>
      </c>
      <c r="T40" s="25"/>
      <c r="U40"/>
    </row>
    <row r="41" spans="2:21" ht="12">
      <c r="B41" s="40">
        <v>44718</v>
      </c>
      <c r="C41" s="39">
        <v>44733</v>
      </c>
      <c r="D41" s="41"/>
      <c r="E41" s="33"/>
      <c r="F41" s="34"/>
      <c r="G41" s="35">
        <v>262500</v>
      </c>
      <c r="H41" s="36">
        <v>12500</v>
      </c>
      <c r="I41" s="37">
        <f>H41/1.2</f>
        <v>10416.666666666668</v>
      </c>
      <c r="J41" s="37" t="s">
        <v>22</v>
      </c>
      <c r="K41" s="10"/>
      <c r="L41" s="18">
        <v>44540</v>
      </c>
      <c r="M41" s="12">
        <v>283500</v>
      </c>
      <c r="N41" s="11">
        <f>(G41-M41)/M41</f>
        <v>-7.407407407407407E-2</v>
      </c>
      <c r="O41" s="13">
        <f>_xlfn.DAYS(B41,L41)</f>
        <v>178</v>
      </c>
      <c r="P41" s="24">
        <v>260000</v>
      </c>
      <c r="Q41" s="24">
        <v>265000</v>
      </c>
      <c r="R41" s="24">
        <v>270000</v>
      </c>
      <c r="S41" s="24">
        <f>Tableau3[[#This Row],[MONTANT DE LA VENTE]]-Tableau3[[#This Row],[HONORAIRES TTC]]</f>
        <v>250000</v>
      </c>
      <c r="T41" s="25">
        <f>((Tableau3[[#This Row],[MONTANT DE LA VENTE]]-Tableau3[[#This Row],[HONORAIRES TTC]])-Tableau3[[#This Row],[PRIX ESTIME - MILIEU DE FOURCHETTE]])/(Tableau3[[#This Row],[MONTANT DE LA VENTE]]-Tableau3[[#This Row],[HONORAIRES TTC]])</f>
        <v>-0.06</v>
      </c>
      <c r="U41"/>
    </row>
    <row r="42" spans="2:21" ht="12">
      <c r="B42" s="40">
        <v>44719</v>
      </c>
      <c r="C42" s="39">
        <v>44729</v>
      </c>
      <c r="D42" s="41"/>
      <c r="E42" s="15"/>
      <c r="F42" s="9"/>
      <c r="G42" s="16">
        <v>112350</v>
      </c>
      <c r="H42" s="17">
        <v>7350</v>
      </c>
      <c r="I42" s="14">
        <f>H42/1.2</f>
        <v>6125</v>
      </c>
      <c r="J42" s="14" t="s">
        <v>20</v>
      </c>
      <c r="K42" s="10"/>
      <c r="L42" s="18">
        <v>44606</v>
      </c>
      <c r="M42" s="12">
        <v>112350</v>
      </c>
      <c r="N42" s="11">
        <f>(G42-M42)/M42</f>
        <v>0</v>
      </c>
      <c r="O42" s="13">
        <f>_xlfn.DAYS(B42,L42)</f>
        <v>113</v>
      </c>
      <c r="P42" s="24">
        <v>95000</v>
      </c>
      <c r="Q42" s="24">
        <v>100000</v>
      </c>
      <c r="R42" s="24">
        <v>105000</v>
      </c>
      <c r="S42" s="24">
        <f>Tableau3[[#This Row],[MONTANT DE LA VENTE]]-Tableau3[[#This Row],[HONORAIRES TTC]]</f>
        <v>105000</v>
      </c>
      <c r="T42" s="25"/>
      <c r="U42"/>
    </row>
    <row r="43" spans="2:21" ht="12">
      <c r="B43" s="40">
        <v>44719</v>
      </c>
      <c r="C43" s="39"/>
      <c r="D43" s="41"/>
      <c r="E43" s="27"/>
      <c r="F43" s="28"/>
      <c r="G43" s="29">
        <v>47960</v>
      </c>
      <c r="H43" s="30">
        <v>3960</v>
      </c>
      <c r="I43" s="31">
        <f>H43/1.2</f>
        <v>3300</v>
      </c>
      <c r="J43" s="31" t="s">
        <v>23</v>
      </c>
      <c r="K43" s="10"/>
      <c r="L43" s="18">
        <v>44713</v>
      </c>
      <c r="M43" s="12">
        <v>49050</v>
      </c>
      <c r="N43" s="11">
        <f>(G43-M43)/M43</f>
        <v>-2.2222222222222223E-2</v>
      </c>
      <c r="O43" s="13">
        <f>_xlfn.DAYS(B43,L43)</f>
        <v>6</v>
      </c>
      <c r="P43" s="24">
        <v>40000</v>
      </c>
      <c r="Q43" s="24">
        <v>42500</v>
      </c>
      <c r="R43" s="24">
        <v>45000</v>
      </c>
      <c r="S43" s="24">
        <f>Tableau3[[#This Row],[MONTANT DE LA VENTE]]-Tableau3[[#This Row],[HONORAIRES TTC]]</f>
        <v>44000</v>
      </c>
      <c r="T43" s="25"/>
      <c r="U43"/>
    </row>
    <row r="44" spans="2:21" ht="12">
      <c r="B44" s="40">
        <v>44719</v>
      </c>
      <c r="C44" s="39"/>
      <c r="D44" s="41"/>
      <c r="E44" s="27"/>
      <c r="F44" s="28"/>
      <c r="G44" s="29">
        <v>43200</v>
      </c>
      <c r="H44" s="30">
        <v>3200</v>
      </c>
      <c r="I44" s="31">
        <f>H44/1.2</f>
        <v>2666.666666666667</v>
      </c>
      <c r="J44" s="31" t="s">
        <v>23</v>
      </c>
      <c r="K44" s="10"/>
      <c r="L44" s="18"/>
      <c r="M44" s="12">
        <v>43200</v>
      </c>
      <c r="N44" s="11">
        <f>(G44-M44)/M44</f>
        <v>0</v>
      </c>
      <c r="O44" s="13"/>
      <c r="P44" s="24"/>
      <c r="Q44" s="24"/>
      <c r="R44" s="24"/>
      <c r="S44" s="24">
        <f>Tableau3[[#This Row],[MONTANT DE LA VENTE]]-Tableau3[[#This Row],[HONORAIRES TTC]]</f>
        <v>40000</v>
      </c>
      <c r="T44" s="25"/>
      <c r="U44"/>
    </row>
    <row r="45" spans="2:21" ht="12">
      <c r="B45" s="40">
        <v>44720</v>
      </c>
      <c r="C45" s="39"/>
      <c r="D45" s="41"/>
      <c r="E45" s="19"/>
      <c r="F45" s="20"/>
      <c r="G45" s="21">
        <v>96300</v>
      </c>
      <c r="H45" s="22">
        <v>6300</v>
      </c>
      <c r="I45" s="23">
        <f>H45/1.2</f>
        <v>5250</v>
      </c>
      <c r="J45" s="23" t="s">
        <v>21</v>
      </c>
      <c r="K45" s="10"/>
      <c r="L45" s="18">
        <v>44712</v>
      </c>
      <c r="M45" s="12">
        <v>96300</v>
      </c>
      <c r="N45" s="11">
        <f>(G45-M45)/M45</f>
        <v>0</v>
      </c>
      <c r="O45" s="13">
        <f>_xlfn.DAYS(B45,L45)</f>
        <v>8</v>
      </c>
      <c r="P45" s="24">
        <v>80000</v>
      </c>
      <c r="Q45" s="24">
        <v>85000</v>
      </c>
      <c r="R45" s="24">
        <v>90000</v>
      </c>
      <c r="S45" s="24">
        <f>Tableau3[[#This Row],[MONTANT DE LA VENTE]]-Tableau3[[#This Row],[HONORAIRES TTC]]</f>
        <v>90000</v>
      </c>
      <c r="T45" s="42"/>
      <c r="U45"/>
    </row>
    <row r="46" spans="2:21" ht="12">
      <c r="B46" s="40">
        <v>44726</v>
      </c>
      <c r="C46" s="39">
        <v>44729</v>
      </c>
      <c r="D46" s="41"/>
      <c r="E46" s="15"/>
      <c r="F46" s="9"/>
      <c r="G46" s="16">
        <v>185500</v>
      </c>
      <c r="H46" s="17">
        <v>10500</v>
      </c>
      <c r="I46" s="14">
        <f>H46/1.2</f>
        <v>8750</v>
      </c>
      <c r="J46" s="14" t="s">
        <v>20</v>
      </c>
      <c r="K46" s="10"/>
      <c r="L46" s="18">
        <v>44714</v>
      </c>
      <c r="M46" s="12">
        <v>185500</v>
      </c>
      <c r="N46" s="11">
        <f>(G46-M46)/M46</f>
        <v>0</v>
      </c>
      <c r="O46" s="13">
        <f>_xlfn.DAYS(B46,L46)</f>
        <v>12</v>
      </c>
      <c r="P46" s="24">
        <v>170000</v>
      </c>
      <c r="Q46" s="24">
        <v>175000</v>
      </c>
      <c r="R46" s="24">
        <v>180000</v>
      </c>
      <c r="S46" s="24">
        <f>Tableau3[[#This Row],[MONTANT DE LA VENTE]]-Tableau3[[#This Row],[HONORAIRES TTC]]</f>
        <v>175000</v>
      </c>
      <c r="T46" s="25"/>
      <c r="U46"/>
    </row>
    <row r="47" spans="2:21" ht="12">
      <c r="B47" s="40">
        <v>44726</v>
      </c>
      <c r="C47" s="39"/>
      <c r="D47" s="41"/>
      <c r="E47" s="27"/>
      <c r="F47" s="28"/>
      <c r="G47" s="29">
        <v>147660</v>
      </c>
      <c r="H47" s="30">
        <v>9660</v>
      </c>
      <c r="I47" s="31">
        <f>H47/1.2</f>
        <v>8050</v>
      </c>
      <c r="J47" s="31" t="s">
        <v>23</v>
      </c>
      <c r="K47" s="10"/>
      <c r="L47" s="18">
        <v>44721</v>
      </c>
      <c r="M47" s="12">
        <v>149800</v>
      </c>
      <c r="N47" s="11">
        <f>(G47-M47)/M47</f>
        <v>-1.4285714285714285E-2</v>
      </c>
      <c r="O47" s="13">
        <f>_xlfn.DAYS(B47,L47)</f>
        <v>5</v>
      </c>
      <c r="P47" s="24">
        <v>130000</v>
      </c>
      <c r="Q47" s="24">
        <v>135000</v>
      </c>
      <c r="R47" s="24">
        <v>140000</v>
      </c>
      <c r="S47" s="24">
        <f>Tableau3[[#This Row],[MONTANT DE LA VENTE]]-Tableau3[[#This Row],[HONORAIRES TTC]]</f>
        <v>138000</v>
      </c>
      <c r="T47" s="42"/>
      <c r="U47"/>
    </row>
    <row r="48" spans="2:21" ht="12.75" thickBot="1">
      <c r="B48" s="40">
        <v>44733</v>
      </c>
      <c r="C48" s="39"/>
      <c r="D48" s="41"/>
      <c r="E48" s="15"/>
      <c r="F48" s="9"/>
      <c r="G48" s="16">
        <v>180200</v>
      </c>
      <c r="H48" s="17">
        <v>10200</v>
      </c>
      <c r="I48" s="14">
        <f>H48/1.2</f>
        <v>8500</v>
      </c>
      <c r="J48" s="14" t="s">
        <v>20</v>
      </c>
      <c r="K48" s="10"/>
      <c r="L48" s="18">
        <v>44724</v>
      </c>
      <c r="M48" s="12">
        <v>180200</v>
      </c>
      <c r="N48" s="11">
        <f>(G48-M48)/M48</f>
        <v>0</v>
      </c>
      <c r="O48" s="13">
        <f>_xlfn.DAYS(B48,L48)</f>
        <v>9</v>
      </c>
      <c r="P48" s="24">
        <v>160000</v>
      </c>
      <c r="Q48" s="24">
        <v>165000</v>
      </c>
      <c r="R48" s="24">
        <v>170000</v>
      </c>
      <c r="S48" s="24">
        <f>Tableau3[[#This Row],[MONTANT DE LA VENTE]]-Tableau3[[#This Row],[HONORAIRES TTC]]</f>
        <v>170000</v>
      </c>
      <c r="T48" s="25">
        <f>((Tableau3[[#This Row],[MONTANT DE LA VENTE]]-Tableau3[[#This Row],[HONORAIRES TTC]])-Tableau3[[#This Row],[PRIX ESTIME - MILIEU DE FOURCHETTE]])/(Tableau3[[#This Row],[MONTANT DE LA VENTE]]-Tableau3[[#This Row],[HONORAIRES TTC]])</f>
        <v>2.9411764705882353E-2</v>
      </c>
      <c r="U48"/>
    </row>
    <row r="49" spans="2:21" ht="18.75" thickBot="1">
      <c r="B49" s="43"/>
      <c r="C49" s="44"/>
      <c r="D49" s="45"/>
      <c r="E49" s="43"/>
      <c r="F49" s="46"/>
      <c r="G49" s="47">
        <f>SUBTOTAL(101,Tableau3[MONTANT DE LA VENTE])</f>
        <v>131143.16266666667</v>
      </c>
      <c r="H49" s="48">
        <f>SUBTOTAL(101,Tableau3[HONORAIRES TTC])</f>
        <v>7326.8515555555559</v>
      </c>
      <c r="I49" s="49">
        <f>SUBTOTAL(101,Tableau3[HONORAIRES HT])</f>
        <v>6105.7096296296304</v>
      </c>
      <c r="J49" s="49"/>
      <c r="K49" s="50">
        <f>SUBTOTAL(101,Tableau3[DELAI SSP-ACTE])</f>
        <v>93.25</v>
      </c>
      <c r="L49" s="43"/>
      <c r="M49" s="51"/>
      <c r="N49" s="52">
        <f>SUBTOTAL(101,Tableau3[NEGO (%)])</f>
        <v>-3.8378510334441854E-2</v>
      </c>
      <c r="O49" s="53">
        <f>SUBTOTAL(101,Tableau3[DELAI POUR OFFRE (Jours)])</f>
        <v>49.166666666666664</v>
      </c>
      <c r="P49" s="54"/>
      <c r="Q49" s="54"/>
      <c r="R49" s="54"/>
      <c r="S49" s="49">
        <f>SUBTOTAL(101,Tableau3[PRIX VENDU])</f>
        <v>123702.97777777778</v>
      </c>
      <c r="T49" s="55">
        <f>SUBTOTAL(101,Tableau3[VARIATION PRIX ESTIME - PRIX VENDU])</f>
        <v>-9.0797418258448965E-3</v>
      </c>
      <c r="U49"/>
    </row>
    <row r="50" spans="2:21">
      <c r="C50" s="56" t="s">
        <v>24</v>
      </c>
      <c r="D50" s="57"/>
      <c r="E50" s="58" t="s">
        <v>25</v>
      </c>
      <c r="F50" s="58" t="s">
        <v>26</v>
      </c>
      <c r="G50" s="59">
        <v>2016</v>
      </c>
      <c r="H50" s="59">
        <v>2017</v>
      </c>
      <c r="I50" s="59">
        <v>2018</v>
      </c>
      <c r="J50" s="59"/>
      <c r="K50" s="59">
        <v>2019</v>
      </c>
      <c r="L50" s="59">
        <v>2020</v>
      </c>
      <c r="M50" s="60">
        <v>2021</v>
      </c>
      <c r="N50" s="60">
        <v>2022</v>
      </c>
      <c r="U50"/>
    </row>
    <row r="51" spans="2:21" ht="12">
      <c r="C51" s="61"/>
      <c r="D51" s="62"/>
      <c r="E51" s="63" t="s">
        <v>26</v>
      </c>
      <c r="F51" s="63"/>
      <c r="G51" s="64">
        <f t="shared" ref="G51:N51" si="0">SUM(G52:G58)</f>
        <v>22500</v>
      </c>
      <c r="H51" s="64">
        <f t="shared" si="0"/>
        <v>180016.66999999998</v>
      </c>
      <c r="I51" s="64">
        <f t="shared" si="0"/>
        <v>197275</v>
      </c>
      <c r="J51" s="64"/>
      <c r="K51" s="64">
        <f t="shared" si="0"/>
        <v>247356.69000000003</v>
      </c>
      <c r="L51" s="64">
        <f t="shared" si="0"/>
        <v>260818.75</v>
      </c>
      <c r="M51" s="65">
        <f t="shared" si="0"/>
        <v>446231.65</v>
      </c>
      <c r="N51" s="65">
        <f t="shared" si="0"/>
        <v>274756.92</v>
      </c>
      <c r="U51"/>
    </row>
    <row r="52" spans="2:21" ht="12.75">
      <c r="C52" s="66"/>
      <c r="D52" s="66"/>
      <c r="E52" s="67"/>
      <c r="F52" s="68"/>
      <c r="G52" s="69"/>
      <c r="H52" s="69">
        <v>19166.669999999998</v>
      </c>
      <c r="I52" s="69">
        <v>43150</v>
      </c>
      <c r="J52" s="69"/>
      <c r="K52" s="69">
        <v>24998.36</v>
      </c>
      <c r="L52" s="69">
        <v>6533.33</v>
      </c>
      <c r="M52" s="70">
        <v>8333.33</v>
      </c>
      <c r="N52" s="70"/>
      <c r="U52"/>
    </row>
    <row r="53" spans="2:21" ht="12.75">
      <c r="C53" s="66"/>
      <c r="D53" s="66"/>
      <c r="E53" s="71"/>
      <c r="F53" s="72"/>
      <c r="G53" s="73"/>
      <c r="H53" s="73">
        <v>6633.33</v>
      </c>
      <c r="I53" s="73">
        <v>5000</v>
      </c>
      <c r="J53" s="73"/>
      <c r="K53" s="73">
        <v>13333.33</v>
      </c>
      <c r="L53" s="73">
        <v>1800</v>
      </c>
      <c r="M53" s="74">
        <v>1666.67</v>
      </c>
      <c r="N53" s="74"/>
      <c r="U53"/>
    </row>
    <row r="54" spans="2:21" ht="12.75">
      <c r="C54" s="66"/>
      <c r="D54" s="66"/>
      <c r="E54" s="75"/>
      <c r="F54" s="76"/>
      <c r="G54" s="77">
        <v>22500</v>
      </c>
      <c r="H54" s="77">
        <v>66050</v>
      </c>
      <c r="I54" s="77">
        <v>70750</v>
      </c>
      <c r="J54" s="77"/>
      <c r="K54" s="77">
        <v>111400</v>
      </c>
      <c r="L54" s="77">
        <v>98649.58</v>
      </c>
      <c r="M54" s="78">
        <v>171185.83</v>
      </c>
      <c r="N54" s="78">
        <v>83458.33</v>
      </c>
      <c r="U54"/>
    </row>
    <row r="55" spans="2:21" ht="12.75">
      <c r="C55" s="66"/>
      <c r="D55" s="66"/>
      <c r="E55" s="79"/>
      <c r="F55" s="80"/>
      <c r="G55" s="81"/>
      <c r="H55" s="81">
        <v>88166.67</v>
      </c>
      <c r="I55" s="81">
        <v>78375</v>
      </c>
      <c r="J55" s="81"/>
      <c r="K55" s="81">
        <v>94958.33</v>
      </c>
      <c r="L55" s="81">
        <v>84802.5</v>
      </c>
      <c r="M55" s="82">
        <v>64033.33</v>
      </c>
      <c r="N55" s="82">
        <v>78583.33</v>
      </c>
      <c r="U55"/>
    </row>
    <row r="56" spans="2:21" ht="12.75">
      <c r="C56" s="66"/>
      <c r="D56" s="66"/>
      <c r="E56" s="83"/>
      <c r="F56" s="84"/>
      <c r="G56" s="85"/>
      <c r="H56" s="85"/>
      <c r="I56" s="85"/>
      <c r="J56" s="85"/>
      <c r="K56" s="85"/>
      <c r="L56" s="85">
        <v>26566.67</v>
      </c>
      <c r="M56" s="86">
        <v>61383.33</v>
      </c>
      <c r="N56" s="86">
        <v>35233.33</v>
      </c>
      <c r="U56"/>
    </row>
    <row r="57" spans="2:21" ht="12.75">
      <c r="C57" s="66"/>
      <c r="D57" s="66"/>
      <c r="E57" s="87"/>
      <c r="F57" s="88"/>
      <c r="G57" s="89"/>
      <c r="H57" s="89"/>
      <c r="I57" s="89"/>
      <c r="J57" s="89"/>
      <c r="K57" s="89">
        <v>2666.67</v>
      </c>
      <c r="L57" s="89">
        <v>34041.67</v>
      </c>
      <c r="M57" s="90">
        <v>25708.33</v>
      </c>
      <c r="N57" s="90"/>
      <c r="U57"/>
    </row>
    <row r="58" spans="2:21" ht="13.5" thickBot="1">
      <c r="C58" s="66"/>
      <c r="D58" s="66"/>
      <c r="E58" s="91"/>
      <c r="F58" s="92"/>
      <c r="G58" s="93"/>
      <c r="H58" s="93"/>
      <c r="I58" s="93"/>
      <c r="J58" s="93"/>
      <c r="K58" s="93"/>
      <c r="L58" s="93">
        <v>8425</v>
      </c>
      <c r="M58" s="94">
        <v>113920.83</v>
      </c>
      <c r="N58" s="94">
        <v>77481.929999999993</v>
      </c>
      <c r="U58"/>
    </row>
    <row r="59" spans="2:21" ht="12.75">
      <c r="N59" s="95"/>
      <c r="U59"/>
    </row>
    <row r="60" spans="2:21">
      <c r="U60"/>
    </row>
    <row r="61" spans="2:21">
      <c r="U61"/>
    </row>
    <row r="62" spans="2:21">
      <c r="U62"/>
    </row>
    <row r="63" spans="2:21">
      <c r="U63"/>
    </row>
    <row r="64" spans="2:21">
      <c r="U64"/>
    </row>
    <row r="65" spans="21:21">
      <c r="U65"/>
    </row>
    <row r="66" spans="21:21">
      <c r="U66"/>
    </row>
    <row r="67" spans="21:21">
      <c r="U67"/>
    </row>
    <row r="68" spans="21:21">
      <c r="U68"/>
    </row>
    <row r="69" spans="21:21">
      <c r="U69"/>
    </row>
    <row r="70" spans="21:21">
      <c r="U70"/>
    </row>
    <row r="71" spans="21:21">
      <c r="U71"/>
    </row>
    <row r="72" spans="21:21">
      <c r="U72"/>
    </row>
    <row r="73" spans="21:21">
      <c r="U73"/>
    </row>
    <row r="74" spans="21:21">
      <c r="U74"/>
    </row>
    <row r="75" spans="21:21">
      <c r="U75"/>
    </row>
    <row r="76" spans="21:21">
      <c r="U76"/>
    </row>
    <row r="77" spans="21:21">
      <c r="U77"/>
    </row>
    <row r="78" spans="21:21">
      <c r="U78"/>
    </row>
    <row r="79" spans="21:21">
      <c r="U79"/>
    </row>
    <row r="80" spans="21:21">
      <c r="U80"/>
    </row>
    <row r="81" spans="21:21">
      <c r="U81"/>
    </row>
    <row r="82" spans="21:21">
      <c r="U82"/>
    </row>
    <row r="83" spans="21:21">
      <c r="U83"/>
    </row>
    <row r="84" spans="21:21">
      <c r="U84"/>
    </row>
    <row r="85" spans="21:21">
      <c r="U85"/>
    </row>
    <row r="86" spans="21:21">
      <c r="U86"/>
    </row>
    <row r="87" spans="21:21">
      <c r="U87"/>
    </row>
    <row r="88" spans="21:21">
      <c r="U88"/>
    </row>
    <row r="89" spans="21:21">
      <c r="U89"/>
    </row>
    <row r="90" spans="21:21">
      <c r="U90"/>
    </row>
    <row r="91" spans="21:21">
      <c r="U91"/>
    </row>
    <row r="92" spans="21:21">
      <c r="U92"/>
    </row>
    <row r="93" spans="21:21">
      <c r="U93"/>
    </row>
    <row r="94" spans="21:21">
      <c r="U94"/>
    </row>
    <row r="95" spans="21:21">
      <c r="U95"/>
    </row>
    <row r="96" spans="21:21">
      <c r="U96"/>
    </row>
    <row r="97" spans="21:21">
      <c r="U97"/>
    </row>
    <row r="98" spans="21:21">
      <c r="U98"/>
    </row>
    <row r="99" spans="21:21">
      <c r="U99"/>
    </row>
    <row r="100" spans="21:21">
      <c r="U100"/>
    </row>
    <row r="101" spans="21:21">
      <c r="U101"/>
    </row>
    <row r="102" spans="21:21">
      <c r="U102"/>
    </row>
    <row r="103" spans="21:21">
      <c r="U103"/>
    </row>
    <row r="104" spans="21:21">
      <c r="U104"/>
    </row>
    <row r="105" spans="21:21">
      <c r="U105"/>
    </row>
    <row r="106" spans="21:21">
      <c r="U106"/>
    </row>
    <row r="107" spans="21:21">
      <c r="U107"/>
    </row>
    <row r="108" spans="21:21">
      <c r="U108"/>
    </row>
    <row r="109" spans="21:21">
      <c r="U109"/>
    </row>
    <row r="110" spans="21:21">
      <c r="U110"/>
    </row>
    <row r="111" spans="21:21">
      <c r="U111"/>
    </row>
    <row r="112" spans="21:21">
      <c r="U112"/>
    </row>
    <row r="113" spans="21:21">
      <c r="U113"/>
    </row>
    <row r="114" spans="21:21">
      <c r="U114"/>
    </row>
    <row r="115" spans="21:21">
      <c r="U115"/>
    </row>
    <row r="116" spans="21:21">
      <c r="U116"/>
    </row>
    <row r="117" spans="21:21">
      <c r="U117"/>
    </row>
    <row r="118" spans="21:21">
      <c r="U118"/>
    </row>
    <row r="119" spans="21:21">
      <c r="U119"/>
    </row>
    <row r="120" spans="21:21">
      <c r="U120"/>
    </row>
    <row r="121" spans="21:21">
      <c r="U121"/>
    </row>
    <row r="122" spans="21:21">
      <c r="U122"/>
    </row>
    <row r="123" spans="21:21">
      <c r="U123"/>
    </row>
    <row r="124" spans="21:21">
      <c r="U124"/>
    </row>
    <row r="125" spans="21:21">
      <c r="U125"/>
    </row>
    <row r="126" spans="21:21">
      <c r="U126"/>
    </row>
    <row r="127" spans="21:21">
      <c r="U127"/>
    </row>
    <row r="128" spans="21:21">
      <c r="U128"/>
    </row>
    <row r="129" spans="21:21">
      <c r="U129"/>
    </row>
    <row r="130" spans="21:21">
      <c r="U130"/>
    </row>
    <row r="131" spans="21:21">
      <c r="U131"/>
    </row>
    <row r="132" spans="21:21">
      <c r="U132"/>
    </row>
    <row r="133" spans="21:21">
      <c r="U133"/>
    </row>
    <row r="134" spans="21:21">
      <c r="U134"/>
    </row>
    <row r="135" spans="21:21">
      <c r="U135"/>
    </row>
    <row r="136" spans="21:21">
      <c r="U136"/>
    </row>
    <row r="137" spans="21:21">
      <c r="U137"/>
    </row>
    <row r="138" spans="21:21">
      <c r="U138"/>
    </row>
    <row r="139" spans="21:21">
      <c r="U139"/>
    </row>
    <row r="140" spans="21:21">
      <c r="U140"/>
    </row>
    <row r="141" spans="21:21">
      <c r="U141"/>
    </row>
    <row r="142" spans="21:21">
      <c r="U142"/>
    </row>
    <row r="143" spans="21:21">
      <c r="U143"/>
    </row>
    <row r="144" spans="21:21">
      <c r="U144"/>
    </row>
    <row r="145" spans="21:21">
      <c r="U145"/>
    </row>
    <row r="146" spans="21:21">
      <c r="U146"/>
    </row>
    <row r="147" spans="21:21">
      <c r="U147"/>
    </row>
    <row r="148" spans="21:21">
      <c r="U148"/>
    </row>
    <row r="149" spans="21:21">
      <c r="U149"/>
    </row>
    <row r="150" spans="21:21">
      <c r="U150"/>
    </row>
    <row r="151" spans="21:21">
      <c r="U151"/>
    </row>
    <row r="152" spans="21:21">
      <c r="U152"/>
    </row>
    <row r="153" spans="21:21">
      <c r="U153"/>
    </row>
    <row r="154" spans="21:21">
      <c r="U154"/>
    </row>
    <row r="155" spans="21:21">
      <c r="U155"/>
    </row>
    <row r="156" spans="21:21">
      <c r="U156"/>
    </row>
    <row r="157" spans="21:21">
      <c r="U157"/>
    </row>
    <row r="158" spans="21:21">
      <c r="U158"/>
    </row>
    <row r="159" spans="21:21">
      <c r="U159"/>
    </row>
    <row r="160" spans="21:21">
      <c r="U160"/>
    </row>
    <row r="161" spans="21:24">
      <c r="U161"/>
    </row>
    <row r="162" spans="21:24">
      <c r="U162"/>
    </row>
    <row r="163" spans="21:24">
      <c r="U163"/>
    </row>
    <row r="164" spans="21:24">
      <c r="U164"/>
      <c r="X164" s="26"/>
    </row>
    <row r="165" spans="21:24">
      <c r="U165"/>
    </row>
    <row r="166" spans="21:24">
      <c r="U166"/>
    </row>
    <row r="167" spans="21:24">
      <c r="U167"/>
    </row>
    <row r="168" spans="21:24">
      <c r="U168"/>
    </row>
    <row r="169" spans="21:24">
      <c r="U169"/>
    </row>
    <row r="170" spans="21:24">
      <c r="U170"/>
      <c r="W170" s="26"/>
    </row>
    <row r="171" spans="21:24">
      <c r="U171"/>
    </row>
    <row r="172" spans="21:24">
      <c r="U172"/>
    </row>
    <row r="173" spans="21:24">
      <c r="U173"/>
    </row>
    <row r="174" spans="21:24">
      <c r="U174"/>
    </row>
    <row r="175" spans="21:24">
      <c r="U175"/>
      <c r="V175" s="26"/>
    </row>
    <row r="176" spans="21:24">
      <c r="U176" s="32"/>
    </row>
    <row r="177" spans="21:21">
      <c r="U177" s="32"/>
    </row>
    <row r="178" spans="21:21">
      <c r="U178" s="32"/>
    </row>
    <row r="179" spans="21:21">
      <c r="U179" s="32"/>
    </row>
    <row r="180" spans="21:21">
      <c r="U180" s="32"/>
    </row>
    <row r="181" spans="21:21">
      <c r="U181" s="32"/>
    </row>
    <row r="182" spans="21:21">
      <c r="U182" s="32"/>
    </row>
    <row r="183" spans="21:21">
      <c r="U183" s="32"/>
    </row>
    <row r="184" spans="21:21">
      <c r="U184" s="32"/>
    </row>
    <row r="185" spans="21:21">
      <c r="U185" s="32"/>
    </row>
    <row r="186" spans="21:21">
      <c r="U186" s="32"/>
    </row>
    <row r="187" spans="21:21">
      <c r="U187" s="32"/>
    </row>
    <row r="188" spans="21:21">
      <c r="U188" s="32"/>
    </row>
    <row r="189" spans="21:21">
      <c r="U189" s="32"/>
    </row>
    <row r="190" spans="21:21">
      <c r="U190" s="32"/>
    </row>
    <row r="191" spans="21:21">
      <c r="U191" s="32"/>
    </row>
    <row r="192" spans="21:21">
      <c r="U192" s="32"/>
    </row>
    <row r="193" spans="21:21">
      <c r="U193" s="32"/>
    </row>
    <row r="194" spans="21:21">
      <c r="U194" s="32"/>
    </row>
    <row r="195" spans="21:21">
      <c r="U195" s="32"/>
    </row>
    <row r="196" spans="21:21">
      <c r="U196" s="32"/>
    </row>
    <row r="197" spans="21:21">
      <c r="U197" s="32"/>
    </row>
    <row r="198" spans="21:21">
      <c r="U198" s="32"/>
    </row>
    <row r="199" spans="21:21">
      <c r="U199" s="32"/>
    </row>
    <row r="200" spans="21:21">
      <c r="U200" s="32"/>
    </row>
    <row r="201" spans="21:21">
      <c r="U201" s="32"/>
    </row>
    <row r="202" spans="21:21">
      <c r="U202" s="32"/>
    </row>
    <row r="203" spans="21:21">
      <c r="U203" s="32"/>
    </row>
    <row r="204" spans="21:21">
      <c r="U204" s="32"/>
    </row>
    <row r="205" spans="21:21">
      <c r="U205" s="32"/>
    </row>
    <row r="206" spans="21:21">
      <c r="U206" s="32"/>
    </row>
    <row r="207" spans="21:21">
      <c r="U207" s="32"/>
    </row>
    <row r="208" spans="21:21">
      <c r="U208" s="32"/>
    </row>
    <row r="209" spans="21:21">
      <c r="U209" s="32"/>
    </row>
    <row r="210" spans="21:21">
      <c r="U210" s="32"/>
    </row>
    <row r="211" spans="21:21">
      <c r="U211" s="32"/>
    </row>
    <row r="212" spans="21:21">
      <c r="U212" s="32"/>
    </row>
    <row r="213" spans="21:21">
      <c r="U213" s="32"/>
    </row>
    <row r="214" spans="21:21">
      <c r="U214" s="32"/>
    </row>
    <row r="215" spans="21:21">
      <c r="U215" s="32"/>
    </row>
    <row r="216" spans="21:21">
      <c r="U216" s="32"/>
    </row>
    <row r="217" spans="21:21" ht="13.9" customHeight="1">
      <c r="U217" s="32"/>
    </row>
    <row r="218" spans="21:21" ht="13.9" customHeight="1">
      <c r="U218" s="32"/>
    </row>
    <row r="219" spans="21:21" ht="13.9" customHeight="1">
      <c r="U219" s="32"/>
    </row>
    <row r="220" spans="21:21">
      <c r="U220" s="32"/>
    </row>
    <row r="221" spans="21:21">
      <c r="U221" s="32"/>
    </row>
    <row r="222" spans="21:21">
      <c r="U222" s="32"/>
    </row>
    <row r="223" spans="21:21">
      <c r="U223" s="32"/>
    </row>
    <row r="224" spans="21:21">
      <c r="U224" s="32"/>
    </row>
    <row r="225" spans="21:21">
      <c r="U225" s="32"/>
    </row>
    <row r="226" spans="21:21">
      <c r="U226"/>
    </row>
    <row r="227" spans="21:21">
      <c r="U227"/>
    </row>
    <row r="228" spans="21:21">
      <c r="U228"/>
    </row>
    <row r="229" spans="21:21">
      <c r="U229"/>
    </row>
    <row r="230" spans="21:21">
      <c r="U230"/>
    </row>
    <row r="231" spans="21:21">
      <c r="U231"/>
    </row>
    <row r="232" spans="21:21">
      <c r="U232"/>
    </row>
    <row r="233" spans="21:21">
      <c r="U233"/>
    </row>
    <row r="234" spans="21:21">
      <c r="U234"/>
    </row>
    <row r="235" spans="21:21">
      <c r="U235"/>
    </row>
    <row r="236" spans="21:21">
      <c r="U236"/>
    </row>
    <row r="237" spans="21:21">
      <c r="U237"/>
    </row>
    <row r="238" spans="21:21">
      <c r="U238"/>
    </row>
    <row r="239" spans="21:21">
      <c r="U239"/>
    </row>
    <row r="240" spans="21:21">
      <c r="U240"/>
    </row>
    <row r="241" spans="21:21">
      <c r="U241"/>
    </row>
    <row r="242" spans="21:21">
      <c r="U242"/>
    </row>
    <row r="243" spans="21:21">
      <c r="U243"/>
    </row>
    <row r="244" spans="21:21">
      <c r="U244"/>
    </row>
    <row r="245" spans="21:21">
      <c r="U245"/>
    </row>
    <row r="246" spans="21:21">
      <c r="U246"/>
    </row>
    <row r="247" spans="21:21" ht="12" customHeight="1">
      <c r="U247"/>
    </row>
    <row r="248" spans="21:21">
      <c r="U248"/>
    </row>
    <row r="249" spans="21:21">
      <c r="U249"/>
    </row>
    <row r="250" spans="21:21">
      <c r="U250"/>
    </row>
    <row r="251" spans="21:21">
      <c r="U251"/>
    </row>
    <row r="252" spans="21:21">
      <c r="U252"/>
    </row>
    <row r="253" spans="21:21">
      <c r="U253"/>
    </row>
    <row r="254" spans="21:21">
      <c r="U254"/>
    </row>
    <row r="255" spans="21:21">
      <c r="U255"/>
    </row>
    <row r="256" spans="21:21">
      <c r="U256"/>
    </row>
    <row r="257" spans="21:21">
      <c r="U257"/>
    </row>
    <row r="258" spans="21:21">
      <c r="U258"/>
    </row>
    <row r="259" spans="21:21">
      <c r="U259"/>
    </row>
    <row r="260" spans="21:21">
      <c r="U260"/>
    </row>
    <row r="261" spans="21:21">
      <c r="U261"/>
    </row>
    <row r="262" spans="21:21">
      <c r="U262"/>
    </row>
    <row r="263" spans="21:21">
      <c r="U263"/>
    </row>
    <row r="277" spans="1:24" s="1" customFormat="1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V277"/>
      <c r="W277"/>
      <c r="X277"/>
    </row>
    <row r="278" spans="1:24" s="1" customFormat="1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V278"/>
      <c r="W278"/>
      <c r="X278"/>
    </row>
    <row r="279" spans="1:24" s="1" customFormat="1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V279"/>
      <c r="W279"/>
      <c r="X279"/>
    </row>
    <row r="280" spans="1:24" s="1" customFormat="1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V280"/>
      <c r="W280"/>
      <c r="X280"/>
    </row>
    <row r="281" spans="1:24" s="1" customFormat="1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V281"/>
      <c r="W281"/>
      <c r="X281"/>
    </row>
    <row r="282" spans="1:24" s="1" customFormat="1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V282"/>
      <c r="W282"/>
      <c r="X282"/>
    </row>
  </sheetData>
  <mergeCells count="4">
    <mergeCell ref="B2:T2"/>
    <mergeCell ref="C50:D51"/>
    <mergeCell ref="E50:E51"/>
    <mergeCell ref="F50:F51"/>
  </mergeCells>
  <conditionalFormatting sqref="S4:S47">
    <cfRule type="expression" dxfId="94" priority="72">
      <formula>MEDIAN(S4,P4,R4)&lt;&gt;S4</formula>
    </cfRule>
  </conditionalFormatting>
  <conditionalFormatting sqref="T4:T37">
    <cfRule type="cellIs" dxfId="93" priority="70" operator="greaterThan">
      <formula>0</formula>
    </cfRule>
  </conditionalFormatting>
  <conditionalFormatting sqref="O4:O30">
    <cfRule type="cellIs" dxfId="92" priority="73" operator="equal">
      <formula>0</formula>
    </cfRule>
    <cfRule type="cellIs" dxfId="91" priority="74" operator="lessThan">
      <formula>30</formula>
    </cfRule>
    <cfRule type="cellIs" dxfId="90" priority="75" operator="greaterThan">
      <formula>90</formula>
    </cfRule>
    <cfRule type="cellIs" dxfId="89" priority="76" operator="between">
      <formula>31</formula>
      <formula>90</formula>
    </cfRule>
  </conditionalFormatting>
  <conditionalFormatting sqref="U264:U2694 T49 T4:T37">
    <cfRule type="cellIs" dxfId="88" priority="71" operator="lessThan">
      <formula>0</formula>
    </cfRule>
  </conditionalFormatting>
  <conditionalFormatting sqref="O31:O32">
    <cfRule type="cellIs" dxfId="87" priority="66" operator="equal">
      <formula>0</formula>
    </cfRule>
    <cfRule type="cellIs" dxfId="86" priority="67" operator="lessThan">
      <formula>30</formula>
    </cfRule>
    <cfRule type="cellIs" dxfId="85" priority="68" operator="greaterThan">
      <formula>90</formula>
    </cfRule>
    <cfRule type="cellIs" dxfId="84" priority="69" operator="between">
      <formula>31</formula>
      <formula>90</formula>
    </cfRule>
  </conditionalFormatting>
  <conditionalFormatting sqref="O33">
    <cfRule type="cellIs" dxfId="83" priority="62" operator="equal">
      <formula>0</formula>
    </cfRule>
    <cfRule type="cellIs" dxfId="82" priority="63" operator="lessThan">
      <formula>30</formula>
    </cfRule>
    <cfRule type="cellIs" dxfId="81" priority="64" operator="greaterThan">
      <formula>90</formula>
    </cfRule>
    <cfRule type="cellIs" dxfId="80" priority="65" operator="between">
      <formula>31</formula>
      <formula>90</formula>
    </cfRule>
  </conditionalFormatting>
  <conditionalFormatting sqref="O34">
    <cfRule type="cellIs" dxfId="79" priority="58" operator="equal">
      <formula>0</formula>
    </cfRule>
    <cfRule type="cellIs" dxfId="78" priority="59" operator="lessThan">
      <formula>30</formula>
    </cfRule>
    <cfRule type="cellIs" dxfId="77" priority="60" operator="greaterThan">
      <formula>90</formula>
    </cfRule>
    <cfRule type="cellIs" dxfId="76" priority="61" operator="between">
      <formula>31</formula>
      <formula>90</formula>
    </cfRule>
  </conditionalFormatting>
  <conditionalFormatting sqref="O35">
    <cfRule type="cellIs" dxfId="75" priority="54" operator="equal">
      <formula>0</formula>
    </cfRule>
    <cfRule type="cellIs" dxfId="74" priority="55" operator="lessThan">
      <formula>30</formula>
    </cfRule>
    <cfRule type="cellIs" dxfId="73" priority="56" operator="greaterThan">
      <formula>90</formula>
    </cfRule>
    <cfRule type="cellIs" dxfId="72" priority="57" operator="between">
      <formula>31</formula>
      <formula>90</formula>
    </cfRule>
  </conditionalFormatting>
  <conditionalFormatting sqref="O36:O37">
    <cfRule type="cellIs" dxfId="71" priority="50" operator="equal">
      <formula>0</formula>
    </cfRule>
    <cfRule type="cellIs" dxfId="70" priority="51" operator="lessThan">
      <formula>30</formula>
    </cfRule>
    <cfRule type="cellIs" dxfId="69" priority="52" operator="greaterThan">
      <formula>90</formula>
    </cfRule>
    <cfRule type="cellIs" dxfId="68" priority="53" operator="between">
      <formula>31</formula>
      <formula>90</formula>
    </cfRule>
  </conditionalFormatting>
  <conditionalFormatting sqref="O38">
    <cfRule type="cellIs" dxfId="67" priority="46" operator="equal">
      <formula>0</formula>
    </cfRule>
    <cfRule type="cellIs" dxfId="66" priority="47" operator="lessThan">
      <formula>30</formula>
    </cfRule>
    <cfRule type="cellIs" dxfId="65" priority="48" operator="greaterThan">
      <formula>90</formula>
    </cfRule>
    <cfRule type="cellIs" dxfId="64" priority="49" operator="between">
      <formula>31</formula>
      <formula>90</formula>
    </cfRule>
  </conditionalFormatting>
  <conditionalFormatting sqref="T39:T44">
    <cfRule type="cellIs" dxfId="63" priority="44" operator="greaterThan">
      <formula>0</formula>
    </cfRule>
  </conditionalFormatting>
  <conditionalFormatting sqref="T39:T44">
    <cfRule type="cellIs" dxfId="62" priority="45" operator="lessThan">
      <formula>0</formula>
    </cfRule>
  </conditionalFormatting>
  <conditionalFormatting sqref="O39">
    <cfRule type="cellIs" dxfId="61" priority="40" operator="equal">
      <formula>0</formula>
    </cfRule>
    <cfRule type="cellIs" dxfId="60" priority="41" operator="lessThan">
      <formula>30</formula>
    </cfRule>
    <cfRule type="cellIs" dxfId="59" priority="42" operator="greaterThan">
      <formula>90</formula>
    </cfRule>
    <cfRule type="cellIs" dxfId="58" priority="43" operator="between">
      <formula>31</formula>
      <formula>90</formula>
    </cfRule>
  </conditionalFormatting>
  <conditionalFormatting sqref="O40">
    <cfRule type="cellIs" dxfId="57" priority="36" operator="equal">
      <formula>0</formula>
    </cfRule>
    <cfRule type="cellIs" dxfId="56" priority="37" operator="lessThan">
      <formula>30</formula>
    </cfRule>
    <cfRule type="cellIs" dxfId="55" priority="38" operator="greaterThan">
      <formula>90</formula>
    </cfRule>
    <cfRule type="cellIs" dxfId="54" priority="39" operator="between">
      <formula>31</formula>
      <formula>90</formula>
    </cfRule>
  </conditionalFormatting>
  <conditionalFormatting sqref="T38">
    <cfRule type="cellIs" dxfId="53" priority="34" operator="greaterThan">
      <formula>0</formula>
    </cfRule>
  </conditionalFormatting>
  <conditionalFormatting sqref="T38">
    <cfRule type="cellIs" dxfId="52" priority="35" operator="lessThan">
      <formula>0</formula>
    </cfRule>
  </conditionalFormatting>
  <conditionalFormatting sqref="O41">
    <cfRule type="cellIs" dxfId="51" priority="30" operator="equal">
      <formula>0</formula>
    </cfRule>
    <cfRule type="cellIs" dxfId="50" priority="31" operator="lessThan">
      <formula>30</formula>
    </cfRule>
    <cfRule type="cellIs" dxfId="49" priority="32" operator="greaterThan">
      <formula>90</formula>
    </cfRule>
    <cfRule type="cellIs" dxfId="48" priority="33" operator="between">
      <formula>31</formula>
      <formula>90</formula>
    </cfRule>
  </conditionalFormatting>
  <conditionalFormatting sqref="O42">
    <cfRule type="cellIs" dxfId="47" priority="26" operator="equal">
      <formula>0</formula>
    </cfRule>
    <cfRule type="cellIs" dxfId="46" priority="27" operator="lessThan">
      <formula>30</formula>
    </cfRule>
    <cfRule type="cellIs" dxfId="45" priority="28" operator="greaterThan">
      <formula>90</formula>
    </cfRule>
    <cfRule type="cellIs" dxfId="44" priority="29" operator="between">
      <formula>31</formula>
      <formula>90</formula>
    </cfRule>
  </conditionalFormatting>
  <conditionalFormatting sqref="O43">
    <cfRule type="cellIs" dxfId="43" priority="22" operator="equal">
      <formula>0</formula>
    </cfRule>
    <cfRule type="cellIs" dxfId="42" priority="23" operator="lessThan">
      <formula>30</formula>
    </cfRule>
    <cfRule type="cellIs" dxfId="41" priority="24" operator="greaterThan">
      <formula>90</formula>
    </cfRule>
    <cfRule type="cellIs" dxfId="40" priority="25" operator="between">
      <formula>31</formula>
      <formula>90</formula>
    </cfRule>
  </conditionalFormatting>
  <conditionalFormatting sqref="O44:O45">
    <cfRule type="cellIs" dxfId="39" priority="18" operator="equal">
      <formula>0</formula>
    </cfRule>
    <cfRule type="cellIs" dxfId="38" priority="19" operator="lessThan">
      <formula>30</formula>
    </cfRule>
    <cfRule type="cellIs" dxfId="37" priority="20" operator="greaterThan">
      <formula>90</formula>
    </cfRule>
    <cfRule type="cellIs" dxfId="36" priority="21" operator="between">
      <formula>31</formula>
      <formula>90</formula>
    </cfRule>
  </conditionalFormatting>
  <conditionalFormatting sqref="T46">
    <cfRule type="cellIs" dxfId="35" priority="16" operator="greaterThan">
      <formula>0</formula>
    </cfRule>
  </conditionalFormatting>
  <conditionalFormatting sqref="T46">
    <cfRule type="cellIs" dxfId="34" priority="17" operator="lessThan">
      <formula>0</formula>
    </cfRule>
  </conditionalFormatting>
  <conditionalFormatting sqref="O46">
    <cfRule type="cellIs" dxfId="33" priority="12" operator="equal">
      <formula>0</formula>
    </cfRule>
    <cfRule type="cellIs" dxfId="32" priority="13" operator="lessThan">
      <formula>30</formula>
    </cfRule>
    <cfRule type="cellIs" dxfId="31" priority="14" operator="greaterThan">
      <formula>90</formula>
    </cfRule>
    <cfRule type="cellIs" dxfId="30" priority="15" operator="between">
      <formula>31</formula>
      <formula>90</formula>
    </cfRule>
  </conditionalFormatting>
  <conditionalFormatting sqref="O47">
    <cfRule type="cellIs" dxfId="29" priority="8" operator="equal">
      <formula>0</formula>
    </cfRule>
    <cfRule type="cellIs" dxfId="28" priority="9" operator="lessThan">
      <formula>30</formula>
    </cfRule>
    <cfRule type="cellIs" dxfId="27" priority="10" operator="greaterThan">
      <formula>90</formula>
    </cfRule>
    <cfRule type="cellIs" dxfId="26" priority="11" operator="between">
      <formula>31</formula>
      <formula>90</formula>
    </cfRule>
  </conditionalFormatting>
  <conditionalFormatting sqref="S48">
    <cfRule type="expression" dxfId="25" priority="7">
      <formula>MEDIAN(S48,P48,R48)&lt;&gt;S48</formula>
    </cfRule>
  </conditionalFormatting>
  <conditionalFormatting sqref="T48">
    <cfRule type="cellIs" dxfId="24" priority="5" operator="greaterThan">
      <formula>0</formula>
    </cfRule>
  </conditionalFormatting>
  <conditionalFormatting sqref="T48">
    <cfRule type="cellIs" dxfId="23" priority="6" operator="lessThan">
      <formula>0</formula>
    </cfRule>
  </conditionalFormatting>
  <conditionalFormatting sqref="O48">
    <cfRule type="cellIs" dxfId="22" priority="1" operator="equal">
      <formula>0</formula>
    </cfRule>
    <cfRule type="cellIs" dxfId="21" priority="2" operator="lessThan">
      <formula>30</formula>
    </cfRule>
    <cfRule type="cellIs" dxfId="20" priority="3" operator="greaterThan">
      <formula>90</formula>
    </cfRule>
    <cfRule type="cellIs" dxfId="19" priority="4" operator="between">
      <formula>31</formula>
      <formula>90</formula>
    </cfRule>
  </conditionalFormatting>
  <pageMargins left="0.25" right="0.25" top="0.75" bottom="0.75" header="0.3" footer="0.3"/>
  <pageSetup paperSize="9" scale="55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2022-06-22T12:31:49Z</dcterms:created>
  <dcterms:modified xsi:type="dcterms:W3CDTF">2022-06-22T12:39:19Z</dcterms:modified>
</cp:coreProperties>
</file>