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ou\Downloads\"/>
    </mc:Choice>
  </mc:AlternateContent>
  <xr:revisionPtr revIDLastSave="0" documentId="13_ncr:1_{C603DDB7-9B71-4606-AB68-A8D77A23337D}" xr6:coauthVersionLast="47" xr6:coauthVersionMax="47" xr10:uidLastSave="{00000000-0000-0000-0000-000000000000}"/>
  <bookViews>
    <workbookView xWindow="1950" yWindow="480" windowWidth="23295" windowHeight="15270" tabRatio="670" firstSheet="1" activeTab="3" xr2:uid="{00000000-000D-0000-FFFF-FFFF00000000}"/>
  </bookViews>
  <sheets>
    <sheet name="TDB" sheetId="30" state="hidden" r:id="rId1"/>
    <sheet name="Devis-Fact" sheetId="36" r:id="rId2"/>
    <sheet name="BClient" sheetId="38" r:id="rId3"/>
    <sheet name="BDevis" sheetId="39" r:id="rId4"/>
    <sheet name="Traitement" sheetId="31" state="veryHidden" r:id="rId5"/>
  </sheets>
  <functionGroups builtInGroupCount="19"/>
  <definedNames>
    <definedName name="Acpte1_HT" localSheetId="2">#REF!</definedName>
    <definedName name="Acpte1_HT" localSheetId="3">#REF!</definedName>
    <definedName name="Acpte1_HT">#REF!</definedName>
    <definedName name="Acpte1_TVA10">#REF!</definedName>
    <definedName name="Acpte1_TVA20">#REF!</definedName>
    <definedName name="Acpte1_TVA5">#REF!</definedName>
    <definedName name="Acpte2_HT" localSheetId="2">#REF!</definedName>
    <definedName name="Acpte2_HT" localSheetId="3">#REF!</definedName>
    <definedName name="Acpte2_HT">#REF!</definedName>
    <definedName name="Acpte2_TVA10">#REF!</definedName>
    <definedName name="Acpte2_TVA20">#REF!</definedName>
    <definedName name="Acpte2_TVA5">#REF!</definedName>
    <definedName name="Ce_Jour" localSheetId="2">#REF!</definedName>
    <definedName name="Ce_Jour" localSheetId="3">#REF!</definedName>
    <definedName name="Ce_Jour">#REF!</definedName>
    <definedName name="Date_Sign" localSheetId="2">#REF!</definedName>
    <definedName name="Date_Sign" localSheetId="3">#REF!</definedName>
    <definedName name="Date_Sign">#REF!</definedName>
    <definedName name="Date_Val">#REF!</definedName>
    <definedName name="En_Tete" localSheetId="2">#REF!</definedName>
    <definedName name="En_Tete" localSheetId="3">#REF!</definedName>
    <definedName name="En_Tete">#REF!</definedName>
    <definedName name="Fic_Commande">#REF!</definedName>
    <definedName name="Fic_Devis">#REF!</definedName>
    <definedName name="Fic_Facture">#REF!</definedName>
    <definedName name="Fic_Intermédiaire2">#REF!</definedName>
    <definedName name="HT" localSheetId="2">#REF!</definedName>
    <definedName name="HT" localSheetId="3">#REF!</definedName>
    <definedName name="HT">#REF!</definedName>
    <definedName name="L_Civilite">#REF!</definedName>
    <definedName name="L_Client" localSheetId="2">TabClient[NClient]</definedName>
    <definedName name="L_Client" localSheetId="3">TabClient[NClient]</definedName>
    <definedName name="L_Client">TabClient[NClient]</definedName>
    <definedName name="L_Devis" localSheetId="2">TBDevis[NumDevis]</definedName>
    <definedName name="L_Devis" localSheetId="3">TBDevis[NumDevis]</definedName>
    <definedName name="L_Devis">TBDevis[NumDevis]</definedName>
    <definedName name="L_Villes">#REF!</definedName>
    <definedName name="ListeAnnee">#REF!</definedName>
    <definedName name="Net_Payer" localSheetId="2">#REF!</definedName>
    <definedName name="Net_Payer" localSheetId="3">#REF!</definedName>
    <definedName name="Net_Payer">#REF!</definedName>
    <definedName name="Nom_Client" localSheetId="2">#REF!</definedName>
    <definedName name="Nom_Client" localSheetId="3">#REF!</definedName>
    <definedName name="Nom_Client">#REF!</definedName>
    <definedName name="Nouv_Nom_Client" localSheetId="2">#REF!</definedName>
    <definedName name="Nouv_Nom_Client" localSheetId="3">#REF!</definedName>
    <definedName name="Nouv_Nom_Client">#REF!</definedName>
    <definedName name="Num_annee">#REF!</definedName>
    <definedName name="Num_Client" localSheetId="2">'Devis-Fact'!$H$3</definedName>
    <definedName name="Num_Client" localSheetId="3">'Devis-Fact'!$H$3</definedName>
    <definedName name="Num_Client">'Devis-Fact'!$H$3</definedName>
    <definedName name="Num_Commande" localSheetId="2">#REF!</definedName>
    <definedName name="Num_Commande" localSheetId="3">#REF!</definedName>
    <definedName name="Num_Commande">#REF!</definedName>
    <definedName name="Num_Devis" localSheetId="2">'Devis-Fact'!$H$9</definedName>
    <definedName name="Num_Devis" localSheetId="3">'Devis-Fact'!$H$9</definedName>
    <definedName name="Num_Devis">'Devis-Fact'!$H$9</definedName>
    <definedName name="Num_Facture" localSheetId="2">#REF!</definedName>
    <definedName name="Num_Facture" localSheetId="3">#REF!</definedName>
    <definedName name="Num_Facture">#REF!</definedName>
    <definedName name="Num_Intermédiaire" localSheetId="2">#REF!</definedName>
    <definedName name="Num_Intermédiaire" localSheetId="3">#REF!</definedName>
    <definedName name="Num_Intermédiaire">#REF!</definedName>
    <definedName name="Num_Max_Fact" localSheetId="2">#REF!</definedName>
    <definedName name="Num_Max_Fact" localSheetId="3">#REF!</definedName>
    <definedName name="Num_Max_Fact">#REF!</definedName>
    <definedName name="Num_Mois">#REF!</definedName>
    <definedName name="Rech_Acpte1" localSheetId="2">#REF!</definedName>
    <definedName name="Rech_Acpte1" localSheetId="3">#REF!</definedName>
    <definedName name="Rech_Acpte1">#REF!</definedName>
    <definedName name="Rech_Acpte2" localSheetId="2">#REF!</definedName>
    <definedName name="Rech_Acpte2" localSheetId="3">#REF!</definedName>
    <definedName name="Rech_Acpte2">#REF!</definedName>
    <definedName name="Rech_Fact" localSheetId="2">#REF!</definedName>
    <definedName name="Rech_Fact" localSheetId="3">#REF!</definedName>
    <definedName name="Rech_Fact">#REF!</definedName>
    <definedName name="Reglement" localSheetId="2">#REF!</definedName>
    <definedName name="Reglement" localSheetId="3">#REF!</definedName>
    <definedName name="Reglement">#REF!</definedName>
    <definedName name="S_Clients">#REF!</definedName>
    <definedName name="Som_TVA_Cde" localSheetId="2">#REF!</definedName>
    <definedName name="Som_TVA_Cde" localSheetId="3">#REF!</definedName>
    <definedName name="Som_TVA_Cde">#REF!</definedName>
    <definedName name="Som_TVA_Int" localSheetId="2">#REF!</definedName>
    <definedName name="Som_TVA_Int" localSheetId="3">#REF!</definedName>
    <definedName name="Som_TVA_Int">#REF!</definedName>
    <definedName name="Som_TVA_Tot" localSheetId="2">#REF!</definedName>
    <definedName name="Som_TVA_Tot" localSheetId="3">#REF!</definedName>
    <definedName name="Som_TVA_Tot">#REF!</definedName>
    <definedName name="TTC" localSheetId="2">#REF!</definedName>
    <definedName name="TTC" localSheetId="3">#REF!</definedName>
    <definedName name="TTC">#REF!</definedName>
    <definedName name="TTC_Acpte_Cde" localSheetId="2">#REF!</definedName>
    <definedName name="TTC_Acpte_Cde" localSheetId="3">#REF!</definedName>
    <definedName name="TTC_Acpte_Cde">#REF!</definedName>
    <definedName name="TTC_Acpte_Inter" localSheetId="2">#REF!</definedName>
    <definedName name="TTC_Acpte_Inter" localSheetId="3">#REF!</definedName>
    <definedName name="TTC_Acpte_Inter">#REF!</definedName>
    <definedName name="TTC_Acpte1">#REF!</definedName>
    <definedName name="TTC_Acpte1_Acpte2">#REF!</definedName>
    <definedName name="TVA_10" localSheetId="2">#REF!</definedName>
    <definedName name="TVA_10" localSheetId="3">#REF!</definedName>
    <definedName name="TVA_10">#REF!</definedName>
    <definedName name="TVA_20" localSheetId="2">#REF!</definedName>
    <definedName name="TVA_20" localSheetId="3">#REF!</definedName>
    <definedName name="TVA_20">#REF!</definedName>
    <definedName name="TVA_5" localSheetId="2">#REF!</definedName>
    <definedName name="TVA_5" localSheetId="3">#REF!</definedName>
    <definedName name="TVA_5">#REF!</definedName>
    <definedName name="TVA_TOT" localSheetId="2">#REF!</definedName>
    <definedName name="TVA_TOT" localSheetId="3">#REF!</definedName>
    <definedName name="TVA_TOT">#REF!</definedName>
    <definedName name="_xlnm.Print_Area" localSheetId="1">'Devis-Fact'!$B$1:$F$70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39" l="1"/>
  <c r="K2" i="39" s="1"/>
  <c r="AH2" i="39" s="1"/>
  <c r="AE2" i="39"/>
  <c r="AF2" i="39"/>
  <c r="AG2" i="39"/>
  <c r="AJ2" i="39"/>
  <c r="AK2" i="39"/>
  <c r="B21" i="36"/>
  <c r="D19" i="36"/>
  <c r="D18" i="36"/>
  <c r="C17" i="36"/>
  <c r="C16" i="36"/>
  <c r="F54" i="36"/>
  <c r="E54" i="36"/>
  <c r="J54" i="36" s="1"/>
  <c r="I53" i="36"/>
  <c r="F53" i="36"/>
  <c r="E53" i="36"/>
  <c r="J53" i="36" s="1"/>
  <c r="I52" i="36"/>
  <c r="F52" i="36"/>
  <c r="E52" i="36"/>
  <c r="H52" i="36" s="1"/>
  <c r="F51" i="36"/>
  <c r="E51" i="36"/>
  <c r="I51" i="36" s="1"/>
  <c r="F50" i="36"/>
  <c r="E50" i="36"/>
  <c r="J50" i="36" s="1"/>
  <c r="I49" i="36"/>
  <c r="F49" i="36"/>
  <c r="E49" i="36"/>
  <c r="J49" i="36" s="1"/>
  <c r="I48" i="36"/>
  <c r="F48" i="36"/>
  <c r="E48" i="36"/>
  <c r="H48" i="36" s="1"/>
  <c r="F47" i="36"/>
  <c r="E47" i="36"/>
  <c r="I47" i="36" s="1"/>
  <c r="F46" i="36"/>
  <c r="E46" i="36"/>
  <c r="J46" i="36" s="1"/>
  <c r="I45" i="36"/>
  <c r="F45" i="36"/>
  <c r="E45" i="36"/>
  <c r="J45" i="36" s="1"/>
  <c r="I44" i="36"/>
  <c r="F44" i="36"/>
  <c r="E44" i="36"/>
  <c r="H44" i="36" s="1"/>
  <c r="F43" i="36"/>
  <c r="E43" i="36"/>
  <c r="I43" i="36" s="1"/>
  <c r="F42" i="36"/>
  <c r="E42" i="36"/>
  <c r="J42" i="36" s="1"/>
  <c r="I41" i="36"/>
  <c r="F41" i="36"/>
  <c r="E41" i="36"/>
  <c r="J41" i="36" s="1"/>
  <c r="I40" i="36"/>
  <c r="F40" i="36"/>
  <c r="E40" i="36"/>
  <c r="H40" i="36" s="1"/>
  <c r="F39" i="36"/>
  <c r="E39" i="36"/>
  <c r="I39" i="36" s="1"/>
  <c r="F38" i="36"/>
  <c r="E38" i="36"/>
  <c r="J38" i="36" s="1"/>
  <c r="I37" i="36"/>
  <c r="F37" i="36"/>
  <c r="E37" i="36"/>
  <c r="J37" i="36" s="1"/>
  <c r="I36" i="36"/>
  <c r="F36" i="36"/>
  <c r="E36" i="36"/>
  <c r="H36" i="36" s="1"/>
  <c r="F35" i="36"/>
  <c r="E35" i="36"/>
  <c r="I35" i="36" s="1"/>
  <c r="F34" i="36"/>
  <c r="E34" i="36"/>
  <c r="J34" i="36" s="1"/>
  <c r="I33" i="36"/>
  <c r="F33" i="36"/>
  <c r="E33" i="36"/>
  <c r="J33" i="36" s="1"/>
  <c r="I32" i="36"/>
  <c r="F32" i="36"/>
  <c r="J32" i="36" s="1"/>
  <c r="H32" i="36"/>
  <c r="F31" i="36"/>
  <c r="J31" i="36"/>
  <c r="F30" i="36"/>
  <c r="J30" i="36" s="1"/>
  <c r="I29" i="36"/>
  <c r="H29" i="36"/>
  <c r="F29" i="36"/>
  <c r="E29" i="36"/>
  <c r="J29" i="36" s="1"/>
  <c r="F28" i="36"/>
  <c r="J28" i="36"/>
  <c r="H33" i="36" l="1"/>
  <c r="H34" i="36"/>
  <c r="H37" i="36"/>
  <c r="H38" i="36"/>
  <c r="H41" i="36"/>
  <c r="H42" i="36"/>
  <c r="H45" i="36"/>
  <c r="H46" i="36"/>
  <c r="H49" i="36"/>
  <c r="H50" i="36"/>
  <c r="H53" i="36"/>
  <c r="H54" i="36"/>
  <c r="J35" i="36"/>
  <c r="J39" i="36"/>
  <c r="J43" i="36"/>
  <c r="J47" i="36"/>
  <c r="J51" i="36"/>
  <c r="J40" i="36"/>
  <c r="I34" i="36"/>
  <c r="H35" i="36"/>
  <c r="I38" i="36"/>
  <c r="H39" i="36"/>
  <c r="I42" i="36"/>
  <c r="H43" i="36"/>
  <c r="I46" i="36"/>
  <c r="H47" i="36"/>
  <c r="I50" i="36"/>
  <c r="H51" i="36"/>
  <c r="I54" i="36"/>
  <c r="J36" i="36"/>
  <c r="J44" i="36"/>
  <c r="J48" i="36"/>
  <c r="J52" i="36"/>
  <c r="H31" i="36"/>
  <c r="I31" i="36"/>
  <c r="H30" i="36"/>
  <c r="I30" i="36"/>
  <c r="H28" i="36"/>
  <c r="I28" i="36"/>
  <c r="P2" i="38" l="1"/>
  <c r="Q2" i="38"/>
  <c r="O2" i="38" l="1"/>
  <c r="D20" i="36" l="1"/>
  <c r="J23" i="36" l="1"/>
  <c r="J24" i="36"/>
  <c r="J22" i="36"/>
  <c r="H55" i="36" l="1"/>
  <c r="I55" i="36"/>
  <c r="J55" i="36"/>
  <c r="Q11" i="30" l="1"/>
  <c r="M11" i="30"/>
  <c r="I11" i="30"/>
  <c r="D7" i="31" l="1"/>
  <c r="H3" i="36" l="1"/>
  <c r="C9" i="36" l="1"/>
  <c r="D12" i="36"/>
  <c r="C7" i="36"/>
  <c r="B23" i="36"/>
  <c r="D13" i="36"/>
  <c r="C8" i="36"/>
  <c r="C10" i="36"/>
  <c r="C6" i="36"/>
  <c r="H6" i="36"/>
  <c r="L2" i="31" l="1"/>
  <c r="L3" i="31"/>
  <c r="L4" i="31"/>
  <c r="D5" i="31"/>
  <c r="D6" i="31"/>
  <c r="D3" i="31"/>
  <c r="Q4" i="31"/>
  <c r="X2" i="31"/>
  <c r="R4" i="31"/>
  <c r="W2" i="31"/>
  <c r="I2" i="31"/>
  <c r="S4" i="31"/>
  <c r="K3" i="31"/>
  <c r="G3" i="31"/>
  <c r="U4" i="31"/>
  <c r="R3" i="31"/>
  <c r="V4" i="31"/>
  <c r="S2" i="31"/>
  <c r="I4" i="31"/>
  <c r="G2" i="31"/>
  <c r="S3" i="31"/>
  <c r="W4" i="31"/>
  <c r="T3" i="31"/>
  <c r="X4" i="31"/>
  <c r="Q2" i="31"/>
  <c r="H4" i="31"/>
  <c r="AB4" i="31"/>
  <c r="T4" i="31"/>
  <c r="U3" i="31"/>
  <c r="Y4" i="31"/>
  <c r="Y3" i="31"/>
  <c r="U2" i="31"/>
  <c r="G4" i="31"/>
  <c r="H3" i="31"/>
  <c r="V3" i="31"/>
  <c r="Z4" i="31"/>
  <c r="AB2" i="31"/>
  <c r="W3" i="31"/>
  <c r="AA4" i="31"/>
  <c r="X3" i="31"/>
  <c r="K4" i="31"/>
  <c r="T2" i="31"/>
  <c r="Z3" i="31"/>
  <c r="AA2" i="31"/>
  <c r="AA3" i="31"/>
  <c r="Z2" i="31"/>
  <c r="Q3" i="31"/>
  <c r="AB3" i="31"/>
  <c r="Y2" i="31"/>
  <c r="K2" i="31"/>
  <c r="V2" i="31"/>
  <c r="H2" i="31"/>
  <c r="I3" i="31"/>
  <c r="R2" i="31"/>
  <c r="N3" i="31"/>
  <c r="N4" i="31"/>
  <c r="N2" i="31"/>
  <c r="M2" i="31"/>
  <c r="M4" i="31"/>
  <c r="M3" i="31"/>
  <c r="C7" i="31"/>
  <c r="C6" i="31"/>
  <c r="C5" i="31"/>
  <c r="C3" i="31"/>
  <c r="U11" i="30"/>
  <c r="Y11" i="30"/>
  <c r="J2" i="31" l="1"/>
  <c r="AK25" i="30" l="1" a="1"/>
  <c r="AK25" i="30" s="1"/>
  <c r="AK21" i="30" a="1"/>
  <c r="AK21" i="30" s="1"/>
  <c r="AL21" i="30" s="1"/>
  <c r="I5" i="30"/>
  <c r="I14" i="30" l="1"/>
  <c r="AP21" i="30" l="1"/>
  <c r="Q17" i="30" s="1"/>
  <c r="AM21" i="30"/>
  <c r="AR21" i="30"/>
  <c r="M17" i="30" s="1"/>
  <c r="AN21" i="30"/>
  <c r="J4" i="31"/>
  <c r="M5" i="31"/>
  <c r="K5" i="31"/>
  <c r="H5" i="31"/>
  <c r="J3" i="31"/>
  <c r="G5" i="31"/>
  <c r="AO21" i="30" l="1"/>
  <c r="Y17" i="30" s="1"/>
  <c r="J5" i="31"/>
  <c r="AQ21" i="30" l="1"/>
  <c r="I17" i="30" s="1"/>
  <c r="L5" i="31"/>
  <c r="N5" i="31" l="1"/>
  <c r="AS21" i="30"/>
  <c r="U17" i="30" s="1"/>
  <c r="AR25" i="30" l="1"/>
  <c r="AQ25" i="30"/>
  <c r="AU25" i="30"/>
  <c r="AM25" i="30"/>
  <c r="AP25" i="30"/>
  <c r="AO25" i="30"/>
  <c r="AV25" i="30"/>
  <c r="AT25" i="30"/>
  <c r="AN25" i="30"/>
  <c r="AW25" i="30"/>
  <c r="AL25" i="30"/>
  <c r="AS25" i="30"/>
  <c r="F60" i="36" l="1"/>
  <c r="F61" i="36"/>
  <c r="F59" i="36" l="1"/>
  <c r="D66" i="36"/>
  <c r="B60" i="36" l="1"/>
  <c r="F66" i="36"/>
  <c r="E66" i="36"/>
  <c r="C4" i="31" l="1"/>
  <c r="B4" i="31"/>
  <c r="D4" i="31" l="1"/>
  <c r="E24" i="36"/>
  <c r="E23" i="36"/>
  <c r="B24" i="36"/>
  <c r="F23" i="36" l="1"/>
  <c r="C2" i="36"/>
  <c r="F24" i="36" l="1"/>
  <c r="H12" i="36" l="1"/>
  <c r="F64" i="36"/>
  <c r="F65" i="36" l="1"/>
  <c r="F67" i="36" s="1"/>
  <c r="B13" i="31"/>
  <c r="B12" i="31"/>
  <c r="B11" i="31"/>
  <c r="C14" i="31" l="1"/>
  <c r="B16" i="31" l="1"/>
  <c r="B18" i="31" s="1"/>
  <c r="D64" i="36" l="1"/>
  <c r="E64" i="36" l="1"/>
  <c r="E65" i="36"/>
  <c r="D65" i="36"/>
  <c r="D67" i="36" s="1"/>
  <c r="E67" i="36" l="1"/>
  <c r="E70" i="36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<sst xmlns="http://schemas.openxmlformats.org/spreadsheetml/2006/main" count="169" uniqueCount="131">
  <si>
    <t>N° Client</t>
  </si>
  <si>
    <t>Prestation</t>
  </si>
  <si>
    <t>Total HT</t>
  </si>
  <si>
    <t>Nom Client</t>
  </si>
  <si>
    <t>Adresse</t>
  </si>
  <si>
    <t>Ville</t>
  </si>
  <si>
    <t>Téléphone</t>
  </si>
  <si>
    <t>E-mail</t>
  </si>
  <si>
    <t>Notes sur le client</t>
  </si>
  <si>
    <t>TVA</t>
  </si>
  <si>
    <t>Contact</t>
  </si>
  <si>
    <t>Désignation</t>
  </si>
  <si>
    <t>Montant HT</t>
  </si>
  <si>
    <t>Total TVA</t>
  </si>
  <si>
    <t>Total TTC</t>
  </si>
  <si>
    <t>Qté</t>
  </si>
  <si>
    <t>Prix unit. HT</t>
  </si>
  <si>
    <t>Montant TVA</t>
  </si>
  <si>
    <t>Net à payer</t>
  </si>
  <si>
    <t xml:space="preserve">Montant total : </t>
  </si>
  <si>
    <t xml:space="preserve">Acompte n°1 : </t>
  </si>
  <si>
    <t xml:space="preserve">Acompte n°2 : </t>
  </si>
  <si>
    <t xml:space="preserve">Reste à payer : </t>
  </si>
  <si>
    <t>TVA 5,5%</t>
  </si>
  <si>
    <t>TVA 10%</t>
  </si>
  <si>
    <t>TVA 20%</t>
  </si>
  <si>
    <t>Date Création</t>
  </si>
  <si>
    <t>Acompte2</t>
  </si>
  <si>
    <t>Acompte1</t>
  </si>
  <si>
    <t>CompInfo</t>
  </si>
  <si>
    <t>TelephoneContact</t>
  </si>
  <si>
    <t>VilleChantier</t>
  </si>
  <si>
    <t>AdresseChantier</t>
  </si>
  <si>
    <t>DateValidite</t>
  </si>
  <si>
    <t>DateDevis</t>
  </si>
  <si>
    <t>Montant TTC</t>
  </si>
  <si>
    <t>NumClient</t>
  </si>
  <si>
    <t/>
  </si>
  <si>
    <t>DateAcpte1</t>
  </si>
  <si>
    <t>DateAcpte2</t>
  </si>
  <si>
    <t>DateFact</t>
  </si>
  <si>
    <t>N°Fact</t>
  </si>
  <si>
    <t>NumDevis</t>
  </si>
  <si>
    <t>NumFact</t>
  </si>
  <si>
    <t>Adresse du chantier</t>
  </si>
  <si>
    <t>NumAcpt2</t>
  </si>
  <si>
    <t>NumAcpt1</t>
  </si>
  <si>
    <t xml:space="preserve">tél : </t>
  </si>
  <si>
    <t xml:space="preserve">mail : </t>
  </si>
  <si>
    <t>TTC</t>
  </si>
  <si>
    <t>HT</t>
  </si>
  <si>
    <t>Facture</t>
  </si>
  <si>
    <t>Infos :</t>
  </si>
  <si>
    <t>Contact :</t>
  </si>
  <si>
    <t>Devis</t>
  </si>
  <si>
    <t>TVA 5</t>
  </si>
  <si>
    <t>TVA 10</t>
  </si>
  <si>
    <t>TVA 20</t>
  </si>
  <si>
    <t>X</t>
  </si>
  <si>
    <t>Civilite</t>
  </si>
  <si>
    <t>Mr</t>
  </si>
  <si>
    <t>Nom</t>
  </si>
  <si>
    <t>Client</t>
  </si>
  <si>
    <t>RefClient</t>
  </si>
  <si>
    <t>Annee</t>
  </si>
  <si>
    <t>Mois</t>
  </si>
  <si>
    <t>Suivi du chiffre d'affaire</t>
  </si>
  <si>
    <t>Nb</t>
  </si>
  <si>
    <t>Maxi</t>
  </si>
  <si>
    <t>Moyenne</t>
  </si>
  <si>
    <t>Mini</t>
  </si>
  <si>
    <t>Vide</t>
  </si>
  <si>
    <t>Valeur indicateur</t>
  </si>
  <si>
    <t>Largeur indicateur</t>
  </si>
  <si>
    <t>Reste</t>
  </si>
  <si>
    <t>N° du client</t>
  </si>
  <si>
    <t>Nom du client</t>
  </si>
  <si>
    <t>N° du devis</t>
  </si>
  <si>
    <t>N° de facture</t>
  </si>
  <si>
    <t>Montant TTC2</t>
  </si>
  <si>
    <t>SomDevis</t>
  </si>
  <si>
    <t>SomFactures</t>
  </si>
  <si>
    <t>Annee_Devis</t>
  </si>
  <si>
    <t>Factures</t>
  </si>
  <si>
    <t>Nb_Factures</t>
  </si>
  <si>
    <t>Nb_Clients</t>
  </si>
  <si>
    <t>Nb_Devis</t>
  </si>
  <si>
    <t>Val_Devis</t>
  </si>
  <si>
    <t>C.A.</t>
  </si>
  <si>
    <t>Total</t>
  </si>
  <si>
    <t xml:space="preserve">    EMC BAT - Tableau de bord</t>
  </si>
  <si>
    <t>Global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</si>
  <si>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</si>
  <si>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</si>
  <si>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</si>
  <si>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</si>
  <si>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</si>
  <si>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</si>
  <si>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</si>
  <si>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</si>
  <si>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</si>
  <si>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</si>
  <si>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</si>
  <si>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</si>
  <si>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Acpt1_HT</t>
  </si>
  <si>
    <t>Tot_TVA_Cde</t>
  </si>
  <si>
    <t>Acpt2_TTC</t>
  </si>
  <si>
    <t>Acpt2_HT</t>
  </si>
  <si>
    <t>Tot_TVA_Acpt2</t>
  </si>
  <si>
    <t>Acpt1_TTC</t>
  </si>
  <si>
    <t>Statut_Devis</t>
  </si>
  <si>
    <t>Net_a_payer</t>
  </si>
  <si>
    <t>Date_Encais</t>
  </si>
  <si>
    <t>Montant_Encais</t>
  </si>
  <si>
    <t>Fic_Acpte1</t>
  </si>
  <si>
    <t>Colonne1</t>
  </si>
  <si>
    <t>Devis-Payé</t>
  </si>
  <si>
    <t>Création d'une chape maigre de 7 a 10 cm</t>
  </si>
  <si>
    <t>NClient</t>
  </si>
  <si>
    <t>Dept</t>
  </si>
  <si>
    <t>Societe</t>
  </si>
  <si>
    <t>Mise en protection, acheminement du matériel et nettoyage de fin de chantier</t>
  </si>
  <si>
    <t>Belkisse Dimitry_Mairie de Lisses  _ CL-159-23</t>
  </si>
  <si>
    <t>CL-159-23</t>
  </si>
  <si>
    <t>CL-161-23</t>
  </si>
  <si>
    <t>DEV-265-23</t>
  </si>
  <si>
    <t>Rénovation Diverse Sol et Mur</t>
  </si>
  <si>
    <t>DEV-266-23</t>
  </si>
  <si>
    <t>Fourniture de materiel plomberie tuyauterie 32 et arrivé d'eau en 16</t>
  </si>
  <si>
    <t>Reprise plomberie montage en multicouche deplacement de 2,50 m</t>
  </si>
  <si>
    <t xml:space="preserve">Reprise electricité et pose d'une prise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</si>
</sst>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164" formatCode="_(&quot;€&quot;* #,##0.00_);_(&quot;€&quot;* \(#,##0.00\);_(&quot;€&quot;* &quot;-&quot;??_);_(@_)"/>
    <numFmt numFmtId="165" formatCode="&quot;€&quot;#,##0.00_);\(&quot;€&quot;#,##0.00\)"/>
    <numFmt numFmtId="166" formatCode="&quot;€&quot;#,##0.00_);[Red]\(&quot;€&quot;#,##0.00\)"/>
    <numFmt numFmtId="167" formatCode="0#&quot; &quot;##&quot; &quot;##&quot; &quot;##&quot; &quot;##"/>
    <numFmt numFmtId="168" formatCode="#,##0.00\ &quot;€&quot;"/>
    <numFmt numFmtId="169" formatCode="00"/>
    <numFmt numFmtId="170" formatCode="#,##0\ &quot;€&quot;"/>
    <numFmt numFmtId="171" formatCode="#,##0.00\ \€"/>
    <numFmt numFmtId="172" formatCode="0.0000000"/>
    <numFmt numFmtId="173" formatCode="_-* #,##0.00\ [$€-40C]_-;\-* #,##0.00\ [$€-40C]_-;_-* &quot;-&quot;??\ [$€-40C]_-;_-@_-"/>
    <numFmt numFmtId="174" formatCode="_-* #,##0\ [$€-40C]_-;\-* #,##0\ [$€-40C]_-;_-* &quot;-&quot;\ [$€-40C]_-;_-@_-"/>
    <numFmt numFmtId="175" formatCode="_-* #,##0\ [$€-40C]_-;\-* #,##0\ [$€-40C]_-;_-* &quot;-&quot;??\ [$€-40C]_-;_-@_-"/>
    <numFmt numFmtId="176" formatCode="m/d/yyyy"/>
    <numFmt numFmtId="177" formatCode="&quot;€&quot;#.##0\.00_);\(&quot;€&quot;#.##0\.00\)"/>
    <numFmt numFmtId="181" formatCode="dd/mm/yy;@"/>
  </numFmts>
  <fonts count="34" x14ac:knownFonts="1">
    <font>
      <sz val="10"/>
      <name val="Arial"/>
      <family val="2"/>
    </font>
    <font>
      <sz val="10"/>
      <name val="Mangal"/>
      <family val="2"/>
    </font>
    <font>
      <u/>
      <sz val="10"/>
      <color indexed="19"/>
      <name val="Mangal"/>
      <family val="2"/>
    </font>
    <font>
      <sz val="10"/>
      <color indexed="9"/>
      <name val="Mang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1"/>
      <color rgb="FFFFFFFF"/>
      <name val="Cambria"/>
      <family val="1"/>
    </font>
    <font>
      <b/>
      <u/>
      <sz val="14"/>
      <color rgb="FFA27800"/>
      <name val="Arial"/>
      <family val="2"/>
    </font>
    <font>
      <sz val="10"/>
      <color theme="1"/>
      <name val="Arial"/>
      <family val="2"/>
    </font>
    <font>
      <b/>
      <u/>
      <sz val="10"/>
      <color rgb="FFFF0000"/>
      <name val="Arial"/>
      <family val="2"/>
    </font>
    <font>
      <u/>
      <sz val="10"/>
      <color rgb="FFFF0000"/>
      <name val="Arial"/>
      <family val="2"/>
    </font>
    <font>
      <b/>
      <sz val="20"/>
      <color theme="0" tint="-4.9989318521683403E-2"/>
      <name val="Arial"/>
      <family val="2"/>
    </font>
    <font>
      <b/>
      <sz val="22"/>
      <color theme="0" tint="-4.9989318521683403E-2"/>
      <name val="Arial"/>
      <family val="2"/>
    </font>
    <font>
      <b/>
      <u/>
      <sz val="10"/>
      <color rgb="FFA2780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48"/>
      <color rgb="FFCC66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4"/>
      <name val="Arial"/>
      <family val="2"/>
    </font>
    <font>
      <b/>
      <u/>
      <sz val="10"/>
      <color theme="7" tint="-0.499984740745262"/>
      <name val="Arial"/>
      <family val="2"/>
    </font>
    <font>
      <b/>
      <sz val="20"/>
      <name val="Arial"/>
      <family val="2"/>
    </font>
    <font>
      <b/>
      <sz val="8"/>
      <color rgb="FFFF0000"/>
      <name val="Arial"/>
      <family val="2"/>
    </font>
    <font>
      <b/>
      <sz val="28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color theme="0"/>
      <name val="Arial"/>
      <family val="2"/>
    </font>
    <font>
      <sz val="10"/>
      <color rgb="FF00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41"/>
        <bgColor indexed="42"/>
      </patternFill>
    </fill>
    <fill>
      <patternFill patternType="solid">
        <fgColor indexed="22"/>
        <bgColor indexed="55"/>
      </patternFill>
    </fill>
    <fill>
      <patternFill patternType="solid">
        <fgColor indexed="42"/>
        <bgColor indexed="43"/>
      </patternFill>
    </fill>
    <fill>
      <patternFill patternType="solid">
        <fgColor indexed="43"/>
        <bgColor indexed="42"/>
      </patternFill>
    </fill>
    <fill>
      <gradientFill type="path">
        <stop position="0">
          <color theme="0"/>
        </stop>
        <stop position="1">
          <color rgb="FFA27800"/>
        </stop>
      </gradientFill>
    </fill>
    <fill>
      <patternFill patternType="solid">
        <fgColor rgb="FFCCFFFF"/>
        <bgColor indexed="64"/>
      </patternFill>
    </fill>
    <fill>
      <patternFill patternType="solid">
        <fgColor rgb="FFEAAD00"/>
        <bgColor indexed="64"/>
      </patternFill>
    </fill>
    <fill>
      <gradientFill degree="90">
        <stop position="0">
          <color theme="0"/>
        </stop>
        <stop position="0.5">
          <color rgb="FFA27800"/>
        </stop>
        <stop position="1">
          <color theme="0"/>
        </stop>
      </gradientFill>
    </fill>
    <fill>
      <patternFill patternType="solid">
        <fgColor rgb="FFF6B600"/>
        <bgColor indexed="64"/>
      </patternFill>
    </fill>
    <fill>
      <patternFill patternType="solid">
        <fgColor rgb="FFDAA100"/>
        <bgColor indexed="64"/>
      </patternFill>
    </fill>
    <fill>
      <patternFill patternType="solid">
        <fgColor rgb="FFF5B81F"/>
        <bgColor indexed="64"/>
      </patternFill>
    </fill>
    <fill>
      <patternFill patternType="solid">
        <fgColor rgb="FFA278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4900DA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ck">
        <color rgb="FFA27800"/>
      </left>
      <right style="thin">
        <color auto="1"/>
      </right>
      <top style="thick">
        <color rgb="FFA27800"/>
      </top>
      <bottom style="thin">
        <color auto="1"/>
      </bottom>
      <diagonal/>
    </border>
    <border>
      <left style="thick">
        <color rgb="FFA278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A27800"/>
      </left>
      <right style="thin">
        <color auto="1"/>
      </right>
      <top style="thin">
        <color auto="1"/>
      </top>
      <bottom style="thick">
        <color rgb="FFA27800"/>
      </bottom>
      <diagonal/>
    </border>
    <border>
      <left style="thin">
        <color auto="1"/>
      </left>
      <right style="thin">
        <color auto="1"/>
      </right>
      <top style="thick">
        <color rgb="FFA27800"/>
      </top>
      <bottom style="thin">
        <color auto="1"/>
      </bottom>
      <diagonal/>
    </border>
    <border>
      <left style="thick">
        <color rgb="FFA27800"/>
      </left>
      <right/>
      <top style="thick">
        <color rgb="FFA27800"/>
      </top>
      <bottom style="thin">
        <color auto="1"/>
      </bottom>
      <diagonal/>
    </border>
    <border>
      <left/>
      <right style="thick">
        <color rgb="FFA27800"/>
      </right>
      <top style="thick">
        <color rgb="FFA27800"/>
      </top>
      <bottom style="thin">
        <color auto="1"/>
      </bottom>
      <diagonal/>
    </border>
    <border>
      <left style="thick">
        <color rgb="FFA27800"/>
      </left>
      <right/>
      <top style="thin">
        <color auto="1"/>
      </top>
      <bottom style="thick">
        <color rgb="FFA27800"/>
      </bottom>
      <diagonal/>
    </border>
    <border>
      <left style="thick">
        <color rgb="FFA27800"/>
      </left>
      <right style="thick">
        <color rgb="FFA27800"/>
      </right>
      <top style="thick">
        <color rgb="FFA27800"/>
      </top>
      <bottom style="thick">
        <color rgb="FFA27800"/>
      </bottom>
      <diagonal/>
    </border>
    <border>
      <left style="thick">
        <color rgb="FFA27800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rgb="FFA27800"/>
      </right>
      <top style="thick">
        <color rgb="FFA27800"/>
      </top>
      <bottom style="thin">
        <color auto="1"/>
      </bottom>
      <diagonal/>
    </border>
    <border>
      <left style="thin">
        <color auto="1"/>
      </left>
      <right style="thick">
        <color rgb="FFA278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A27800"/>
      </right>
      <top style="thin">
        <color auto="1"/>
      </top>
      <bottom style="thick">
        <color rgb="FFA27800"/>
      </bottom>
      <diagonal/>
    </border>
    <border>
      <left style="thin">
        <color auto="1"/>
      </left>
      <right style="thick">
        <color rgb="FFA27800"/>
      </right>
      <top/>
      <bottom/>
      <diagonal/>
    </border>
    <border>
      <left/>
      <right style="thick">
        <color rgb="FFA27800"/>
      </right>
      <top style="thin">
        <color auto="1"/>
      </top>
      <bottom style="thick">
        <color rgb="FFA27800"/>
      </bottom>
      <diagonal/>
    </border>
    <border>
      <left/>
      <right style="thick">
        <color rgb="FFA27800"/>
      </right>
      <top/>
      <bottom/>
      <diagonal/>
    </border>
    <border>
      <left style="thick">
        <color rgb="FFB38E05"/>
      </left>
      <right/>
      <top style="thick">
        <color rgb="FFB38E05"/>
      </top>
      <bottom/>
      <diagonal/>
    </border>
    <border>
      <left/>
      <right/>
      <top style="thick">
        <color rgb="FFB38E05"/>
      </top>
      <bottom/>
      <diagonal/>
    </border>
    <border>
      <left/>
      <right style="thick">
        <color rgb="FFB38E05"/>
      </right>
      <top style="thick">
        <color rgb="FFB38E05"/>
      </top>
      <bottom/>
      <diagonal/>
    </border>
    <border>
      <left style="thick">
        <color rgb="FFB38E05"/>
      </left>
      <right/>
      <top/>
      <bottom style="thick">
        <color rgb="FFB38E05"/>
      </bottom>
      <diagonal/>
    </border>
    <border>
      <left/>
      <right/>
      <top/>
      <bottom style="thick">
        <color rgb="FFB38E05"/>
      </bottom>
      <diagonal/>
    </border>
    <border>
      <left/>
      <right style="thick">
        <color rgb="FFB38E05"/>
      </right>
      <top/>
      <bottom style="thick">
        <color rgb="FFB38E05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9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2" fillId="0" borderId="0" applyNumberFormat="0" applyFill="0" applyBorder="0" applyProtection="0">
      <alignment horizontal="center"/>
    </xf>
    <xf numFmtId="0" fontId="3" fillId="0" borderId="0" applyNumberFormat="0" applyFill="0" applyBorder="0" applyAlignment="0" applyProtection="0"/>
    <xf numFmtId="164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6" fillId="8" borderId="10">
      <alignment vertical="center" shrinkToFit="1"/>
    </xf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</cellStyleXfs>
  <cellXfs count="177">
    <xf numFmtId="0" fontId="0" fillId="0" borderId="0" xfId="0"/>
    <xf numFmtId="0" fontId="4" fillId="0" borderId="1" xfId="0" applyFont="1" applyBorder="1"/>
    <xf numFmtId="167" fontId="4" fillId="0" borderId="1" xfId="0" applyNumberFormat="1" applyFont="1" applyBorder="1"/>
    <xf numFmtId="0" fontId="6" fillId="0" borderId="1" xfId="0" applyFont="1" applyBorder="1"/>
    <xf numFmtId="49" fontId="4" fillId="0" borderId="1" xfId="0" applyNumberFormat="1" applyFont="1" applyBorder="1"/>
    <xf numFmtId="49" fontId="4" fillId="0" borderId="0" xfId="0" applyNumberFormat="1" applyFont="1"/>
    <xf numFmtId="49" fontId="0" fillId="0" borderId="0" xfId="0" applyNumberFormat="1"/>
    <xf numFmtId="14" fontId="0" fillId="0" borderId="0" xfId="0" applyNumberFormat="1"/>
    <xf numFmtId="170" fontId="0" fillId="0" borderId="0" xfId="0" applyNumberFormat="1"/>
    <xf numFmtId="171" fontId="10" fillId="0" borderId="0" xfId="8" quotePrefix="1" applyNumberFormat="1" applyFont="1" applyBorder="1" applyAlignment="1" applyProtection="1">
      <alignment horizontal="center" vertical="center"/>
      <protection locked="0"/>
    </xf>
    <xf numFmtId="171" fontId="10" fillId="0" borderId="0" xfId="8" quotePrefix="1" applyNumberFormat="1" applyFont="1" applyAlignment="1" applyProtection="1">
      <alignment horizontal="center" vertical="center"/>
      <protection locked="0"/>
    </xf>
    <xf numFmtId="0" fontId="4" fillId="0" borderId="0" xfId="0" applyFont="1"/>
    <xf numFmtId="0" fontId="7" fillId="0" borderId="0" xfId="0" applyFont="1" applyProtection="1">
      <protection locked="0"/>
    </xf>
    <xf numFmtId="168" fontId="0" fillId="0" borderId="0" xfId="0" applyNumberFormat="1"/>
    <xf numFmtId="0" fontId="7" fillId="0" borderId="0" xfId="0" applyFont="1"/>
    <xf numFmtId="168" fontId="10" fillId="0" borderId="0" xfId="8" applyNumberFormat="1" applyFont="1" applyFill="1" applyBorder="1" applyAlignment="1" applyProtection="1">
      <alignment horizontal="right" vertical="center"/>
      <protection locked="0"/>
    </xf>
    <xf numFmtId="1" fontId="0" fillId="0" borderId="0" xfId="0" applyNumberFormat="1"/>
    <xf numFmtId="172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Protection="1">
      <protection locked="0"/>
    </xf>
    <xf numFmtId="0" fontId="0" fillId="0" borderId="0" xfId="8" applyNumberFormat="1" applyFont="1" applyAlignment="1" applyProtection="1">
      <alignment horizontal="right" vertical="center"/>
      <protection locked="0"/>
    </xf>
    <xf numFmtId="168" fontId="25" fillId="0" borderId="0" xfId="8" applyNumberFormat="1" applyFont="1" applyAlignment="1" applyProtection="1">
      <alignment horizontal="center" vertical="center" wrapText="1"/>
      <protection locked="0"/>
    </xf>
    <xf numFmtId="49" fontId="5" fillId="0" borderId="0" xfId="0" applyNumberFormat="1" applyFont="1" applyAlignment="1">
      <alignment horizontal="center"/>
    </xf>
    <xf numFmtId="0" fontId="26" fillId="0" borderId="0" xfId="0" applyFont="1"/>
    <xf numFmtId="168" fontId="5" fillId="0" borderId="0" xfId="0" applyNumberFormat="1" applyFont="1" applyAlignment="1">
      <alignment horizontal="center"/>
    </xf>
    <xf numFmtId="0" fontId="5" fillId="0" borderId="2" xfId="0" applyFont="1" applyBorder="1" applyAlignment="1" applyProtection="1">
      <alignment horizontal="center" vertical="center" wrapText="1"/>
      <protection locked="0"/>
    </xf>
    <xf numFmtId="14" fontId="5" fillId="0" borderId="2" xfId="0" applyNumberFormat="1" applyFont="1" applyBorder="1" applyAlignment="1" applyProtection="1">
      <alignment horizontal="center" vertical="center" wrapText="1"/>
      <protection locked="0"/>
    </xf>
    <xf numFmtId="167" fontId="5" fillId="0" borderId="2" xfId="0" applyNumberFormat="1" applyFont="1" applyBorder="1" applyAlignment="1" applyProtection="1">
      <alignment horizontal="right" vertical="center" wrapText="1"/>
      <protection locked="0"/>
    </xf>
    <xf numFmtId="49" fontId="5" fillId="0" borderId="2" xfId="0" applyNumberFormat="1" applyFont="1" applyBorder="1" applyAlignment="1" applyProtection="1">
      <alignment horizontal="center" vertical="center" wrapText="1"/>
      <protection locked="0"/>
    </xf>
    <xf numFmtId="168" fontId="5" fillId="0" borderId="0" xfId="8" applyNumberFormat="1" applyFont="1" applyAlignment="1" applyProtection="1">
      <alignment horizontal="center" vertical="center" wrapText="1"/>
      <protection locked="0"/>
    </xf>
    <xf numFmtId="168" fontId="5" fillId="0" borderId="2" xfId="0" applyNumberFormat="1" applyFont="1" applyBorder="1" applyAlignment="1" applyProtection="1">
      <alignment horizontal="center" vertical="center" wrapText="1"/>
      <protection locked="0"/>
    </xf>
    <xf numFmtId="165" fontId="5" fillId="0" borderId="2" xfId="8" applyNumberFormat="1" applyFont="1" applyBorder="1" applyAlignment="1" applyProtection="1">
      <alignment horizontal="center" vertical="center" wrapText="1"/>
      <protection locked="0"/>
    </xf>
    <xf numFmtId="14" fontId="5" fillId="0" borderId="2" xfId="8" applyNumberFormat="1" applyFont="1" applyBorder="1" applyAlignment="1" applyProtection="1">
      <alignment horizontal="right" vertical="center" wrapText="1"/>
      <protection locked="0"/>
    </xf>
    <xf numFmtId="165" fontId="5" fillId="0" borderId="0" xfId="8" applyNumberFormat="1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Protection="1">
      <protection locked="0"/>
    </xf>
    <xf numFmtId="167" fontId="4" fillId="0" borderId="0" xfId="0" applyNumberFormat="1" applyFont="1" applyAlignment="1" applyProtection="1">
      <alignment horizontal="right"/>
      <protection locked="0"/>
    </xf>
    <xf numFmtId="168" fontId="4" fillId="0" borderId="0" xfId="8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1" fontId="4" fillId="0" borderId="0" xfId="8" applyNumberFormat="1" applyFont="1" applyProtection="1">
      <protection locked="0"/>
    </xf>
    <xf numFmtId="164" fontId="4" fillId="0" borderId="0" xfId="8" applyFont="1" applyProtection="1">
      <protection locked="0"/>
    </xf>
    <xf numFmtId="0" fontId="4" fillId="0" borderId="0" xfId="8" applyNumberFormat="1" applyFont="1" applyAlignment="1" applyProtection="1">
      <alignment horizontal="right"/>
      <protection locked="0"/>
    </xf>
    <xf numFmtId="164" fontId="0" fillId="0" borderId="0" xfId="0" applyNumberFormat="1" applyProtection="1">
      <protection locked="0"/>
    </xf>
    <xf numFmtId="0" fontId="8" fillId="0" borderId="0" xfId="0" applyFont="1" applyProtection="1">
      <protection locked="0"/>
    </xf>
    <xf numFmtId="0" fontId="14" fillId="0" borderId="0" xfId="0" applyFont="1" applyProtection="1">
      <protection locked="0"/>
    </xf>
    <xf numFmtId="0" fontId="7" fillId="0" borderId="0" xfId="0" quotePrefix="1" applyFont="1" applyProtection="1">
      <protection locked="0"/>
    </xf>
    <xf numFmtId="14" fontId="7" fillId="0" borderId="0" xfId="0" applyNumberFormat="1" applyFont="1" applyProtection="1">
      <protection locked="0"/>
    </xf>
    <xf numFmtId="14" fontId="7" fillId="0" borderId="0" xfId="0" quotePrefix="1" applyNumberFormat="1" applyFont="1" applyProtection="1">
      <protection locked="0"/>
    </xf>
    <xf numFmtId="0" fontId="7" fillId="0" borderId="0" xfId="0" quotePrefix="1" applyFont="1" applyAlignment="1" applyProtection="1">
      <alignment horizontal="left"/>
      <protection locked="0"/>
    </xf>
    <xf numFmtId="0" fontId="19" fillId="0" borderId="0" xfId="0" applyFont="1" applyProtection="1">
      <protection locked="0"/>
    </xf>
    <xf numFmtId="169" fontId="19" fillId="0" borderId="0" xfId="0" applyNumberFormat="1" applyFont="1" applyProtection="1">
      <protection locked="0"/>
    </xf>
    <xf numFmtId="169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7" fillId="7" borderId="0" xfId="0" applyFont="1" applyFill="1" applyAlignment="1" applyProtection="1">
      <alignment horizontal="center" vertical="center" wrapText="1"/>
      <protection locked="0"/>
    </xf>
    <xf numFmtId="166" fontId="0" fillId="7" borderId="0" xfId="0" applyNumberFormat="1" applyFill="1" applyAlignment="1" applyProtection="1">
      <alignment horizontal="right" vertical="center" wrapText="1"/>
      <protection locked="0"/>
    </xf>
    <xf numFmtId="0" fontId="0" fillId="7" borderId="0" xfId="0" applyFill="1" applyAlignment="1" applyProtection="1">
      <alignment horizontal="right" vertical="center" wrapText="1"/>
      <protection locked="0"/>
    </xf>
    <xf numFmtId="0" fontId="20" fillId="0" borderId="0" xfId="0" applyFont="1" applyAlignment="1" applyProtection="1">
      <alignment horizontal="right"/>
      <protection locked="0"/>
    </xf>
    <xf numFmtId="0" fontId="15" fillId="0" borderId="0" xfId="0" applyFont="1" applyProtection="1">
      <protection locked="0"/>
    </xf>
    <xf numFmtId="168" fontId="0" fillId="0" borderId="0" xfId="0" applyNumberFormat="1" applyProtection="1"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0" fontId="10" fillId="0" borderId="0" xfId="9" applyNumberFormat="1" applyFont="1" applyFill="1" applyBorder="1" applyAlignment="1" applyProtection="1">
      <alignment horizontal="center" vertical="center"/>
      <protection locked="0"/>
    </xf>
    <xf numFmtId="0" fontId="10" fillId="0" borderId="0" xfId="8" applyNumberFormat="1" applyFont="1" applyAlignment="1" applyProtection="1">
      <alignment horizontal="right" vertical="center"/>
      <protection locked="0"/>
    </xf>
    <xf numFmtId="10" fontId="0" fillId="0" borderId="3" xfId="0" applyNumberFormat="1" applyBorder="1" applyProtection="1">
      <protection locked="0"/>
    </xf>
    <xf numFmtId="10" fontId="0" fillId="0" borderId="4" xfId="0" applyNumberFormat="1" applyBorder="1" applyProtection="1">
      <protection locked="0"/>
    </xf>
    <xf numFmtId="10" fontId="0" fillId="0" borderId="5" xfId="0" applyNumberFormat="1" applyBorder="1" applyProtection="1"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/>
      <protection locked="0"/>
    </xf>
    <xf numFmtId="0" fontId="7" fillId="0" borderId="13" xfId="0" applyFont="1" applyBorder="1" applyAlignment="1" applyProtection="1">
      <alignment horizontal="center"/>
      <protection locked="0"/>
    </xf>
    <xf numFmtId="0" fontId="9" fillId="0" borderId="0" xfId="0" applyFont="1" applyAlignment="1" applyProtection="1">
      <alignment horizontal="left"/>
      <protection locked="0"/>
    </xf>
    <xf numFmtId="0" fontId="19" fillId="0" borderId="0" xfId="0" applyFont="1" applyAlignment="1" applyProtection="1">
      <alignment horizontal="center"/>
      <protection locked="0"/>
    </xf>
    <xf numFmtId="166" fontId="0" fillId="7" borderId="0" xfId="0" applyNumberFormat="1" applyFill="1" applyAlignment="1">
      <alignment horizontal="right" vertical="center" wrapText="1"/>
    </xf>
    <xf numFmtId="164" fontId="0" fillId="0" borderId="13" xfId="8" applyFont="1" applyBorder="1" applyProtection="1"/>
    <xf numFmtId="164" fontId="0" fillId="0" borderId="14" xfId="8" applyFont="1" applyBorder="1" applyProtection="1"/>
    <xf numFmtId="164" fontId="0" fillId="0" borderId="15" xfId="8" applyFont="1" applyBorder="1" applyProtection="1"/>
    <xf numFmtId="164" fontId="0" fillId="0" borderId="11" xfId="0" applyNumberFormat="1" applyBorder="1"/>
    <xf numFmtId="164" fontId="0" fillId="0" borderId="12" xfId="0" applyNumberFormat="1" applyBorder="1" applyAlignment="1">
      <alignment horizontal="right"/>
    </xf>
    <xf numFmtId="164" fontId="0" fillId="0" borderId="16" xfId="0" applyNumberFormat="1" applyBorder="1" applyAlignment="1">
      <alignment horizontal="right"/>
    </xf>
    <xf numFmtId="164" fontId="10" fillId="0" borderId="11" xfId="8" applyFont="1" applyBorder="1" applyAlignment="1" applyProtection="1"/>
    <xf numFmtId="164" fontId="0" fillId="0" borderId="16" xfId="8" applyFont="1" applyBorder="1" applyAlignment="1" applyProtection="1">
      <alignment horizontal="right"/>
    </xf>
    <xf numFmtId="164" fontId="0" fillId="0" borderId="5" xfId="8" applyFont="1" applyBorder="1" applyProtection="1"/>
    <xf numFmtId="164" fontId="7" fillId="0" borderId="15" xfId="0" applyNumberFormat="1" applyFont="1" applyBorder="1"/>
    <xf numFmtId="0" fontId="0" fillId="11" borderId="0" xfId="0" applyFill="1" applyProtection="1">
      <protection locked="0"/>
    </xf>
    <xf numFmtId="0" fontId="11" fillId="11" borderId="0" xfId="0" applyFont="1" applyFill="1" applyProtection="1">
      <protection locked="0"/>
    </xf>
    <xf numFmtId="0" fontId="11" fillId="11" borderId="0" xfId="0" applyFont="1" applyFill="1" applyAlignment="1" applyProtection="1">
      <alignment horizontal="center"/>
      <protection locked="0"/>
    </xf>
    <xf numFmtId="0" fontId="25" fillId="11" borderId="0" xfId="0" applyFont="1" applyFill="1" applyProtection="1">
      <protection locked="0"/>
    </xf>
    <xf numFmtId="0" fontId="11" fillId="12" borderId="0" xfId="0" applyFont="1" applyFill="1" applyProtection="1">
      <protection locked="0"/>
    </xf>
    <xf numFmtId="0" fontId="0" fillId="12" borderId="0" xfId="0" applyFill="1" applyProtection="1">
      <protection locked="0"/>
    </xf>
    <xf numFmtId="0" fontId="4" fillId="0" borderId="0" xfId="8" applyNumberFormat="1" applyFont="1" applyProtection="1">
      <protection locked="0"/>
    </xf>
    <xf numFmtId="0" fontId="0" fillId="0" borderId="0" xfId="0" applyAlignment="1">
      <alignment horizontal="left" vertical="center" wrapText="1"/>
    </xf>
    <xf numFmtId="168" fontId="4" fillId="0" borderId="0" xfId="0" applyNumberFormat="1" applyFont="1"/>
    <xf numFmtId="0" fontId="20" fillId="0" borderId="0" xfId="0" applyFont="1" applyAlignment="1" applyProtection="1">
      <alignment horizontal="center"/>
      <protection locked="0"/>
    </xf>
    <xf numFmtId="14" fontId="4" fillId="0" borderId="0" xfId="0" applyNumberFormat="1" applyFont="1" applyAlignment="1">
      <alignment horizontal="right"/>
    </xf>
    <xf numFmtId="14" fontId="4" fillId="0" borderId="0" xfId="0" applyNumberFormat="1" applyFont="1" applyAlignment="1" applyProtection="1">
      <alignment horizontal="right"/>
      <protection locked="0"/>
    </xf>
    <xf numFmtId="173" fontId="4" fillId="0" borderId="0" xfId="0" applyNumberFormat="1" applyFont="1"/>
    <xf numFmtId="165" fontId="5" fillId="0" borderId="0" xfId="8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vertical="center"/>
    </xf>
    <xf numFmtId="173" fontId="5" fillId="0" borderId="0" xfId="0" applyNumberFormat="1" applyFont="1"/>
    <xf numFmtId="0" fontId="5" fillId="0" borderId="0" xfId="0" applyFont="1"/>
    <xf numFmtId="173" fontId="27" fillId="0" borderId="0" xfId="0" applyNumberFormat="1" applyFont="1"/>
    <xf numFmtId="0" fontId="22" fillId="11" borderId="0" xfId="0" applyFont="1" applyFill="1" applyAlignment="1">
      <alignment horizontal="center" vertical="center"/>
    </xf>
    <xf numFmtId="170" fontId="22" fillId="11" borderId="0" xfId="0" applyNumberFormat="1" applyFont="1" applyFill="1" applyAlignment="1">
      <alignment horizontal="center" vertical="center"/>
    </xf>
    <xf numFmtId="0" fontId="21" fillId="10" borderId="0" xfId="0" applyFont="1" applyFill="1" applyAlignment="1" applyProtection="1">
      <alignment vertical="center"/>
      <protection locked="0"/>
    </xf>
    <xf numFmtId="174" fontId="4" fillId="0" borderId="0" xfId="0" quotePrefix="1" applyNumberFormat="1" applyFont="1" applyProtection="1">
      <protection locked="0"/>
    </xf>
    <xf numFmtId="174" fontId="4" fillId="0" borderId="0" xfId="15" quotePrefix="1" applyNumberFormat="1" applyFont="1"/>
    <xf numFmtId="174" fontId="4" fillId="0" borderId="0" xfId="15" applyNumberFormat="1" applyFont="1"/>
    <xf numFmtId="0" fontId="4" fillId="0" borderId="0" xfId="0" quotePrefix="1" applyFont="1" applyProtection="1">
      <protection locked="0"/>
    </xf>
    <xf numFmtId="0" fontId="32" fillId="19" borderId="0" xfId="0" applyFont="1" applyFill="1" applyAlignment="1" applyProtection="1">
      <alignment horizontal="center" vertical="center"/>
      <protection locked="0"/>
    </xf>
    <xf numFmtId="174" fontId="4" fillId="0" borderId="0" xfId="0" applyNumberFormat="1" applyFont="1" applyProtection="1">
      <protection locked="0"/>
    </xf>
    <xf numFmtId="0" fontId="4" fillId="20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176" fontId="4" fillId="0" borderId="0" xfId="8" applyNumberFormat="1" applyFont="1" applyAlignment="1" applyProtection="1">
      <alignment horizontal="right"/>
      <protection locked="0"/>
    </xf>
    <xf numFmtId="173" fontId="0" fillId="0" borderId="0" xfId="0" applyNumberFormat="1"/>
    <xf numFmtId="165" fontId="5" fillId="0" borderId="0" xfId="8" applyNumberFormat="1" applyFont="1" applyBorder="1" applyAlignment="1" applyProtection="1">
      <alignment horizontal="left" vertical="center" wrapText="1"/>
      <protection locked="0"/>
    </xf>
    <xf numFmtId="173" fontId="5" fillId="0" borderId="0" xfId="8" applyNumberFormat="1" applyFont="1" applyBorder="1" applyAlignment="1" applyProtection="1">
      <alignment horizontal="left" vertical="center" wrapText="1"/>
      <protection locked="0"/>
    </xf>
    <xf numFmtId="14" fontId="5" fillId="0" borderId="0" xfId="8" applyNumberFormat="1" applyFont="1" applyBorder="1" applyAlignment="1" applyProtection="1">
      <alignment horizontal="left" vertical="center" wrapText="1"/>
      <protection locked="0"/>
    </xf>
    <xf numFmtId="165" fontId="5" fillId="0" borderId="0" xfId="8" applyNumberFormat="1" applyFont="1" applyAlignment="1" applyProtection="1">
      <alignment horizontal="left" vertical="center" wrapText="1"/>
      <protection locked="0"/>
    </xf>
    <xf numFmtId="177" fontId="4" fillId="0" borderId="0" xfId="8" applyNumberFormat="1" applyFont="1" applyAlignment="1" applyProtection="1">
      <alignment horizontal="right"/>
      <protection locked="0"/>
    </xf>
    <xf numFmtId="168" fontId="17" fillId="0" borderId="0" xfId="8" applyNumberFormat="1" applyFont="1" applyFill="1" applyBorder="1" applyAlignment="1" applyProtection="1">
      <alignment horizontal="center" vertical="center" shrinkToFit="1"/>
    </xf>
    <xf numFmtId="0" fontId="7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horizontal="center"/>
      <protection locked="0"/>
    </xf>
    <xf numFmtId="171" fontId="10" fillId="0" borderId="0" xfId="8" quotePrefix="1" applyNumberFormat="1" applyFont="1" applyFill="1" applyAlignment="1" applyProtection="1">
      <alignment horizontal="center" vertical="center"/>
      <protection locked="0"/>
    </xf>
    <xf numFmtId="164" fontId="0" fillId="0" borderId="0" xfId="8" applyFont="1" applyFill="1" applyBorder="1" applyProtection="1"/>
    <xf numFmtId="0" fontId="7" fillId="0" borderId="0" xfId="0" applyFont="1" applyAlignment="1" applyProtection="1">
      <alignment horizontal="center"/>
      <protection locked="0"/>
    </xf>
    <xf numFmtId="164" fontId="0" fillId="0" borderId="0" xfId="0" applyNumberFormat="1" applyAlignment="1">
      <alignment horizontal="right"/>
    </xf>
    <xf numFmtId="164" fontId="0" fillId="0" borderId="0" xfId="8" applyFont="1" applyFill="1" applyBorder="1" applyAlignment="1" applyProtection="1">
      <alignment horizontal="right"/>
    </xf>
    <xf numFmtId="164" fontId="7" fillId="0" borderId="0" xfId="0" applyNumberFormat="1" applyFont="1"/>
    <xf numFmtId="168" fontId="7" fillId="0" borderId="0" xfId="8" applyNumberFormat="1" applyFont="1" applyFill="1" applyBorder="1" applyAlignment="1" applyProtection="1">
      <alignment horizontal="center" vertical="center" shrinkToFit="1"/>
    </xf>
    <xf numFmtId="171" fontId="0" fillId="0" borderId="0" xfId="0" applyNumberFormat="1" applyProtection="1">
      <protection locked="0"/>
    </xf>
    <xf numFmtId="0" fontId="0" fillId="0" borderId="0" xfId="0" applyAlignment="1">
      <alignment horizontal="right" vertical="center"/>
    </xf>
    <xf numFmtId="10" fontId="10" fillId="0" borderId="0" xfId="9" applyNumberFormat="1" applyFont="1" applyFill="1" applyBorder="1" applyAlignment="1">
      <alignment horizontal="center" vertical="center"/>
    </xf>
    <xf numFmtId="181" fontId="4" fillId="0" borderId="0" xfId="8" applyNumberFormat="1" applyFont="1" applyAlignment="1" applyProtection="1">
      <alignment horizontal="right"/>
      <protection locked="0"/>
    </xf>
    <xf numFmtId="168" fontId="0" fillId="0" borderId="0" xfId="8" applyNumberFormat="1" applyFont="1" applyFill="1" applyBorder="1" applyAlignment="1">
      <alignment horizontal="center" vertical="center"/>
    </xf>
    <xf numFmtId="176" fontId="4" fillId="0" borderId="0" xfId="0" applyNumberFormat="1" applyFont="1" applyAlignment="1" applyProtection="1">
      <alignment horizontal="right"/>
      <protection locked="0"/>
    </xf>
    <xf numFmtId="0" fontId="33" fillId="0" borderId="0" xfId="0" applyFont="1" applyAlignment="1">
      <alignment horizontal="center" vertical="center" wrapText="1"/>
    </xf>
    <xf numFmtId="0" fontId="31" fillId="18" borderId="0" xfId="0" applyFont="1" applyFill="1" applyAlignment="1" applyProtection="1">
      <alignment horizontal="center" vertical="center"/>
      <protection locked="0"/>
    </xf>
    <xf numFmtId="0" fontId="28" fillId="13" borderId="0" xfId="0" applyFont="1" applyFill="1" applyAlignment="1" applyProtection="1">
      <alignment horizontal="center" vertical="center"/>
      <protection locked="0"/>
    </xf>
    <xf numFmtId="175" fontId="29" fillId="11" borderId="0" xfId="0" applyNumberFormat="1" applyFont="1" applyFill="1" applyAlignment="1" applyProtection="1">
      <alignment horizontal="center" vertical="center"/>
      <protection locked="0"/>
    </xf>
    <xf numFmtId="0" fontId="29" fillId="14" borderId="0" xfId="0" applyFont="1" applyFill="1" applyAlignment="1" applyProtection="1">
      <alignment horizontal="center" vertical="center"/>
      <protection locked="0"/>
    </xf>
    <xf numFmtId="0" fontId="29" fillId="15" borderId="0" xfId="0" applyFont="1" applyFill="1" applyAlignment="1" applyProtection="1">
      <alignment horizontal="center" vertical="center"/>
      <protection locked="0"/>
    </xf>
    <xf numFmtId="0" fontId="22" fillId="16" borderId="0" xfId="0" applyFont="1" applyFill="1" applyAlignment="1" applyProtection="1">
      <alignment horizontal="center" vertical="center"/>
      <protection locked="0"/>
    </xf>
    <xf numFmtId="170" fontId="22" fillId="15" borderId="0" xfId="0" applyNumberFormat="1" applyFont="1" applyFill="1" applyAlignment="1">
      <alignment horizontal="center" vertical="center"/>
    </xf>
    <xf numFmtId="170" fontId="30" fillId="17" borderId="0" xfId="0" applyNumberFormat="1" applyFont="1" applyFill="1" applyAlignment="1">
      <alignment horizontal="center" vertical="center"/>
    </xf>
    <xf numFmtId="0" fontId="21" fillId="10" borderId="0" xfId="0" applyFont="1" applyFill="1" applyAlignment="1" applyProtection="1">
      <alignment horizontal="left" vertical="center"/>
      <protection locked="0"/>
    </xf>
    <xf numFmtId="0" fontId="29" fillId="11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7" fillId="6" borderId="7" xfId="0" applyFont="1" applyFill="1" applyBorder="1" applyAlignment="1" applyProtection="1">
      <alignment horizontal="center"/>
      <protection locked="0"/>
    </xf>
    <xf numFmtId="0" fontId="7" fillId="6" borderId="8" xfId="0" applyFont="1" applyFill="1" applyBorder="1" applyAlignment="1" applyProtection="1">
      <alignment horizontal="center"/>
      <protection locked="0"/>
    </xf>
    <xf numFmtId="168" fontId="7" fillId="6" borderId="9" xfId="8" applyNumberFormat="1" applyFont="1" applyFill="1" applyBorder="1" applyAlignment="1" applyProtection="1">
      <alignment horizontal="center" vertical="center" shrinkToFit="1"/>
    </xf>
    <xf numFmtId="168" fontId="7" fillId="6" borderId="17" xfId="8" applyNumberFormat="1" applyFont="1" applyFill="1" applyBorder="1" applyAlignment="1" applyProtection="1">
      <alignment horizontal="center" vertical="center" shrinkToFit="1"/>
    </xf>
    <xf numFmtId="0" fontId="13" fillId="0" borderId="0" xfId="0" applyFont="1" applyAlignment="1" applyProtection="1">
      <alignment horizontal="center" vertical="top" wrapText="1"/>
      <protection locked="0"/>
    </xf>
    <xf numFmtId="0" fontId="9" fillId="0" borderId="0" xfId="0" applyFont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7" fillId="0" borderId="0" xfId="0" applyFont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7" fillId="0" borderId="0" xfId="0" applyFont="1" applyAlignment="1" applyProtection="1">
      <alignment horizontal="left"/>
      <protection locked="0"/>
    </xf>
    <xf numFmtId="0" fontId="7" fillId="0" borderId="0" xfId="0" applyFont="1" applyProtection="1">
      <protection locked="0"/>
    </xf>
    <xf numFmtId="168" fontId="17" fillId="9" borderId="0" xfId="8" applyNumberFormat="1" applyFont="1" applyFill="1" applyBorder="1" applyAlignment="1" applyProtection="1">
      <alignment horizontal="center" vertical="center" shrinkToFit="1"/>
    </xf>
    <xf numFmtId="0" fontId="20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23" fillId="0" borderId="0" xfId="0" applyFont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26" xfId="0" applyFont="1" applyBorder="1" applyAlignment="1" applyProtection="1">
      <alignment horizontal="center" vertical="center"/>
      <protection locked="0"/>
    </xf>
    <xf numFmtId="0" fontId="9" fillId="0" borderId="27" xfId="0" applyFont="1" applyBorder="1" applyAlignment="1" applyProtection="1">
      <alignment horizontal="center" vertical="center"/>
      <protection locked="0"/>
    </xf>
    <xf numFmtId="0" fontId="9" fillId="0" borderId="28" xfId="0" applyFont="1" applyBorder="1" applyAlignment="1" applyProtection="1">
      <alignment horizontal="center" vertical="center"/>
      <protection locked="0"/>
    </xf>
    <xf numFmtId="0" fontId="9" fillId="0" borderId="29" xfId="0" applyFont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24" fillId="0" borderId="0" xfId="0" quotePrefix="1" applyFont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24" fillId="0" borderId="20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24" fillId="0" borderId="23" xfId="0" applyFont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</cellXfs>
  <cellStyles count="19">
    <cellStyle name="Acquitté" xfId="5" xr:uid="{00000000-0005-0000-0000-000000000000}"/>
    <cellStyle name="Chantier OK" xfId="1" xr:uid="{00000000-0005-0000-0000-000001000000}"/>
    <cellStyle name="Chantier Rejeté" xfId="2" xr:uid="{00000000-0005-0000-0000-000002000000}"/>
    <cellStyle name="Facture déclenchée" xfId="3" xr:uid="{00000000-0005-0000-0000-000003000000}"/>
    <cellStyle name="Monétaire" xfId="8" builtinId="4"/>
    <cellStyle name="Monétaire 2" xfId="11" xr:uid="{83E11519-6441-4FD9-9D8C-9A79EA4B51FF}"/>
    <cellStyle name="Monétaire 2 2" xfId="15" xr:uid="{19AFE8E6-ADC6-4D83-9380-57E89F27C501}"/>
    <cellStyle name="Monétaire 3" xfId="12" xr:uid="{85A280A1-9282-4477-98F8-7B7F91A538EE}"/>
    <cellStyle name="Monétaire 3 2" xfId="16" xr:uid="{08A3D016-B152-42B2-B400-C7101273276D}"/>
    <cellStyle name="Monétaire 4" xfId="13" xr:uid="{AFC54E7F-3E32-40E9-B2B4-4437369AD3A5}"/>
    <cellStyle name="Monétaire 4 2" xfId="17" xr:uid="{46C50246-B06F-4AEF-AD14-8BA123D61077}"/>
    <cellStyle name="Monétaire 5" xfId="14" xr:uid="{2B0F088A-B9F1-4B63-B7B7-C88A93CE774D}"/>
    <cellStyle name="Monétaire 6" xfId="18" xr:uid="{9A2556CB-8CB2-4A61-99BE-146DDDB42BB4}"/>
    <cellStyle name="Normal" xfId="0" builtinId="0"/>
    <cellStyle name="Poste" xfId="6" xr:uid="{00000000-0005-0000-0000-000007000000}"/>
    <cellStyle name="Pourcentage" xfId="9" builtinId="5"/>
    <cellStyle name="Sans nom1" xfId="4" xr:uid="{00000000-0005-0000-0000-000009000000}"/>
    <cellStyle name="Titre EMCBAT" xfId="10" xr:uid="{633F59F5-5CDC-4FF6-86D8-3A5CB1A7C566}"/>
    <cellStyle name="Vide" xfId="7" xr:uid="{00000000-0005-0000-0000-00000A000000}"/>
  </cellStyles>
  <dxfs count="101">
    <dxf>
      <fill>
        <patternFill>
          <bgColor rgb="FF92D050"/>
        </patternFill>
      </fill>
    </dxf>
    <dxf>
      <font>
        <b/>
        <i val="0"/>
        <strike val="0"/>
        <u/>
        <color rgb="FFA278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_-* #,##0\ [$€-40C]_-;\-* #,##0\ [$€-40C]_-;_-* &quot;-&quot;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6" formatCode="m/d/yyyy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6" formatCode="m/d/yyyy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81" formatCode="dd/mm/yy;@"/>
      <alignment horizontal="right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8" formatCode="#,##0.00\ &quot;€&quot;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7" formatCode="0#&quot; &quot;##&quot; &quot;##&quot; &quot;##&quot; &quot;##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6" formatCode="m/d/yyyy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6" formatCode="m/d/yyyy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7" formatCode="&quot;€&quot;#.##0\.00_);\(&quot;€&quot;#.##0\.00\)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&quot;€&quot;#,##0.00_);\(&quot;€&quot;#,##0.00\)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8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8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2"/>
        <name val="Arial"/>
        <scheme val="none"/>
      </font>
      <border diagonalUp="0" diagonalDown="0" outline="0">
        <left style="hair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0#&quot; &quot;##&quot; &quot;##&quot; &quot;##&quot; &quot;##"/>
      <border diagonalUp="0" diagonalDown="0">
        <left style="hair">
          <color indexed="8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8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8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border diagonalUp="0" diagonalDown="0">
        <left style="hair">
          <color indexed="8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border diagonalUp="0" diagonalDown="0">
        <left style="hair">
          <color indexed="8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border diagonalUp="0" diagonalDown="0">
        <left style="hair">
          <color indexed="8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9900"/>
      <rgbColor rgb="00000080"/>
      <rgbColor rgb="009966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99FF99"/>
      <rgbColor rgb="00CCFF99"/>
      <rgbColor rgb="00CCFF66"/>
      <rgbColor rgb="0099CCFF"/>
      <rgbColor rgb="00FF99CC"/>
      <rgbColor rgb="00CC99FF"/>
      <rgbColor rgb="00FFCCFF"/>
      <rgbColor rgb="003366FF"/>
      <rgbColor rgb="0066FF66"/>
      <rgbColor rgb="0099CC00"/>
      <rgbColor rgb="00FFCC00"/>
      <rgbColor rgb="00FF9900"/>
      <rgbColor rgb="00FF33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797"/>
      <color rgb="FFFC2C1C"/>
      <color rgb="FFFF0000"/>
      <color rgb="FFFF3300"/>
      <color rgb="FFCC0000"/>
      <color rgb="FFB38E05"/>
      <color rgb="FFF5B81F"/>
      <color rgb="FFFF66CC"/>
      <color rgb="FFA27800"/>
      <color rgb="FFDD15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Evaluation</a:t>
            </a:r>
            <a:r>
              <a:rPr lang="fr-FR" baseline="0"/>
              <a:t> de la facture moyenne</a:t>
            </a:r>
            <a:endParaRPr lang="fr-FR"/>
          </a:p>
        </c:rich>
      </c:tx>
      <c:layout>
        <c:manualLayout>
          <c:xMode val="edge"/>
          <c:yMode val="edge"/>
          <c:x val="0.19392040651506245"/>
          <c:y val="0.5751632910553817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933970405556194E-2"/>
          <c:y val="1.9364975211431906E-2"/>
          <c:w val="0.93843198535478134"/>
          <c:h val="0.96854174565633255"/>
        </c:manualLayout>
      </c:layout>
      <c:doughnutChart>
        <c:varyColors val="1"/>
        <c:ser>
          <c:idx val="0"/>
          <c:order val="0"/>
          <c:tx>
            <c:v>Tranches</c:v>
          </c:tx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073-45BF-AB70-7C41B8FDF18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073-45BF-AB70-7C41B8FDF18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073-45BF-AB70-7C41B8FDF18B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073-45BF-AB70-7C41B8FDF18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073-45BF-AB70-7C41B8FDF18B}"/>
              </c:ext>
            </c:extLst>
          </c:dPt>
          <c:dPt>
            <c:idx val="5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073-45BF-AB70-7C41B8FDF18B}"/>
              </c:ext>
            </c:extLst>
          </c:dPt>
          <c:val>
            <c:numLit>
              <c:formatCode>General</c:formatCode>
              <c:ptCount val="4"/>
              <c:pt idx="0">
                <c:v>33.333333333333336</c:v>
              </c:pt>
              <c:pt idx="1">
                <c:v>33.333333333333336</c:v>
              </c:pt>
              <c:pt idx="2">
                <c:v>33.333333333333336</c:v>
              </c:pt>
              <c:pt idx="3">
                <c:v>100</c:v>
              </c:pt>
            </c:numLit>
          </c:val>
          <c:extLst>
            <c:ext xmlns:c16="http://schemas.microsoft.com/office/drawing/2014/chart" uri="{C3380CC4-5D6E-409C-BE32-E72D297353CC}">
              <c16:uniqueId val="{0000000C-8073-45BF-AB70-7C41B8FDF1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8073-45BF-AB70-7C41B8FDF18B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8073-45BF-AB70-7C41B8FDF18B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8073-45BF-AB70-7C41B8FDF18B}"/>
              </c:ext>
            </c:extLst>
          </c:dPt>
          <c:val>
            <c:numLit>
              <c:formatCode>General</c:formatCode>
              <c:ptCount val="3"/>
              <c:pt idx="0">
                <c:v>18.962072188365646</c:v>
              </c:pt>
              <c:pt idx="1">
                <c:v>2</c:v>
              </c:pt>
              <c:pt idx="2">
                <c:v>179.03792781163435</c:v>
              </c:pt>
            </c:numLit>
          </c:val>
          <c:extLst>
            <c:ext xmlns:c16="http://schemas.microsoft.com/office/drawing/2014/chart" uri="{C3380CC4-5D6E-409C-BE32-E72D297353CC}">
              <c16:uniqueId val="{00000013-8073-45BF-AB70-7C41B8FDF1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C.A.</a:t>
            </a:r>
            <a:r>
              <a:rPr lang="fr-FR" b="1" baseline="0">
                <a:solidFill>
                  <a:schemeClr val="bg1"/>
                </a:solidFill>
              </a:rPr>
              <a:t> mensuelle</a:t>
            </a:r>
            <a:endParaRPr lang="fr-FR" b="1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0.3958638138138138"/>
          <c:y val="3.79813084112149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554504504504506E-2"/>
          <c:y val="0.15648420943815577"/>
          <c:w val="0.90644333692937307"/>
          <c:h val="0.72577848574127068"/>
        </c:manualLayout>
      </c:layout>
      <c:lineChart>
        <c:grouping val="standard"/>
        <c:varyColors val="0"/>
        <c:ser>
          <c:idx val="0"/>
          <c:order val="0"/>
          <c:tx>
            <c:v>"C.A."</c:v>
          </c:tx>
          <c:spPr>
            <a:ln w="31750" cap="rnd">
              <a:solidFill>
                <a:schemeClr val="accent1"/>
              </a:solidFill>
              <a:round/>
              <a:headEnd w="lg" len="lg"/>
              <a:tailEnd w="lg" len="lg"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TDB!$AK$24:$AW$24</c15:sqref>
                  </c15:fullRef>
                </c:ext>
              </c:extLst>
              <c:f>TDB!$AL$24:$AW$24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TDB!$AK$25:$AW$25</c15:sqref>
                  </c15:fullRef>
                </c:ext>
              </c:extLst>
              <c:f>TDB!$AL$25:$AW$25</c:f>
              <c:numCache>
                <c:formatCode>_-* #\ ##0\ [$€-40C]_-;\-* #\ ##0\ [$€-40C]_-;_-* "-"\ [$€-40C]_-;_-@_-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8074-420D-8420-A92C53E7F84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2857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dropLines>
        <c:smooth val="0"/>
        <c:axId val="524389776"/>
        <c:axId val="524390104"/>
      </c:lineChart>
      <c:catAx>
        <c:axId val="524389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390104"/>
        <c:crosses val="autoZero"/>
        <c:auto val="1"/>
        <c:lblAlgn val="ctr"/>
        <c:lblOffset val="100"/>
        <c:noMultiLvlLbl val="0"/>
      </c:catAx>
      <c:valAx>
        <c:axId val="524390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accent6">
                  <a:lumMod val="50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389776"/>
        <c:crosses val="autoZero"/>
        <c:crossBetween val="between"/>
      </c:valAx>
      <c:spPr>
        <a:solidFill>
          <a:srgbClr val="EAAD00"/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CC9900"/>
    </a:solidFill>
    <a:ln w="9525" cap="flat" cmpd="sng" algn="ctr">
      <a:solidFill>
        <a:srgbClr val="CC99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Evaluation</a:t>
            </a:r>
            <a:r>
              <a:rPr lang="fr-FR" baseline="0"/>
              <a:t> de la facture moyenne</a:t>
            </a:r>
            <a:endParaRPr lang="fr-FR"/>
          </a:p>
        </c:rich>
      </c:tx>
      <c:layout>
        <c:manualLayout>
          <c:xMode val="edge"/>
          <c:yMode val="edge"/>
          <c:x val="0.19392040651506245"/>
          <c:y val="0.5751632910553817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933970405556194E-2"/>
          <c:y val="1.9364975211431906E-2"/>
          <c:w val="0.93843198535478134"/>
          <c:h val="0.96854174565633255"/>
        </c:manualLayout>
      </c:layout>
      <c:doughnutChart>
        <c:varyColors val="1"/>
        <c:ser>
          <c:idx val="0"/>
          <c:order val="0"/>
          <c:tx>
            <c:v>Tranches</c:v>
          </c:tx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A1E-49A6-85F4-0C8BE3A8665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A1E-49A6-85F4-0C8BE3A8665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A1E-49A6-85F4-0C8BE3A86656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FA1E-49A6-85F4-0C8BE3A8665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FA1E-49A6-85F4-0C8BE3A86656}"/>
              </c:ext>
            </c:extLst>
          </c:dPt>
          <c:dPt>
            <c:idx val="5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FA1E-49A6-85F4-0C8BE3A86656}"/>
              </c:ext>
            </c:extLst>
          </c:dPt>
          <c:val>
            <c:numRef>
              <c:f>Traitement!$B$11:$B$14</c:f>
              <c:numCache>
                <c:formatCode>General</c:formatCode>
                <c:ptCount val="4"/>
                <c:pt idx="0">
                  <c:v>33.333333333333336</c:v>
                </c:pt>
                <c:pt idx="1">
                  <c:v>33.333333333333336</c:v>
                </c:pt>
                <c:pt idx="2">
                  <c:v>33.333333333333336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A1E-49A6-85F4-0C8BE3A866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FA1E-49A6-85F4-0C8BE3A86656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FA1E-49A6-85F4-0C8BE3A8665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FA1E-49A6-85F4-0C8BE3A86656}"/>
              </c:ext>
            </c:extLst>
          </c:dPt>
          <c:val>
            <c:numRef>
              <c:f>Traitement!$B$16:$B$18</c:f>
              <c:numCache>
                <c:formatCode>General</c:formatCode>
                <c:ptCount val="3"/>
                <c:pt idx="0">
                  <c:v>0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FA1E-49A6-85F4-0C8BE3A866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5" dropStyle="combo" dx="26" fmlaLink="$AK$18" fmlaRange="Traitement!$F$2:$N$4" noThreeD="1" sel="3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Relationship Id="rId5" Type="http://schemas.openxmlformats.org/officeDocument/2006/relationships/chart" Target="../charts/chart2.xml"/><Relationship Id="rId4" Type="http://schemas.microsoft.com/office/2007/relationships/hdphoto" Target="../media/hdphoto1.wdp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25405</xdr:colOff>
      <xdr:row>5</xdr:row>
      <xdr:rowOff>19050</xdr:rowOff>
    </xdr:from>
    <xdr:to>
      <xdr:col>7</xdr:col>
      <xdr:colOff>11455</xdr:colOff>
      <xdr:row>16</xdr:row>
      <xdr:rowOff>57682</xdr:rowOff>
    </xdr:to>
    <xdr:pic>
      <xdr:nvPicPr>
        <xdr:cNvPr id="3" name="Image 2" descr="Logo Prog.jp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405" y="812800"/>
          <a:ext cx="1967250" cy="1784882"/>
        </a:xfrm>
        <a:prstGeom prst="rect">
          <a:avLst/>
        </a:prstGeom>
      </xdr:spPr>
    </xdr:pic>
    <xdr:clientData/>
  </xdr:twoCellAnchor>
  <xdr:twoCellAnchor>
    <xdr:from>
      <xdr:col>29</xdr:col>
      <xdr:colOff>8467</xdr:colOff>
      <xdr:row>10</xdr:row>
      <xdr:rowOff>137598</xdr:rowOff>
    </xdr:from>
    <xdr:to>
      <xdr:col>34</xdr:col>
      <xdr:colOff>48375</xdr:colOff>
      <xdr:row>13</xdr:row>
      <xdr:rowOff>89538</xdr:rowOff>
    </xdr:to>
    <xdr:sp macro="[0]!OuvreFormulaireDevis" textlink="">
      <xdr:nvSpPr>
        <xdr:cNvPr id="4" name="Rectangle à coins arrondis 17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 bwMode="auto">
        <a:xfrm>
          <a:off x="11125200" y="1746265"/>
          <a:ext cx="1648575" cy="434540"/>
        </a:xfrm>
        <a:prstGeom prst="roundRect">
          <a:avLst/>
        </a:prstGeom>
        <a:gradFill>
          <a:gsLst>
            <a:gs pos="0">
              <a:schemeClr val="accent6">
                <a:lumMod val="50000"/>
              </a:schemeClr>
            </a:gs>
            <a:gs pos="80000">
              <a:schemeClr val="accent6">
                <a:lumMod val="75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Saisie N° Devis</a:t>
          </a:r>
        </a:p>
      </xdr:txBody>
    </xdr:sp>
    <xdr:clientData/>
  </xdr:twoCellAnchor>
  <xdr:twoCellAnchor>
    <xdr:from>
      <xdr:col>29</xdr:col>
      <xdr:colOff>8467</xdr:colOff>
      <xdr:row>6</xdr:row>
      <xdr:rowOff>115399</xdr:rowOff>
    </xdr:from>
    <xdr:to>
      <xdr:col>34</xdr:col>
      <xdr:colOff>55995</xdr:colOff>
      <xdr:row>9</xdr:row>
      <xdr:rowOff>67339</xdr:rowOff>
    </xdr:to>
    <xdr:sp macro="[0]!OuvreFormulaireClient" textlink="">
      <xdr:nvSpPr>
        <xdr:cNvPr id="5" name="Rectangle à coins arrondis 18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 bwMode="auto">
        <a:xfrm>
          <a:off x="11125200" y="1080599"/>
          <a:ext cx="1656195" cy="43454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Saisie Client</a:t>
          </a:r>
        </a:p>
      </xdr:txBody>
    </xdr:sp>
    <xdr:clientData/>
  </xdr:twoCellAnchor>
  <xdr:twoCellAnchor>
    <xdr:from>
      <xdr:col>29</xdr:col>
      <xdr:colOff>8467</xdr:colOff>
      <xdr:row>27</xdr:row>
      <xdr:rowOff>52409</xdr:rowOff>
    </xdr:from>
    <xdr:to>
      <xdr:col>33</xdr:col>
      <xdr:colOff>297391</xdr:colOff>
      <xdr:row>30</xdr:row>
      <xdr:rowOff>4349</xdr:rowOff>
    </xdr:to>
    <xdr:sp macro="[0]!OuvrefrmCPVille.OuvrefrmCPVille" textlink="">
      <xdr:nvSpPr>
        <xdr:cNvPr id="7" name="Rectangle à coins arrondis 20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 bwMode="auto">
        <a:xfrm>
          <a:off x="11125200" y="4395809"/>
          <a:ext cx="1575858" cy="434540"/>
        </a:xfrm>
        <a:prstGeom prst="round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162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 contourW="12700">
          <a:bevelT/>
          <a:contourClr>
            <a:schemeClr val="accent6">
              <a:lumMod val="50000"/>
            </a:schemeClr>
          </a:contourClr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CP Ville</a:t>
          </a:r>
        </a:p>
      </xdr:txBody>
    </xdr:sp>
    <xdr:clientData/>
  </xdr:twoCellAnchor>
  <xdr:twoCellAnchor>
    <xdr:from>
      <xdr:col>29</xdr:col>
      <xdr:colOff>8467</xdr:colOff>
      <xdr:row>14</xdr:row>
      <xdr:rowOff>159798</xdr:rowOff>
    </xdr:from>
    <xdr:to>
      <xdr:col>34</xdr:col>
      <xdr:colOff>48375</xdr:colOff>
      <xdr:row>17</xdr:row>
      <xdr:rowOff>111738</xdr:rowOff>
    </xdr:to>
    <xdr:sp macro="[0]!SaisieDetail.SaisieDetail" textlink="">
      <xdr:nvSpPr>
        <xdr:cNvPr id="8" name="Rectangle à coins arrondis 1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 bwMode="auto">
        <a:xfrm>
          <a:off x="11125200" y="2411931"/>
          <a:ext cx="1648575" cy="434540"/>
        </a:xfrm>
        <a:prstGeom prst="roundRect">
          <a:avLst/>
        </a:prstGeom>
        <a:gradFill>
          <a:gsLst>
            <a:gs pos="0">
              <a:schemeClr val="accent3">
                <a:lumMod val="50000"/>
              </a:schemeClr>
            </a:gs>
            <a:gs pos="80000">
              <a:schemeClr val="accent3">
                <a:lumMod val="75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Saisie Détail</a:t>
          </a:r>
        </a:p>
      </xdr:txBody>
    </xdr:sp>
    <xdr:clientData/>
  </xdr:twoCellAnchor>
  <xdr:twoCellAnchor>
    <xdr:from>
      <xdr:col>1</xdr:col>
      <xdr:colOff>28588</xdr:colOff>
      <xdr:row>20</xdr:row>
      <xdr:rowOff>6</xdr:rowOff>
    </xdr:from>
    <xdr:to>
      <xdr:col>7</xdr:col>
      <xdr:colOff>14638</xdr:colOff>
      <xdr:row>31</xdr:row>
      <xdr:rowOff>54831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26</xdr:col>
      <xdr:colOff>0</xdr:colOff>
      <xdr:row>0</xdr:row>
      <xdr:rowOff>66675</xdr:rowOff>
    </xdr:from>
    <xdr:to>
      <xdr:col>27</xdr:col>
      <xdr:colOff>297675</xdr:colOff>
      <xdr:row>4</xdr:row>
      <xdr:rowOff>30975</xdr:rowOff>
    </xdr:to>
    <xdr:pic>
      <xdr:nvPicPr>
        <xdr:cNvPr id="29" name="Image 28" descr="Dashboard.png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biLevel thresh="25000"/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colorTemperature colorTemp="47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8023860" y="66675"/>
          <a:ext cx="617715" cy="604380"/>
        </a:xfrm>
        <a:prstGeom prst="rect">
          <a:avLst/>
        </a:prstGeom>
        <a:ln>
          <a:noFill/>
        </a:ln>
        <a:effec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17</xdr:row>
          <xdr:rowOff>19050</xdr:rowOff>
        </xdr:from>
        <xdr:to>
          <xdr:col>5</xdr:col>
          <xdr:colOff>133350</xdr:colOff>
          <xdr:row>18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8</xdr:col>
      <xdr:colOff>0</xdr:colOff>
      <xdr:row>18</xdr:row>
      <xdr:rowOff>30480</xdr:rowOff>
    </xdr:from>
    <xdr:to>
      <xdr:col>28</xdr:col>
      <xdr:colOff>83185</xdr:colOff>
      <xdr:row>31</xdr:row>
      <xdr:rowOff>78390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281940</xdr:colOff>
      <xdr:row>6</xdr:row>
      <xdr:rowOff>144780</xdr:rowOff>
    </xdr:from>
    <xdr:to>
      <xdr:col>11</xdr:col>
      <xdr:colOff>312420</xdr:colOff>
      <xdr:row>9</xdr:row>
      <xdr:rowOff>7620</xdr:rowOff>
    </xdr:to>
    <xdr:sp macro="" textlink="">
      <xdr:nvSpPr>
        <xdr:cNvPr id="27" name="Organigramme : Alternativ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 bwMode="auto">
        <a:xfrm>
          <a:off x="2202180" y="1104900"/>
          <a:ext cx="1310640" cy="342900"/>
        </a:xfrm>
        <a:prstGeom prst="flowChartAlternateProcess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/>
            <a:t>Nb de Client</a:t>
          </a:r>
          <a:endParaRPr lang="fr-FR" sz="1100" b="1"/>
        </a:p>
      </xdr:txBody>
    </xdr:sp>
    <xdr:clientData/>
  </xdr:twoCellAnchor>
  <xdr:twoCellAnchor>
    <xdr:from>
      <xdr:col>11</xdr:col>
      <xdr:colOff>293370</xdr:colOff>
      <xdr:row>6</xdr:row>
      <xdr:rowOff>144780</xdr:rowOff>
    </xdr:from>
    <xdr:to>
      <xdr:col>16</xdr:col>
      <xdr:colOff>3810</xdr:colOff>
      <xdr:row>9</xdr:row>
      <xdr:rowOff>7620</xdr:rowOff>
    </xdr:to>
    <xdr:sp macro="" textlink="">
      <xdr:nvSpPr>
        <xdr:cNvPr id="38" name="Organigramme : Alternativ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 bwMode="auto">
        <a:xfrm>
          <a:off x="3493770" y="1104900"/>
          <a:ext cx="1310640" cy="342900"/>
        </a:xfrm>
        <a:prstGeom prst="flowChartAlternateProcess">
          <a:avLst/>
        </a:prstGeom>
        <a:gradFill>
          <a:gsLst>
            <a:gs pos="0">
              <a:schemeClr val="accent6">
                <a:lumMod val="50000"/>
              </a:schemeClr>
            </a:gs>
            <a:gs pos="80000">
              <a:schemeClr val="accent6">
                <a:lumMod val="75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/>
            <a:t>Nb de Devis</a:t>
          </a:r>
          <a:endParaRPr lang="fr-FR" sz="1100" b="1"/>
        </a:p>
      </xdr:txBody>
    </xdr:sp>
    <xdr:clientData/>
  </xdr:twoCellAnchor>
  <xdr:twoCellAnchor>
    <xdr:from>
      <xdr:col>19</xdr:col>
      <xdr:colOff>316230</xdr:colOff>
      <xdr:row>6</xdr:row>
      <xdr:rowOff>144780</xdr:rowOff>
    </xdr:from>
    <xdr:to>
      <xdr:col>24</xdr:col>
      <xdr:colOff>26670</xdr:colOff>
      <xdr:row>9</xdr:row>
      <xdr:rowOff>7620</xdr:rowOff>
    </xdr:to>
    <xdr:sp macro="" textlink="">
      <xdr:nvSpPr>
        <xdr:cNvPr id="39" name="Organigramme : Alternativ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 bwMode="auto">
        <a:xfrm>
          <a:off x="6076950" y="1104900"/>
          <a:ext cx="1310640" cy="342900"/>
        </a:xfrm>
        <a:prstGeom prst="flowChartAlternateProcess">
          <a:avLst/>
        </a:prstGeom>
        <a:gradFill>
          <a:gsLst>
            <a:gs pos="0">
              <a:schemeClr val="accent6">
                <a:lumMod val="50000"/>
              </a:schemeClr>
            </a:gs>
            <a:gs pos="80000">
              <a:schemeClr val="accent6">
                <a:lumMod val="75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/>
            <a:t>Total</a:t>
          </a:r>
          <a:r>
            <a:rPr lang="fr-FR" sz="1400" b="1" baseline="0"/>
            <a:t> Devis</a:t>
          </a:r>
          <a:endParaRPr lang="fr-FR" sz="1100" b="1"/>
        </a:p>
      </xdr:txBody>
    </xdr:sp>
    <xdr:clientData/>
  </xdr:twoCellAnchor>
  <xdr:twoCellAnchor>
    <xdr:from>
      <xdr:col>15</xdr:col>
      <xdr:colOff>304800</xdr:colOff>
      <xdr:row>6</xdr:row>
      <xdr:rowOff>144780</xdr:rowOff>
    </xdr:from>
    <xdr:to>
      <xdr:col>20</xdr:col>
      <xdr:colOff>15240</xdr:colOff>
      <xdr:row>9</xdr:row>
      <xdr:rowOff>7620</xdr:rowOff>
    </xdr:to>
    <xdr:sp macro="" textlink="">
      <xdr:nvSpPr>
        <xdr:cNvPr id="40" name="Organigramme : Alternativ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 bwMode="auto">
        <a:xfrm>
          <a:off x="4785360" y="1104900"/>
          <a:ext cx="1310640" cy="342900"/>
        </a:xfrm>
        <a:prstGeom prst="flowChartAlternateProcess">
          <a:avLst/>
        </a:prstGeom>
        <a:gradFill>
          <a:gsLst>
            <a:gs pos="0">
              <a:schemeClr val="accent3">
                <a:lumMod val="50000"/>
              </a:schemeClr>
            </a:gs>
            <a:gs pos="80000">
              <a:schemeClr val="accent3">
                <a:lumMod val="75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/>
            <a:t>Nb de Factures</a:t>
          </a:r>
          <a:endParaRPr lang="fr-FR" sz="1100" b="1"/>
        </a:p>
      </xdr:txBody>
    </xdr:sp>
    <xdr:clientData/>
  </xdr:twoCellAnchor>
  <xdr:twoCellAnchor>
    <xdr:from>
      <xdr:col>24</xdr:col>
      <xdr:colOff>7620</xdr:colOff>
      <xdr:row>6</xdr:row>
      <xdr:rowOff>144780</xdr:rowOff>
    </xdr:from>
    <xdr:to>
      <xdr:col>28</xdr:col>
      <xdr:colOff>38100</xdr:colOff>
      <xdr:row>9</xdr:row>
      <xdr:rowOff>7620</xdr:rowOff>
    </xdr:to>
    <xdr:sp macro="" textlink="">
      <xdr:nvSpPr>
        <xdr:cNvPr id="41" name="Organigramme : Alternativ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 bwMode="auto">
        <a:xfrm>
          <a:off x="7368540" y="1104900"/>
          <a:ext cx="1310640" cy="342900"/>
        </a:xfrm>
        <a:prstGeom prst="flowChartAlternateProcess">
          <a:avLst/>
        </a:prstGeom>
        <a:gradFill>
          <a:gsLst>
            <a:gs pos="0">
              <a:srgbClr val="CC0000"/>
            </a:gs>
            <a:gs pos="80000">
              <a:srgbClr val="FF0000"/>
            </a:gs>
            <a:gs pos="100000">
              <a:srgbClr val="FF3300"/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/>
            <a:t>Chiffre d'affaire</a:t>
          </a:r>
          <a:endParaRPr lang="fr-FR" sz="1100" b="1"/>
        </a:p>
      </xdr:txBody>
    </xdr:sp>
    <xdr:clientData/>
  </xdr:twoCellAnchor>
  <xdr:twoCellAnchor>
    <xdr:from>
      <xdr:col>29</xdr:col>
      <xdr:colOff>8467</xdr:colOff>
      <xdr:row>19</xdr:row>
      <xdr:rowOff>21130</xdr:rowOff>
    </xdr:from>
    <xdr:to>
      <xdr:col>34</xdr:col>
      <xdr:colOff>32500</xdr:colOff>
      <xdr:row>21</xdr:row>
      <xdr:rowOff>127376</xdr:rowOff>
    </xdr:to>
    <xdr:sp macro="[0]!Ouv_Devis_Modif.Ouv_Devis_Modif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 bwMode="auto">
        <a:xfrm>
          <a:off x="11125200" y="3077597"/>
          <a:ext cx="1632700" cy="427979"/>
        </a:xfrm>
        <a:prstGeom prst="roundRect">
          <a:avLst/>
        </a:prstGeom>
        <a:gradFill>
          <a:gsLst>
            <a:gs pos="0">
              <a:schemeClr val="accent2">
                <a:lumMod val="50000"/>
              </a:schemeClr>
            </a:gs>
            <a:gs pos="80000">
              <a:schemeClr val="accent2">
                <a:lumMod val="75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Modif Devis</a:t>
          </a:r>
        </a:p>
      </xdr:txBody>
    </xdr:sp>
    <xdr:clientData/>
  </xdr:twoCellAnchor>
  <xdr:twoCellAnchor>
    <xdr:from>
      <xdr:col>29</xdr:col>
      <xdr:colOff>8467</xdr:colOff>
      <xdr:row>23</xdr:row>
      <xdr:rowOff>36769</xdr:rowOff>
    </xdr:from>
    <xdr:to>
      <xdr:col>34</xdr:col>
      <xdr:colOff>32500</xdr:colOff>
      <xdr:row>25</xdr:row>
      <xdr:rowOff>143014</xdr:rowOff>
    </xdr:to>
    <xdr:sp macro="[0]!Facturation.Facturation" textlink="">
      <xdr:nvSpPr>
        <xdr:cNvPr id="21" name="Rectangle à coins arrondis 17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 bwMode="auto">
        <a:xfrm>
          <a:off x="11125200" y="3736702"/>
          <a:ext cx="1632700" cy="427979"/>
        </a:xfrm>
        <a:prstGeom prst="roundRect">
          <a:avLst/>
        </a:prstGeom>
        <a:gradFill rotWithShape="1">
          <a:gsLst>
            <a:gs pos="0">
              <a:srgbClr val="FF0000"/>
            </a:gs>
            <a:gs pos="66000">
              <a:srgbClr val="FC2C1C"/>
            </a:gs>
            <a:gs pos="100000">
              <a:srgbClr val="FF9797"/>
            </a:gs>
          </a:gsLst>
          <a:lin ang="16200000" scaled="0"/>
        </a:gradFill>
        <a:ln>
          <a:noFill/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wrap="square" lIns="18288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Facturation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57150</xdr:rowOff>
    </xdr:from>
    <xdr:to>
      <xdr:col>6</xdr:col>
      <xdr:colOff>0</xdr:colOff>
      <xdr:row>24</xdr:row>
      <xdr:rowOff>66675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CxnSpPr/>
      </xdr:nvCxnSpPr>
      <xdr:spPr bwMode="auto">
        <a:xfrm>
          <a:off x="266700" y="4038600"/>
          <a:ext cx="7410450" cy="9525"/>
        </a:xfrm>
        <a:prstGeom prst="line">
          <a:avLst/>
        </a:prstGeom>
        <a:ln>
          <a:solidFill>
            <a:srgbClr val="A27800"/>
          </a:solidFill>
          <a:headEnd type="none" w="med" len="med"/>
          <a:tailEnd type="none" w="med" len="med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26</xdr:row>
      <xdr:rowOff>66675</xdr:rowOff>
    </xdr:from>
    <xdr:to>
      <xdr:col>6</xdr:col>
      <xdr:colOff>0</xdr:colOff>
      <xdr:row>26</xdr:row>
      <xdr:rowOff>66675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 bwMode="auto">
        <a:xfrm>
          <a:off x="266700" y="4371975"/>
          <a:ext cx="7410450" cy="0"/>
        </a:xfrm>
        <a:prstGeom prst="line">
          <a:avLst/>
        </a:prstGeom>
        <a:ln>
          <a:solidFill>
            <a:srgbClr val="A27800"/>
          </a:solidFill>
          <a:headEnd type="none" w="med" len="med"/>
          <a:tailEnd type="none" w="med" len="med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47624</xdr:colOff>
      <xdr:row>1</xdr:row>
      <xdr:rowOff>28574</xdr:rowOff>
    </xdr:from>
    <xdr:to>
      <xdr:col>1</xdr:col>
      <xdr:colOff>2852546</xdr:colOff>
      <xdr:row>16</xdr:row>
      <xdr:rowOff>5601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4" y="190499"/>
          <a:ext cx="2804922" cy="2646971"/>
        </a:xfrm>
        <a:prstGeom prst="rect">
          <a:avLst/>
        </a:prstGeom>
      </xdr:spPr>
    </xdr:pic>
    <xdr:clientData/>
  </xdr:twoCellAnchor>
  <xdr:twoCellAnchor>
    <xdr:from>
      <xdr:col>7</xdr:col>
      <xdr:colOff>95537</xdr:colOff>
      <xdr:row>13</xdr:row>
      <xdr:rowOff>41563</xdr:rowOff>
    </xdr:from>
    <xdr:to>
      <xdr:col>9</xdr:col>
      <xdr:colOff>368657</xdr:colOff>
      <xdr:row>15</xdr:row>
      <xdr:rowOff>66283</xdr:rowOff>
    </xdr:to>
    <xdr:sp macro="[0]!EnregDevis.EnregDevi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 bwMode="auto">
        <a:xfrm>
          <a:off x="7982237" y="2243743"/>
          <a:ext cx="1980000" cy="3600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Enregistrement</a:t>
          </a:r>
          <a:r>
            <a:rPr lang="fr-FR" sz="1200" b="1" baseline="0"/>
            <a:t> </a:t>
          </a:r>
          <a:r>
            <a:rPr lang="fr-FR" sz="1200" b="1"/>
            <a:t>Devis</a:t>
          </a:r>
        </a:p>
      </xdr:txBody>
    </xdr:sp>
    <xdr:clientData/>
  </xdr:twoCellAnchor>
  <xdr:twoCellAnchor>
    <xdr:from>
      <xdr:col>9</xdr:col>
      <xdr:colOff>451947</xdr:colOff>
      <xdr:row>13</xdr:row>
      <xdr:rowOff>44534</xdr:rowOff>
    </xdr:from>
    <xdr:to>
      <xdr:col>12</xdr:col>
      <xdr:colOff>519327</xdr:colOff>
      <xdr:row>15</xdr:row>
      <xdr:rowOff>69254</xdr:rowOff>
    </xdr:to>
    <xdr:sp macro="[0]!Mise_en_pag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 bwMode="auto">
        <a:xfrm>
          <a:off x="10045527" y="2246714"/>
          <a:ext cx="1980000" cy="360000"/>
        </a:xfrm>
        <a:prstGeom prst="roundRect">
          <a:avLst/>
        </a:prstGeom>
        <a:gradFill rotWithShape="1">
          <a:gsLst>
            <a:gs pos="0">
              <a:srgbClr val="F79646">
                <a:shade val="51000"/>
                <a:satMod val="130000"/>
              </a:srgbClr>
            </a:gs>
            <a:gs pos="80000">
              <a:srgbClr val="F79646">
                <a:shade val="93000"/>
                <a:satMod val="130000"/>
              </a:srgbClr>
            </a:gs>
            <a:gs pos="100000">
              <a:srgbClr val="F79646">
                <a:shade val="94000"/>
                <a:satMod val="135000"/>
              </a:srgbClr>
            </a:gs>
          </a:gsLst>
          <a:lin ang="16200000" scaled="0"/>
        </a:gradFill>
        <a:ln>
          <a:noFill/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wrap="square" lIns="18288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Mise en Page &amp; Impression</a:t>
          </a:r>
        </a:p>
      </xdr:txBody>
    </xdr:sp>
    <xdr:clientData/>
  </xdr:twoCellAnchor>
  <xdr:twoCellAnchor>
    <xdr:from>
      <xdr:col>1</xdr:col>
      <xdr:colOff>0</xdr:colOff>
      <xdr:row>55</xdr:row>
      <xdr:rowOff>123825</xdr:rowOff>
    </xdr:from>
    <xdr:to>
      <xdr:col>5</xdr:col>
      <xdr:colOff>838200</xdr:colOff>
      <xdr:row>55</xdr:row>
      <xdr:rowOff>142875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CxnSpPr/>
      </xdr:nvCxnSpPr>
      <xdr:spPr bwMode="auto">
        <a:xfrm>
          <a:off x="274320" y="10951845"/>
          <a:ext cx="7581900" cy="19050"/>
        </a:xfrm>
        <a:prstGeom prst="line">
          <a:avLst/>
        </a:prstGeom>
        <a:ln>
          <a:solidFill>
            <a:srgbClr val="A27800"/>
          </a:solidFill>
          <a:headEnd type="none" w="med" len="med"/>
          <a:tailEnd type="none" w="med" len="med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</xdr:colOff>
      <xdr:row>15</xdr:row>
      <xdr:rowOff>144780</xdr:rowOff>
    </xdr:from>
    <xdr:to>
      <xdr:col>9</xdr:col>
      <xdr:colOff>349320</xdr:colOff>
      <xdr:row>18</xdr:row>
      <xdr:rowOff>1860</xdr:rowOff>
    </xdr:to>
    <xdr:sp macro="[0]!Modif_Devis.Modif_devis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 bwMode="auto">
        <a:xfrm>
          <a:off x="8290560" y="2872740"/>
          <a:ext cx="1980000" cy="360000"/>
        </a:xfrm>
        <a:prstGeom prst="roundRect">
          <a:avLst/>
        </a:prstGeom>
        <a:gradFill>
          <a:gsLst>
            <a:gs pos="0">
              <a:schemeClr val="accent2">
                <a:lumMod val="50000"/>
              </a:schemeClr>
            </a:gs>
            <a:gs pos="8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Enreg</a:t>
          </a:r>
          <a:r>
            <a:rPr lang="fr-FR" sz="1200" b="1" baseline="0"/>
            <a:t> </a:t>
          </a:r>
          <a:r>
            <a:rPr lang="fr-FR" sz="1200" b="1"/>
            <a:t>Devis Modifié</a:t>
          </a:r>
        </a:p>
      </xdr:txBody>
    </xdr:sp>
    <xdr:clientData/>
  </xdr:twoCellAnchor>
  <xdr:twoCellAnchor>
    <xdr:from>
      <xdr:col>9</xdr:col>
      <xdr:colOff>457200</xdr:colOff>
      <xdr:row>15</xdr:row>
      <xdr:rowOff>152400</xdr:rowOff>
    </xdr:from>
    <xdr:to>
      <xdr:col>12</xdr:col>
      <xdr:colOff>524580</xdr:colOff>
      <xdr:row>18</xdr:row>
      <xdr:rowOff>9480</xdr:rowOff>
    </xdr:to>
    <xdr:sp macro="[0]!Misenpage_sansprix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 bwMode="auto">
        <a:xfrm>
          <a:off x="10378440" y="2880360"/>
          <a:ext cx="1980000" cy="360000"/>
        </a:xfrm>
        <a:prstGeom prst="roundRect">
          <a:avLst/>
        </a:prstGeom>
        <a:gradFill>
          <a:gsLst>
            <a:gs pos="0">
              <a:schemeClr val="tx2">
                <a:lumMod val="75000"/>
              </a:schemeClr>
            </a:gs>
            <a:gs pos="80000">
              <a:schemeClr val="accent1">
                <a:lumMod val="40000"/>
                <a:lumOff val="60000"/>
              </a:schemeClr>
            </a:gs>
            <a:gs pos="100000">
              <a:schemeClr val="accent1">
                <a:lumMod val="20000"/>
                <a:lumOff val="8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Devis vierge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61913</xdr:colOff>
      <xdr:row>22</xdr:row>
      <xdr:rowOff>55562</xdr:rowOff>
    </xdr:from>
    <xdr:to>
      <xdr:col>3</xdr:col>
      <xdr:colOff>606425</xdr:colOff>
      <xdr:row>38</xdr:row>
      <xdr:rowOff>139700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B1FAAE-0E2E-4660-AC96-B89087F331D8}" name="TabClient" displayName="TabClient" ref="A1:Q2" totalsRowShown="0" headerRowDxfId="100" dataDxfId="99">
  <autoFilter ref="A1:Q2" xr:uid="{00000000-0009-0000-0100-000003000000}"/>
  <sortState xmlns:xlrd2="http://schemas.microsoft.com/office/spreadsheetml/2017/richdata2" ref="A2:Q1">
    <sortCondition ref="A1"/>
  </sortState>
  <tableColumns count="17">
    <tableColumn id="15" xr3:uid="{6E021A5B-A5E9-4DF0-BCB0-715A8A9B1874}" name="NClient" dataDxfId="98"/>
    <tableColumn id="16" xr3:uid="{031FF0E0-AC3F-44B5-B86C-CEC503434E18}" name="RefClient" dataDxfId="97">
      <calculatedColumnFormula>IF(AND(TabClient[[#This Row],[Societe]]="",TabClient[[#This Row],[Dept]]=""),TabClient[[#This Row],[Nom]]&amp;" _ "&amp;TabClient[[#This Row],[NClient]],IF(TabClient[[#This Row],[Societe]]="",TabClient[[#This Row],[Nom]]&amp;"_"&amp;TabClient[[#This Row],[Dept]]&amp;" _ "&amp;TabClient[[#This Row],[NClient]],IF(AND(TabClient[[#This Row],[Dept]]="",TabClient[[#This Row],[Nom]]=""),TabClient[[#This Row],[Societe]]&amp;" _ "&amp;TabClient[[#This Row],[NClient]],IF(TabClient[[#This Row],[Nom]]="",TabClient[[#This Row],[Dept]]&amp;"_"&amp;TabClient[[#This Row],[Societe]]&amp;" _"&amp;TabClient[[#This Row],[NClient]],IF(AND(TabClient[[#This Row],[Nom]]="",TabClient[[#This Row],[Societe]]=""),TabClient[[#This Row],[Dept]]&amp;" _ "&amp;TabClient[[#This Row],[NClient]],IF(TabClient[[#This Row],[Dept]]="",TabClient[[#This Row],[Nom]]&amp;"_"&amp;TabClient[[#This Row],[Societe]]&amp;" _ "&amp;TabClient[[#This Row],[NClient]],TabClient[[#This Row],[Nom]]&amp;"_"&amp;TabClient[[#This Row],[Dept]]&amp;"_"&amp;TabClient[[#This Row],[Societe]]&amp;" _ "&amp;TabClient[[#This Row],[NClient]]))))))</calculatedColumnFormula>
    </tableColumn>
    <tableColumn id="6" xr3:uid="{318663E5-DE11-4EF4-8457-C95D46A5C0BC}" name="N° Client" dataDxfId="96"/>
    <tableColumn id="2" xr3:uid="{2A2A9D52-AE41-4593-AFC1-38168D3721A3}" name="Date Création" dataDxfId="95"/>
    <tableColumn id="3" xr3:uid="{1DAEA3BA-0325-49FB-987B-E170476AC95F}" name="Societe" dataDxfId="94"/>
    <tableColumn id="17" xr3:uid="{6B209182-F7B1-42F6-82AF-17C7F9459041}" name="Dept" dataDxfId="93"/>
    <tableColumn id="12" xr3:uid="{33A035AC-7251-4CD4-A1AC-96ED0912E9DA}" name="Civilite" dataDxfId="92"/>
    <tableColumn id="1" xr3:uid="{3A6D722A-29C8-4171-BD1C-30B24E555772}" name="Nom" dataDxfId="91"/>
    <tableColumn id="4" xr3:uid="{C6729AAE-87ED-4E20-9411-852CF79CCD40}" name="Nom Client" dataDxfId="90"/>
    <tableColumn id="5" xr3:uid="{79DC6573-7896-4B4E-958D-BDC9535E3E09}" name="Adresse" dataDxfId="89"/>
    <tableColumn id="7" xr3:uid="{FE2C3F43-A7B2-4C3E-BA70-1D7C6FF9FE98}" name="Ville" dataDxfId="88"/>
    <tableColumn id="8" xr3:uid="{3CF2F22E-136E-4464-9E4F-4CE4196CF13C}" name="Téléphone" dataDxfId="87"/>
    <tableColumn id="9" xr3:uid="{04BF401B-4BCB-4267-8EA1-0152F9DE23CC}" name="E-mail" dataDxfId="86"/>
    <tableColumn id="14" xr3:uid="{B481007C-85E7-4FAB-8560-617AF8DA9F4A}" name="Notes sur le client" dataDxfId="85"/>
    <tableColumn id="11" xr3:uid="{D80D7AD9-9B09-4703-B525-250E93394DF8}" name="SomDevis" dataDxfId="84">
      <calculatedColumnFormula>SUMIFS(TBDevis[Montant TTC],TBDevis[NumClient],TabClient[[#This Row],[NClient]])</calculatedColumnFormula>
    </tableColumn>
    <tableColumn id="13" xr3:uid="{D02A0DA3-E04E-4DEC-BEB2-C48F6AAC02BE}" name="SomFactures" dataDxfId="83">
      <calculatedColumnFormula>SUMIFS(TBDevis[Montant TTC2],TBDevis[NumClient],TabClient[[#This Row],[NClient]])</calculatedColumnFormula>
    </tableColumn>
    <tableColumn id="10" xr3:uid="{4575AF24-B230-45D9-A100-0477440A66E5}" name="Annee" dataDxfId="82">
      <calculatedColumnFormula>YEAR(TabClient[[#This Row],[Date Création]])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DEB71D8-0D51-4185-B1A2-702230D22DD8}" name="TBDevis" displayName="TBDevis" ref="A1:AP2" totalsRowShown="0" headerRowDxfId="81" dataDxfId="80" headerRowCellStyle="Monétaire" dataCellStyle="Monétaire">
  <autoFilter ref="A1:AP2" xr:uid="{80D6B008-94F1-4223-B9B1-CB6B7DF85A0C}"/>
  <sortState xmlns:xlrd2="http://schemas.microsoft.com/office/spreadsheetml/2017/richdata2" ref="A2:AP1">
    <sortCondition ref="A1"/>
  </sortState>
  <tableColumns count="42">
    <tableColumn id="1" xr3:uid="{3FFCC5CD-0430-4AA3-A852-6F661465B19E}" name="NumDevis" dataDxfId="79"/>
    <tableColumn id="2" xr3:uid="{303234F6-C239-4DEA-938D-5F4E1A5911AB}" name="NumClient" dataDxfId="78"/>
    <tableColumn id="3" xr3:uid="{ECE8EC89-C70F-4907-BBBC-99D98F8AD177}" name="DateDevis" dataDxfId="77"/>
    <tableColumn id="4" xr3:uid="{203C9D69-B429-4474-8273-8EFD990A11A5}" name="DateValidite" dataDxfId="76"/>
    <tableColumn id="5" xr3:uid="{1B8E3CA9-A8EF-4266-AF34-BDBD5C9E6A4E}" name="Prestation" dataDxfId="75"/>
    <tableColumn id="6" xr3:uid="{CBFAE02D-F56F-4D02-B1EC-7B31AB286C4E}" name="AdresseChantier" dataDxfId="74"/>
    <tableColumn id="7" xr3:uid="{F5C72BEA-9033-4B2A-B2AA-E429492D8661}" name="VilleChantier" dataDxfId="73"/>
    <tableColumn id="8" xr3:uid="{EF1DAE6A-C208-4CB0-A31B-6DEE8FEAAFAE}" name="TelephoneContact" dataDxfId="72"/>
    <tableColumn id="9" xr3:uid="{0DAB77A9-903D-4F44-92D3-7B1167249957}" name="Contact" dataDxfId="71"/>
    <tableColumn id="10" xr3:uid="{A8B2C5D1-EB1A-40B0-827C-1AAB7A3CCE41}" name="CompInfo" dataDxfId="70"/>
    <tableColumn id="18" xr3:uid="{99A539F6-03E5-4E1A-8B5C-A844E75AB594}" name="Montant TTC" dataDxfId="69" dataCellStyle="Monétaire">
      <calculatedColumnFormula>+TBDevis[[#This Row],[Montant HT]]+TBDevis[[#This Row],[Montant TVA]]</calculatedColumnFormula>
    </tableColumn>
    <tableColumn id="19" xr3:uid="{45A693AA-B061-4660-80DB-F84DEED9244F}" name="Montant HT" dataDxfId="68" dataCellStyle="Monétaire"/>
    <tableColumn id="20" xr3:uid="{189C856F-8FE8-4534-8A1D-9E05C6D0C5CA}" name="Montant TVA" dataDxfId="67" dataCellStyle="Monétaire">
      <calculatedColumnFormula>SUM(TBDevis[[#This Row],[TVA 5]:[TVA 20]])</calculatedColumnFormula>
    </tableColumn>
    <tableColumn id="21" xr3:uid="{A15DB5D8-538F-47C0-B23A-EECAC9B97DAE}" name="TVA 5" dataDxfId="66" dataCellStyle="Monétaire"/>
    <tableColumn id="22" xr3:uid="{B5074B1E-1A71-4D01-8552-EA100DA63688}" name="TVA 10" dataDxfId="65" dataCellStyle="Monétaire"/>
    <tableColumn id="23" xr3:uid="{922C0431-E736-4569-A859-7A6CD9D83525}" name="TVA 20" dataDxfId="64" dataCellStyle="Monétaire"/>
    <tableColumn id="11" xr3:uid="{065E1E70-A4C7-4F52-AB06-6D3DF491283A}" name="N°Fact" dataDxfId="63" dataCellStyle="Monétaire"/>
    <tableColumn id="12" xr3:uid="{63B0557A-86AD-4BA9-8275-EAABCD39B610}" name="NumFact" dataDxfId="62" dataCellStyle="Monétaire"/>
    <tableColumn id="13" xr3:uid="{ED35477B-C483-4DEA-B6A4-A00074A8A345}" name="DateFact" dataDxfId="61" dataCellStyle="Monétaire"/>
    <tableColumn id="14" xr3:uid="{B92BE318-C919-485B-AC4E-3C1D52E1B2BF}" name="Facture" dataDxfId="60" dataCellStyle="Monétaire"/>
    <tableColumn id="15" xr3:uid="{4F05FD01-74DF-4D82-880F-9D5CCB93883E}" name="NumAcpt1" dataDxfId="59" dataCellStyle="Monétaire"/>
    <tableColumn id="16" xr3:uid="{9935CB3B-3191-41D9-B40F-339C466E9775}" name="DateAcpte1" dataDxfId="58" dataCellStyle="Monétaire"/>
    <tableColumn id="17" xr3:uid="{453F48E9-9A62-4CDD-A3CD-4AD6C0B66461}" name="Acpt1_TTC" dataDxfId="57" dataCellStyle="Monétaire"/>
    <tableColumn id="35" xr3:uid="{2BCAF469-B449-4B65-BCD1-89277D6A1639}" name="Acpt1_HT" dataDxfId="56" dataCellStyle="Monétaire"/>
    <tableColumn id="34" xr3:uid="{4C26AB99-1EBB-4204-9CDF-749839D2E517}" name="Tot_TVA_Cde" dataDxfId="55" dataCellStyle="Monétaire"/>
    <tableColumn id="24" xr3:uid="{DCAA7633-1EAE-43BA-BAD3-6D0A080065A5}" name="NumAcpt2" dataDxfId="54" dataCellStyle="Monétaire"/>
    <tableColumn id="25" xr3:uid="{78D6BFF1-FE89-4A37-AD23-0460A8282D34}" name="DateAcpte2" dataDxfId="53" dataCellStyle="Monétaire"/>
    <tableColumn id="26" xr3:uid="{637DE9E8-26D0-4592-AAD7-60C40FF4BFEF}" name="Acpt2_TTC" dataDxfId="52" dataCellStyle="Monétaire"/>
    <tableColumn id="36" xr3:uid="{41219E39-9884-4100-871E-6D6976F79773}" name="Acpt2_HT" dataDxfId="51" dataCellStyle="Monétaire"/>
    <tableColumn id="37" xr3:uid="{63A1E567-D8DA-4939-B83E-38247E2E9F51}" name="Tot_TVA_Acpt2" dataDxfId="50" dataCellStyle="Monétaire"/>
    <tableColumn id="27" xr3:uid="{AC9C9E8C-4295-4DEE-97ED-9EEF40689266}" name="Montant TTC2" dataDxfId="49" dataCellStyle="Monétaire">
      <calculatedColumnFormula>TBDevis[[#This Row],[Facture]]+TBDevis[[#This Row],[Acpt1_TTC]]+TBDevis[[#This Row],[Acpt2_TTC]]</calculatedColumnFormula>
    </tableColumn>
    <tableColumn id="28" xr3:uid="{11B38518-28C8-48D2-BA57-A70D41FEF70B}" name="Annee" dataDxfId="48" dataCellStyle="Monétaire">
      <calculatedColumnFormula>IF(TBDevis[[#This Row],[DateFact]]&lt;&gt;"",YEAR(TBDevis[[#This Row],[DateFact]]),IF(TBDevis[[#This Row],[DateAcpte2]]&lt;&gt;"",YEAR(TBDevis[[#This Row],[DateAcpte2]]),IF(TBDevis[[#This Row],[DateAcpte1]]&lt;&gt;"",YEAR(TBDevis[[#This Row],[DateAcpte1]]),"")))</calculatedColumnFormula>
    </tableColumn>
    <tableColumn id="29" xr3:uid="{2971DA93-6983-4686-BBF4-1CEB91E5C8D3}" name="Mois" dataDxfId="47" dataCellStyle="Monétaire">
      <calculatedColumnFormula>IF(YEAR(TBDevis[[#This Row],[DateFact]])=1900,"",MONTH(TBDevis[[#This Row],[DateFact]]))</calculatedColumnFormula>
    </tableColumn>
    <tableColumn id="30" xr3:uid="{5C395200-DDBE-44A5-8C16-8C0ABB071788}" name="Devis-Payé" dataDxfId="46" dataCellStyle="Monétaire">
      <calculatedColumnFormula>TBDevis[[#This Row],[Montant TTC]]-TBDevis[[#This Row],[Facture]]</calculatedColumnFormula>
    </tableColumn>
    <tableColumn id="31" xr3:uid="{1C71D86A-4605-4700-AB44-61F56ED5E87F}" name="Client" dataDxfId="45" dataCellStyle="Monétaire"/>
    <tableColumn id="32" xr3:uid="{757116CE-3BA9-4FC1-942C-CA889501DF7B}" name="Annee_Devis" dataDxfId="44" dataCellStyle="Monétaire">
      <calculatedColumnFormula>YEAR(TBDevis[[#This Row],[DateDevis]])</calculatedColumnFormula>
    </tableColumn>
    <tableColumn id="33" xr3:uid="{0C0F3CA7-7B95-40DA-962C-AAA9933964D5}" name="Statut_Devis" dataDxfId="43" dataCellStyle="Monétaire">
      <calculatedColumnFormula>IF(TBDevis[[#This Row],[N°Fact]]&gt;0,"Facturé",IF(_xlfn.DAYS(TODAY(),TBDevis[[#This Row],[DateValidite]])&gt;45,"Clos","Encours"))</calculatedColumnFormula>
    </tableColumn>
    <tableColumn id="38" xr3:uid="{07103EB3-71F9-4AA6-8192-52F982143B2F}" name="Net_a_payer" dataDxfId="42" dataCellStyle="Monétaire"/>
    <tableColumn id="39" xr3:uid="{25700B9D-EAC7-4857-B6F5-9294A1BCEB9D}" name="Date_Encais" dataDxfId="41" dataCellStyle="Monétaire"/>
    <tableColumn id="40" xr3:uid="{DA22C562-DE4A-42DA-9110-FE6DD8B6719F}" name="Montant_Encais" dataDxfId="40" dataCellStyle="Monétaire"/>
    <tableColumn id="41" xr3:uid="{2EF6A930-55A9-409E-A39F-21DE661FDBE6}" name="Fic_Acpte1" dataDxfId="39" dataCellStyle="Monétaire"/>
    <tableColumn id="42" xr3:uid="{40AE0740-04FF-4D82-908E-0D65055159A2}" name="Colonne1" dataDxfId="38" dataCellStyle="Monétaire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86022D-A2DF-4391-84CD-67704456FA3A}" name="_Bilan" displayName="_Bilan" ref="F1:N5" totalsRowCount="1" headerRowDxfId="37" dataDxfId="36" totalsRowDxfId="35">
  <autoFilter ref="F1:N4" xr:uid="{4686022D-A2DF-4391-84CD-67704456FA3A}"/>
  <tableColumns count="9">
    <tableColumn id="1" xr3:uid="{36EBD346-5724-4701-A221-808EB14DB006}" name="Annee" totalsRowLabel="Total" dataDxfId="34" totalsRowDxfId="33"/>
    <tableColumn id="2" xr3:uid="{EC6B61DE-BABD-40F8-82D6-35C6B0E239A4}" name="Factures" totalsRowFunction="sum" dataDxfId="32" totalsRowDxfId="31">
      <calculatedColumnFormula>SUMIFS(TBDevis[Facture],TBDevis[Annee],Traitement!F2)</calculatedColumnFormula>
    </tableColumn>
    <tableColumn id="3" xr3:uid="{3EDBDC53-0E1C-422C-AE45-D1F0285E9D87}" name="Acompte1" totalsRowFunction="sum" dataDxfId="30" totalsRowDxfId="29">
      <calculatedColumnFormula>SUMIFS(TBDevis[Acpt1_TTC],TBDevis[Annee],Traitement!F2)</calculatedColumnFormula>
    </tableColumn>
    <tableColumn id="4" xr3:uid="{ACFB1D25-0B22-4890-B2F1-ED7EE0282797}" name="Acompte2" dataDxfId="28" totalsRowDxfId="27">
      <calculatedColumnFormula>SUMIFS(TBDevis[Acpt2_TTC],TBDevis[Annee],Traitement!F2)</calculatedColumnFormula>
    </tableColumn>
    <tableColumn id="5" xr3:uid="{947448A0-0C1F-4B76-871B-9981DC1DF900}" name="C.A." totalsRowFunction="sum" dataDxfId="26" totalsRowDxfId="25">
      <calculatedColumnFormula>SUM(_Bilan[[#This Row],[Factures]:[Acompte2]])</calculatedColumnFormula>
    </tableColumn>
    <tableColumn id="6" xr3:uid="{530C48E6-C07A-416C-9C8B-B3CBAE89986C}" name="Nb_Factures" totalsRowFunction="sum" dataDxfId="24" totalsRowDxfId="23">
      <calculatedColumnFormula>COUNTIFS(TBDevis[Annee],_Bilan[[#This Row],[Annee]],TBDevis[N°Fact],"&gt;0")</calculatedColumnFormula>
    </tableColumn>
    <tableColumn id="7" xr3:uid="{E029A759-9EA0-4255-AC6D-7F36BFD697C3}" name="Nb_Clients" totalsRowFunction="sum" dataDxfId="22" totalsRowDxfId="21">
      <calculatedColumnFormula>COUNTIF(TabClient[Annee],_Bilan[[#This Row],[Annee]])</calculatedColumnFormula>
    </tableColumn>
    <tableColumn id="8" xr3:uid="{A6B58C5D-A7F1-456E-83FE-2C433AB33716}" name="Nb_Devis" totalsRowFunction="sum" dataDxfId="20" totalsRowDxfId="19">
      <calculatedColumnFormula>COUNTIF(TBDevis[Annee_Devis],_Bilan[[#This Row],[Annee]])</calculatedColumnFormula>
    </tableColumn>
    <tableColumn id="9" xr3:uid="{156A6B99-23A7-49D0-8AD9-D41369C29FBE}" name="Val_Devis" totalsRowFunction="sum" dataDxfId="18" totalsRowDxfId="17">
      <calculatedColumnFormula>SUMIFS(TBDevis[Montant TTC],TBDevis[Annee_Devis],_Bilan[[#This Row],[Annee]])</calculatedColumnFormula>
    </tableColumn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CBBCB2-AD81-4E3F-9A71-A3E65AFEAB0A}" name="_Progression" displayName="_Progression" ref="P1:AB4" totalsRowShown="0" headerRowDxfId="16" dataDxfId="15" dataCellStyle="Monétaire 2 2">
  <autoFilter ref="P1:AB4" xr:uid="{6DCBBCB2-AD81-4E3F-9A71-A3E65AFEAB0A}"/>
  <tableColumns count="13">
    <tableColumn id="1" xr3:uid="{9E880119-11D7-4160-9B49-36A806110808}" name="Annee" dataDxfId="14"/>
    <tableColumn id="2" xr3:uid="{AA080063-9DB0-40A0-A673-A04FD918084A}" name="1" dataDxfId="13" dataCellStyle="Monétaire 2 2">
      <calculatedColumnFormula>SUMIFS(TBDevis[Montant TTC2],TBDevis[Annee],P2,TBDevis[Mois],$Q$1)</calculatedColumnFormula>
    </tableColumn>
    <tableColumn id="3" xr3:uid="{DA281A97-2AA5-4A5D-ABFE-05E3D1B6041D}" name="2" dataDxfId="12" dataCellStyle="Monétaire 2 2">
      <calculatedColumnFormula>SUMIFS(TBDevis[Montant TTC2],TBDevis[Annee],P2,TBDevis[Mois],$R$1)</calculatedColumnFormula>
    </tableColumn>
    <tableColumn id="4" xr3:uid="{BC49AF3D-0ACA-4C7B-92FE-EEA0F806D81A}" name="3" dataDxfId="11" dataCellStyle="Monétaire 2 2">
      <calculatedColumnFormula>SUMIFS(TBDevis[Montant TTC2],TBDevis[Annee],P2,TBDevis[Mois],$S$1)</calculatedColumnFormula>
    </tableColumn>
    <tableColumn id="5" xr3:uid="{12988E7C-91A7-4D6E-B322-0AF004BFFAAB}" name="4" dataDxfId="10" dataCellStyle="Monétaire 2 2">
      <calculatedColumnFormula>SUMIFS(TBDevis[Montant TTC2],TBDevis[Annee],P2,TBDevis[Mois],$T$1)</calculatedColumnFormula>
    </tableColumn>
    <tableColumn id="6" xr3:uid="{A3ECA551-62AB-43C4-8354-3CE99BED8511}" name="5" dataDxfId="9" dataCellStyle="Monétaire 2 2">
      <calculatedColumnFormula>SUMIFS(TBDevis[Montant TTC2],TBDevis[Annee],P2,TBDevis[Mois],$U$1)</calculatedColumnFormula>
    </tableColumn>
    <tableColumn id="7" xr3:uid="{2FE261E4-040B-4256-9CE6-E0736B933A54}" name="6" dataDxfId="8" dataCellStyle="Monétaire 2 2">
      <calculatedColumnFormula>SUMIFS(TBDevis[Montant TTC2],TBDevis[Annee],P2,TBDevis[Mois],$V$1)</calculatedColumnFormula>
    </tableColumn>
    <tableColumn id="8" xr3:uid="{07442AD4-E7C8-4E95-A550-7F2AD6829AFB}" name="7" dataDxfId="7" dataCellStyle="Monétaire 2 2">
      <calculatedColumnFormula>SUMIFS(TBDevis[Montant TTC2],TBDevis[Annee],P2,TBDevis[Mois],$W$1)</calculatedColumnFormula>
    </tableColumn>
    <tableColumn id="9" xr3:uid="{B4446F2B-CCA3-4556-AA34-4AA1E43FF012}" name="8" dataDxfId="6" dataCellStyle="Monétaire 2 2">
      <calculatedColumnFormula>SUMIFS(TBDevis[Montant TTC2],TBDevis[Annee],P2,TBDevis[Mois],$X$1)</calculatedColumnFormula>
    </tableColumn>
    <tableColumn id="10" xr3:uid="{16A14A7A-91BB-4516-8031-B53D98C96D5F}" name="9" dataDxfId="5" dataCellStyle="Monétaire 2 2">
      <calculatedColumnFormula>SUMIFS(TBDevis[Montant TTC2],TBDevis[Annee],P2,TBDevis[Mois],$Y$1)</calculatedColumnFormula>
    </tableColumn>
    <tableColumn id="11" xr3:uid="{89140C33-E529-4E7A-B9A7-9CD448556644}" name="10" dataDxfId="4" dataCellStyle="Monétaire 2 2">
      <calculatedColumnFormula>SUMIFS(TBDevis[Montant TTC2],TBDevis[Annee],P2,TBDevis[Mois],$Z$1)</calculatedColumnFormula>
    </tableColumn>
    <tableColumn id="12" xr3:uid="{46F77481-393E-4CD5-818F-D4D5B10E2299}" name="11" dataDxfId="3" dataCellStyle="Monétaire 2 2">
      <calculatedColumnFormula>SUMIFS(TBDevis[Montant TTC2],TBDevis[Annee],P2,TBDevis[Mois],$AA$1)</calculatedColumnFormula>
    </tableColumn>
    <tableColumn id="13" xr3:uid="{3B6B5BC9-74A3-4648-8D96-7A6D78A86097}" name="12" dataDxfId="2" dataCellStyle="Monétaire 2 2">
      <calculatedColumnFormula>SUMIFS(TBDevis[Montant TTC2],TBDevis[Annee],P2,TBDevis[Mois],$AB$1)</calculatedColumnFormula>
    </tableColumn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ysClr val="window" lastClr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rtlCol="0" anchor="ctr" upright="1"/>
      <a:lstStyle>
        <a:defPPr algn="ctr">
          <a:defRPr sz="1100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44B0D-2C52-4EC2-9F2F-4A1DDACCFCEC}">
  <sheetPr codeName="Feuil15">
    <tabColor theme="2" tint="-0.249977111117893"/>
  </sheetPr>
  <dimension ref="A1:BA40"/>
  <sheetViews>
    <sheetView showGridLines="0" zoomScale="90" zoomScaleNormal="90" workbookViewId="0"/>
  </sheetViews>
  <sheetFormatPr baseColWidth="10" defaultColWidth="4.7109375" defaultRowHeight="12.75" x14ac:dyDescent="0.2"/>
  <cols>
    <col min="1" max="1" width="35.7109375" style="19" customWidth="1"/>
    <col min="2" max="8" width="4.7109375" style="19"/>
    <col min="9" max="10" width="4.7109375" style="19" customWidth="1"/>
    <col min="11" max="11" width="4.7109375" style="19"/>
    <col min="12" max="12" width="4.7109375" style="19" customWidth="1"/>
    <col min="13" max="14" width="4.7109375" style="19"/>
    <col min="15" max="15" width="4.7109375" style="19" customWidth="1"/>
    <col min="16" max="16" width="4.7109375" style="19"/>
    <col min="17" max="17" width="4.7109375" style="19" customWidth="1"/>
    <col min="18" max="23" width="4.7109375" style="19"/>
    <col min="24" max="24" width="4.7109375" style="19" customWidth="1"/>
    <col min="25" max="26" width="4.7109375" style="19"/>
    <col min="27" max="27" width="4.7109375" style="19" customWidth="1"/>
    <col min="28" max="35" width="4.7109375" style="19"/>
    <col min="36" max="36" width="35.7109375" style="19" customWidth="1"/>
    <col min="37" max="37" width="9.7109375" style="19" customWidth="1"/>
    <col min="38" max="49" width="9.7109375" style="35" customWidth="1"/>
    <col min="50" max="52" width="4.7109375" style="35"/>
    <col min="53" max="16384" width="4.7109375" style="19"/>
  </cols>
  <sheetData>
    <row r="1" spans="1:53" ht="12.75" customHeight="1" x14ac:dyDescent="0.2">
      <c r="A1" s="88"/>
      <c r="B1" s="146" t="s">
        <v>90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04"/>
      <c r="AE1" s="104"/>
      <c r="AF1" s="104"/>
      <c r="AG1" s="104"/>
      <c r="AH1" s="104"/>
      <c r="AI1" s="104"/>
      <c r="AJ1" s="88"/>
      <c r="BA1" s="35"/>
    </row>
    <row r="2" spans="1:53" ht="12.75" customHeight="1" x14ac:dyDescent="0.2">
      <c r="A2" s="88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04"/>
      <c r="AE2" s="104"/>
      <c r="AF2" s="104"/>
      <c r="AG2" s="104"/>
      <c r="AH2" s="104"/>
      <c r="AI2" s="104"/>
      <c r="AJ2" s="88"/>
      <c r="BA2" s="35"/>
    </row>
    <row r="3" spans="1:53" ht="12.75" customHeight="1" x14ac:dyDescent="0.2">
      <c r="A3" s="88"/>
      <c r="B3" s="146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04"/>
      <c r="AE3" s="104"/>
      <c r="AF3" s="104"/>
      <c r="AG3" s="104"/>
      <c r="AH3" s="104"/>
      <c r="AI3" s="104"/>
      <c r="AJ3" s="88"/>
      <c r="BA3" s="35"/>
    </row>
    <row r="4" spans="1:53" ht="12.75" customHeight="1" x14ac:dyDescent="0.2">
      <c r="A4" s="88"/>
      <c r="B4" s="146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6"/>
      <c r="T4" s="146"/>
      <c r="U4" s="146"/>
      <c r="V4" s="146"/>
      <c r="W4" s="146"/>
      <c r="X4" s="146"/>
      <c r="Y4" s="146"/>
      <c r="Z4" s="146"/>
      <c r="AA4" s="146"/>
      <c r="AB4" s="146"/>
      <c r="AC4" s="146"/>
      <c r="AD4" s="104"/>
      <c r="AE4" s="104"/>
      <c r="AF4" s="104"/>
      <c r="AG4" s="104"/>
      <c r="AH4" s="104"/>
      <c r="AI4" s="104"/>
      <c r="AJ4" s="88"/>
      <c r="BA4" s="35"/>
    </row>
    <row r="5" spans="1:53" ht="12.75" customHeight="1" x14ac:dyDescent="0.2">
      <c r="A5" s="88"/>
      <c r="B5" s="84"/>
      <c r="C5" s="84"/>
      <c r="D5" s="84"/>
      <c r="E5" s="84"/>
      <c r="F5" s="84"/>
      <c r="G5" s="84"/>
      <c r="H5" s="84"/>
      <c r="I5" s="139" t="str">
        <f>"Bilan de l'entreprise"</f>
        <v>Bilan de l'entreprise</v>
      </c>
      <c r="J5" s="139"/>
      <c r="K5" s="139"/>
      <c r="L5" s="139"/>
      <c r="M5" s="139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39"/>
      <c r="Z5" s="139"/>
      <c r="AA5" s="139"/>
      <c r="AB5" s="139"/>
      <c r="AC5" s="84"/>
      <c r="AD5" s="84"/>
      <c r="AE5" s="84"/>
      <c r="AF5" s="84"/>
      <c r="AG5" s="84"/>
      <c r="AH5" s="85"/>
      <c r="AI5" s="85"/>
      <c r="AJ5" s="88"/>
      <c r="BA5" s="35"/>
    </row>
    <row r="6" spans="1:53" ht="12.75" customHeight="1" x14ac:dyDescent="0.2">
      <c r="A6" s="88"/>
      <c r="B6" s="84"/>
      <c r="C6" s="84"/>
      <c r="D6" s="84"/>
      <c r="E6" s="84"/>
      <c r="F6" s="84"/>
      <c r="G6" s="84"/>
      <c r="H6" s="84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84"/>
      <c r="AD6" s="84"/>
      <c r="AE6" s="84"/>
      <c r="AF6" s="84"/>
      <c r="AG6" s="84"/>
      <c r="AH6" s="85"/>
      <c r="AI6" s="85"/>
      <c r="AJ6" s="88"/>
      <c r="BA6" s="35"/>
    </row>
    <row r="7" spans="1:53" ht="12.75" customHeight="1" x14ac:dyDescent="0.2">
      <c r="A7" s="88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6"/>
      <c r="AD7" s="86"/>
      <c r="AE7" s="86"/>
      <c r="AF7" s="86"/>
      <c r="AG7" s="84"/>
      <c r="AH7" s="85"/>
      <c r="AI7" s="85"/>
      <c r="AJ7" s="88"/>
      <c r="BA7" s="35"/>
    </row>
    <row r="8" spans="1:53" ht="12.75" customHeight="1" x14ac:dyDescent="0.2">
      <c r="A8" s="89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4"/>
      <c r="AE8" s="84"/>
      <c r="AF8" s="84"/>
      <c r="AG8" s="84"/>
      <c r="AH8" s="84"/>
      <c r="AI8" s="85"/>
      <c r="AJ8" s="89"/>
      <c r="BA8" s="35"/>
    </row>
    <row r="9" spans="1:53" ht="12.75" customHeight="1" x14ac:dyDescent="0.2">
      <c r="A9" s="89"/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4"/>
      <c r="AG9" s="84"/>
      <c r="AH9" s="84"/>
      <c r="AI9" s="85"/>
      <c r="AJ9" s="89"/>
      <c r="BA9" s="35"/>
    </row>
    <row r="10" spans="1:53" ht="12.75" customHeight="1" x14ac:dyDescent="0.2">
      <c r="A10" s="89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  <c r="AC10" s="84"/>
      <c r="AD10" s="84"/>
      <c r="AE10" s="84"/>
      <c r="AF10" s="84"/>
      <c r="AG10" s="84"/>
      <c r="AH10" s="84"/>
      <c r="AI10" s="85"/>
      <c r="AJ10" s="89"/>
      <c r="BA10" s="35"/>
    </row>
    <row r="11" spans="1:53" ht="12.75" customHeight="1" x14ac:dyDescent="0.2">
      <c r="A11" s="89"/>
      <c r="B11" s="84"/>
      <c r="C11" s="84"/>
      <c r="D11" s="84"/>
      <c r="E11" s="84"/>
      <c r="F11" s="84"/>
      <c r="G11" s="84"/>
      <c r="H11" s="84"/>
      <c r="I11" s="147">
        <f>COUNTA(TabClient[RefClient])</f>
        <v>1</v>
      </c>
      <c r="J11" s="147"/>
      <c r="K11" s="147"/>
      <c r="L11" s="147"/>
      <c r="M11" s="147">
        <f>COUNTA(TBDevis[NumDevis])</f>
        <v>1</v>
      </c>
      <c r="N11" s="147"/>
      <c r="O11" s="147"/>
      <c r="P11" s="147"/>
      <c r="Q11" s="147">
        <f>COUNTA(BDevis!Q2:Q972)</f>
        <v>0</v>
      </c>
      <c r="R11" s="147"/>
      <c r="S11" s="147"/>
      <c r="T11" s="147"/>
      <c r="U11" s="140">
        <f>SUM(TBDevis[Montant TTC])</f>
        <v>13878.172</v>
      </c>
      <c r="V11" s="140"/>
      <c r="W11" s="140"/>
      <c r="X11" s="140"/>
      <c r="Y11" s="140">
        <f>SUM(TBDevis[Montant TTC2])</f>
        <v>0</v>
      </c>
      <c r="Z11" s="140"/>
      <c r="AA11" s="140"/>
      <c r="AB11" s="140"/>
      <c r="AC11" s="84"/>
      <c r="AD11" s="84"/>
      <c r="AE11" s="84"/>
      <c r="AF11" s="84"/>
      <c r="AG11" s="84"/>
      <c r="AH11" s="84"/>
      <c r="AI11" s="85"/>
      <c r="AJ11" s="89"/>
      <c r="BA11" s="35"/>
    </row>
    <row r="12" spans="1:53" ht="12.75" customHeight="1" x14ac:dyDescent="0.2">
      <c r="A12" s="89"/>
      <c r="B12" s="84"/>
      <c r="C12" s="84"/>
      <c r="D12" s="84"/>
      <c r="E12" s="84"/>
      <c r="F12" s="84"/>
      <c r="G12" s="84"/>
      <c r="H12" s="84"/>
      <c r="I12" s="147"/>
      <c r="J12" s="147"/>
      <c r="K12" s="147"/>
      <c r="L12" s="147"/>
      <c r="M12" s="147"/>
      <c r="N12" s="147"/>
      <c r="O12" s="147"/>
      <c r="P12" s="147"/>
      <c r="Q12" s="147"/>
      <c r="R12" s="147"/>
      <c r="S12" s="147"/>
      <c r="T12" s="147"/>
      <c r="U12" s="140"/>
      <c r="V12" s="140"/>
      <c r="W12" s="140"/>
      <c r="X12" s="140"/>
      <c r="Y12" s="140"/>
      <c r="Z12" s="140"/>
      <c r="AA12" s="140"/>
      <c r="AB12" s="140"/>
      <c r="AC12" s="84"/>
      <c r="AD12" s="84"/>
      <c r="AE12" s="84"/>
      <c r="AF12" s="84"/>
      <c r="AG12" s="84"/>
      <c r="AH12" s="84"/>
      <c r="AI12" s="85"/>
      <c r="AJ12" s="89"/>
      <c r="BA12" s="35"/>
    </row>
    <row r="13" spans="1:53" ht="12.75" customHeight="1" x14ac:dyDescent="0.2">
      <c r="A13" s="89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4"/>
      <c r="AA13" s="84"/>
      <c r="AB13" s="84"/>
      <c r="AC13" s="84"/>
      <c r="AD13" s="84"/>
      <c r="AE13" s="84"/>
      <c r="AF13" s="84"/>
      <c r="AG13" s="84"/>
      <c r="AH13" s="84"/>
      <c r="AI13" s="85"/>
      <c r="AJ13" s="89"/>
      <c r="BA13" s="35"/>
    </row>
    <row r="14" spans="1:53" ht="12.75" customHeight="1" x14ac:dyDescent="0.2">
      <c r="A14" s="89"/>
      <c r="B14" s="84"/>
      <c r="C14" s="84"/>
      <c r="D14" s="84"/>
      <c r="E14" s="84"/>
      <c r="F14" s="84"/>
      <c r="G14" s="84"/>
      <c r="H14" s="84"/>
      <c r="I14" s="138" t="str">
        <f>"Année " &amp;AK21</f>
        <v>Année 2022</v>
      </c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84"/>
      <c r="AD14" s="84"/>
      <c r="AE14" s="84"/>
      <c r="AF14" s="84"/>
      <c r="AG14" s="84"/>
      <c r="AH14" s="84"/>
      <c r="AI14" s="85"/>
      <c r="AJ14" s="89"/>
      <c r="BA14" s="35"/>
    </row>
    <row r="15" spans="1:53" ht="12.75" customHeight="1" x14ac:dyDescent="0.2">
      <c r="A15" s="89"/>
      <c r="B15" s="84"/>
      <c r="C15" s="84"/>
      <c r="D15" s="84"/>
      <c r="E15" s="84"/>
      <c r="F15" s="84"/>
      <c r="G15" s="84"/>
      <c r="H15" s="84"/>
      <c r="I15" s="138"/>
      <c r="J15" s="138"/>
      <c r="K15" s="138"/>
      <c r="L15" s="138"/>
      <c r="M15" s="138"/>
      <c r="N15" s="138"/>
      <c r="O15" s="138"/>
      <c r="P15" s="138"/>
      <c r="Q15" s="138"/>
      <c r="R15" s="138"/>
      <c r="S15" s="138"/>
      <c r="T15" s="138"/>
      <c r="U15" s="138"/>
      <c r="V15" s="138"/>
      <c r="W15" s="138"/>
      <c r="X15" s="138"/>
      <c r="Y15" s="138"/>
      <c r="Z15" s="138"/>
      <c r="AA15" s="138"/>
      <c r="AB15" s="138"/>
      <c r="AC15" s="84"/>
      <c r="AD15" s="84"/>
      <c r="AE15" s="84"/>
      <c r="AF15" s="84"/>
      <c r="AG15" s="84"/>
      <c r="AH15" s="84"/>
      <c r="AI15" s="85"/>
      <c r="AJ15" s="89"/>
      <c r="BA15" s="35"/>
    </row>
    <row r="16" spans="1:53" ht="12.75" customHeight="1" x14ac:dyDescent="0.2">
      <c r="A16" s="89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4"/>
      <c r="AA16" s="84"/>
      <c r="AB16" s="84"/>
      <c r="AC16" s="84"/>
      <c r="AD16" s="84"/>
      <c r="AE16" s="84"/>
      <c r="AF16" s="84"/>
      <c r="AG16" s="84"/>
      <c r="AH16" s="84"/>
      <c r="AI16" s="85"/>
      <c r="AJ16" s="89"/>
      <c r="BA16" s="35"/>
    </row>
    <row r="17" spans="1:53" ht="12.75" customHeight="1" x14ac:dyDescent="0.2">
      <c r="A17" s="89"/>
      <c r="B17" s="84"/>
      <c r="C17" s="84"/>
      <c r="D17" s="84"/>
      <c r="E17" s="84"/>
      <c r="F17" s="84"/>
      <c r="G17" s="84"/>
      <c r="H17" s="84"/>
      <c r="I17" s="141">
        <f>AQ21</f>
        <v>0</v>
      </c>
      <c r="J17" s="141"/>
      <c r="K17" s="141"/>
      <c r="L17" s="141"/>
      <c r="M17" s="142">
        <f>AR21</f>
        <v>0</v>
      </c>
      <c r="N17" s="142"/>
      <c r="O17" s="142"/>
      <c r="P17" s="142"/>
      <c r="Q17" s="143">
        <f>AP21</f>
        <v>0</v>
      </c>
      <c r="R17" s="143"/>
      <c r="S17" s="143"/>
      <c r="T17" s="143"/>
      <c r="U17" s="144">
        <f>AS21</f>
        <v>0</v>
      </c>
      <c r="V17" s="144"/>
      <c r="W17" s="144"/>
      <c r="X17" s="144"/>
      <c r="Y17" s="145">
        <f>AO21</f>
        <v>0</v>
      </c>
      <c r="Z17" s="145"/>
      <c r="AA17" s="145"/>
      <c r="AB17" s="145"/>
      <c r="AC17" s="84"/>
      <c r="AD17" s="84"/>
      <c r="AE17" s="84"/>
      <c r="AF17" s="84"/>
      <c r="AG17" s="84"/>
      <c r="AH17" s="84"/>
      <c r="AI17" s="85"/>
      <c r="AJ17" s="89"/>
      <c r="BA17" s="35"/>
    </row>
    <row r="18" spans="1:53" ht="12.75" customHeight="1" x14ac:dyDescent="0.2">
      <c r="A18" s="89"/>
      <c r="B18" s="84"/>
      <c r="C18" s="84"/>
      <c r="D18" s="84"/>
      <c r="E18" s="84"/>
      <c r="F18" s="84"/>
      <c r="G18" s="84"/>
      <c r="H18" s="84"/>
      <c r="I18" s="141"/>
      <c r="J18" s="141"/>
      <c r="K18" s="141"/>
      <c r="L18" s="141"/>
      <c r="M18" s="142"/>
      <c r="N18" s="142"/>
      <c r="O18" s="142"/>
      <c r="P18" s="142"/>
      <c r="Q18" s="143"/>
      <c r="R18" s="143"/>
      <c r="S18" s="143"/>
      <c r="T18" s="143"/>
      <c r="U18" s="144"/>
      <c r="V18" s="144"/>
      <c r="W18" s="144"/>
      <c r="X18" s="144"/>
      <c r="Y18" s="145"/>
      <c r="Z18" s="145"/>
      <c r="AA18" s="145"/>
      <c r="AB18" s="145"/>
      <c r="AC18" s="84"/>
      <c r="AD18" s="84"/>
      <c r="AE18" s="84"/>
      <c r="AF18" s="84"/>
      <c r="AG18" s="84"/>
      <c r="AH18" s="84"/>
      <c r="AI18" s="85"/>
      <c r="AJ18" s="89"/>
      <c r="AK18" s="112">
        <v>3</v>
      </c>
      <c r="AL18">
        <v>3</v>
      </c>
      <c r="AM18">
        <v>3</v>
      </c>
      <c r="AN18"/>
      <c r="AO18"/>
      <c r="AP18"/>
      <c r="AQ18"/>
      <c r="AR18"/>
      <c r="AS18"/>
      <c r="AT18"/>
      <c r="AU18"/>
      <c r="AV18"/>
      <c r="AW18"/>
      <c r="BA18" s="35"/>
    </row>
    <row r="19" spans="1:53" ht="12.75" customHeight="1" x14ac:dyDescent="0.2">
      <c r="A19" s="89"/>
      <c r="B19" s="84"/>
      <c r="C19" s="84"/>
      <c r="D19" s="84"/>
      <c r="E19" s="84"/>
      <c r="F19" s="84"/>
      <c r="G19" s="84"/>
      <c r="H19" s="84"/>
      <c r="I19" s="84"/>
      <c r="J19" s="102"/>
      <c r="K19" s="102"/>
      <c r="L19" s="102"/>
      <c r="M19" s="84"/>
      <c r="N19" s="84"/>
      <c r="O19" s="84"/>
      <c r="P19" s="84"/>
      <c r="Q19" s="103"/>
      <c r="R19" s="103"/>
      <c r="S19" s="103"/>
      <c r="T19" s="84"/>
      <c r="U19" s="84"/>
      <c r="V19" s="84"/>
      <c r="W19" s="84"/>
      <c r="X19" s="103"/>
      <c r="Y19" s="103"/>
      <c r="Z19" s="103"/>
      <c r="AA19" s="84"/>
      <c r="AB19" s="84"/>
      <c r="AC19" s="84"/>
      <c r="AD19" s="84"/>
      <c r="AE19" s="84"/>
      <c r="AF19" s="84"/>
      <c r="AG19" s="84"/>
      <c r="AH19" s="84"/>
      <c r="AI19" s="85"/>
      <c r="AJ19" s="89"/>
      <c r="AK19"/>
      <c r="AL19"/>
      <c r="AM19"/>
      <c r="AN19"/>
      <c r="AO19"/>
      <c r="AP19"/>
      <c r="AQ19"/>
      <c r="AR19"/>
      <c r="AS19"/>
      <c r="AT19"/>
      <c r="AU19"/>
      <c r="AV19"/>
      <c r="AW19"/>
      <c r="BA19" s="35"/>
    </row>
    <row r="20" spans="1:53" ht="12.75" customHeight="1" x14ac:dyDescent="0.2">
      <c r="A20" s="89"/>
      <c r="B20" s="84"/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5"/>
      <c r="AJ20" s="89"/>
      <c r="AK20" s="109" t="s">
        <v>64</v>
      </c>
      <c r="AL20" s="109" t="s">
        <v>83</v>
      </c>
      <c r="AM20" s="109" t="s">
        <v>28</v>
      </c>
      <c r="AN20" s="109" t="s">
        <v>27</v>
      </c>
      <c r="AO20" s="109" t="s">
        <v>91</v>
      </c>
      <c r="AP20" s="109" t="s">
        <v>84</v>
      </c>
      <c r="AQ20" s="109" t="s">
        <v>85</v>
      </c>
      <c r="AR20" s="109" t="s">
        <v>86</v>
      </c>
      <c r="AS20" s="109" t="s">
        <v>87</v>
      </c>
      <c r="AT20"/>
      <c r="AU20"/>
      <c r="AV20"/>
      <c r="AW20"/>
      <c r="BA20" s="35"/>
    </row>
    <row r="21" spans="1:53" ht="12.75" customHeight="1" x14ac:dyDescent="0.2">
      <c r="A21" s="89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5"/>
      <c r="AJ21" s="89"/>
      <c r="AK21" s="113" cm="1">
        <f t="array" ref="AK21">INDEX(_Bilan[Annee],TDB!AK18)</f>
        <v>2022</v>
      </c>
      <c r="AL21" s="105">
        <f>VLOOKUP($AK$21,_Bilan[],2,FALSE)</f>
        <v>0</v>
      </c>
      <c r="AM21" s="105">
        <f>VLOOKUP($AK$21,_Bilan[],3,FALSE)</f>
        <v>0</v>
      </c>
      <c r="AN21" s="105">
        <f>VLOOKUP($AK$21,_Bilan[],4,FALSE)</f>
        <v>0</v>
      </c>
      <c r="AO21" s="105">
        <f>VLOOKUP($AK$21,_Bilan[],5,FALSE)</f>
        <v>0</v>
      </c>
      <c r="AP21" s="108">
        <f>VLOOKUP($AK$21,_Bilan[],6,FALSE)</f>
        <v>0</v>
      </c>
      <c r="AQ21" s="108">
        <f>VLOOKUP($AK$21,_Bilan[],7,FALSE)</f>
        <v>0</v>
      </c>
      <c r="AR21" s="108">
        <f>VLOOKUP($AK$21,_Bilan[],8,FALSE)</f>
        <v>0</v>
      </c>
      <c r="AS21" s="105">
        <f>VLOOKUP($AK$21,_Bilan[],9,FALSE)</f>
        <v>0</v>
      </c>
      <c r="AT21"/>
      <c r="AU21"/>
      <c r="AV21"/>
      <c r="AW21"/>
      <c r="BA21" s="35"/>
    </row>
    <row r="22" spans="1:53" ht="12.75" customHeight="1" x14ac:dyDescent="0.2">
      <c r="A22" s="89"/>
      <c r="B22" s="84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  <c r="AC22" s="84"/>
      <c r="AD22" s="84"/>
      <c r="AE22" s="84"/>
      <c r="AF22" s="84"/>
      <c r="AG22" s="84"/>
      <c r="AH22" s="84"/>
      <c r="AI22" s="85"/>
      <c r="AJ22" s="89"/>
      <c r="AK22" s="35"/>
      <c r="AL22"/>
      <c r="AM22"/>
      <c r="AN22"/>
      <c r="AO22"/>
      <c r="AP22"/>
      <c r="AQ22"/>
      <c r="AR22"/>
      <c r="AS22"/>
      <c r="AT22"/>
      <c r="AU22"/>
      <c r="AV22"/>
      <c r="AW22"/>
      <c r="BA22" s="35"/>
    </row>
    <row r="23" spans="1:53" ht="12.75" customHeight="1" x14ac:dyDescent="0.2">
      <c r="A23" s="89"/>
      <c r="B23" s="84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4"/>
      <c r="AC23" s="84"/>
      <c r="AD23" s="84"/>
      <c r="AE23" s="84"/>
      <c r="AF23" s="84"/>
      <c r="AG23" s="84"/>
      <c r="AH23" s="84"/>
      <c r="AI23" s="85"/>
      <c r="AJ23" s="89"/>
      <c r="AK23" s="35"/>
      <c r="AL23"/>
      <c r="AM23"/>
      <c r="AN23"/>
      <c r="AO23"/>
      <c r="AP23"/>
      <c r="AQ23"/>
      <c r="AR23"/>
      <c r="AS23"/>
      <c r="AT23"/>
      <c r="AU23"/>
      <c r="AV23"/>
      <c r="AW23"/>
      <c r="BA23" s="35"/>
    </row>
    <row r="24" spans="1:53" ht="12.75" customHeight="1" x14ac:dyDescent="0.2">
      <c r="A24" s="89"/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  <c r="AI24" s="85"/>
      <c r="AJ24" s="89"/>
      <c r="AK24" s="111" t="s">
        <v>65</v>
      </c>
      <c r="AL24" s="111" t="s">
        <v>92</v>
      </c>
      <c r="AM24" s="111" t="s">
        <v>93</v>
      </c>
      <c r="AN24" s="111" t="s">
        <v>94</v>
      </c>
      <c r="AO24" s="111" t="s">
        <v>95</v>
      </c>
      <c r="AP24" s="111" t="s">
        <v>96</v>
      </c>
      <c r="AQ24" s="111" t="s">
        <v>97</v>
      </c>
      <c r="AR24" s="111" t="s">
        <v>98</v>
      </c>
      <c r="AS24" s="111" t="s">
        <v>99</v>
      </c>
      <c r="AT24" s="111" t="s">
        <v>100</v>
      </c>
      <c r="AU24" s="111" t="s">
        <v>101</v>
      </c>
      <c r="AV24" s="111" t="s">
        <v>102</v>
      </c>
      <c r="AW24" s="111" t="s">
        <v>103</v>
      </c>
      <c r="BA24" s="35"/>
    </row>
    <row r="25" spans="1:53" ht="12.75" customHeight="1" x14ac:dyDescent="0.2">
      <c r="A25" s="89"/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5"/>
      <c r="AJ25" s="89"/>
      <c r="AK25" s="113" cm="1">
        <f t="array" ref="AK25">INDEX(_Bilan[Annee],TDB!AK18)</f>
        <v>2022</v>
      </c>
      <c r="AL25" s="110">
        <f>VLOOKUP($AK$21,_Progression[],AL24+1,FALSE)</f>
        <v>0</v>
      </c>
      <c r="AM25" s="110">
        <f>VLOOKUP($AK$21,_Progression[],AM24+1,FALSE)</f>
        <v>0</v>
      </c>
      <c r="AN25" s="110">
        <f>VLOOKUP($AK$21,_Progression[],AN24+1,FALSE)</f>
        <v>0</v>
      </c>
      <c r="AO25" s="110">
        <f>VLOOKUP($AK$21,_Progression[],AO24+1,FALSE)</f>
        <v>0</v>
      </c>
      <c r="AP25" s="110">
        <f>VLOOKUP($AK$21,_Progression[],AP24+1,FALSE)</f>
        <v>0</v>
      </c>
      <c r="AQ25" s="110">
        <f>VLOOKUP($AK$21,_Progression[],AQ24+1,FALSE)</f>
        <v>0</v>
      </c>
      <c r="AR25" s="110">
        <f>VLOOKUP($AK$21,_Progression[],AR24+1,FALSE)</f>
        <v>0</v>
      </c>
      <c r="AS25" s="110">
        <f>VLOOKUP($AK$21,_Progression[],AS24+1,FALSE)</f>
        <v>0</v>
      </c>
      <c r="AT25" s="110">
        <f>VLOOKUP($AK$21,_Progression[],AT24+1,FALSE)</f>
        <v>0</v>
      </c>
      <c r="AU25" s="110">
        <f>VLOOKUP($AK$21,_Progression[],AU24+1,FALSE)</f>
        <v>0</v>
      </c>
      <c r="AV25" s="110">
        <f>VLOOKUP($AK$21,_Progression[],AV24+1,FALSE)</f>
        <v>0</v>
      </c>
      <c r="AW25" s="110">
        <f>VLOOKUP($AK$21,_Progression[],AW24+1,FALSE)</f>
        <v>0</v>
      </c>
      <c r="BA25" s="35"/>
    </row>
    <row r="26" spans="1:53" ht="12.75" customHeight="1" x14ac:dyDescent="0.2">
      <c r="A26" s="89"/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5"/>
      <c r="AJ26" s="89"/>
      <c r="BA26" s="35"/>
    </row>
    <row r="27" spans="1:53" ht="12.75" customHeight="1" x14ac:dyDescent="0.2">
      <c r="A27" s="89"/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5"/>
      <c r="AJ27" s="89"/>
      <c r="BA27" s="35"/>
    </row>
    <row r="28" spans="1:53" ht="12.75" customHeight="1" x14ac:dyDescent="0.2">
      <c r="A28" s="89"/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84"/>
      <c r="AB28" s="84"/>
      <c r="AC28" s="84"/>
      <c r="AD28" s="84"/>
      <c r="AE28" s="84"/>
      <c r="AF28" s="84"/>
      <c r="AG28" s="84"/>
      <c r="AH28" s="84"/>
      <c r="AI28" s="85"/>
      <c r="AJ28" s="89"/>
      <c r="BA28" s="35"/>
    </row>
    <row r="29" spans="1:53" ht="12.75" customHeight="1" x14ac:dyDescent="0.2">
      <c r="A29" s="89"/>
      <c r="B29" s="84"/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5"/>
      <c r="AJ29" s="89"/>
      <c r="BA29" s="35"/>
    </row>
    <row r="30" spans="1:53" ht="12.75" customHeight="1" x14ac:dyDescent="0.2">
      <c r="A30" s="89"/>
      <c r="B30" s="84"/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4"/>
      <c r="AG30" s="84"/>
      <c r="AH30" s="84"/>
      <c r="AI30" s="85"/>
      <c r="AJ30" s="89"/>
      <c r="BA30" s="35"/>
    </row>
    <row r="31" spans="1:53" ht="12.75" customHeight="1" x14ac:dyDescent="0.2">
      <c r="A31" s="89"/>
      <c r="B31" s="84"/>
      <c r="C31" s="87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5"/>
      <c r="AJ31" s="89"/>
      <c r="BA31" s="35"/>
    </row>
    <row r="32" spans="1:53" ht="12.75" customHeight="1" x14ac:dyDescent="0.2">
      <c r="A32" s="89"/>
      <c r="B32" s="84"/>
      <c r="C32" s="87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5"/>
      <c r="AJ32" s="89"/>
      <c r="BA32" s="35"/>
    </row>
    <row r="33" spans="1:53" x14ac:dyDescent="0.2">
      <c r="A33" s="89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  <c r="AH33" s="89"/>
      <c r="AI33" s="89"/>
      <c r="AJ33" s="89"/>
      <c r="BA33" s="35"/>
    </row>
    <row r="34" spans="1:53" x14ac:dyDescent="0.2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BA34" s="35"/>
    </row>
    <row r="35" spans="1:53" x14ac:dyDescent="0.2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BA35" s="35"/>
    </row>
    <row r="36" spans="1:53" x14ac:dyDescent="0.2">
      <c r="BA36" s="35"/>
    </row>
    <row r="37" spans="1:53" x14ac:dyDescent="0.2">
      <c r="BA37" s="35"/>
    </row>
    <row r="38" spans="1:53" x14ac:dyDescent="0.2">
      <c r="BA38" s="35"/>
    </row>
    <row r="39" spans="1:53" x14ac:dyDescent="0.2">
      <c r="BA39" s="35"/>
    </row>
    <row r="40" spans="1:53" x14ac:dyDescent="0.2">
      <c r="BA40" s="35"/>
    </row>
  </sheetData>
  <mergeCells count="13">
    <mergeCell ref="I14:AB15"/>
    <mergeCell ref="I17:L18"/>
    <mergeCell ref="M17:P18"/>
    <mergeCell ref="Q17:T18"/>
    <mergeCell ref="U17:X18"/>
    <mergeCell ref="Y17:AB18"/>
    <mergeCell ref="B1:AC4"/>
    <mergeCell ref="I5:AB6"/>
    <mergeCell ref="I11:L12"/>
    <mergeCell ref="M11:P12"/>
    <mergeCell ref="Q11:T12"/>
    <mergeCell ref="U11:X12"/>
    <mergeCell ref="Y11:AB12"/>
  </mergeCells>
  <pageMargins left="0.7" right="0.7" top="0.75" bottom="0.75" header="0.3" footer="0.3"/>
  <pageSetup paperSize="9" orientation="portrait" r:id="rId1"/>
  <ignoredErrors>
    <ignoredError sqref="I5 I14 I17:AB18 U11 Y11 M11 I11 Q1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print="0" autoLine="0" autoPict="0" macro="[0]!Zonecombinée2_QuandChangement">
                <anchor moveWithCells="1">
                  <from>
                    <xdr:col>1</xdr:col>
                    <xdr:colOff>180975</xdr:colOff>
                    <xdr:row>17</xdr:row>
                    <xdr:rowOff>19050</xdr:rowOff>
                  </from>
                  <to>
                    <xdr:col>5</xdr:col>
                    <xdr:colOff>133350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9F614-DB41-49D8-A9F1-FA78D1697394}">
  <sheetPr codeName="Feuil4">
    <tabColor rgb="FF92D050"/>
    <pageSetUpPr fitToPage="1"/>
  </sheetPr>
  <dimension ref="A1:TVA72"/>
  <sheetViews>
    <sheetView showZeros="0" topLeftCell="B1" zoomScaleNormal="100" workbookViewId="0">
      <selection activeCell="B21" sqref="B21:F24"/>
    </sheetView>
  </sheetViews>
  <sheetFormatPr baseColWidth="10" defaultColWidth="11.42578125" defaultRowHeight="12.75" x14ac:dyDescent="0.2"/>
  <cols>
    <col min="1" max="1" width="4" style="19" customWidth="1"/>
    <col min="2" max="2" width="55.7109375" style="19" customWidth="1"/>
    <col min="3" max="3" width="10.7109375" style="19" customWidth="1"/>
    <col min="4" max="5" width="16" style="19" customWidth="1"/>
    <col min="6" max="6" width="12.7109375" style="19" customWidth="1"/>
    <col min="7" max="7" width="4.7109375" style="19" customWidth="1"/>
    <col min="8" max="8" width="13.42578125" style="19" customWidth="1"/>
    <col min="9" max="11" width="11.42578125" style="19" customWidth="1"/>
    <col min="12" max="12" width="5" style="19" customWidth="1"/>
    <col min="13" max="13" width="28.85546875" style="19" customWidth="1"/>
    <col min="14" max="14" width="5" style="19" customWidth="1"/>
    <col min="15" max="16384" width="11.42578125" style="19"/>
  </cols>
  <sheetData>
    <row r="1" spans="2:14 14093:14093" x14ac:dyDescent="0.2">
      <c r="M1" s="12"/>
    </row>
    <row r="2" spans="2:14 14093:14093" ht="28.5" thickBot="1" x14ac:dyDescent="0.25">
      <c r="C2" s="160" t="e">
        <f>En_Tete</f>
        <v>#REF!</v>
      </c>
      <c r="D2" s="160"/>
      <c r="E2" s="160"/>
      <c r="F2" s="160"/>
      <c r="G2" s="121"/>
      <c r="H2" s="163" t="s">
        <v>75</v>
      </c>
      <c r="I2" s="163"/>
      <c r="J2" s="163"/>
      <c r="K2" s="163"/>
      <c r="L2" s="12"/>
    </row>
    <row r="3" spans="2:14 14093:14093" ht="12.75" customHeight="1" thickTop="1" x14ac:dyDescent="0.2">
      <c r="C3" s="160"/>
      <c r="D3" s="160"/>
      <c r="E3" s="160"/>
      <c r="F3" s="160"/>
      <c r="G3" s="121"/>
      <c r="H3" s="171" t="e">
        <f>VLOOKUP(Num_Devis,TBDevis[],2,FALSE)</f>
        <v>#N/A</v>
      </c>
      <c r="I3" s="172"/>
      <c r="J3" s="172"/>
      <c r="K3" s="173"/>
      <c r="L3" s="12"/>
      <c r="N3" s="12"/>
    </row>
    <row r="4" spans="2:14 14093:14093" ht="12.75" customHeight="1" thickBot="1" x14ac:dyDescent="0.25">
      <c r="C4" s="160"/>
      <c r="D4" s="160"/>
      <c r="E4" s="160"/>
      <c r="F4" s="160"/>
      <c r="G4" s="121"/>
      <c r="H4" s="174"/>
      <c r="I4" s="175"/>
      <c r="J4" s="175"/>
      <c r="K4" s="176"/>
    </row>
    <row r="5" spans="2:14 14093:14093" ht="14.25" thickTop="1" thickBot="1" x14ac:dyDescent="0.25">
      <c r="H5" s="163" t="s">
        <v>76</v>
      </c>
      <c r="I5" s="163"/>
      <c r="J5" s="163"/>
      <c r="K5" s="163"/>
      <c r="L5" s="12"/>
      <c r="M5" s="48"/>
      <c r="TVA5" s="19">
        <v>50</v>
      </c>
    </row>
    <row r="6" spans="2:14 14093:14093" ht="13.15" customHeight="1" thickTop="1" x14ac:dyDescent="0.2">
      <c r="C6" s="148" t="e">
        <f>IF(VLOOKUP(Num_Client,TabClient[],5,FALSE)=0,"",VLOOKUP(Num_Client,TabClient[],5,FALSE))</f>
        <v>#N/A</v>
      </c>
      <c r="D6" s="148"/>
      <c r="E6" s="148"/>
      <c r="F6" s="148"/>
      <c r="H6" s="171" t="e">
        <f>VLOOKUP(Num_Client,TabClient[],2,FALSE)</f>
        <v>#N/A</v>
      </c>
      <c r="I6" s="172"/>
      <c r="J6" s="172"/>
      <c r="K6" s="173"/>
    </row>
    <row r="7" spans="2:14 14093:14093" ht="13.9" customHeight="1" thickBot="1" x14ac:dyDescent="0.25">
      <c r="C7" s="12" t="e">
        <f>IF(VLOOKUP(Num_Client,TabClient[],6,FALSE)=0,"",VLOOKUP(Num_Client,TabClient[],6,FALSE))</f>
        <v>#N/A</v>
      </c>
      <c r="D7" s="12"/>
      <c r="E7" s="12"/>
      <c r="F7" s="12"/>
      <c r="G7" s="122"/>
      <c r="H7" s="174"/>
      <c r="I7" s="175"/>
      <c r="J7" s="175"/>
      <c r="K7" s="176"/>
      <c r="M7" s="49" t="b">
        <v>0</v>
      </c>
    </row>
    <row r="8" spans="2:14 14093:14093" ht="14.25" thickTop="1" thickBot="1" x14ac:dyDescent="0.25">
      <c r="C8" s="158" t="e">
        <f>IF(VLOOKUP(Num_Client,TabClient[],9,FALSE)=0,"",VLOOKUP(Num_Client,TabClient[],9,FALSE))</f>
        <v>#N/A</v>
      </c>
      <c r="D8" s="158"/>
      <c r="E8" s="158"/>
      <c r="F8" s="158"/>
      <c r="G8" s="122"/>
      <c r="H8" s="163" t="s">
        <v>77</v>
      </c>
      <c r="I8" s="163"/>
      <c r="J8" s="163"/>
      <c r="K8" s="163"/>
      <c r="M8" s="49"/>
    </row>
    <row r="9" spans="2:14 14093:14093" ht="12.95" customHeight="1" thickTop="1" x14ac:dyDescent="0.2">
      <c r="C9" s="158" t="e">
        <f>IF(VLOOKUP(Num_Client,TabClient[],10,FALSE)=0,"",VLOOKUP(Num_Client,TabClient[],10,FALSE))</f>
        <v>#N/A</v>
      </c>
      <c r="D9" s="158"/>
      <c r="E9" s="158"/>
      <c r="F9" s="158"/>
      <c r="G9" s="122"/>
      <c r="H9" s="164" t="s">
        <v>127</v>
      </c>
      <c r="I9" s="165"/>
      <c r="J9" s="165"/>
      <c r="K9" s="166"/>
      <c r="M9" s="49" t="b">
        <v>1</v>
      </c>
    </row>
    <row r="10" spans="2:14 14093:14093" ht="12.95" customHeight="1" thickBot="1" x14ac:dyDescent="0.25">
      <c r="C10" s="158" t="e">
        <f>IF(VLOOKUP(Num_Client,TabClient[],11,FALSE)=0,"",VLOOKUP(Num_Client,TabClient[],11,FALSE))</f>
        <v>#N/A</v>
      </c>
      <c r="D10" s="158"/>
      <c r="E10" s="158"/>
      <c r="F10" s="158"/>
      <c r="G10" s="122"/>
      <c r="H10" s="167"/>
      <c r="I10" s="168"/>
      <c r="J10" s="168"/>
      <c r="K10" s="169"/>
      <c r="M10" s="50"/>
      <c r="N10" s="51"/>
      <c r="TVA10" s="19">
        <v>50</v>
      </c>
    </row>
    <row r="11" spans="2:14 14093:14093" ht="13.5" thickTop="1" x14ac:dyDescent="0.2">
      <c r="B11" s="91" t="s">
        <v>117</v>
      </c>
      <c r="H11" s="163" t="s">
        <v>78</v>
      </c>
      <c r="I11" s="163"/>
      <c r="J11" s="163"/>
      <c r="K11" s="163"/>
      <c r="M11" s="50" t="b">
        <v>0</v>
      </c>
      <c r="N11" s="51"/>
    </row>
    <row r="12" spans="2:14 14093:14093" x14ac:dyDescent="0.2">
      <c r="C12" s="12" t="s">
        <v>47</v>
      </c>
      <c r="D12" s="158" t="e">
        <f>IF(VLOOKUP(Num_Client,TabClient[],12,FALSE)=0,"",VLOOKUP(Num_Client,TabClient[],12,FALSE))</f>
        <v>#N/A</v>
      </c>
      <c r="E12" s="158"/>
      <c r="F12" s="158"/>
      <c r="G12" s="122"/>
      <c r="H12" s="170" t="e">
        <f>#REF!</f>
        <v>#REF!</v>
      </c>
      <c r="I12" s="170"/>
      <c r="J12" s="170"/>
      <c r="K12" s="170"/>
      <c r="M12" s="52"/>
      <c r="N12" s="52"/>
    </row>
    <row r="13" spans="2:14 14093:14093" x14ac:dyDescent="0.2">
      <c r="C13" s="12" t="s">
        <v>48</v>
      </c>
      <c r="D13" s="159" t="e">
        <f>IF(VLOOKUP(Num_Client,TabClient[],13,FALSE)=0,"",VLOOKUP(Num_Client,TabClient[],13,FALSE))</f>
        <v>#N/A</v>
      </c>
      <c r="E13" s="159"/>
      <c r="F13" s="159"/>
      <c r="G13" s="12"/>
      <c r="H13" s="170"/>
      <c r="I13" s="170"/>
      <c r="J13" s="170"/>
      <c r="K13" s="170"/>
    </row>
    <row r="14" spans="2:14 14093:14093" x14ac:dyDescent="0.2">
      <c r="M14" s="12"/>
    </row>
    <row r="15" spans="2:14 14093:14093" x14ac:dyDescent="0.2">
      <c r="C15" s="43" t="s">
        <v>44</v>
      </c>
    </row>
    <row r="16" spans="2:14 14093:14093" x14ac:dyDescent="0.2">
      <c r="C16" s="157" t="e">
        <f>IF(VLOOKUP(Num_Devis,TBDevis[],6,FALSE)=0,"",VLOOKUP(Num_Devis,TBDevis[],6,FALSE))</f>
        <v>#N/A</v>
      </c>
      <c r="D16" s="157"/>
      <c r="E16" s="157"/>
      <c r="F16" s="157"/>
    </row>
    <row r="17" spans="1:13 14093:14093" x14ac:dyDescent="0.2">
      <c r="C17" s="157" t="e">
        <f>IF(VLOOKUP(Num_Devis,TBDevis[],7,FALSE)=0,"",VLOOKUP(Num_Devis,TBDevis[],7,FALSE))</f>
        <v>#N/A</v>
      </c>
      <c r="D17" s="157"/>
      <c r="E17" s="157"/>
      <c r="F17" s="157"/>
    </row>
    <row r="18" spans="1:13 14093:14093" x14ac:dyDescent="0.2">
      <c r="C18" s="19" t="s">
        <v>53</v>
      </c>
      <c r="D18" s="157" t="e">
        <f>IF(VLOOKUP(Num_Devis,TBDevis[],9,FALSE)=0,"",VLOOKUP(Num_Devis,TBDevis[],9,FALSE))</f>
        <v>#N/A</v>
      </c>
      <c r="E18" s="157"/>
      <c r="F18" s="157"/>
    </row>
    <row r="19" spans="1:13 14093:14093" x14ac:dyDescent="0.2">
      <c r="C19" s="19" t="s">
        <v>47</v>
      </c>
      <c r="D19" s="157" t="e">
        <f>IF(VLOOKUP(Num_Devis,TBDevis[],8,FALSE)=0,"",VLOOKUP(Num_Devis,TBDevis[],8,FALSE))</f>
        <v>#N/A</v>
      </c>
      <c r="E19" s="157"/>
      <c r="F19" s="157"/>
      <c r="H19" s="161"/>
      <c r="I19" s="161"/>
      <c r="J19" s="161"/>
      <c r="K19" s="161"/>
      <c r="M19" s="53"/>
    </row>
    <row r="20" spans="1:13 14093:14093" x14ac:dyDescent="0.2">
      <c r="C20" s="19" t="s">
        <v>52</v>
      </c>
      <c r="D20" s="19" t="e">
        <f>IF(VLOOKUP(Num_Devis,TBDevis[],10,FALSE)=0,"",VLOOKUP(Num_Devis,TBDevis[],10,FALSE))</f>
        <v>#N/A</v>
      </c>
      <c r="TVA20" s="19">
        <v>50</v>
      </c>
    </row>
    <row r="21" spans="1:13 14093:14093" ht="18" x14ac:dyDescent="0.25">
      <c r="B21" s="162" t="e">
        <f>VLOOKUP(Num_Devis,TBDevis[],5,FALSE)</f>
        <v>#N/A</v>
      </c>
      <c r="C21" s="162"/>
      <c r="D21" s="162"/>
      <c r="E21" s="162"/>
      <c r="F21" s="162"/>
      <c r="G21" s="123"/>
      <c r="H21" s="54" t="s">
        <v>49</v>
      </c>
      <c r="I21" s="54" t="s">
        <v>9</v>
      </c>
      <c r="J21" s="54" t="s">
        <v>50</v>
      </c>
    </row>
    <row r="22" spans="1:13 14093:14093" x14ac:dyDescent="0.2">
      <c r="H22" s="55">
        <v>180</v>
      </c>
      <c r="I22" s="56">
        <v>5.5</v>
      </c>
      <c r="J22" s="73">
        <f>H22/(1+I22/100)</f>
        <v>170.61611374407585</v>
      </c>
      <c r="M22" s="57"/>
    </row>
    <row r="23" spans="1:13 14093:14093" x14ac:dyDescent="0.2">
      <c r="A23" s="58"/>
      <c r="B23" s="12" t="e">
        <f>"N° de client : " &amp;Num_Client</f>
        <v>#N/A</v>
      </c>
      <c r="C23" s="44"/>
      <c r="E23" s="45" t="e">
        <f>#REF!</f>
        <v>#REF!</v>
      </c>
      <c r="F23" s="46" t="e">
        <f>Ce_Jour</f>
        <v>#REF!</v>
      </c>
      <c r="G23" s="46"/>
      <c r="H23" s="55">
        <v>3</v>
      </c>
      <c r="I23" s="56">
        <v>10</v>
      </c>
      <c r="J23" s="73">
        <f>H23/(1+I23/100)</f>
        <v>2.7272727272727271</v>
      </c>
    </row>
    <row r="24" spans="1:13 14093:14093" x14ac:dyDescent="0.2">
      <c r="B24" s="45" t="e">
        <f>IF(AND(#REF!=0,#REF!=0,#REF!=0),#REF!,IF(AND(#REF!=0,#REF!=1,#REF!=0),#REF!,IF(AND(#REF!=0,#REF!=0,#REF!=1),#REF!,IF(AND(#REF!=1,#REF!=0,#REF!=0),#REF!,IF(AND(#REF!=1,#REF!=1,#REF!=0),#REF!,IF(AND(#REF!=1,#REF!=1,#REF!=1),#REF!,IF(AND(#REF!=0,#REF!=1,#REF!=1),#REF!,"")))))))</f>
        <v>#REF!</v>
      </c>
      <c r="E24" s="45" t="e">
        <f>IF(AND(#REF!=0,#REF!=0,#REF!=0),#REF!,IF(AND(#REF!=0,#REF!=1,#REF!=0),"",IF(AND(#REF!=0,#REF!=0,#REF!=1),"",IF(AND(#REF!=1,#REF!=0,#REF!=0),"",IF(AND(#REF!=1,#REF!=1,#REF!=0),"",IF(AND(#REF!=1,#REF!=1,#REF!=1),"",IF(AND(#REF!=0,#REF!=1,#REF!=1),"","")))))))</f>
        <v>#REF!</v>
      </c>
      <c r="F24" s="47" t="e">
        <f>IF(AND(#REF!=0,#REF!=0,#REF!=0),#REF!,IF(AND(#REF!=0,#REF!=1,#REF!=0),"",IF(AND(#REF!=0,#REF!=0,#REF!=1),"",IF(AND(#REF!=1,#REF!=0,#REF!=0),"",IF(AND(#REF!=1,#REF!=1,#REF!=0),"",IF(AND(#REF!=1,#REF!=1,#REF!=1),"",IF(AND(#REF!=0,#REF!=1,#REF!=1),"","")))))))</f>
        <v>#REF!</v>
      </c>
      <c r="G24" s="47"/>
      <c r="H24" s="55">
        <v>18</v>
      </c>
      <c r="I24" s="56">
        <v>20</v>
      </c>
      <c r="J24" s="73">
        <f>H24/(1+I24/100)</f>
        <v>15</v>
      </c>
    </row>
    <row r="25" spans="1:13 14093:14093" x14ac:dyDescent="0.2">
      <c r="L25" s="59"/>
    </row>
    <row r="26" spans="1:13 14093:14093" x14ac:dyDescent="0.2">
      <c r="B26" s="60" t="s">
        <v>11</v>
      </c>
      <c r="C26" s="60" t="s">
        <v>15</v>
      </c>
      <c r="D26" s="60" t="s">
        <v>16</v>
      </c>
      <c r="E26" s="60" t="s">
        <v>9</v>
      </c>
      <c r="F26" s="60" t="s">
        <v>12</v>
      </c>
      <c r="G26" s="60"/>
      <c r="H26" s="60" t="s">
        <v>24</v>
      </c>
      <c r="I26" s="60" t="s">
        <v>23</v>
      </c>
      <c r="J26" s="60" t="s">
        <v>25</v>
      </c>
      <c r="L26" s="59"/>
    </row>
    <row r="27" spans="1:13 14093:14093" x14ac:dyDescent="0.2">
      <c r="A27" s="93" t="s">
        <v>58</v>
      </c>
      <c r="B27" s="61"/>
      <c r="C27" s="60"/>
      <c r="D27" s="60"/>
      <c r="E27" s="60"/>
      <c r="F27" s="60"/>
      <c r="G27" s="60"/>
      <c r="H27" s="60"/>
      <c r="I27" s="60"/>
      <c r="J27" s="60"/>
    </row>
    <row r="28" spans="1:13 14093:14093" ht="25.5" x14ac:dyDescent="0.2">
      <c r="A28" s="62"/>
      <c r="B28" s="137" t="s">
        <v>121</v>
      </c>
      <c r="C28" s="132">
        <v>1</v>
      </c>
      <c r="D28" s="135">
        <v>275</v>
      </c>
      <c r="E28" s="133">
        <v>0.2</v>
      </c>
      <c r="F28" s="10">
        <f t="shared" ref="F28:F54" si="0">IF(D28&gt;0,D28*C28,"")</f>
        <v>275</v>
      </c>
      <c r="G28" s="9"/>
      <c r="H28" s="131" t="str">
        <f t="shared" ref="H28:H54" si="1">IF(E28=0.1,F28*E28,"")</f>
        <v/>
      </c>
      <c r="I28" s="124" t="str">
        <f t="shared" ref="I28:I54" si="2">IF(E28=0.055,F28*E28,"")</f>
        <v/>
      </c>
      <c r="J28" s="9">
        <f t="shared" ref="J28:J54" si="3">IF(E28=0.2,F28*E28,"")</f>
        <v>55</v>
      </c>
    </row>
    <row r="29" spans="1:13 14093:14093" x14ac:dyDescent="0.2">
      <c r="A29" s="62"/>
      <c r="B29" s="137"/>
      <c r="C29" s="132"/>
      <c r="D29" s="135"/>
      <c r="E29" s="133" t="str">
        <f>IF(C29&gt;0,10%,"")</f>
        <v/>
      </c>
      <c r="F29" s="10" t="str">
        <f t="shared" si="0"/>
        <v/>
      </c>
      <c r="G29" s="9"/>
      <c r="H29" s="131" t="str">
        <f t="shared" si="1"/>
        <v/>
      </c>
      <c r="I29" s="124" t="str">
        <f t="shared" si="2"/>
        <v/>
      </c>
      <c r="J29" s="9" t="str">
        <f t="shared" si="3"/>
        <v/>
      </c>
    </row>
    <row r="30" spans="1:13 14093:14093" ht="25.5" x14ac:dyDescent="0.2">
      <c r="A30" s="62"/>
      <c r="B30" s="137" t="s">
        <v>128</v>
      </c>
      <c r="C30" s="132">
        <v>1</v>
      </c>
      <c r="D30" s="135">
        <v>369</v>
      </c>
      <c r="E30" s="133">
        <v>0.2</v>
      </c>
      <c r="F30" s="10">
        <f t="shared" si="0"/>
        <v>369</v>
      </c>
      <c r="G30" s="9"/>
      <c r="H30" s="131" t="str">
        <f t="shared" si="1"/>
        <v/>
      </c>
      <c r="I30" s="124" t="str">
        <f t="shared" si="2"/>
        <v/>
      </c>
      <c r="J30" s="9">
        <f t="shared" si="3"/>
        <v>73.8</v>
      </c>
    </row>
    <row r="31" spans="1:13 14093:14093" ht="25.5" x14ac:dyDescent="0.2">
      <c r="A31" s="62"/>
      <c r="B31" s="137" t="s">
        <v>129</v>
      </c>
      <c r="C31" s="132">
        <v>1</v>
      </c>
      <c r="D31" s="135">
        <v>475</v>
      </c>
      <c r="E31" s="133">
        <v>0.2</v>
      </c>
      <c r="F31" s="10">
        <f t="shared" si="0"/>
        <v>475</v>
      </c>
      <c r="G31" s="9"/>
      <c r="H31" s="131" t="str">
        <f t="shared" si="1"/>
        <v/>
      </c>
      <c r="I31" s="124" t="str">
        <f t="shared" si="2"/>
        <v/>
      </c>
      <c r="J31" s="9">
        <f t="shared" si="3"/>
        <v>95</v>
      </c>
    </row>
    <row r="32" spans="1:13 14093:14093" x14ac:dyDescent="0.2">
      <c r="A32" s="62"/>
      <c r="B32" s="137" t="s">
        <v>130</v>
      </c>
      <c r="C32" s="132">
        <v>1</v>
      </c>
      <c r="D32" s="135">
        <v>115</v>
      </c>
      <c r="E32" s="133">
        <v>0.2</v>
      </c>
      <c r="F32" s="10">
        <f t="shared" si="0"/>
        <v>115</v>
      </c>
      <c r="G32" s="9"/>
      <c r="H32" s="131" t="str">
        <f t="shared" si="1"/>
        <v/>
      </c>
      <c r="I32" s="124" t="str">
        <f t="shared" si="2"/>
        <v/>
      </c>
      <c r="J32" s="9">
        <f t="shared" si="3"/>
        <v>23</v>
      </c>
    </row>
    <row r="33" spans="1:10" x14ac:dyDescent="0.2">
      <c r="A33" s="62"/>
      <c r="B33" s="137"/>
      <c r="C33" s="132"/>
      <c r="D33" s="135"/>
      <c r="E33" s="133" t="str">
        <f t="shared" ref="E33:E54" si="4">IF(C33&gt;0,10%,"")</f>
        <v/>
      </c>
      <c r="F33" s="10" t="str">
        <f t="shared" si="0"/>
        <v/>
      </c>
      <c r="G33" s="9"/>
      <c r="H33" s="131" t="str">
        <f t="shared" si="1"/>
        <v/>
      </c>
      <c r="I33" s="124" t="str">
        <f t="shared" si="2"/>
        <v/>
      </c>
      <c r="J33" s="9" t="str">
        <f t="shared" si="3"/>
        <v/>
      </c>
    </row>
    <row r="34" spans="1:10" x14ac:dyDescent="0.2">
      <c r="A34" s="62"/>
      <c r="B34" s="137"/>
      <c r="C34" s="132"/>
      <c r="D34" s="135"/>
      <c r="E34" s="133" t="str">
        <f t="shared" si="4"/>
        <v/>
      </c>
      <c r="F34" s="10" t="str">
        <f t="shared" si="0"/>
        <v/>
      </c>
      <c r="G34" s="9"/>
      <c r="H34" s="131" t="str">
        <f t="shared" si="1"/>
        <v/>
      </c>
      <c r="I34" s="124" t="str">
        <f t="shared" si="2"/>
        <v/>
      </c>
      <c r="J34" s="9" t="str">
        <f t="shared" si="3"/>
        <v/>
      </c>
    </row>
    <row r="35" spans="1:10" x14ac:dyDescent="0.2">
      <c r="A35" s="62"/>
      <c r="B35" s="137"/>
      <c r="C35" s="132"/>
      <c r="D35" s="135"/>
      <c r="E35" s="133" t="str">
        <f t="shared" si="4"/>
        <v/>
      </c>
      <c r="F35" s="10" t="str">
        <f t="shared" si="0"/>
        <v/>
      </c>
      <c r="G35" s="9"/>
      <c r="H35" s="131" t="str">
        <f t="shared" si="1"/>
        <v/>
      </c>
      <c r="I35" s="124" t="str">
        <f t="shared" si="2"/>
        <v/>
      </c>
      <c r="J35" s="9" t="str">
        <f t="shared" si="3"/>
        <v/>
      </c>
    </row>
    <row r="36" spans="1:10" x14ac:dyDescent="0.2">
      <c r="A36" s="62"/>
      <c r="B36" s="137"/>
      <c r="C36" s="132"/>
      <c r="D36" s="135"/>
      <c r="E36" s="133" t="str">
        <f t="shared" si="4"/>
        <v/>
      </c>
      <c r="F36" s="10" t="str">
        <f t="shared" si="0"/>
        <v/>
      </c>
      <c r="G36" s="9"/>
      <c r="H36" s="131" t="str">
        <f t="shared" si="1"/>
        <v/>
      </c>
      <c r="I36" s="124" t="str">
        <f t="shared" si="2"/>
        <v/>
      </c>
      <c r="J36" s="9" t="str">
        <f t="shared" si="3"/>
        <v/>
      </c>
    </row>
    <row r="37" spans="1:10" x14ac:dyDescent="0.2">
      <c r="A37" s="62"/>
      <c r="B37" s="137"/>
      <c r="C37" s="132"/>
      <c r="D37" s="135"/>
      <c r="E37" s="133" t="str">
        <f t="shared" si="4"/>
        <v/>
      </c>
      <c r="F37" s="10" t="str">
        <f t="shared" si="0"/>
        <v/>
      </c>
      <c r="G37" s="9"/>
      <c r="H37" s="131" t="str">
        <f t="shared" si="1"/>
        <v/>
      </c>
      <c r="I37" s="124" t="str">
        <f t="shared" si="2"/>
        <v/>
      </c>
      <c r="J37" s="9" t="str">
        <f t="shared" si="3"/>
        <v/>
      </c>
    </row>
    <row r="38" spans="1:10" x14ac:dyDescent="0.2">
      <c r="A38" s="62"/>
      <c r="B38" s="137"/>
      <c r="C38" s="132"/>
      <c r="D38" s="135"/>
      <c r="E38" s="133" t="str">
        <f t="shared" si="4"/>
        <v/>
      </c>
      <c r="F38" s="10" t="str">
        <f t="shared" si="0"/>
        <v/>
      </c>
      <c r="G38" s="9"/>
      <c r="H38" s="131" t="str">
        <f t="shared" si="1"/>
        <v/>
      </c>
      <c r="I38" s="124" t="str">
        <f t="shared" si="2"/>
        <v/>
      </c>
      <c r="J38" s="9" t="str">
        <f t="shared" si="3"/>
        <v/>
      </c>
    </row>
    <row r="39" spans="1:10" x14ac:dyDescent="0.2">
      <c r="A39" s="62"/>
      <c r="B39" s="137"/>
      <c r="C39" s="132"/>
      <c r="D39" s="135"/>
      <c r="E39" s="133" t="str">
        <f t="shared" si="4"/>
        <v/>
      </c>
      <c r="F39" s="10" t="str">
        <f t="shared" si="0"/>
        <v/>
      </c>
      <c r="G39" s="9"/>
      <c r="H39" s="131" t="str">
        <f t="shared" si="1"/>
        <v/>
      </c>
      <c r="I39" s="124" t="str">
        <f t="shared" si="2"/>
        <v/>
      </c>
      <c r="J39" s="9" t="str">
        <f t="shared" si="3"/>
        <v/>
      </c>
    </row>
    <row r="40" spans="1:10" x14ac:dyDescent="0.2">
      <c r="A40" s="62"/>
      <c r="B40" s="137"/>
      <c r="C40" s="132"/>
      <c r="D40" s="135"/>
      <c r="E40" s="133" t="str">
        <f t="shared" si="4"/>
        <v/>
      </c>
      <c r="F40" s="10" t="str">
        <f t="shared" si="0"/>
        <v/>
      </c>
      <c r="G40" s="9"/>
      <c r="H40" s="131" t="str">
        <f t="shared" si="1"/>
        <v/>
      </c>
      <c r="I40" s="124" t="str">
        <f t="shared" si="2"/>
        <v/>
      </c>
      <c r="J40" s="9" t="str">
        <f t="shared" si="3"/>
        <v/>
      </c>
    </row>
    <row r="41" spans="1:10" x14ac:dyDescent="0.2">
      <c r="A41" s="62"/>
      <c r="B41" s="137"/>
      <c r="C41" s="132"/>
      <c r="D41" s="135"/>
      <c r="E41" s="133" t="str">
        <f t="shared" si="4"/>
        <v/>
      </c>
      <c r="F41" s="10" t="str">
        <f t="shared" si="0"/>
        <v/>
      </c>
      <c r="G41" s="9"/>
      <c r="H41" s="131" t="str">
        <f t="shared" si="1"/>
        <v/>
      </c>
      <c r="I41" s="124" t="str">
        <f t="shared" si="2"/>
        <v/>
      </c>
      <c r="J41" s="9" t="str">
        <f t="shared" si="3"/>
        <v/>
      </c>
    </row>
    <row r="42" spans="1:10" x14ac:dyDescent="0.2">
      <c r="A42" s="62"/>
      <c r="B42" s="137"/>
      <c r="C42" s="132"/>
      <c r="D42" s="135"/>
      <c r="E42" s="133" t="str">
        <f t="shared" si="4"/>
        <v/>
      </c>
      <c r="F42" s="10" t="str">
        <f t="shared" si="0"/>
        <v/>
      </c>
      <c r="G42" s="9"/>
      <c r="H42" s="131" t="str">
        <f t="shared" si="1"/>
        <v/>
      </c>
      <c r="I42" s="124" t="str">
        <f t="shared" si="2"/>
        <v/>
      </c>
      <c r="J42" s="9" t="str">
        <f t="shared" si="3"/>
        <v/>
      </c>
    </row>
    <row r="43" spans="1:10" x14ac:dyDescent="0.2">
      <c r="A43" s="62"/>
      <c r="B43" s="137"/>
      <c r="C43" s="132"/>
      <c r="D43" s="135"/>
      <c r="E43" s="133" t="str">
        <f t="shared" si="4"/>
        <v/>
      </c>
      <c r="F43" s="10" t="str">
        <f t="shared" si="0"/>
        <v/>
      </c>
      <c r="G43" s="9"/>
      <c r="H43" s="131" t="str">
        <f t="shared" si="1"/>
        <v/>
      </c>
      <c r="I43" s="124" t="str">
        <f t="shared" si="2"/>
        <v/>
      </c>
      <c r="J43" s="9" t="str">
        <f t="shared" si="3"/>
        <v/>
      </c>
    </row>
    <row r="44" spans="1:10" x14ac:dyDescent="0.2">
      <c r="A44" s="62"/>
      <c r="B44" s="137"/>
      <c r="C44" s="132"/>
      <c r="D44" s="135"/>
      <c r="E44" s="133" t="str">
        <f t="shared" si="4"/>
        <v/>
      </c>
      <c r="F44" s="10" t="str">
        <f t="shared" si="0"/>
        <v/>
      </c>
      <c r="G44" s="9"/>
      <c r="H44" s="131" t="str">
        <f t="shared" si="1"/>
        <v/>
      </c>
      <c r="I44" s="124" t="str">
        <f t="shared" si="2"/>
        <v/>
      </c>
      <c r="J44" s="9" t="str">
        <f t="shared" si="3"/>
        <v/>
      </c>
    </row>
    <row r="45" spans="1:10" x14ac:dyDescent="0.2">
      <c r="A45" s="62"/>
      <c r="B45" s="137"/>
      <c r="C45" s="132"/>
      <c r="D45" s="135"/>
      <c r="E45" s="133" t="str">
        <f t="shared" si="4"/>
        <v/>
      </c>
      <c r="F45" s="10" t="str">
        <f t="shared" si="0"/>
        <v/>
      </c>
      <c r="G45" s="9"/>
      <c r="H45" s="131" t="str">
        <f t="shared" si="1"/>
        <v/>
      </c>
      <c r="I45" s="124" t="str">
        <f t="shared" si="2"/>
        <v/>
      </c>
      <c r="J45" s="9" t="str">
        <f t="shared" si="3"/>
        <v/>
      </c>
    </row>
    <row r="46" spans="1:10" x14ac:dyDescent="0.2">
      <c r="A46" s="62"/>
      <c r="B46" s="137"/>
      <c r="C46" s="132"/>
      <c r="D46" s="135"/>
      <c r="E46" s="133" t="str">
        <f t="shared" si="4"/>
        <v/>
      </c>
      <c r="F46" s="10" t="str">
        <f t="shared" si="0"/>
        <v/>
      </c>
      <c r="G46" s="9"/>
      <c r="H46" s="131" t="str">
        <f t="shared" si="1"/>
        <v/>
      </c>
      <c r="I46" s="124" t="str">
        <f t="shared" si="2"/>
        <v/>
      </c>
      <c r="J46" s="9" t="str">
        <f t="shared" si="3"/>
        <v/>
      </c>
    </row>
    <row r="47" spans="1:10" x14ac:dyDescent="0.2">
      <c r="A47" s="62"/>
      <c r="B47" s="137"/>
      <c r="C47" s="132"/>
      <c r="D47" s="135"/>
      <c r="E47" s="133" t="str">
        <f t="shared" si="4"/>
        <v/>
      </c>
      <c r="F47" s="10" t="str">
        <f t="shared" si="0"/>
        <v/>
      </c>
      <c r="G47" s="9"/>
      <c r="H47" s="131" t="str">
        <f t="shared" si="1"/>
        <v/>
      </c>
      <c r="I47" s="124" t="str">
        <f t="shared" si="2"/>
        <v/>
      </c>
      <c r="J47" s="9" t="str">
        <f t="shared" si="3"/>
        <v/>
      </c>
    </row>
    <row r="48" spans="1:10" x14ac:dyDescent="0.2">
      <c r="A48" s="62"/>
      <c r="B48" s="137"/>
      <c r="C48" s="132"/>
      <c r="D48" s="135"/>
      <c r="E48" s="133" t="str">
        <f t="shared" si="4"/>
        <v/>
      </c>
      <c r="F48" s="10" t="str">
        <f t="shared" si="0"/>
        <v/>
      </c>
      <c r="G48" s="9"/>
      <c r="H48" s="131" t="str">
        <f t="shared" si="1"/>
        <v/>
      </c>
      <c r="I48" s="124" t="str">
        <f t="shared" si="2"/>
        <v/>
      </c>
      <c r="J48" s="9" t="str">
        <f t="shared" si="3"/>
        <v/>
      </c>
    </row>
    <row r="49" spans="1:10" x14ac:dyDescent="0.2">
      <c r="A49" s="62"/>
      <c r="B49" s="137"/>
      <c r="C49" s="132"/>
      <c r="D49" s="135"/>
      <c r="E49" s="133" t="str">
        <f t="shared" si="4"/>
        <v/>
      </c>
      <c r="F49" s="10" t="str">
        <f t="shared" si="0"/>
        <v/>
      </c>
      <c r="G49" s="9"/>
      <c r="H49" s="131" t="str">
        <f t="shared" si="1"/>
        <v/>
      </c>
      <c r="I49" s="124" t="str">
        <f t="shared" si="2"/>
        <v/>
      </c>
      <c r="J49" s="9" t="str">
        <f t="shared" si="3"/>
        <v/>
      </c>
    </row>
    <row r="50" spans="1:10" x14ac:dyDescent="0.2">
      <c r="A50" s="62"/>
      <c r="B50" s="137"/>
      <c r="C50" s="132"/>
      <c r="D50" s="135"/>
      <c r="E50" s="133" t="str">
        <f t="shared" si="4"/>
        <v/>
      </c>
      <c r="F50" s="10" t="str">
        <f t="shared" si="0"/>
        <v/>
      </c>
      <c r="G50" s="9"/>
      <c r="H50" s="131" t="str">
        <f t="shared" si="1"/>
        <v/>
      </c>
      <c r="I50" s="124" t="str">
        <f t="shared" si="2"/>
        <v/>
      </c>
      <c r="J50" s="9" t="str">
        <f t="shared" si="3"/>
        <v/>
      </c>
    </row>
    <row r="51" spans="1:10" x14ac:dyDescent="0.2">
      <c r="A51" s="62"/>
      <c r="B51" s="137"/>
      <c r="C51" s="132"/>
      <c r="D51" s="135"/>
      <c r="E51" s="133" t="str">
        <f t="shared" si="4"/>
        <v/>
      </c>
      <c r="F51" s="10" t="str">
        <f t="shared" si="0"/>
        <v/>
      </c>
      <c r="G51" s="9"/>
      <c r="H51" s="131" t="str">
        <f t="shared" si="1"/>
        <v/>
      </c>
      <c r="I51" s="124" t="str">
        <f t="shared" si="2"/>
        <v/>
      </c>
      <c r="J51" s="9" t="str">
        <f t="shared" si="3"/>
        <v/>
      </c>
    </row>
    <row r="52" spans="1:10" x14ac:dyDescent="0.2">
      <c r="A52" s="62"/>
      <c r="B52" s="137"/>
      <c r="C52" s="132"/>
      <c r="D52" s="135"/>
      <c r="E52" s="133" t="str">
        <f t="shared" si="4"/>
        <v/>
      </c>
      <c r="F52" s="10" t="str">
        <f t="shared" si="0"/>
        <v/>
      </c>
      <c r="G52" s="9"/>
      <c r="H52" s="131" t="str">
        <f t="shared" si="1"/>
        <v/>
      </c>
      <c r="I52" s="124" t="str">
        <f t="shared" si="2"/>
        <v/>
      </c>
      <c r="J52" s="9" t="str">
        <f t="shared" si="3"/>
        <v/>
      </c>
    </row>
    <row r="53" spans="1:10" x14ac:dyDescent="0.2">
      <c r="A53" s="62"/>
      <c r="B53" s="137"/>
      <c r="C53" s="132"/>
      <c r="D53" s="135"/>
      <c r="E53" s="133" t="str">
        <f t="shared" si="4"/>
        <v/>
      </c>
      <c r="F53" s="10" t="str">
        <f t="shared" si="0"/>
        <v/>
      </c>
      <c r="G53" s="9"/>
      <c r="H53" s="131" t="str">
        <f t="shared" si="1"/>
        <v/>
      </c>
      <c r="I53" s="124" t="str">
        <f t="shared" si="2"/>
        <v/>
      </c>
      <c r="J53" s="9" t="str">
        <f t="shared" si="3"/>
        <v/>
      </c>
    </row>
    <row r="54" spans="1:10" x14ac:dyDescent="0.2">
      <c r="A54" s="62"/>
      <c r="B54" s="137"/>
      <c r="C54" s="132"/>
      <c r="D54" s="135"/>
      <c r="E54" s="133" t="str">
        <f t="shared" si="4"/>
        <v/>
      </c>
      <c r="F54" s="10" t="str">
        <f t="shared" si="0"/>
        <v/>
      </c>
      <c r="G54" s="9"/>
      <c r="H54" s="131" t="str">
        <f t="shared" si="1"/>
        <v/>
      </c>
      <c r="I54" s="124" t="str">
        <f t="shared" si="2"/>
        <v/>
      </c>
      <c r="J54" s="9" t="str">
        <f t="shared" si="3"/>
        <v/>
      </c>
    </row>
    <row r="55" spans="1:10" x14ac:dyDescent="0.2">
      <c r="A55" s="93" t="s">
        <v>58</v>
      </c>
      <c r="B55" s="91"/>
      <c r="C55" s="64"/>
      <c r="D55" s="15"/>
      <c r="E55" s="63"/>
      <c r="F55" s="10"/>
      <c r="G55" s="124"/>
      <c r="H55" s="131" t="str">
        <f t="shared" ref="H55" si="5">IF(E55=0.1,F55*E55,"")</f>
        <v/>
      </c>
      <c r="I55" s="124" t="str">
        <f t="shared" ref="I55" si="6">IF(E55=0.055,F55*E55,"")</f>
        <v/>
      </c>
      <c r="J55" s="9" t="str">
        <f t="shared" ref="J55" si="7">IF(E55=0.2,F55*E55,"")</f>
        <v/>
      </c>
    </row>
    <row r="56" spans="1:10" x14ac:dyDescent="0.2">
      <c r="A56" s="93" t="s">
        <v>58</v>
      </c>
      <c r="B56" s="153"/>
      <c r="C56" s="153"/>
      <c r="D56" s="153"/>
      <c r="E56" s="63"/>
      <c r="F56" s="10"/>
      <c r="G56" s="124"/>
      <c r="H56" s="9"/>
      <c r="I56" s="10"/>
      <c r="J56" s="10"/>
    </row>
    <row r="57" spans="1:10" x14ac:dyDescent="0.2">
      <c r="A57" s="62"/>
      <c r="B57" s="21"/>
      <c r="C57" s="20"/>
      <c r="D57" s="15"/>
      <c r="E57" s="63"/>
      <c r="F57" s="10"/>
      <c r="G57" s="124"/>
      <c r="H57" s="9"/>
      <c r="I57" s="10"/>
      <c r="J57" s="10"/>
    </row>
    <row r="58" spans="1:10" ht="13.5" thickBot="1" x14ac:dyDescent="0.25">
      <c r="A58" s="62"/>
      <c r="B58" s="21"/>
      <c r="C58" s="20"/>
      <c r="D58" s="15"/>
      <c r="E58" s="63"/>
      <c r="F58" s="10"/>
      <c r="G58" s="124"/>
      <c r="H58" s="9"/>
      <c r="I58" s="10"/>
      <c r="J58" s="10"/>
    </row>
    <row r="59" spans="1:10" ht="13.5" thickTop="1" x14ac:dyDescent="0.2">
      <c r="A59" s="62"/>
      <c r="E59" s="65">
        <v>5.5E-2</v>
      </c>
      <c r="F59" s="74" t="e">
        <f>TVA_5</f>
        <v>#REF!</v>
      </c>
      <c r="G59" s="125"/>
      <c r="H59" s="9"/>
      <c r="I59" s="10"/>
      <c r="J59" s="10"/>
    </row>
    <row r="60" spans="1:10" ht="15.75" x14ac:dyDescent="0.2">
      <c r="A60" s="62"/>
      <c r="B60" s="154" t="e">
        <f>IF(OR(Rech_Fact=1,Rech_Acpte1=1,Rech_Acpte2=1),Reglement,Date_Sign)</f>
        <v>#REF!</v>
      </c>
      <c r="C60" s="154"/>
      <c r="D60" s="155"/>
      <c r="E60" s="66">
        <v>0.1</v>
      </c>
      <c r="F60" s="75" t="e">
        <f>TVA_10</f>
        <v>#REF!</v>
      </c>
      <c r="G60" s="125"/>
    </row>
    <row r="61" spans="1:10" ht="13.5" thickBot="1" x14ac:dyDescent="0.25">
      <c r="A61" s="62"/>
      <c r="E61" s="67">
        <v>0.2</v>
      </c>
      <c r="F61" s="76" t="e">
        <f>TVA_20</f>
        <v>#REF!</v>
      </c>
      <c r="G61" s="125"/>
    </row>
    <row r="62" spans="1:10" ht="14.25" thickTop="1" thickBot="1" x14ac:dyDescent="0.25">
      <c r="A62" s="62"/>
    </row>
    <row r="63" spans="1:10" ht="13.5" thickTop="1" x14ac:dyDescent="0.2">
      <c r="A63" s="62"/>
      <c r="B63" s="62"/>
      <c r="C63" s="62"/>
      <c r="D63" s="68" t="s">
        <v>2</v>
      </c>
      <c r="E63" s="69" t="s">
        <v>14</v>
      </c>
      <c r="F63" s="70" t="s">
        <v>13</v>
      </c>
      <c r="G63" s="126"/>
    </row>
    <row r="64" spans="1:10" x14ac:dyDescent="0.2">
      <c r="A64" s="62"/>
      <c r="B64" s="156" t="s">
        <v>19</v>
      </c>
      <c r="C64" s="156"/>
      <c r="D64" s="77" t="e">
        <f>HT</f>
        <v>#REF!</v>
      </c>
      <c r="E64" s="78" t="e">
        <f>TTC</f>
        <v>#REF!</v>
      </c>
      <c r="F64" s="79" t="e">
        <f>Som_TVA_Tot</f>
        <v>#REF!</v>
      </c>
      <c r="G64" s="127"/>
    </row>
    <row r="65" spans="1:10" x14ac:dyDescent="0.2">
      <c r="A65" s="62"/>
      <c r="B65" s="156" t="s">
        <v>20</v>
      </c>
      <c r="C65" s="156"/>
      <c r="D65" s="80" t="e">
        <f>IF(#REF!=1,Acpte1_HT,0)</f>
        <v>#REF!</v>
      </c>
      <c r="E65" s="78" t="e">
        <f>IF(#REF!=1,TTC_Acpte_Cde,0)</f>
        <v>#REF!</v>
      </c>
      <c r="F65" s="81" t="e">
        <f>IF(#REF!=1,Som_TVA_Cde,0)</f>
        <v>#REF!</v>
      </c>
      <c r="G65" s="128"/>
    </row>
    <row r="66" spans="1:10" x14ac:dyDescent="0.2">
      <c r="A66" s="62"/>
      <c r="B66" s="156" t="s">
        <v>21</v>
      </c>
      <c r="C66" s="156"/>
      <c r="D66" s="80" t="e">
        <f>IF(#REF!=1,Acpte2_HT,0)</f>
        <v>#REF!</v>
      </c>
      <c r="E66" s="78" t="e">
        <f>IF(#REF!=1,TTC_Acpte_Inter,0)</f>
        <v>#REF!</v>
      </c>
      <c r="F66" s="81" t="e">
        <f>IF(#REF!=1,Som_TVA_Int,0)</f>
        <v>#REF!</v>
      </c>
      <c r="G66" s="128"/>
      <c r="J66" s="62"/>
    </row>
    <row r="67" spans="1:10" ht="13.5" thickBot="1" x14ac:dyDescent="0.25">
      <c r="A67" s="62"/>
      <c r="B67" s="156" t="s">
        <v>22</v>
      </c>
      <c r="C67" s="156"/>
      <c r="D67" s="82" t="e">
        <f>D64-D65-D66</f>
        <v>#REF!</v>
      </c>
      <c r="E67" s="83" t="e">
        <f>E64-E65-E66</f>
        <v>#REF!</v>
      </c>
      <c r="F67" s="83" t="e">
        <f>F64-F65-F66</f>
        <v>#REF!</v>
      </c>
      <c r="G67" s="129"/>
      <c r="J67" s="62"/>
    </row>
    <row r="68" spans="1:10" ht="14.25" thickTop="1" thickBot="1" x14ac:dyDescent="0.25">
      <c r="A68" s="62"/>
      <c r="C68" s="62"/>
      <c r="J68" s="62"/>
    </row>
    <row r="69" spans="1:10" ht="13.5" thickTop="1" x14ac:dyDescent="0.2">
      <c r="A69" s="62"/>
      <c r="E69" s="149" t="s">
        <v>18</v>
      </c>
      <c r="F69" s="150"/>
      <c r="G69" s="126"/>
      <c r="J69" s="62"/>
    </row>
    <row r="70" spans="1:10" ht="16.5" thickBot="1" x14ac:dyDescent="0.3">
      <c r="A70" s="62"/>
      <c r="B70" s="71"/>
      <c r="C70" s="62"/>
      <c r="D70" s="42"/>
      <c r="E70" s="151" t="e">
        <f>Net_Payer</f>
        <v>#REF!</v>
      </c>
      <c r="F70" s="152"/>
      <c r="G70" s="130"/>
      <c r="J70" s="62"/>
    </row>
    <row r="71" spans="1:10" ht="13.5" thickTop="1" x14ac:dyDescent="0.2">
      <c r="A71" s="62"/>
      <c r="F71" s="72" t="s">
        <v>58</v>
      </c>
      <c r="G71" s="72"/>
      <c r="J71" s="62"/>
    </row>
    <row r="72" spans="1:10" x14ac:dyDescent="0.2">
      <c r="A72" s="62"/>
      <c r="J72" s="62"/>
    </row>
  </sheetData>
  <sheetProtection insertRows="0" deleteRows="0"/>
  <mergeCells count="29">
    <mergeCell ref="C2:F4"/>
    <mergeCell ref="H19:K19"/>
    <mergeCell ref="B67:C67"/>
    <mergeCell ref="D19:F19"/>
    <mergeCell ref="B21:F21"/>
    <mergeCell ref="H8:K8"/>
    <mergeCell ref="H9:K10"/>
    <mergeCell ref="H11:K11"/>
    <mergeCell ref="H12:K13"/>
    <mergeCell ref="H2:K2"/>
    <mergeCell ref="H3:K4"/>
    <mergeCell ref="H5:K5"/>
    <mergeCell ref="H6:K7"/>
    <mergeCell ref="C8:F8"/>
    <mergeCell ref="C9:F9"/>
    <mergeCell ref="C17:F17"/>
    <mergeCell ref="C6:F6"/>
    <mergeCell ref="E69:F69"/>
    <mergeCell ref="E70:F70"/>
    <mergeCell ref="B56:D56"/>
    <mergeCell ref="B60:D60"/>
    <mergeCell ref="B64:C64"/>
    <mergeCell ref="B65:C65"/>
    <mergeCell ref="B66:C66"/>
    <mergeCell ref="D18:F18"/>
    <mergeCell ref="C10:F10"/>
    <mergeCell ref="D13:F13"/>
    <mergeCell ref="D12:F12"/>
    <mergeCell ref="C16:F16"/>
  </mergeCells>
  <conditionalFormatting sqref="B56">
    <cfRule type="expression" dxfId="1" priority="1">
      <formula>E56=0</formula>
    </cfRule>
  </conditionalFormatting>
  <dataValidations count="3">
    <dataValidation type="list" allowBlank="1" showInputMessage="1" showErrorMessage="1" sqref="H9:K10" xr:uid="{F76108B6-EC87-4113-A891-1D945F7094C6}">
      <formula1>L_Devis</formula1>
    </dataValidation>
    <dataValidation type="list" allowBlank="1" showInputMessage="1" showErrorMessage="1" sqref="N3" xr:uid="{1A0F258F-DF83-489C-B19C-6B884331EEB4}">
      <formula1>RefDevis</formula1>
    </dataValidation>
    <dataValidation type="list" allowBlank="1" showInputMessage="1" showErrorMessage="1" sqref="H7:K7 I6:K6" xr:uid="{D646183C-1D68-4E08-9284-AD766345C16C}">
      <formula1>#REF!</formula1>
    </dataValidation>
  </dataValidations>
  <pageMargins left="0.70866141732283472" right="0.70866141732283472" top="0.19685039370078741" bottom="0.78740157480314965" header="0" footer="0.31496062992125984"/>
  <pageSetup paperSize="9" scale="80" fitToHeight="0" orientation="portrait" r:id="rId1"/>
  <headerFooter>
    <oddFooter>&amp;L&amp;"Arial,Italique"&amp;8Règlement par virement : IBAN FR76 1020 7002 1723 2150 9865 534
Règlement par chèque : à l'ordre de SAS EMC BAT&amp;RPage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E6978-28C8-47F5-AB9D-49FF9451763B}">
  <sheetPr codeName="Feuil1">
    <tabColor theme="4" tint="0.59999389629810485"/>
  </sheetPr>
  <dimension ref="A1:T2"/>
  <sheetViews>
    <sheetView showGridLines="0" topLeftCell="D1" workbookViewId="0">
      <pane ySplit="1" topLeftCell="A2" activePane="bottomLeft" state="frozen"/>
      <selection pane="bottomLeft" activeCell="M2" sqref="M2"/>
    </sheetView>
  </sheetViews>
  <sheetFormatPr baseColWidth="10" defaultColWidth="11.42578125" defaultRowHeight="12.75" x14ac:dyDescent="0.2"/>
  <cols>
    <col min="1" max="1" width="9.42578125" customWidth="1"/>
    <col min="2" max="2" width="37.28515625" bestFit="1" customWidth="1"/>
    <col min="3" max="3" width="11.28515625" bestFit="1" customWidth="1"/>
    <col min="4" max="4" width="9.85546875" customWidth="1"/>
    <col min="5" max="6" width="26.28515625" bestFit="1" customWidth="1"/>
    <col min="7" max="8" width="10.5703125" style="6" bestFit="1" customWidth="1"/>
    <col min="9" max="9" width="25.42578125" style="6" bestFit="1" customWidth="1"/>
    <col min="10" max="10" width="33.140625" bestFit="1" customWidth="1"/>
    <col min="11" max="11" width="25.140625" bestFit="1" customWidth="1"/>
    <col min="12" max="12" width="13.7109375" bestFit="1" customWidth="1"/>
    <col min="13" max="14" width="25" bestFit="1" customWidth="1"/>
    <col min="15" max="15" width="13.140625" style="13" bestFit="1" customWidth="1"/>
    <col min="16" max="16" width="15.7109375" style="13" bestFit="1" customWidth="1"/>
  </cols>
  <sheetData>
    <row r="1" spans="1:20" s="18" customFormat="1" x14ac:dyDescent="0.2">
      <c r="A1" s="18" t="s">
        <v>118</v>
      </c>
      <c r="B1" s="18" t="s">
        <v>63</v>
      </c>
      <c r="C1" s="18" t="s">
        <v>0</v>
      </c>
      <c r="D1" s="18" t="s">
        <v>26</v>
      </c>
      <c r="E1" s="22" t="s">
        <v>120</v>
      </c>
      <c r="F1" s="22" t="s">
        <v>119</v>
      </c>
      <c r="G1" s="22" t="s">
        <v>59</v>
      </c>
      <c r="H1" s="22" t="s">
        <v>61</v>
      </c>
      <c r="I1" s="18" t="s">
        <v>3</v>
      </c>
      <c r="J1" s="18" t="s">
        <v>4</v>
      </c>
      <c r="K1" s="18" t="s">
        <v>5</v>
      </c>
      <c r="L1" s="18" t="s">
        <v>6</v>
      </c>
      <c r="M1" s="18" t="s">
        <v>7</v>
      </c>
      <c r="N1" s="18" t="s">
        <v>8</v>
      </c>
      <c r="O1" s="24" t="s">
        <v>80</v>
      </c>
      <c r="P1" s="24" t="s">
        <v>81</v>
      </c>
      <c r="Q1" s="18" t="s">
        <v>64</v>
      </c>
      <c r="S1"/>
      <c r="T1"/>
    </row>
    <row r="2" spans="1:20" x14ac:dyDescent="0.2">
      <c r="A2" s="11" t="s">
        <v>123</v>
      </c>
      <c r="B2" s="1" t="s">
        <v>122</v>
      </c>
      <c r="C2" s="1">
        <v>159</v>
      </c>
      <c r="D2" s="94">
        <v>45245</v>
      </c>
      <c r="E2" s="5"/>
      <c r="F2" s="5" t="s">
        <v>37</v>
      </c>
      <c r="G2" s="5" t="s">
        <v>60</v>
      </c>
      <c r="H2" s="4"/>
      <c r="I2" s="5"/>
      <c r="J2" s="1"/>
      <c r="K2" s="1"/>
      <c r="L2" s="2"/>
      <c r="M2" s="3"/>
      <c r="N2" s="11" t="s">
        <v>37</v>
      </c>
      <c r="O2" s="92">
        <f>SUMIFS(TBDevis[Montant TTC],TBDevis[NumClient],TabClient[[#This Row],[NClient]])</f>
        <v>0</v>
      </c>
      <c r="P2" s="92">
        <f>SUMIFS(TBDevis[Montant TTC2],TBDevis[NumClient],TabClient[[#This Row],[NClient]])</f>
        <v>0</v>
      </c>
      <c r="Q2" s="11">
        <f>YEAR(TabClient[[#This Row],[Date Création]])</f>
        <v>2023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EA9B5-3FA1-418E-958B-B6744D133E91}">
  <sheetPr codeName="Feuil3">
    <tabColor theme="7" tint="-0.249977111117893"/>
  </sheetPr>
  <dimension ref="A1:AP2"/>
  <sheetViews>
    <sheetView tabSelected="1" topLeftCell="Y1" workbookViewId="0">
      <pane ySplit="1" topLeftCell="A2" activePane="bottomLeft" state="frozen"/>
      <selection pane="bottomLeft" activeCell="I2" sqref="I2"/>
    </sheetView>
  </sheetViews>
  <sheetFormatPr baseColWidth="10" defaultColWidth="11.42578125" defaultRowHeight="12.75" x14ac:dyDescent="0.2"/>
  <cols>
    <col min="1" max="1" width="10.85546875" style="35" customWidth="1"/>
    <col min="2" max="2" width="11.140625" style="35" customWidth="1"/>
    <col min="3" max="3" width="9.28515625" style="95" customWidth="1"/>
    <col min="4" max="4" width="12.5703125" style="38" bestFit="1" customWidth="1"/>
    <col min="5" max="5" width="54.140625" style="35" customWidth="1"/>
    <col min="6" max="6" width="38" style="35" customWidth="1"/>
    <col min="7" max="7" width="11" style="35" customWidth="1"/>
    <col min="8" max="8" width="11.85546875" style="36" customWidth="1"/>
    <col min="9" max="9" width="10.85546875" style="35" customWidth="1"/>
    <col min="10" max="10" width="30.42578125" style="35" bestFit="1" customWidth="1"/>
    <col min="11" max="11" width="15.28515625" style="40" customWidth="1"/>
    <col min="12" max="12" width="14.140625" style="37" customWidth="1"/>
    <col min="13" max="13" width="15.42578125" style="37" customWidth="1"/>
    <col min="14" max="14" width="9.85546875" style="37" customWidth="1"/>
    <col min="15" max="16" width="10.7109375" style="37" customWidth="1"/>
    <col min="17" max="17" width="10" style="35" customWidth="1"/>
    <col min="18" max="18" width="11.42578125" style="35" customWidth="1"/>
    <col min="19" max="19" width="11.85546875" style="95" customWidth="1"/>
    <col min="20" max="20" width="11.140625" style="35" customWidth="1"/>
    <col min="21" max="21" width="12.28515625" style="35" bestFit="1" customWidth="1"/>
    <col min="22" max="22" width="8.7109375" style="95" bestFit="1" customWidth="1"/>
    <col min="23" max="23" width="12.7109375" style="35" bestFit="1" customWidth="1"/>
    <col min="24" max="24" width="11.7109375" style="35" bestFit="1" customWidth="1"/>
    <col min="25" max="26" width="11.42578125" style="35" customWidth="1"/>
    <col min="27" max="27" width="11.85546875" style="95" customWidth="1"/>
    <col min="28" max="28" width="12.42578125" style="35" customWidth="1"/>
    <col min="29" max="29" width="9.85546875" style="35" customWidth="1"/>
    <col min="30" max="30" width="8.5703125" style="35" customWidth="1"/>
    <col min="31" max="31" width="11.42578125" style="35"/>
    <col min="32" max="32" width="9.7109375" style="35" bestFit="1" customWidth="1"/>
    <col min="33" max="33" width="14.5703125" style="35" customWidth="1"/>
    <col min="34" max="36" width="11.42578125" style="35"/>
    <col min="37" max="37" width="12.85546875" bestFit="1" customWidth="1"/>
    <col min="38" max="38" width="12.7109375" style="115" bestFit="1" customWidth="1"/>
    <col min="39" max="39" width="12.42578125" style="7" bestFit="1" customWidth="1"/>
    <col min="40" max="40" width="15.42578125" style="115" bestFit="1" customWidth="1"/>
    <col min="41" max="41" width="13" bestFit="1" customWidth="1"/>
    <col min="42" max="42" width="12.85546875" customWidth="1"/>
    <col min="43" max="16384" width="11.42578125" style="35"/>
  </cols>
  <sheetData>
    <row r="1" spans="1:42" s="34" customFormat="1" ht="24" customHeight="1" x14ac:dyDescent="0.2">
      <c r="A1" s="25" t="s">
        <v>42</v>
      </c>
      <c r="B1" s="25" t="s">
        <v>36</v>
      </c>
      <c r="C1" s="26" t="s">
        <v>34</v>
      </c>
      <c r="D1" s="26" t="s">
        <v>33</v>
      </c>
      <c r="E1" s="25" t="s">
        <v>1</v>
      </c>
      <c r="F1" s="25" t="s">
        <v>32</v>
      </c>
      <c r="G1" s="25" t="s">
        <v>31</v>
      </c>
      <c r="H1" s="27" t="s">
        <v>30</v>
      </c>
      <c r="I1" s="25" t="s">
        <v>10</v>
      </c>
      <c r="J1" s="28" t="s">
        <v>29</v>
      </c>
      <c r="K1" s="25" t="s">
        <v>35</v>
      </c>
      <c r="L1" s="29" t="s">
        <v>12</v>
      </c>
      <c r="M1" s="30" t="s">
        <v>17</v>
      </c>
      <c r="N1" s="29" t="s">
        <v>55</v>
      </c>
      <c r="O1" s="29" t="s">
        <v>56</v>
      </c>
      <c r="P1" s="29" t="s">
        <v>57</v>
      </c>
      <c r="Q1" s="31" t="s">
        <v>41</v>
      </c>
      <c r="R1" s="31" t="s">
        <v>43</v>
      </c>
      <c r="S1" s="32" t="s">
        <v>40</v>
      </c>
      <c r="T1" s="31" t="s">
        <v>51</v>
      </c>
      <c r="U1" s="31" t="s">
        <v>46</v>
      </c>
      <c r="V1" s="32" t="s">
        <v>38</v>
      </c>
      <c r="W1" s="31" t="s">
        <v>109</v>
      </c>
      <c r="X1" s="31" t="s">
        <v>104</v>
      </c>
      <c r="Y1" s="31" t="s">
        <v>105</v>
      </c>
      <c r="Z1" s="31" t="s">
        <v>45</v>
      </c>
      <c r="AA1" s="32" t="s">
        <v>39</v>
      </c>
      <c r="AB1" s="31" t="s">
        <v>106</v>
      </c>
      <c r="AC1" s="97" t="s">
        <v>107</v>
      </c>
      <c r="AD1" s="97" t="s">
        <v>108</v>
      </c>
      <c r="AE1" s="33" t="s">
        <v>79</v>
      </c>
      <c r="AF1" s="33" t="s">
        <v>64</v>
      </c>
      <c r="AG1" s="33" t="s">
        <v>65</v>
      </c>
      <c r="AH1" s="33" t="s">
        <v>116</v>
      </c>
      <c r="AI1" s="31" t="s">
        <v>62</v>
      </c>
      <c r="AJ1" s="97" t="s">
        <v>82</v>
      </c>
      <c r="AK1" s="116" t="s">
        <v>110</v>
      </c>
      <c r="AL1" s="117" t="s">
        <v>111</v>
      </c>
      <c r="AM1" s="118" t="s">
        <v>112</v>
      </c>
      <c r="AN1" s="117" t="s">
        <v>113</v>
      </c>
      <c r="AO1" s="116" t="s">
        <v>114</v>
      </c>
      <c r="AP1" s="119" t="s">
        <v>115</v>
      </c>
    </row>
    <row r="2" spans="1:42" ht="11.25" x14ac:dyDescent="0.2">
      <c r="A2" s="35" t="s">
        <v>125</v>
      </c>
      <c r="B2" s="35" t="s">
        <v>124</v>
      </c>
      <c r="C2" s="136">
        <v>45260</v>
      </c>
      <c r="D2" s="136">
        <v>45320</v>
      </c>
      <c r="E2" s="35" t="s">
        <v>126</v>
      </c>
      <c r="J2" s="35" t="s">
        <v>37</v>
      </c>
      <c r="K2" s="37">
        <f>+TBDevis[[#This Row],[Montant HT]]+TBDevis[[#This Row],[Montant TVA]]</f>
        <v>13878.172</v>
      </c>
      <c r="L2" s="37">
        <v>12616.52</v>
      </c>
      <c r="M2" s="37">
        <f>SUM(TBDevis[[#This Row],[TVA 5]:[TVA 20]])</f>
        <v>1261.652</v>
      </c>
      <c r="N2" s="37">
        <v>0</v>
      </c>
      <c r="O2" s="37">
        <v>1261.652</v>
      </c>
      <c r="P2" s="37">
        <v>0</v>
      </c>
      <c r="Q2" s="39"/>
      <c r="R2" s="37"/>
      <c r="S2" s="134"/>
      <c r="T2" s="37"/>
      <c r="U2" s="37"/>
      <c r="V2" s="114"/>
      <c r="W2" s="37"/>
      <c r="X2" s="37"/>
      <c r="Y2" s="37"/>
      <c r="Z2" s="37"/>
      <c r="AA2" s="114"/>
      <c r="AB2" s="37"/>
      <c r="AC2" s="37"/>
      <c r="AD2" s="37"/>
      <c r="AE2" s="37">
        <f>TBDevis[[#This Row],[Facture]]+TBDevis[[#This Row],[Acpt1_TTC]]+TBDevis[[#This Row],[Acpt2_TTC]]</f>
        <v>0</v>
      </c>
      <c r="AF2" s="90" t="str">
        <f>IF(TBDevis[[#This Row],[DateFact]]&lt;&gt;"",YEAR(TBDevis[[#This Row],[DateFact]]),IF(TBDevis[[#This Row],[DateAcpte2]]&lt;&gt;"",YEAR(TBDevis[[#This Row],[DateAcpte2]]),IF(TBDevis[[#This Row],[DateAcpte1]]&lt;&gt;"",YEAR(TBDevis[[#This Row],[DateAcpte1]]),"")))</f>
        <v/>
      </c>
      <c r="AG2" s="90" t="str">
        <f>IF(YEAR(TBDevis[[#This Row],[DateFact]])=1900,"",MONTH(TBDevis[[#This Row],[DateFact]]))</f>
        <v/>
      </c>
      <c r="AH2" s="37">
        <f>TBDevis[[#This Row],[Montant TTC]]-TBDevis[[#This Row],[Facture]]</f>
        <v>13878.172</v>
      </c>
      <c r="AI2" s="37"/>
      <c r="AJ2" s="41">
        <f>YEAR(TBDevis[[#This Row],[DateDevis]])</f>
        <v>2023</v>
      </c>
      <c r="AK2" s="120" t="str">
        <f ca="1">IF(TBDevis[[#This Row],[N°Fact]]&gt;0,"Facturé",IF(_xlfn.DAYS(TODAY(),TBDevis[[#This Row],[DateValidite]])&gt;45,"Clos","Encours"))</f>
        <v>Encours</v>
      </c>
      <c r="AL2" s="120"/>
      <c r="AM2" s="120"/>
      <c r="AN2" s="120"/>
      <c r="AO2" s="120"/>
      <c r="AP2" s="120"/>
    </row>
  </sheetData>
  <sheetProtection insertRows="0"/>
  <phoneticPr fontId="4" type="noConversion"/>
  <conditionalFormatting sqref="AO2:AO1048576">
    <cfRule type="expression" dxfId="0" priority="1">
      <formula>$AO:$AO="Facturé"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BF209-F4D3-4D47-83D5-6F15F5FD7C00}">
  <sheetPr codeName="Feuil7">
    <tabColor theme="2" tint="-0.249977111117893"/>
  </sheetPr>
  <dimension ref="A1:AB81"/>
  <sheetViews>
    <sheetView topLeftCell="L1" zoomScaleNormal="100" workbookViewId="0">
      <selection activeCell="Z8" sqref="Z8"/>
    </sheetView>
  </sheetViews>
  <sheetFormatPr baseColWidth="10" defaultColWidth="11.42578125" defaultRowHeight="11.25" x14ac:dyDescent="0.2"/>
  <cols>
    <col min="1" max="2" width="17" style="11" bestFit="1" customWidth="1"/>
    <col min="3" max="3" width="9.42578125" style="11" bestFit="1" customWidth="1"/>
    <col min="4" max="4" width="10" style="11" customWidth="1"/>
    <col min="5" max="5" width="5" style="11" customWidth="1"/>
    <col min="6" max="6" width="9.7109375" style="11" bestFit="1" customWidth="1"/>
    <col min="7" max="7" width="11.28515625" style="11" bestFit="1" customWidth="1"/>
    <col min="8" max="9" width="12.28515625" style="11" bestFit="1" customWidth="1"/>
    <col min="10" max="10" width="10" style="11" bestFit="1" customWidth="1"/>
    <col min="11" max="11" width="13.85546875" style="11" bestFit="1" customWidth="1"/>
    <col min="12" max="12" width="12.7109375" style="11" bestFit="1" customWidth="1"/>
    <col min="13" max="13" width="11.7109375" style="11" customWidth="1"/>
    <col min="14" max="14" width="12.140625" style="11" bestFit="1" customWidth="1"/>
    <col min="15" max="15" width="11.42578125" style="11"/>
    <col min="16" max="16" width="7" style="11" customWidth="1"/>
    <col min="17" max="28" width="8.7109375" style="11" customWidth="1"/>
    <col min="29" max="16384" width="11.42578125" style="11"/>
  </cols>
  <sheetData>
    <row r="1" spans="1:28" ht="26.25" x14ac:dyDescent="0.4">
      <c r="A1" s="23" t="s">
        <v>66</v>
      </c>
      <c r="B1"/>
      <c r="C1"/>
      <c r="D1"/>
      <c r="E1" s="7"/>
      <c r="F1" s="98" t="s">
        <v>64</v>
      </c>
      <c r="G1" s="98" t="s">
        <v>83</v>
      </c>
      <c r="H1" s="98" t="s">
        <v>28</v>
      </c>
      <c r="I1" s="98" t="s">
        <v>27</v>
      </c>
      <c r="J1" s="98" t="s">
        <v>88</v>
      </c>
      <c r="K1" s="98" t="s">
        <v>84</v>
      </c>
      <c r="L1" s="98" t="s">
        <v>85</v>
      </c>
      <c r="M1" s="98" t="s">
        <v>86</v>
      </c>
      <c r="N1" s="98" t="s">
        <v>87</v>
      </c>
      <c r="P1" s="98" t="s">
        <v>64</v>
      </c>
      <c r="Q1" s="98" t="s">
        <v>92</v>
      </c>
      <c r="R1" s="98" t="s">
        <v>93</v>
      </c>
      <c r="S1" s="98" t="s">
        <v>94</v>
      </c>
      <c r="T1" s="98" t="s">
        <v>95</v>
      </c>
      <c r="U1" s="98" t="s">
        <v>96</v>
      </c>
      <c r="V1" s="98" t="s">
        <v>97</v>
      </c>
      <c r="W1" s="98" t="s">
        <v>98</v>
      </c>
      <c r="X1" s="98" t="s">
        <v>99</v>
      </c>
      <c r="Y1" s="98" t="s">
        <v>100</v>
      </c>
      <c r="Z1" s="98" t="s">
        <v>101</v>
      </c>
      <c r="AA1" s="98" t="s">
        <v>102</v>
      </c>
      <c r="AB1" s="98" t="s">
        <v>103</v>
      </c>
    </row>
    <row r="2" spans="1:28" ht="12.75" x14ac:dyDescent="0.2">
      <c r="A2"/>
      <c r="B2" t="s">
        <v>62</v>
      </c>
      <c r="C2" t="s">
        <v>54</v>
      </c>
      <c r="D2" t="s">
        <v>51</v>
      </c>
      <c r="E2"/>
      <c r="F2" s="11">
        <v>2020</v>
      </c>
      <c r="G2" s="96">
        <f>SUMIFS(TBDevis[Facture],TBDevis[Annee],Traitement!F2)</f>
        <v>0</v>
      </c>
      <c r="H2" s="96">
        <f>SUMIFS(TBDevis[Acpt1_TTC],TBDevis[Annee],Traitement!F2)</f>
        <v>0</v>
      </c>
      <c r="I2" s="96">
        <f>SUMIFS(TBDevis[Acpt2_TTC],TBDevis[Annee],Traitement!F2)</f>
        <v>0</v>
      </c>
      <c r="J2" s="99">
        <f>SUM(_Bilan[[#This Row],[Factures]:[Acompte2]])</f>
        <v>0</v>
      </c>
      <c r="K2" s="11">
        <f>COUNTIFS(TBDevis[Annee],_Bilan[[#This Row],[Annee]],TBDevis[N°Fact],"&gt;0")</f>
        <v>0</v>
      </c>
      <c r="L2" s="11">
        <f>COUNTIF(TabClient[Annee],_Bilan[[#This Row],[Annee]])</f>
        <v>0</v>
      </c>
      <c r="M2" s="11">
        <f>COUNTIF(TBDevis[Annee_Devis],_Bilan[[#This Row],[Annee]])</f>
        <v>0</v>
      </c>
      <c r="N2" s="96">
        <f>SUMIFS(TBDevis[Montant TTC],TBDevis[Annee_Devis],_Bilan[[#This Row],[Annee]])</f>
        <v>0</v>
      </c>
      <c r="P2" s="11">
        <v>2020</v>
      </c>
      <c r="Q2" s="106">
        <f>SUMIFS(TBDevis[Montant TTC2],TBDevis[Annee],P2,TBDevis[Mois],$Q$1)</f>
        <v>0</v>
      </c>
      <c r="R2" s="106">
        <f>SUMIFS(TBDevis[Montant TTC2],TBDevis[Annee],P2,TBDevis[Mois],$R$1)</f>
        <v>0</v>
      </c>
      <c r="S2" s="107">
        <f>SUMIFS(TBDevis[Montant TTC2],TBDevis[Annee],P2,TBDevis[Mois],$S$1)</f>
        <v>0</v>
      </c>
      <c r="T2" s="107">
        <f>SUMIFS(TBDevis[Montant TTC2],TBDevis[Annee],P2,TBDevis[Mois],$T$1)</f>
        <v>0</v>
      </c>
      <c r="U2" s="107">
        <f>SUMIFS(TBDevis[Montant TTC2],TBDevis[Annee],P2,TBDevis[Mois],$U$1)</f>
        <v>0</v>
      </c>
      <c r="V2" s="107">
        <f>SUMIFS(TBDevis[Montant TTC2],TBDevis[Annee],P2,TBDevis[Mois],$V$1)</f>
        <v>0</v>
      </c>
      <c r="W2" s="107">
        <f>SUMIFS(TBDevis[Montant TTC2],TBDevis[Annee],P2,TBDevis[Mois],$W$1)</f>
        <v>0</v>
      </c>
      <c r="X2" s="107">
        <f>SUMIFS(TBDevis[Montant TTC2],TBDevis[Annee],P2,TBDevis[Mois],$X$1)</f>
        <v>0</v>
      </c>
      <c r="Y2" s="107">
        <f>SUMIFS(TBDevis[Montant TTC2],TBDevis[Annee],P2,TBDevis[Mois],$Y$1)</f>
        <v>0</v>
      </c>
      <c r="Z2" s="107">
        <f>SUMIFS(TBDevis[Montant TTC2],TBDevis[Annee],P2,TBDevis[Mois],$Z$1)</f>
        <v>0</v>
      </c>
      <c r="AA2" s="107">
        <f>SUMIFS(TBDevis[Montant TTC2],TBDevis[Annee],P2,TBDevis[Mois],$AA$1)</f>
        <v>0</v>
      </c>
      <c r="AB2" s="107">
        <f>SUMIFS(TBDevis[Montant TTC2],TBDevis[Annee],P2,TBDevis[Mois],$AB$1)</f>
        <v>0</v>
      </c>
    </row>
    <row r="3" spans="1:28" ht="12.75" x14ac:dyDescent="0.2">
      <c r="A3" t="s">
        <v>35</v>
      </c>
      <c r="B3"/>
      <c r="C3" s="8">
        <f>SUM(TBDevis[Montant TTC])</f>
        <v>13878.172</v>
      </c>
      <c r="D3" s="8">
        <f>SUM(TBDevis[Montant TTC2])</f>
        <v>0</v>
      </c>
      <c r="E3"/>
      <c r="F3" s="11">
        <v>2021</v>
      </c>
      <c r="G3" s="96">
        <f>SUMIFS(TBDevis[Facture],TBDevis[Annee],Traitement!F3)</f>
        <v>0</v>
      </c>
      <c r="H3" s="96">
        <f>SUMIFS(TBDevis[Acpt1_TTC],TBDevis[Annee],Traitement!F3)</f>
        <v>0</v>
      </c>
      <c r="I3" s="96">
        <f>SUMIFS(TBDevis[Acpt2_TTC],TBDevis[Annee],Traitement!F3)</f>
        <v>0</v>
      </c>
      <c r="J3" s="99">
        <f>SUM(_Bilan[[#This Row],[Factures]:[Acompte2]])</f>
        <v>0</v>
      </c>
      <c r="K3" s="11">
        <f>COUNTIFS(TBDevis[Annee],_Bilan[[#This Row],[Annee]],TBDevis[N°Fact],"&gt;0")</f>
        <v>0</v>
      </c>
      <c r="L3" s="11">
        <f>COUNTIF(TabClient[Annee],_Bilan[[#This Row],[Annee]])</f>
        <v>0</v>
      </c>
      <c r="M3" s="11">
        <f>COUNTIF(TBDevis[Annee_Devis],_Bilan[[#This Row],[Annee]])</f>
        <v>0</v>
      </c>
      <c r="N3" s="96">
        <f>SUMIFS(TBDevis[Montant TTC],TBDevis[Annee_Devis],_Bilan[[#This Row],[Annee]])</f>
        <v>0</v>
      </c>
      <c r="P3" s="11">
        <v>2021</v>
      </c>
      <c r="Q3" s="106">
        <f>SUMIFS(TBDevis[Montant TTC2],TBDevis[Annee],P3,TBDevis[Mois],$Q$1)</f>
        <v>0</v>
      </c>
      <c r="R3" s="106">
        <f>SUMIFS(TBDevis[Montant TTC2],TBDevis[Annee],P3,TBDevis[Mois],$R$1)</f>
        <v>0</v>
      </c>
      <c r="S3" s="107">
        <f>SUMIFS(TBDevis[Montant TTC2],TBDevis[Annee],P3,TBDevis[Mois],$S$1)</f>
        <v>0</v>
      </c>
      <c r="T3" s="107">
        <f>SUMIFS(TBDevis[Montant TTC2],TBDevis[Annee],P3,TBDevis[Mois],$T$1)</f>
        <v>0</v>
      </c>
      <c r="U3" s="107">
        <f>SUMIFS(TBDevis[Montant TTC2],TBDevis[Annee],P3,TBDevis[Mois],$U$1)</f>
        <v>0</v>
      </c>
      <c r="V3" s="107">
        <f>SUMIFS(TBDevis[Montant TTC2],TBDevis[Annee],P3,TBDevis[Mois],$V$1)</f>
        <v>0</v>
      </c>
      <c r="W3" s="107">
        <f>SUMIFS(TBDevis[Montant TTC2],TBDevis[Annee],P3,TBDevis[Mois],$W$1)</f>
        <v>0</v>
      </c>
      <c r="X3" s="107">
        <f>SUMIFS(TBDevis[Montant TTC2],TBDevis[Annee],P3,TBDevis[Mois],$X$1)</f>
        <v>0</v>
      </c>
      <c r="Y3" s="107">
        <f>SUMIFS(TBDevis[Montant TTC2],TBDevis[Annee],P3,TBDevis[Mois],$Y$1)</f>
        <v>0</v>
      </c>
      <c r="Z3" s="107">
        <f>SUMIFS(TBDevis[Montant TTC2],TBDevis[Annee],P3,TBDevis[Mois],$Z$1)</f>
        <v>0</v>
      </c>
      <c r="AA3" s="107">
        <f>SUMIFS(TBDevis[Montant TTC2],TBDevis[Annee],P3,TBDevis[Mois],$AA$1)</f>
        <v>0</v>
      </c>
      <c r="AB3" s="107">
        <f>SUMIFS(TBDevis[Montant TTC2],TBDevis[Annee],P3,TBDevis[Mois],$AB$1)</f>
        <v>0</v>
      </c>
    </row>
    <row r="4" spans="1:28" ht="12.75" x14ac:dyDescent="0.2">
      <c r="A4" t="s">
        <v>67</v>
      </c>
      <c r="B4" t="e">
        <f>#REF!</f>
        <v>#REF!</v>
      </c>
      <c r="C4">
        <f>COUNTA(#REF!)</f>
        <v>1</v>
      </c>
      <c r="D4" t="e">
        <f>Num_Max_Fact</f>
        <v>#REF!</v>
      </c>
      <c r="E4"/>
      <c r="F4" s="11">
        <v>2022</v>
      </c>
      <c r="G4" s="96">
        <f>SUMIFS(TBDevis[Facture],TBDevis[Annee],Traitement!F4)</f>
        <v>0</v>
      </c>
      <c r="H4" s="96">
        <f>SUMIFS(TBDevis[Acpt1_TTC],TBDevis[Annee],Traitement!F4)</f>
        <v>0</v>
      </c>
      <c r="I4" s="96">
        <f>SUMIFS(TBDevis[Acpt2_TTC],TBDevis[Annee],Traitement!F4)</f>
        <v>0</v>
      </c>
      <c r="J4" s="99">
        <f>SUM(_Bilan[[#This Row],[Factures]:[Acompte2]])</f>
        <v>0</v>
      </c>
      <c r="K4" s="11">
        <f>COUNTIFS(TBDevis[Annee],_Bilan[[#This Row],[Annee]],TBDevis[N°Fact],"&gt;0")</f>
        <v>0</v>
      </c>
      <c r="L4" s="11">
        <f>COUNTIF(TabClient[Annee],_Bilan[[#This Row],[Annee]])</f>
        <v>0</v>
      </c>
      <c r="M4" s="11">
        <f>COUNTIF(TBDevis[Annee_Devis],_Bilan[[#This Row],[Annee]])</f>
        <v>0</v>
      </c>
      <c r="N4" s="96">
        <f>SUMIFS(TBDevis[Montant TTC],TBDevis[Annee_Devis],_Bilan[[#This Row],[Annee]])</f>
        <v>0</v>
      </c>
      <c r="P4" s="11">
        <v>2022</v>
      </c>
      <c r="Q4" s="106">
        <f>SUMIFS(TBDevis[Montant TTC2],TBDevis[Annee],P4,TBDevis[Mois],$Q$1)</f>
        <v>0</v>
      </c>
      <c r="R4" s="106">
        <f>SUMIFS(TBDevis[Montant TTC2],TBDevis[Annee],P4,TBDevis[Mois],$R$1)</f>
        <v>0</v>
      </c>
      <c r="S4" s="107">
        <f>SUMIFS(TBDevis[Montant TTC2],TBDevis[Annee],P4,TBDevis[Mois],$S$1)</f>
        <v>0</v>
      </c>
      <c r="T4" s="107">
        <f>SUMIFS(TBDevis[Montant TTC2],TBDevis[Annee],P4,TBDevis[Mois],$T$1)</f>
        <v>0</v>
      </c>
      <c r="U4" s="107">
        <f>SUMIFS(TBDevis[Montant TTC2],TBDevis[Annee],P4,TBDevis[Mois],$U$1)</f>
        <v>0</v>
      </c>
      <c r="V4" s="107">
        <f>SUMIFS(TBDevis[Montant TTC2],TBDevis[Annee],P4,TBDevis[Mois],$V$1)</f>
        <v>0</v>
      </c>
      <c r="W4" s="107">
        <f>SUMIFS(TBDevis[Montant TTC2],TBDevis[Annee],P4,TBDevis[Mois],$W$1)</f>
        <v>0</v>
      </c>
      <c r="X4" s="107">
        <f>SUMIFS(TBDevis[Montant TTC2],TBDevis[Annee],P4,TBDevis[Mois],$X$1)</f>
        <v>0</v>
      </c>
      <c r="Y4" s="107">
        <f>SUMIFS(TBDevis[Montant TTC2],TBDevis[Annee],P4,TBDevis[Mois],$Y$1)</f>
        <v>0</v>
      </c>
      <c r="Z4" s="107">
        <f>SUMIFS(TBDevis[Montant TTC2],TBDevis[Annee],P4,TBDevis[Mois],$Z$1)</f>
        <v>0</v>
      </c>
      <c r="AA4" s="107">
        <f>SUMIFS(TBDevis[Montant TTC2],TBDevis[Annee],P4,TBDevis[Mois],$AA$1)</f>
        <v>0</v>
      </c>
      <c r="AB4" s="107">
        <f>SUMIFS(TBDevis[Montant TTC2],TBDevis[Annee],P4,TBDevis[Mois],$AB$1)</f>
        <v>0</v>
      </c>
    </row>
    <row r="5" spans="1:28" ht="12.75" x14ac:dyDescent="0.2">
      <c r="A5" t="s">
        <v>68</v>
      </c>
      <c r="B5"/>
      <c r="C5" s="8">
        <f>MAX(TBDevis[Montant TTC])</f>
        <v>13878.172</v>
      </c>
      <c r="D5" s="8">
        <f>MAX(TBDevis[Montant TTC2])</f>
        <v>0</v>
      </c>
      <c r="E5"/>
      <c r="F5" s="100" t="s">
        <v>89</v>
      </c>
      <c r="G5" s="99">
        <f>SUBTOTAL(109,_Bilan[Factures])</f>
        <v>0</v>
      </c>
      <c r="H5" s="99">
        <f>SUBTOTAL(109,_Bilan[Acompte1])</f>
        <v>0</v>
      </c>
      <c r="I5" s="100"/>
      <c r="J5" s="101">
        <f>SUBTOTAL(109,_Bilan[C.A.])</f>
        <v>0</v>
      </c>
      <c r="K5" s="100">
        <f>SUBTOTAL(109,_Bilan[Nb_Factures])</f>
        <v>0</v>
      </c>
      <c r="L5" s="100">
        <f>SUBTOTAL(109,_Bilan[Nb_Clients])</f>
        <v>0</v>
      </c>
      <c r="M5" s="100">
        <f>SUBTOTAL(109,_Bilan[Nb_Devis])</f>
        <v>0</v>
      </c>
      <c r="N5" s="99">
        <f>SUBTOTAL(109,_Bilan[Val_Devis])</f>
        <v>0</v>
      </c>
      <c r="P5"/>
      <c r="Q5"/>
    </row>
    <row r="6" spans="1:28" ht="12.75" x14ac:dyDescent="0.2">
      <c r="A6" t="s">
        <v>69</v>
      </c>
      <c r="B6"/>
      <c r="C6" s="8">
        <f>AVERAGE(TBDevis[Montant TTC])</f>
        <v>13878.172</v>
      </c>
      <c r="D6" s="8">
        <f>AVERAGE(TBDevis[Montant TTC2])</f>
        <v>0</v>
      </c>
      <c r="E6"/>
      <c r="P6"/>
      <c r="Q6"/>
    </row>
    <row r="7" spans="1:28" ht="12.75" x14ac:dyDescent="0.2">
      <c r="A7" t="s">
        <v>70</v>
      </c>
      <c r="B7"/>
      <c r="C7" s="8">
        <f>MIN(TBDevis[Montant TTC])</f>
        <v>13878.172</v>
      </c>
      <c r="D7" s="8">
        <f>MIN(TBDevis[Facture])</f>
        <v>0</v>
      </c>
      <c r="E7"/>
    </row>
    <row r="8" spans="1:28" ht="12.75" x14ac:dyDescent="0.2">
      <c r="A8"/>
      <c r="B8"/>
      <c r="C8"/>
      <c r="D8"/>
      <c r="E8"/>
    </row>
    <row r="9" spans="1:28" ht="12.75" x14ac:dyDescent="0.2">
      <c r="A9"/>
      <c r="B9"/>
      <c r="C9"/>
      <c r="D9"/>
      <c r="E9"/>
    </row>
    <row r="10" spans="1:28" ht="12.75" x14ac:dyDescent="0.2">
      <c r="A10"/>
      <c r="B10"/>
      <c r="C10"/>
      <c r="D10"/>
      <c r="E10"/>
    </row>
    <row r="11" spans="1:28" ht="12.75" x14ac:dyDescent="0.2">
      <c r="A11" t="s">
        <v>70</v>
      </c>
      <c r="B11">
        <f>$B$14/3</f>
        <v>33.333333333333336</v>
      </c>
      <c r="C11" s="16"/>
      <c r="D11"/>
      <c r="E11"/>
    </row>
    <row r="12" spans="1:28" ht="12.75" x14ac:dyDescent="0.2">
      <c r="A12" t="s">
        <v>69</v>
      </c>
      <c r="B12">
        <f>$B$14/3</f>
        <v>33.333333333333336</v>
      </c>
      <c r="C12" s="16"/>
      <c r="D12"/>
      <c r="E12"/>
    </row>
    <row r="13" spans="1:28" ht="12.75" x14ac:dyDescent="0.2">
      <c r="A13" t="s">
        <v>68</v>
      </c>
      <c r="B13">
        <f>$B$14/3</f>
        <v>33.333333333333336</v>
      </c>
      <c r="C13" s="16"/>
      <c r="D13"/>
      <c r="E13"/>
    </row>
    <row r="14" spans="1:28" ht="12.75" x14ac:dyDescent="0.2">
      <c r="A14" t="s">
        <v>71</v>
      </c>
      <c r="B14">
        <v>100</v>
      </c>
      <c r="C14" s="17" t="e">
        <f>B14/D5</f>
        <v>#DIV/0!</v>
      </c>
      <c r="D14"/>
      <c r="E14"/>
    </row>
    <row r="15" spans="1:28" ht="12.75" x14ac:dyDescent="0.2">
      <c r="A15"/>
      <c r="B15"/>
      <c r="C15"/>
      <c r="D15"/>
      <c r="E15"/>
    </row>
    <row r="16" spans="1:28" ht="12.75" x14ac:dyDescent="0.2">
      <c r="A16" t="s">
        <v>72</v>
      </c>
      <c r="B16" t="e">
        <f>D6*100/D5</f>
        <v>#DIV/0!</v>
      </c>
      <c r="C16"/>
      <c r="D16"/>
      <c r="E16"/>
    </row>
    <row r="17" spans="1:5" ht="12.75" x14ac:dyDescent="0.2">
      <c r="A17" t="s">
        <v>73</v>
      </c>
      <c r="B17">
        <v>2</v>
      </c>
      <c r="C17"/>
      <c r="D17"/>
      <c r="E17"/>
    </row>
    <row r="18" spans="1:5" ht="12.75" x14ac:dyDescent="0.2">
      <c r="A18" t="s">
        <v>74</v>
      </c>
      <c r="B18" t="e">
        <f>B19-B16-B17</f>
        <v>#DIV/0!</v>
      </c>
      <c r="C18"/>
      <c r="D18"/>
      <c r="E18"/>
    </row>
    <row r="19" spans="1:5" ht="12.75" x14ac:dyDescent="0.2">
      <c r="A19"/>
      <c r="B19">
        <v>200</v>
      </c>
      <c r="C19"/>
      <c r="D19"/>
      <c r="E19"/>
    </row>
    <row r="20" spans="1:5" ht="12.75" x14ac:dyDescent="0.2">
      <c r="E20"/>
    </row>
    <row r="21" spans="1:5" ht="12.75" x14ac:dyDescent="0.2">
      <c r="E21"/>
    </row>
    <row r="22" spans="1:5" ht="12.75" x14ac:dyDescent="0.2">
      <c r="E22"/>
    </row>
    <row r="23" spans="1:5" ht="12.75" x14ac:dyDescent="0.2">
      <c r="E23"/>
    </row>
    <row r="24" spans="1:5" ht="12.75" x14ac:dyDescent="0.2">
      <c r="E24"/>
    </row>
    <row r="25" spans="1:5" ht="12.75" x14ac:dyDescent="0.2">
      <c r="E25"/>
    </row>
    <row r="26" spans="1:5" ht="12.75" x14ac:dyDescent="0.2">
      <c r="E26"/>
    </row>
    <row r="27" spans="1:5" ht="12.75" x14ac:dyDescent="0.2">
      <c r="E27"/>
    </row>
    <row r="28" spans="1:5" ht="12.75" x14ac:dyDescent="0.2">
      <c r="E28"/>
    </row>
    <row r="29" spans="1:5" ht="12.75" x14ac:dyDescent="0.2">
      <c r="E29"/>
    </row>
    <row r="30" spans="1:5" ht="12.75" x14ac:dyDescent="0.2">
      <c r="E30"/>
    </row>
    <row r="31" spans="1:5" ht="12.75" x14ac:dyDescent="0.2">
      <c r="E31"/>
    </row>
    <row r="32" spans="1:5" ht="12.75" x14ac:dyDescent="0.2">
      <c r="E32"/>
    </row>
    <row r="33" spans="1:20" ht="12.75" x14ac:dyDescent="0.2">
      <c r="E33"/>
    </row>
    <row r="34" spans="1:20" ht="12.75" x14ac:dyDescent="0.2">
      <c r="E34"/>
    </row>
    <row r="35" spans="1:20" ht="12.75" x14ac:dyDescent="0.2">
      <c r="E35"/>
    </row>
    <row r="36" spans="1:20" ht="12.75" x14ac:dyDescent="0.2">
      <c r="E36"/>
    </row>
    <row r="37" spans="1:20" ht="12.75" x14ac:dyDescent="0.2">
      <c r="A37"/>
      <c r="B37"/>
      <c r="C37"/>
      <c r="D37"/>
      <c r="E37"/>
    </row>
    <row r="38" spans="1:20" ht="12.75" x14ac:dyDescent="0.2">
      <c r="A38"/>
      <c r="B38"/>
      <c r="C38"/>
      <c r="D38"/>
      <c r="E38"/>
    </row>
    <row r="39" spans="1:20" ht="12.75" x14ac:dyDescent="0.2">
      <c r="A39"/>
      <c r="B39"/>
      <c r="C39"/>
      <c r="D39"/>
      <c r="E39"/>
    </row>
    <row r="40" spans="1:20" ht="12.75" x14ac:dyDescent="0.2">
      <c r="A40"/>
      <c r="B40"/>
      <c r="C40"/>
      <c r="D40"/>
      <c r="E40"/>
    </row>
    <row r="41" spans="1:20" ht="12.75" x14ac:dyDescent="0.2">
      <c r="Q41" s="14"/>
      <c r="R41" s="14"/>
      <c r="S41" s="14"/>
      <c r="T41" s="14"/>
    </row>
    <row r="43" spans="1:20" ht="12.75" x14ac:dyDescent="0.2">
      <c r="A43"/>
      <c r="B43"/>
      <c r="C43"/>
      <c r="D43"/>
      <c r="E43"/>
    </row>
    <row r="50" spans="1:3" ht="12.75" x14ac:dyDescent="0.2">
      <c r="A50"/>
      <c r="B50"/>
      <c r="C50"/>
    </row>
    <row r="51" spans="1:3" ht="12.75" x14ac:dyDescent="0.2">
      <c r="A51"/>
      <c r="B51"/>
      <c r="C51"/>
    </row>
    <row r="52" spans="1:3" ht="12.75" x14ac:dyDescent="0.2">
      <c r="A52"/>
      <c r="B52"/>
      <c r="C52"/>
    </row>
    <row r="53" spans="1:3" ht="12.75" x14ac:dyDescent="0.2">
      <c r="A53"/>
      <c r="B53"/>
      <c r="C53"/>
    </row>
    <row r="54" spans="1:3" ht="12.75" x14ac:dyDescent="0.2">
      <c r="A54"/>
      <c r="B54"/>
      <c r="C54"/>
    </row>
    <row r="55" spans="1:3" ht="12.75" x14ac:dyDescent="0.2">
      <c r="A55"/>
      <c r="B55"/>
      <c r="C55"/>
    </row>
    <row r="56" spans="1:3" ht="12.75" x14ac:dyDescent="0.2">
      <c r="A56"/>
      <c r="B56"/>
      <c r="C56"/>
    </row>
    <row r="57" spans="1:3" ht="12.75" x14ac:dyDescent="0.2">
      <c r="A57"/>
      <c r="B57"/>
      <c r="C57"/>
    </row>
    <row r="58" spans="1:3" ht="12.75" x14ac:dyDescent="0.2">
      <c r="A58"/>
      <c r="B58"/>
      <c r="C58"/>
    </row>
    <row r="59" spans="1:3" ht="12.75" x14ac:dyDescent="0.2">
      <c r="A59"/>
      <c r="B59"/>
      <c r="C59"/>
    </row>
    <row r="60" spans="1:3" ht="12.75" x14ac:dyDescent="0.2">
      <c r="A60"/>
      <c r="B60"/>
      <c r="C60"/>
    </row>
    <row r="61" spans="1:3" ht="12.75" x14ac:dyDescent="0.2">
      <c r="A61"/>
      <c r="B61"/>
      <c r="C61"/>
    </row>
    <row r="62" spans="1:3" ht="12.75" x14ac:dyDescent="0.2">
      <c r="A62"/>
      <c r="B62"/>
      <c r="C62"/>
    </row>
    <row r="63" spans="1:3" ht="12.75" x14ac:dyDescent="0.2">
      <c r="A63"/>
      <c r="B63"/>
      <c r="C63"/>
    </row>
    <row r="64" spans="1:3" ht="12.75" x14ac:dyDescent="0.2">
      <c r="A64"/>
      <c r="B64"/>
      <c r="C64"/>
    </row>
    <row r="65" spans="1:3" ht="12.75" x14ac:dyDescent="0.2">
      <c r="A65"/>
      <c r="B65"/>
      <c r="C65"/>
    </row>
    <row r="66" spans="1:3" ht="12.75" x14ac:dyDescent="0.2">
      <c r="A66"/>
      <c r="B66"/>
      <c r="C66"/>
    </row>
    <row r="67" spans="1:3" ht="12.75" x14ac:dyDescent="0.2">
      <c r="A67"/>
      <c r="B67"/>
      <c r="C67"/>
    </row>
    <row r="68" spans="1:3" ht="12.75" x14ac:dyDescent="0.2">
      <c r="A68"/>
      <c r="B68"/>
    </row>
    <row r="69" spans="1:3" ht="12.75" x14ac:dyDescent="0.2">
      <c r="A69"/>
      <c r="B69"/>
    </row>
    <row r="70" spans="1:3" ht="12.75" x14ac:dyDescent="0.2">
      <c r="A70"/>
      <c r="B70"/>
    </row>
    <row r="71" spans="1:3" ht="12.75" x14ac:dyDescent="0.2">
      <c r="A71"/>
      <c r="B71"/>
    </row>
    <row r="72" spans="1:3" ht="12.75" x14ac:dyDescent="0.2">
      <c r="A72"/>
      <c r="B72"/>
    </row>
    <row r="73" spans="1:3" ht="12.75" x14ac:dyDescent="0.2">
      <c r="A73"/>
      <c r="B73"/>
    </row>
    <row r="74" spans="1:3" ht="12.75" x14ac:dyDescent="0.2">
      <c r="A74"/>
      <c r="B74"/>
    </row>
    <row r="75" spans="1:3" ht="12.75" x14ac:dyDescent="0.2">
      <c r="A75"/>
      <c r="B75"/>
    </row>
    <row r="76" spans="1:3" ht="12.75" x14ac:dyDescent="0.2">
      <c r="A76"/>
      <c r="B76"/>
    </row>
    <row r="77" spans="1:3" ht="12.75" x14ac:dyDescent="0.2">
      <c r="A77"/>
      <c r="B77"/>
    </row>
    <row r="78" spans="1:3" ht="12.75" x14ac:dyDescent="0.2">
      <c r="A78"/>
      <c r="B78"/>
    </row>
    <row r="79" spans="1:3" ht="12.75" x14ac:dyDescent="0.2">
      <c r="A79"/>
      <c r="B79"/>
    </row>
    <row r="80" spans="1:3" ht="12.75" x14ac:dyDescent="0.2">
      <c r="A80"/>
      <c r="B80"/>
    </row>
    <row r="81" spans="1:2" ht="12.75" x14ac:dyDescent="0.2">
      <c r="A81"/>
      <c r="B81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�  �  �  �  �  �  
</file>

<file path=customXml/item2.xml>�� 
</file>

<file path=customXml/itemProps1.xml><?xml version="1.0" encoding="utf-8"?>
<ds:datastoreItem xmlns:ds="http://schemas.openxmlformats.org/officeDocument/2006/customXml" ds:itemID="{5159E410-35CC-499A-A640-9DB8EFD632EA}">
  <ds:schemaRefs/>
</ds:datastoreItem>
</file>

<file path=customXml/itemProps2.xml><?xml version="1.0" encoding="utf-8"?>
<ds:datastoreItem xmlns:ds="http://schemas.openxmlformats.org/officeDocument/2006/customXml" ds:itemID="{672D709D-034F-4517-8A24-B0B1F441F0E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TDB</vt:lpstr>
      <vt:lpstr>Devis-Fact</vt:lpstr>
      <vt:lpstr>BClient</vt:lpstr>
      <vt:lpstr>BDevis</vt:lpstr>
      <vt:lpstr>BClient!L_Client</vt:lpstr>
      <vt:lpstr>BDevis!L_Client</vt:lpstr>
      <vt:lpstr>L_Client</vt:lpstr>
      <vt:lpstr>BClient!L_Devis</vt:lpstr>
      <vt:lpstr>BDevis!L_Devis</vt:lpstr>
      <vt:lpstr>L_Devis</vt:lpstr>
      <vt:lpstr>BClient!Num_Client</vt:lpstr>
      <vt:lpstr>BDevis!Num_Client</vt:lpstr>
      <vt:lpstr>Num_Client</vt:lpstr>
      <vt:lpstr>BClient!Num_Devis</vt:lpstr>
      <vt:lpstr>BDevis!Num_Devis</vt:lpstr>
      <vt:lpstr>Num_Devis</vt:lpstr>
      <vt:lpstr>'Devis-Fact'!Zone_d_impression</vt:lpstr>
    </vt:vector>
  </TitlesOfParts>
  <Company>EMCBAT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Devis-Facture vierge</dc:title>
  <dc:subject>Stockage des informations et création d'un devis</dc:subject>
  <dc:creator>Gilou</dc:creator>
  <dc:description>Liste des clients
Suivi des devis-Factures
Création d'un devis
Impression Devis
Impression Facture
Impression Facture Acompte 1
Impression Facture Acompte 2</dc:description>
  <cp:lastModifiedBy>Ghislain GAUTHIER</cp:lastModifiedBy>
  <cp:revision>1</cp:revision>
  <cp:lastPrinted>2023-12-08T13:55:02Z</cp:lastPrinted>
  <dcterms:created xsi:type="dcterms:W3CDTF">2020-01-20T08:09:15Z</dcterms:created>
  <dcterms:modified xsi:type="dcterms:W3CDTF">2023-12-08T15:50:34Z</dcterms:modified>
  <cp:category>Gestion</cp:category>
  <cp:contentStatus>version 13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icense">
    <vt:lpwstr>&lt;a href="http://www.modeles-types-lettres.fr"&gt;Courrier gratuit&lt;/a&gt;</vt:lpwstr>
  </property>
</Properties>
</file>