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imelineCaches/timelineCache1.xml" ContentType="application/vnd.ms-excel.timeline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queryTables/queryTable1.xml" ContentType="application/vnd.openxmlformats-officedocument.spreadsheetml.queryTable+xml"/>
  <Override PartName="/xl/tables/table5.xml" ContentType="application/vnd.openxmlformats-officedocument.spreadsheetml.table+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timelines/timeline1.xml" ContentType="application/vnd.ms-excel.timeline+xml"/>
  <Override PartName="/xl/pivotTables/pivotTable2.xml" ContentType="application/vnd.openxmlformats-officedocument.spreadsheetml.pivotTable+xml"/>
  <Override PartName="/xl/pivotTables/pivotTable3.xml" ContentType="application/vnd.openxmlformats-officedocument.spreadsheetml.pivotTable+xml"/>
  <Override PartName="/xl/drawings/drawing2.xml" ContentType="application/vnd.openxmlformats-officedocument.drawing+xml"/>
  <Override PartName="/xl/slicers/slicer2.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workbookPr defaultThemeVersion="166925"/>
  <mc:AlternateContent xmlns:mc="http://schemas.openxmlformats.org/markup-compatibility/2006">
    <mc:Choice Requires="x15">
      <x15ac:absPath xmlns:x15ac="http://schemas.microsoft.com/office/spreadsheetml/2010/11/ac" url="C:\Users\imac\Desktop\"/>
    </mc:Choice>
  </mc:AlternateContent>
  <xr:revisionPtr revIDLastSave="0" documentId="13_ncr:1_{030B6885-DBE2-46C7-B739-44697D45E536}" xr6:coauthVersionLast="45" xr6:coauthVersionMax="45" xr10:uidLastSave="{00000000-0000-0000-0000-000000000000}"/>
  <bookViews>
    <workbookView xWindow="-20280" yWindow="5850" windowWidth="28800" windowHeight="15600" firstSheet="5" activeTab="4" xr2:uid="{502AE753-0A31-403D-9BDF-8EEF6F98FBD5}"/>
  </bookViews>
  <sheets>
    <sheet name="BDD Production et Stock" sheetId="1" r:id="rId1"/>
    <sheet name="Produits" sheetId="3" r:id="rId2"/>
    <sheet name="CLIENTS" sheetId="4" r:id="rId3"/>
    <sheet name="Listes Lots" sheetId="5" r:id="rId4"/>
    <sheet name="Table des commandes" sheetId="2" r:id="rId5"/>
    <sheet name="TCD Compil" sheetId="6" r:id="rId6"/>
    <sheet name="Recap par commande" sheetId="7" r:id="rId7"/>
  </sheets>
  <definedNames>
    <definedName name="ExternalData_1" localSheetId="3" hidden="1">'Listes Lots'!$A$1:$E$3</definedName>
    <definedName name="L_formule0">INDIRECT("t_Listes["&amp;t_Commandes[[#This Row],[Produit]]&amp;"]")</definedName>
    <definedName name="L_Formule1">OFFSET(L_formule0,0,0,COUNTA(L_formule0),1)</definedName>
    <definedName name="L_Liste_Produits">t_Listes[#Headers]</definedName>
    <definedName name="NativeTimeline_Date_Action">#N/A</definedName>
    <definedName name="P_FirstColumn">'Table des commandes'!$A:$A</definedName>
    <definedName name="_xlnm.Print_Area" localSheetId="6">'Recap par commande'!$A$1:$J$27</definedName>
    <definedName name="Slicer_Lot">#N/A</definedName>
    <definedName name="Slicer_n°_de_commande">#N/A</definedName>
    <definedName name="Slicer_Société">#N/A</definedName>
  </definedNames>
  <calcPr calcId="181029"/>
  <pivotCaches>
    <pivotCache cacheId="59" r:id="rId8"/>
  </pivotCaches>
  <extLst>
    <ext xmlns:x14="http://schemas.microsoft.com/office/spreadsheetml/2009/9/main" uri="{BBE1A952-AA13-448e-AADC-164F8A28A991}">
      <x14:slicerCaches>
        <x14:slicerCache r:id="rId9"/>
        <x14:slicerCache r:id="rId10"/>
        <x14:slicerCache r:id="rId11"/>
      </x14:slicerCaches>
    </ext>
    <ext xmlns:x14="http://schemas.microsoft.com/office/spreadsheetml/2009/9/main" uri="{79F54976-1DA5-4618-B147-4CDE4B953A38}">
      <x14:workbookPr/>
    </ext>
    <ext xmlns:x15="http://schemas.microsoft.com/office/spreadsheetml/2010/11/main" uri="{D0CA8CA8-9F24-4464-BF8E-62219DCF47F9}">
      <x15:timelineCacheRefs>
        <x15:timelineCacheRef r:id="rId12"/>
      </x15:timelineCacheRef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2" i="1" l="1"/>
  <c r="I3" i="1"/>
  <c r="I4" i="1"/>
  <c r="I5" i="1"/>
  <c r="I6" i="1"/>
  <c r="I7" i="1"/>
  <c r="F3" i="1"/>
  <c r="F4" i="1"/>
  <c r="F5" i="1"/>
  <c r="F6" i="1"/>
  <c r="F7" i="1"/>
  <c r="F2" i="1"/>
  <c r="H2" i="1"/>
  <c r="H3" i="1"/>
  <c r="H4" i="1"/>
  <c r="H5" i="1"/>
  <c r="H6" i="1"/>
  <c r="H7" i="1"/>
  <c r="I9" i="7"/>
  <c r="I8" i="7"/>
  <c r="I7" i="7"/>
  <c r="I6" i="7"/>
  <c r="I5" i="7"/>
  <c r="Q5" i="2"/>
  <c r="B6" i="2"/>
  <c r="D6" i="2"/>
  <c r="E6" i="2"/>
  <c r="F6" i="2"/>
  <c r="G6" i="2"/>
  <c r="H6" i="2"/>
  <c r="I6" i="2"/>
  <c r="J6" i="2"/>
  <c r="K6" i="2"/>
  <c r="L6" i="2"/>
  <c r="R6" i="2" s="1"/>
  <c r="S6" i="2" s="1"/>
  <c r="Q6" i="2"/>
  <c r="Q2" i="2"/>
  <c r="B2" i="2"/>
  <c r="B3" i="2"/>
  <c r="B4" i="2"/>
  <c r="B5" i="2"/>
  <c r="Q4" i="2"/>
  <c r="D5" i="2"/>
  <c r="E5" i="2"/>
  <c r="F5" i="2"/>
  <c r="G5" i="2"/>
  <c r="H5" i="2"/>
  <c r="I5" i="2"/>
  <c r="J5" i="2"/>
  <c r="K5" i="2" s="1"/>
  <c r="L5" i="2"/>
  <c r="R5" i="2" s="1"/>
  <c r="S5" i="2" s="1"/>
  <c r="T5" i="2" s="1"/>
  <c r="Q3" i="2"/>
  <c r="D4" i="2"/>
  <c r="E4" i="2"/>
  <c r="F4" i="2"/>
  <c r="G4" i="2"/>
  <c r="H4" i="2"/>
  <c r="I4" i="2"/>
  <c r="J4" i="2"/>
  <c r="K4" i="2" s="1"/>
  <c r="L4" i="2"/>
  <c r="R4" i="2" s="1"/>
  <c r="J2" i="2"/>
  <c r="K2" i="2" s="1"/>
  <c r="J3" i="2"/>
  <c r="K3" i="2" s="1"/>
  <c r="I2" i="2"/>
  <c r="I3" i="2"/>
  <c r="H2" i="2"/>
  <c r="H3" i="2"/>
  <c r="G2" i="2"/>
  <c r="G3" i="2"/>
  <c r="F2" i="2"/>
  <c r="F3" i="2"/>
  <c r="E2" i="2"/>
  <c r="E3" i="2"/>
  <c r="D2" i="2"/>
  <c r="D3" i="2"/>
  <c r="L3" i="2"/>
  <c r="R3" i="2" s="1"/>
  <c r="L2" i="2"/>
  <c r="R2" i="2" s="1"/>
  <c r="B7" i="1"/>
  <c r="B3" i="1"/>
  <c r="B4" i="1"/>
  <c r="B5" i="1"/>
  <c r="B6" i="1"/>
  <c r="B2" i="1"/>
  <c r="U6" i="2" l="1"/>
  <c r="V6" i="2" s="1"/>
  <c r="U5" i="2"/>
  <c r="V5" i="2" s="1"/>
  <c r="T6" i="2"/>
  <c r="U4" i="2"/>
  <c r="S4" i="2"/>
  <c r="S2" i="2"/>
  <c r="T2" i="2" s="1"/>
  <c r="S3" i="2"/>
  <c r="T3" i="2" s="1"/>
  <c r="U3" i="2"/>
  <c r="U2" i="2"/>
  <c r="V2" i="2" l="1"/>
  <c r="V3" i="2"/>
  <c r="V4" i="2"/>
  <c r="T4" i="2"/>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3142F826-3D79-40E4-ACE1-CD955CA48978}" keepAlive="1" name="Query - Q_Creation_Listes_Produits_Lots" description="Connection to the 'Q_Creation_Listes_Produits_Lots' query in the workbook." type="5" refreshedVersion="6" background="1" saveData="1">
    <dbPr connection="Provider=Microsoft.Mashup.OleDb.1;Data Source=$Workbook$;Location=Q_Creation_Listes_Produits_Lots;Extended Properties=&quot;&quot;" command="SELECT * FROM [Q_Creation_Listes_Produits_Lots]"/>
  </connection>
  <connection id="2" xr16:uid="{42C6BFBC-3074-4A8A-9CD5-54D56A45AADD}" keepAlive="1" name="Query - Q_Creation_Listes_Produits_Lots (2)" description="Connection to the 'Q_Creation_Listes_Produits_Lots (2)' query in the workbook." type="5" refreshedVersion="0" background="1">
    <dbPr connection="Provider=Microsoft.Mashup.OleDb.1;Data Source=$Workbook$;Location=&quot;Q_Creation_Listes_Produits_Lots (2)&quot;;Extended Properties=&quot;&quot;" command="SELECT * FROM [Q_Creation_Listes_Produits_Lots (2)]"/>
  </connection>
</connections>
</file>

<file path=xl/sharedStrings.xml><?xml version="1.0" encoding="utf-8"?>
<sst xmlns="http://schemas.openxmlformats.org/spreadsheetml/2006/main" count="144" uniqueCount="76">
  <si>
    <t>Produit</t>
  </si>
  <si>
    <t>Ref</t>
  </si>
  <si>
    <t>Lot</t>
  </si>
  <si>
    <t>Quantité Restante</t>
  </si>
  <si>
    <t>Quantité produite</t>
  </si>
  <si>
    <t>Retours</t>
  </si>
  <si>
    <t>Vendus</t>
  </si>
  <si>
    <t>P001</t>
  </si>
  <si>
    <t>P002</t>
  </si>
  <si>
    <t>P003</t>
  </si>
  <si>
    <t>P004</t>
  </si>
  <si>
    <t>P005</t>
  </si>
  <si>
    <t>Référence</t>
  </si>
  <si>
    <t>Nom produit</t>
  </si>
  <si>
    <t>Prix Vente HTVA</t>
  </si>
  <si>
    <t>TVA appliquée</t>
  </si>
  <si>
    <t>A</t>
  </si>
  <si>
    <t>B</t>
  </si>
  <si>
    <t>C</t>
  </si>
  <si>
    <t>D</t>
  </si>
  <si>
    <t>E</t>
  </si>
  <si>
    <t>F</t>
  </si>
  <si>
    <t>detruits</t>
  </si>
  <si>
    <t>Date production</t>
  </si>
  <si>
    <t>Société</t>
  </si>
  <si>
    <t>Remise accordée</t>
  </si>
  <si>
    <t>Adresse livraison</t>
  </si>
  <si>
    <t>Code Postal</t>
  </si>
  <si>
    <t>Ville</t>
  </si>
  <si>
    <t>GSM</t>
  </si>
  <si>
    <t>Nom Contact</t>
  </si>
  <si>
    <t>Email contact</t>
  </si>
  <si>
    <t>Remarque</t>
  </si>
  <si>
    <t>Test Company</t>
  </si>
  <si>
    <t>20 rue du Pilou</t>
  </si>
  <si>
    <t>Le Poet</t>
  </si>
  <si>
    <t>Marie Laforet</t>
  </si>
  <si>
    <t>Marie@email.com</t>
  </si>
  <si>
    <t>n° Client</t>
  </si>
  <si>
    <t>Date Action</t>
  </si>
  <si>
    <t>SKU Produit</t>
  </si>
  <si>
    <t>A1</t>
  </si>
  <si>
    <t>A2</t>
  </si>
  <si>
    <t>C1</t>
  </si>
  <si>
    <t>D1</t>
  </si>
  <si>
    <t>E1</t>
  </si>
  <si>
    <t>B1</t>
  </si>
  <si>
    <t>Valeur stock après cette commande</t>
  </si>
  <si>
    <t>Qtés Acheté</t>
  </si>
  <si>
    <t>TVA</t>
  </si>
  <si>
    <t>Prix TTC</t>
  </si>
  <si>
    <t>Prix Unit HT</t>
  </si>
  <si>
    <t>Prix total HT</t>
  </si>
  <si>
    <t>Row Labels</t>
  </si>
  <si>
    <t>Grand Total</t>
  </si>
  <si>
    <t>Sum of Qtés Acheté</t>
  </si>
  <si>
    <t>Sum of Retours</t>
  </si>
  <si>
    <t>Sum of Prix Unit HT</t>
  </si>
  <si>
    <t>Sum of Prix total HT</t>
  </si>
  <si>
    <t>Sum of Prix TTC</t>
  </si>
  <si>
    <t xml:space="preserve">Numéro 2 </t>
  </si>
  <si>
    <t>Prix remisé</t>
  </si>
  <si>
    <t>15 rue du Pompom</t>
  </si>
  <si>
    <t>Marseille</t>
  </si>
  <si>
    <t>Edgar Founkel</t>
  </si>
  <si>
    <t>EF@Pompom.com</t>
  </si>
  <si>
    <t>n° de commande</t>
  </si>
  <si>
    <t>Sum of Prix remisé</t>
  </si>
  <si>
    <t>Test Company Total</t>
  </si>
  <si>
    <t>Votre Logo</t>
  </si>
  <si>
    <t>Votre Compagnie</t>
  </si>
  <si>
    <t>Votre Adresse</t>
  </si>
  <si>
    <t>Votre n° de Telephone</t>
  </si>
  <si>
    <t>votre Email</t>
  </si>
  <si>
    <t>20191119-3</t>
  </si>
  <si>
    <t xml:space="preserve">A L'attention de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</si>
</sst>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8" formatCode="#,##0.00\ &quot;€&quot;"/>
    <numFmt numFmtId="170" formatCode="0#&quot; &quot;##&quot; &quot;##&quot; &quot;##&quot; &quot;##"/>
    <numFmt numFmtId="172" formatCode="0.0%"/>
    <numFmt numFmtId="173" formatCode="00000"/>
    <numFmt numFmtId="174" formatCode="#,##0.00\ [$€-40C]"/>
    <numFmt numFmtId="175" formatCode="&quot;Tel. : &quot;0#&quot; &quot;##&quot; &quot;##&quot; &quot;##&quot; &quot;##"/>
  </numFmts>
  <fonts count="7" x14ac:knownFonts="1">
    <font>
      <sz val="11"/>
      <color theme="1"/>
      <name val="Calibri"/>
      <family val="2"/>
      <scheme val="minor"/>
    </font>
    <font>
      <b/>
      <sz val="11"/>
      <color theme="1"/>
      <name val="Calibri"/>
      <family val="2"/>
      <scheme val="minor"/>
    </font>
    <font>
      <b/>
      <sz val="12"/>
      <color theme="1"/>
      <name val="Calibri"/>
      <family val="2"/>
      <scheme val="minor"/>
    </font>
    <font>
      <b/>
      <sz val="12"/>
      <color theme="0"/>
      <name val="Calibri"/>
      <family val="2"/>
      <scheme val="minor"/>
    </font>
    <font>
      <sz val="12"/>
      <color theme="1"/>
      <name val="Calibri"/>
      <family val="2"/>
      <scheme val="minor"/>
    </font>
    <font>
      <u/>
      <sz val="11"/>
      <color theme="10"/>
      <name val="Calibri"/>
      <family val="2"/>
      <scheme val="minor"/>
    </font>
    <font>
      <sz val="8"/>
      <name val="Calibri"/>
      <family val="2"/>
      <scheme val="minor"/>
    </font>
  </fonts>
  <fills count="3">
    <fill>
      <patternFill patternType="none"/>
    </fill>
    <fill>
      <patternFill patternType="gray125"/>
    </fill>
    <fill>
      <patternFill patternType="solid">
        <fgColor theme="9" tint="0.39997558519241921"/>
        <bgColor indexed="64"/>
      </patternFill>
    </fill>
  </fills>
  <borders count="3">
    <border>
      <left/>
      <right/>
      <top/>
      <bottom/>
      <diagonal/>
    </border>
    <border>
      <left style="thin">
        <color theme="9"/>
      </left>
      <right style="thin">
        <color theme="9"/>
      </right>
      <top/>
      <bottom style="medium">
        <color theme="9"/>
      </bottom>
      <diagonal/>
    </border>
    <border>
      <left style="thin">
        <color theme="9"/>
      </left>
      <right style="thin">
        <color theme="9"/>
      </right>
      <top/>
      <bottom/>
      <diagonal/>
    </border>
  </borders>
  <cellStyleXfs count="4">
    <xf numFmtId="0" fontId="0" fillId="0" borderId="0"/>
    <xf numFmtId="0" fontId="4" fillId="0" borderId="0"/>
    <xf numFmtId="9" fontId="4" fillId="0" borderId="0" applyFont="0" applyFill="0" applyBorder="0" applyAlignment="0" applyProtection="0"/>
    <xf numFmtId="0" fontId="5" fillId="0" borderId="0" applyNumberFormat="0" applyFill="0" applyBorder="0" applyAlignment="0" applyProtection="0"/>
  </cellStyleXfs>
  <cellXfs count="53">
    <xf numFmtId="0" fontId="0" fillId="0" borderId="0" xfId="0"/>
    <xf numFmtId="0" fontId="3" fillId="0" borderId="0" xfId="0" applyFont="1" applyFill="1" applyBorder="1" applyAlignment="1">
      <alignment horizontal="center" vertical="center"/>
    </xf>
    <xf numFmtId="168" fontId="3" fillId="0" borderId="0" xfId="0" applyNumberFormat="1" applyFont="1" applyFill="1" applyBorder="1" applyAlignment="1">
      <alignment horizontal="center" vertical="center" wrapText="1"/>
    </xf>
    <xf numFmtId="10" fontId="3" fillId="0" borderId="0" xfId="0" applyNumberFormat="1" applyFont="1" applyFill="1" applyBorder="1" applyAlignment="1">
      <alignment horizontal="center" vertical="center" wrapText="1"/>
    </xf>
    <xf numFmtId="0" fontId="0" fillId="0" borderId="0" xfId="0" applyFill="1" applyBorder="1" applyAlignment="1">
      <alignment horizontal="center" vertical="center"/>
    </xf>
    <xf numFmtId="168" fontId="0" fillId="0" borderId="0" xfId="0" applyNumberFormat="1" applyFill="1" applyBorder="1" applyAlignment="1">
      <alignment horizontal="center" vertical="center"/>
    </xf>
    <xf numFmtId="10" fontId="0" fillId="0" borderId="0" xfId="0" applyNumberFormat="1" applyFill="1" applyBorder="1" applyAlignment="1">
      <alignment horizontal="center" vertical="center"/>
    </xf>
    <xf numFmtId="14" fontId="0" fillId="0" borderId="0" xfId="0" applyNumberFormat="1"/>
    <xf numFmtId="0" fontId="0" fillId="0" borderId="0" xfId="0" applyNumberFormat="1"/>
    <xf numFmtId="0" fontId="4" fillId="0" borderId="0" xfId="1" applyAlignment="1">
      <alignment horizontal="center" vertical="center" wrapText="1"/>
    </xf>
    <xf numFmtId="0" fontId="4" fillId="0" borderId="0" xfId="1" applyAlignment="1">
      <alignment wrapText="1"/>
    </xf>
    <xf numFmtId="0" fontId="4" fillId="0" borderId="0" xfId="1" applyAlignment="1">
      <alignment horizontal="center" vertical="center"/>
    </xf>
    <xf numFmtId="0" fontId="4" fillId="0" borderId="0" xfId="1"/>
    <xf numFmtId="9" fontId="0" fillId="0" borderId="0" xfId="2" applyFont="1"/>
    <xf numFmtId="2" fontId="4" fillId="0" borderId="0" xfId="1" applyNumberFormat="1"/>
    <xf numFmtId="170" fontId="4" fillId="0" borderId="0" xfId="1" applyNumberFormat="1"/>
    <xf numFmtId="0" fontId="5" fillId="0" borderId="0" xfId="3"/>
    <xf numFmtId="0" fontId="2" fillId="0" borderId="1" xfId="1" applyNumberFormat="1" applyFont="1" applyBorder="1" applyAlignment="1">
      <alignment horizontal="center" vertical="center" wrapText="1"/>
    </xf>
    <xf numFmtId="170" fontId="2" fillId="0" borderId="1" xfId="1" applyNumberFormat="1" applyFont="1" applyBorder="1" applyAlignment="1">
      <alignment horizontal="center" vertical="center" wrapText="1"/>
    </xf>
    <xf numFmtId="10" fontId="1" fillId="0" borderId="1" xfId="2" applyNumberFormat="1" applyFont="1" applyBorder="1" applyAlignment="1">
      <alignment horizontal="center" vertical="center" wrapText="1"/>
    </xf>
    <xf numFmtId="1" fontId="4" fillId="0" borderId="0" xfId="1" applyNumberFormat="1" applyAlignment="1">
      <alignment horizontal="center" vertical="center" wrapText="1"/>
    </xf>
    <xf numFmtId="1" fontId="4" fillId="0" borderId="0" xfId="1" applyNumberFormat="1" applyFill="1" applyAlignment="1">
      <alignment horizontal="center" vertical="center"/>
    </xf>
    <xf numFmtId="1" fontId="0" fillId="0" borderId="0" xfId="2" applyNumberFormat="1" applyFont="1" applyAlignment="1">
      <alignment horizontal="center" vertical="center" wrapText="1"/>
    </xf>
    <xf numFmtId="173" fontId="2" fillId="0" borderId="1" xfId="1" applyNumberFormat="1" applyFont="1" applyBorder="1" applyAlignment="1">
      <alignment horizontal="center" vertical="center" wrapText="1"/>
    </xf>
    <xf numFmtId="0" fontId="2" fillId="0" borderId="0" xfId="1" applyNumberFormat="1" applyFont="1" applyFill="1" applyBorder="1" applyAlignment="1">
      <alignment horizontal="center" vertical="center" wrapText="1"/>
    </xf>
    <xf numFmtId="172" fontId="1" fillId="0" borderId="0" xfId="2" applyNumberFormat="1" applyFont="1" applyFill="1" applyBorder="1" applyAlignment="1">
      <alignment horizontal="center" vertical="center" wrapText="1"/>
    </xf>
    <xf numFmtId="173" fontId="2" fillId="0" borderId="0" xfId="1" applyNumberFormat="1" applyFont="1" applyFill="1" applyBorder="1" applyAlignment="1">
      <alignment horizontal="center" vertical="center" wrapText="1"/>
    </xf>
    <xf numFmtId="170" fontId="2" fillId="0" borderId="0" xfId="1" applyNumberFormat="1" applyFont="1" applyFill="1" applyBorder="1" applyAlignment="1">
      <alignment horizontal="center" vertical="center" wrapText="1"/>
    </xf>
    <xf numFmtId="14" fontId="0" fillId="0" borderId="0" xfId="0" applyNumberFormat="1" applyFill="1" applyBorder="1"/>
    <xf numFmtId="0" fontId="0" fillId="0" borderId="0" xfId="0" applyFill="1" applyBorder="1"/>
    <xf numFmtId="172" fontId="0" fillId="0" borderId="0" xfId="0" applyNumberFormat="1" applyFill="1" applyBorder="1"/>
    <xf numFmtId="173" fontId="0" fillId="0" borderId="0" xfId="0" applyNumberFormat="1" applyFill="1" applyBorder="1"/>
    <xf numFmtId="170" fontId="0" fillId="0" borderId="0" xfId="0" applyNumberFormat="1" applyFill="1" applyBorder="1"/>
    <xf numFmtId="0" fontId="0" fillId="0" borderId="0" xfId="0" applyNumberFormat="1" applyFill="1" applyBorder="1"/>
    <xf numFmtId="0" fontId="2" fillId="2" borderId="0" xfId="1" applyNumberFormat="1" applyFont="1" applyFill="1" applyBorder="1" applyAlignment="1">
      <alignment horizontal="center" vertical="center" wrapText="1"/>
    </xf>
    <xf numFmtId="0" fontId="0" fillId="0" borderId="0" xfId="0" applyNumberFormat="1" applyFill="1"/>
    <xf numFmtId="0" fontId="2" fillId="0" borderId="2" xfId="1" applyNumberFormat="1" applyFont="1" applyFill="1" applyBorder="1" applyAlignment="1">
      <alignment horizontal="center" vertical="center" wrapText="1"/>
    </xf>
    <xf numFmtId="174" fontId="2" fillId="0" borderId="2" xfId="1" applyNumberFormat="1" applyFont="1" applyFill="1" applyBorder="1" applyAlignment="1">
      <alignment horizontal="center" vertical="center" wrapText="1"/>
    </xf>
    <xf numFmtId="174" fontId="0" fillId="0" borderId="0" xfId="0" applyNumberFormat="1" applyFill="1"/>
    <xf numFmtId="10" fontId="2" fillId="0" borderId="2" xfId="1" applyNumberFormat="1" applyFont="1" applyFill="1" applyBorder="1" applyAlignment="1">
      <alignment horizontal="center" vertical="center" wrapText="1"/>
    </xf>
    <xf numFmtId="10" fontId="0" fillId="0" borderId="0" xfId="0" applyNumberFormat="1" applyFill="1"/>
    <xf numFmtId="0" fontId="0" fillId="0" borderId="0" xfId="0" pivotButton="1"/>
    <xf numFmtId="0" fontId="0" fillId="0" borderId="0" xfId="0" applyAlignment="1">
      <alignment horizontal="left"/>
    </xf>
    <xf numFmtId="0" fontId="0" fillId="0" borderId="0" xfId="0" applyAlignment="1">
      <alignment horizontal="left" indent="1"/>
    </xf>
    <xf numFmtId="0" fontId="0" fillId="0" borderId="0" xfId="0" applyAlignment="1">
      <alignment horizontal="left" indent="2"/>
    </xf>
    <xf numFmtId="173" fontId="4" fillId="0" borderId="0" xfId="1" applyNumberFormat="1"/>
    <xf numFmtId="14" fontId="0" fillId="0" borderId="0" xfId="0" applyNumberFormat="1" applyFill="1"/>
    <xf numFmtId="0" fontId="0" fillId="0" borderId="0" xfId="0" applyFill="1"/>
    <xf numFmtId="172" fontId="0" fillId="0" borderId="0" xfId="0" applyNumberFormat="1" applyFill="1"/>
    <xf numFmtId="173" fontId="0" fillId="0" borderId="0" xfId="0" applyNumberFormat="1" applyFill="1"/>
    <xf numFmtId="170" fontId="0" fillId="0" borderId="0" xfId="0" applyNumberFormat="1" applyFill="1"/>
    <xf numFmtId="14" fontId="0" fillId="0" borderId="0" xfId="0" applyNumberFormat="1" applyAlignment="1">
      <alignment horizontal="left"/>
    </xf>
    <xf numFmtId="175" fontId="0" fillId="0" borderId="0" xfId="0" applyNumberFormat="1"/>
  </cellXfs>
  <cellStyles count="4">
    <cellStyle name="Hyperlink" xfId="3" builtinId="8"/>
    <cellStyle name="Normal" xfId="0" builtinId="0"/>
    <cellStyle name="Normal 2" xfId="1" xr:uid="{07B34151-838E-4004-9038-B053DCF4FC6F}"/>
    <cellStyle name="Percent 2" xfId="2" xr:uid="{D20D7C32-26A9-495D-9130-8444C3159482}"/>
  </cellStyles>
  <dxfs count="42">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d/mm/yyyy"/>
      <fill>
        <patternFill patternType="none">
          <fgColor indexed="64"/>
          <bgColor indexed="65"/>
        </patternFill>
      </fill>
    </dxf>
    <dxf>
      <numFmt numFmtId="173" formatCode="00000"/>
    </dxf>
    <dxf>
      <numFmt numFmtId="174" formatCode="#,##0.00\ [$€-40C]"/>
      <fill>
        <patternFill patternType="none">
          <fgColor indexed="64"/>
          <bgColor auto="1"/>
        </patternFill>
      </fill>
    </dxf>
    <dxf>
      <numFmt numFmtId="174" formatCode="#,##0.00\ [$€-40C]"/>
      <fill>
        <patternFill patternType="none">
          <fgColor indexed="64"/>
          <bgColor indexed="65"/>
        </patternFill>
      </fill>
    </dxf>
    <dxf>
      <numFmt numFmtId="174" formatCode="#,##0.00\ [$€-40C]"/>
      <fill>
        <patternFill patternType="none">
          <fgColor indexed="64"/>
          <bgColor indexed="65"/>
        </patternFill>
      </fill>
    </dxf>
    <dxf>
      <numFmt numFmtId="14" formatCode="0.00%"/>
      <fill>
        <patternFill patternType="none">
          <fgColor indexed="64"/>
          <bgColor auto="1"/>
        </patternFill>
      </fill>
    </dxf>
    <dxf>
      <numFmt numFmtId="174" formatCode="#,##0.00\ [$€-40C]"/>
      <fill>
        <patternFill patternType="none">
          <fgColor indexed="64"/>
          <bgColor auto="1"/>
        </patternFill>
      </fill>
    </dxf>
    <dxf>
      <fill>
        <patternFill patternType="none">
          <fgColor indexed="64"/>
          <bgColor auto="1"/>
        </patternFill>
      </fill>
    </dxf>
    <dxf>
      <font>
        <b/>
        <i val="0"/>
        <strike val="0"/>
        <condense val="0"/>
        <extend val="0"/>
        <outline val="0"/>
        <shadow val="0"/>
        <u val="none"/>
        <vertAlign val="baseline"/>
        <sz val="12"/>
        <color theme="1"/>
        <name val="Calibri"/>
        <family val="2"/>
        <scheme val="minor"/>
      </font>
      <numFmt numFmtId="0" formatCode="General"/>
      <fill>
        <patternFill patternType="none">
          <fgColor indexed="64"/>
          <bgColor auto="1"/>
        </patternFill>
      </fill>
      <alignment horizontal="center" vertical="center" textRotation="0" wrapText="1" indent="0" justifyLastLine="0" shrinkToFit="0" readingOrder="0"/>
      <border diagonalUp="0" diagonalDown="0" outline="0">
        <left style="thin">
          <color theme="9"/>
        </left>
        <right style="thin">
          <color theme="9"/>
        </right>
        <top/>
        <bottom/>
      </border>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170" formatCode="0#&quot; &quot;##&quot; &quot;##&quot; &quot;##&quot; &quot;##"/>
      <fill>
        <patternFill patternType="none">
          <fgColor indexed="64"/>
          <bgColor auto="1"/>
        </patternFill>
      </fill>
    </dxf>
    <dxf>
      <numFmt numFmtId="0" formatCode="General"/>
      <fill>
        <patternFill patternType="none">
          <fgColor indexed="64"/>
          <bgColor auto="1"/>
        </patternFill>
      </fill>
    </dxf>
    <dxf>
      <numFmt numFmtId="173" formatCode="00000"/>
      <fill>
        <patternFill patternType="none">
          <fgColor indexed="64"/>
          <bgColor auto="1"/>
        </patternFill>
      </fill>
    </dxf>
    <dxf>
      <numFmt numFmtId="0" formatCode="General"/>
      <fill>
        <patternFill patternType="none">
          <fgColor indexed="64"/>
          <bgColor auto="1"/>
        </patternFill>
      </fill>
    </dxf>
    <dxf>
      <numFmt numFmtId="172" formatCode="0.0%"/>
      <fill>
        <patternFill patternType="none">
          <fgColor indexed="64"/>
          <bgColor auto="1"/>
        </patternFill>
      </fill>
    </dxf>
    <dxf>
      <numFmt numFmtId="0" formatCode="General"/>
      <fill>
        <patternFill patternType="none">
          <fgColor indexed="64"/>
          <bgColor auto="1"/>
        </patternFill>
      </fill>
    </dxf>
    <dxf>
      <fill>
        <patternFill patternType="none">
          <fgColor indexed="64"/>
          <bgColor auto="1"/>
        </patternFill>
      </fill>
    </dxf>
    <dxf>
      <numFmt numFmtId="19" formatCode="dd/mm/yyyy"/>
      <fill>
        <patternFill patternType="none">
          <fgColor indexed="64"/>
          <bgColor auto="1"/>
        </patternFill>
      </fill>
    </dxf>
    <dxf>
      <alignment horizontal="center" vertical="center" textRotation="0" wrapText="0" indent="0" justifyLastLine="0" shrinkToFit="0" readingOrder="0"/>
    </dxf>
    <dxf>
      <numFmt numFmtId="170" formatCode="0#&quot; &quot;##&quot; &quot;##&quot; &quot;##&quot; &quot;##"/>
    </dxf>
    <dxf>
      <alignment horizontal="center" vertical="center" textRotation="0" wrapText="1" indent="0" justifyLastLine="0" shrinkToFit="0" readingOrder="0"/>
    </dxf>
    <dxf>
      <fill>
        <patternFill patternType="none">
          <fgColor indexed="64"/>
          <bgColor auto="1"/>
        </patternFill>
      </fill>
    </dxf>
    <dxf>
      <fill>
        <patternFill patternType="none">
          <fgColor indexed="64"/>
          <bgColor auto="1"/>
        </patternFill>
      </fill>
    </dxf>
    <dxf>
      <numFmt numFmtId="14" formatCode="0.00%"/>
      <fill>
        <patternFill patternType="none">
          <fgColor indexed="64"/>
          <bgColor auto="1"/>
        </patternFill>
      </fill>
      <alignment horizontal="center" vertical="center" textRotation="0" wrapText="0" indent="0" justifyLastLine="0" shrinkToFit="0" readingOrder="0"/>
    </dxf>
    <dxf>
      <numFmt numFmtId="168" formatCode="#,##0.00\ &quot;€&quot;"/>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dxf>
  </dxfs>
  <tableStyles count="0" defaultTableStyle="TableStyleMedium2" defaultPivotStyle="PivotStyleLight16"/>
  <colors>
    <mruColors>
      <color rgb="FF33CCFF"/>
      <color rgb="FF9966FF"/>
      <color rgb="FFEABE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11/relationships/timelineCache" Target="timelineCaches/timelineCache1.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7/relationships/slicerCache" Target="slicerCaches/slicerCache3.xml"/><Relationship Id="rId5" Type="http://schemas.openxmlformats.org/officeDocument/2006/relationships/worksheet" Target="worksheets/sheet5.xml"/><Relationship Id="rId15" Type="http://schemas.openxmlformats.org/officeDocument/2006/relationships/styles" Target="styles.xml"/><Relationship Id="rId10" Type="http://schemas.microsoft.com/office/2007/relationships/slicerCache" Target="slicerCaches/slicerCache2.xml"/><Relationship Id="rId4" Type="http://schemas.openxmlformats.org/officeDocument/2006/relationships/worksheet" Target="worksheets/sheet4.xml"/><Relationship Id="rId9" Type="http://schemas.microsoft.com/office/2007/relationships/slicerCache" Target="slicerCaches/slicerCache1.xml"/><Relationship Id="rId14" Type="http://schemas.openxmlformats.org/officeDocument/2006/relationships/connections" Target="connections.xml"/></Relationships>
</file>

<file path=xl/drawings/drawing1.xml><?xml version="1.0" encoding="utf-8"?>
<xdr:wsDr xmlns:xdr="http://schemas.openxmlformats.org/drawingml/2006/spreadsheetDrawing" xmlns:a="http://schemas.openxmlformats.org/drawingml/2006/main">
  <xdr:twoCellAnchor editAs="oneCell">
    <xdr:from>
      <xdr:col>5</xdr:col>
      <xdr:colOff>228600</xdr:colOff>
      <xdr:row>0</xdr:row>
      <xdr:rowOff>0</xdr:rowOff>
    </xdr:from>
    <xdr:to>
      <xdr:col>8</xdr:col>
      <xdr:colOff>457200</xdr:colOff>
      <xdr:row>7</xdr:row>
      <xdr:rowOff>38100</xdr:rowOff>
    </xdr:to>
    <mc:AlternateContent xmlns:mc="http://schemas.openxmlformats.org/markup-compatibility/2006">
      <mc:Choice xmlns:tsle="http://schemas.microsoft.com/office/drawing/2012/timeslicer" Requires="tsle">
        <xdr:graphicFrame macro="">
          <xdr:nvGraphicFramePr>
            <xdr:cNvPr id="2" name="Date Action">
              <a:extLst>
                <a:ext uri="{FF2B5EF4-FFF2-40B4-BE49-F238E27FC236}">
                  <a16:creationId xmlns:a16="http://schemas.microsoft.com/office/drawing/2014/main" id="{88B4723D-E4B9-4034-9CA1-D12DE8A6E0E7}"/>
                </a:ext>
              </a:extLst>
            </xdr:cNvPr>
            <xdr:cNvGraphicFramePr/>
          </xdr:nvGraphicFramePr>
          <xdr:xfrm>
            <a:off x="0" y="0"/>
            <a:ext cx="0" cy="0"/>
          </xdr:xfrm>
          <a:graphic>
            <a:graphicData uri="http://schemas.microsoft.com/office/drawing/2012/timeslicer">
              <tsle:timeslicer xmlns:tsle="http://schemas.microsoft.com/office/drawing/2012/timeslicer" name="Date Action"/>
            </a:graphicData>
          </a:graphic>
        </xdr:graphicFrame>
      </mc:Choice>
      <mc:Fallback>
        <xdr:sp macro="" textlink="">
          <xdr:nvSpPr>
            <xdr:cNvPr id="0" name=""/>
            <xdr:cNvSpPr>
              <a:spLocks noTextEdit="1"/>
            </xdr:cNvSpPr>
          </xdr:nvSpPr>
          <xdr:spPr>
            <a:xfrm>
              <a:off x="5943600" y="0"/>
              <a:ext cx="2190750" cy="1371600"/>
            </a:xfrm>
            <a:prstGeom prst="rect">
              <a:avLst/>
            </a:prstGeom>
            <a:solidFill>
              <a:prstClr val="white"/>
            </a:solidFill>
            <a:ln w="1">
              <a:solidFill>
                <a:prstClr val="green"/>
              </a:solidFill>
            </a:ln>
          </xdr:spPr>
          <xdr:txBody>
            <a:bodyPr vertOverflow="clip" horzOverflow="clip"/>
            <a:lstStyle/>
            <a:p>
              <a:r>
                <a:rPr lang="en-CA" sz="1100"/>
                <a:t>Timeline: Works in Excel 2013 or higher. Do not move or resize.</a:t>
              </a:r>
            </a:p>
          </xdr:txBody>
        </xdr:sp>
      </mc:Fallback>
    </mc:AlternateContent>
    <xdr:clientData/>
  </xdr:twoCellAnchor>
  <xdr:twoCellAnchor editAs="oneCell">
    <xdr:from>
      <xdr:col>5</xdr:col>
      <xdr:colOff>228600</xdr:colOff>
      <xdr:row>7</xdr:row>
      <xdr:rowOff>161925</xdr:rowOff>
    </xdr:from>
    <xdr:to>
      <xdr:col>8</xdr:col>
      <xdr:colOff>95250</xdr:colOff>
      <xdr:row>21</xdr:row>
      <xdr:rowOff>19050</xdr:rowOff>
    </xdr:to>
    <mc:AlternateContent xmlns:mc="http://schemas.openxmlformats.org/markup-compatibility/2006">
      <mc:Choice xmlns:a14="http://schemas.microsoft.com/office/drawing/2010/main" Requires="a14">
        <xdr:graphicFrame macro="">
          <xdr:nvGraphicFramePr>
            <xdr:cNvPr id="3" name="Lot">
              <a:extLst>
                <a:ext uri="{FF2B5EF4-FFF2-40B4-BE49-F238E27FC236}">
                  <a16:creationId xmlns:a16="http://schemas.microsoft.com/office/drawing/2014/main" id="{90EE7DFD-8509-4D6F-8575-988A02397D68}"/>
                </a:ext>
              </a:extLst>
            </xdr:cNvPr>
            <xdr:cNvGraphicFramePr/>
          </xdr:nvGraphicFramePr>
          <xdr:xfrm>
            <a:off x="0" y="0"/>
            <a:ext cx="0" cy="0"/>
          </xdr:xfrm>
          <a:graphic>
            <a:graphicData uri="http://schemas.microsoft.com/office/drawing/2010/slicer">
              <sle:slicer xmlns:sle="http://schemas.microsoft.com/office/drawing/2010/slicer" name="Lot"/>
            </a:graphicData>
          </a:graphic>
        </xdr:graphicFrame>
      </mc:Choice>
      <mc:Fallback>
        <xdr:sp macro="" textlink="">
          <xdr:nvSpPr>
            <xdr:cNvPr id="0" name=""/>
            <xdr:cNvSpPr>
              <a:spLocks noTextEdit="1"/>
            </xdr:cNvSpPr>
          </xdr:nvSpPr>
          <xdr:spPr>
            <a:xfrm>
              <a:off x="5943600" y="1495425"/>
              <a:ext cx="1828800" cy="2524125"/>
            </a:xfrm>
            <a:prstGeom prst="rect">
              <a:avLst/>
            </a:prstGeom>
            <a:solidFill>
              <a:prstClr val="white"/>
            </a:solidFill>
            <a:ln w="1">
              <a:solidFill>
                <a:prstClr val="green"/>
              </a:solidFill>
            </a:ln>
          </xdr:spPr>
          <xdr:txBody>
            <a:bodyPr vertOverflow="clip" horzOverflow="clip"/>
            <a:lstStyle/>
            <a:p>
              <a:r>
                <a:rPr lang="en-CA"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drawings/drawing2.xml><?xml version="1.0" encoding="utf-8"?>
<xdr:wsDr xmlns:xdr="http://schemas.openxmlformats.org/drawingml/2006/spreadsheetDrawing" xmlns:a="http://schemas.openxmlformats.org/drawingml/2006/main">
  <xdr:twoCellAnchor editAs="oneCell">
    <xdr:from>
      <xdr:col>11</xdr:col>
      <xdr:colOff>47625</xdr:colOff>
      <xdr:row>1</xdr:row>
      <xdr:rowOff>0</xdr:rowOff>
    </xdr:from>
    <xdr:to>
      <xdr:col>12</xdr:col>
      <xdr:colOff>895350</xdr:colOff>
      <xdr:row>14</xdr:row>
      <xdr:rowOff>47625</xdr:rowOff>
    </xdr:to>
    <mc:AlternateContent xmlns:mc="http://schemas.openxmlformats.org/markup-compatibility/2006">
      <mc:Choice xmlns:a14="http://schemas.microsoft.com/office/drawing/2010/main" Requires="a14">
        <xdr:graphicFrame macro="">
          <xdr:nvGraphicFramePr>
            <xdr:cNvPr id="2" name="n° de commande">
              <a:extLst>
                <a:ext uri="{FF2B5EF4-FFF2-40B4-BE49-F238E27FC236}">
                  <a16:creationId xmlns:a16="http://schemas.microsoft.com/office/drawing/2014/main" id="{A874FF05-5D6D-4283-8F60-C3622E94D02A}"/>
                </a:ext>
              </a:extLst>
            </xdr:cNvPr>
            <xdr:cNvGraphicFramePr/>
          </xdr:nvGraphicFramePr>
          <xdr:xfrm>
            <a:off x="0" y="0"/>
            <a:ext cx="0" cy="0"/>
          </xdr:xfrm>
          <a:graphic>
            <a:graphicData uri="http://schemas.microsoft.com/office/drawing/2010/slicer">
              <sle:slicer xmlns:sle="http://schemas.microsoft.com/office/drawing/2010/slicer" name="n° de commande"/>
            </a:graphicData>
          </a:graphic>
        </xdr:graphicFrame>
      </mc:Choice>
      <mc:Fallback>
        <xdr:sp macro="" textlink="">
          <xdr:nvSpPr>
            <xdr:cNvPr id="0" name=""/>
            <xdr:cNvSpPr>
              <a:spLocks noTextEdit="1"/>
            </xdr:cNvSpPr>
          </xdr:nvSpPr>
          <xdr:spPr>
            <a:xfrm>
              <a:off x="10458450" y="190500"/>
              <a:ext cx="1828800" cy="2524125"/>
            </a:xfrm>
            <a:prstGeom prst="rect">
              <a:avLst/>
            </a:prstGeom>
            <a:solidFill>
              <a:prstClr val="white"/>
            </a:solidFill>
            <a:ln w="1">
              <a:solidFill>
                <a:prstClr val="green"/>
              </a:solidFill>
            </a:ln>
          </xdr:spPr>
          <xdr:txBody>
            <a:bodyPr vertOverflow="clip" horzOverflow="clip"/>
            <a:lstStyle/>
            <a:p>
              <a:r>
                <a:rPr lang="en-CA"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11</xdr:col>
      <xdr:colOff>76200</xdr:colOff>
      <xdr:row>14</xdr:row>
      <xdr:rowOff>104775</xdr:rowOff>
    </xdr:from>
    <xdr:to>
      <xdr:col>12</xdr:col>
      <xdr:colOff>923925</xdr:colOff>
      <xdr:row>27</xdr:row>
      <xdr:rowOff>152400</xdr:rowOff>
    </xdr:to>
    <mc:AlternateContent xmlns:mc="http://schemas.openxmlformats.org/markup-compatibility/2006">
      <mc:Choice xmlns:a14="http://schemas.microsoft.com/office/drawing/2010/main" Requires="a14">
        <xdr:graphicFrame macro="">
          <xdr:nvGraphicFramePr>
            <xdr:cNvPr id="3" name="Société">
              <a:extLst>
                <a:ext uri="{FF2B5EF4-FFF2-40B4-BE49-F238E27FC236}">
                  <a16:creationId xmlns:a16="http://schemas.microsoft.com/office/drawing/2014/main" id="{4CB881BC-AAEB-493F-BA5E-9E7D573D0F9A}"/>
                </a:ext>
              </a:extLst>
            </xdr:cNvPr>
            <xdr:cNvGraphicFramePr/>
          </xdr:nvGraphicFramePr>
          <xdr:xfrm>
            <a:off x="0" y="0"/>
            <a:ext cx="0" cy="0"/>
          </xdr:xfrm>
          <a:graphic>
            <a:graphicData uri="http://schemas.microsoft.com/office/drawing/2010/slicer">
              <sle:slicer xmlns:sle="http://schemas.microsoft.com/office/drawing/2010/slicer" name="Société"/>
            </a:graphicData>
          </a:graphic>
        </xdr:graphicFrame>
      </mc:Choice>
      <mc:Fallback>
        <xdr:sp macro="" textlink="">
          <xdr:nvSpPr>
            <xdr:cNvPr id="0" name=""/>
            <xdr:cNvSpPr>
              <a:spLocks noTextEdit="1"/>
            </xdr:cNvSpPr>
          </xdr:nvSpPr>
          <xdr:spPr>
            <a:xfrm>
              <a:off x="10487025" y="2771775"/>
              <a:ext cx="1828800" cy="2524125"/>
            </a:xfrm>
            <a:prstGeom prst="rect">
              <a:avLst/>
            </a:prstGeom>
            <a:solidFill>
              <a:prstClr val="white"/>
            </a:solidFill>
            <a:ln w="1">
              <a:solidFill>
                <a:prstClr val="green"/>
              </a:solidFill>
            </a:ln>
          </xdr:spPr>
          <xdr:txBody>
            <a:bodyPr vertOverflow="clip" horzOverflow="clip"/>
            <a:lstStyle/>
            <a:p>
              <a:r>
                <a:rPr lang="en-CA"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imac" refreshedDate="43787.895555555559" createdVersion="6" refreshedVersion="6" minRefreshableVersion="3" recordCount="5" xr:uid="{27676B4B-FAD1-4CD5-966B-994AA1377AF7}">
  <cacheSource type="worksheet">
    <worksheetSource name="t_Commandes"/>
  </cacheSource>
  <cacheFields count="22">
    <cacheField name="Date Action" numFmtId="14">
      <sharedItems containsSemiMixedTypes="0" containsNonDate="0" containsDate="1" containsString="0" minDate="2019-11-18T00:00:00" maxDate="2019-11-20T00:00:00" count="2">
        <d v="2019-11-18T00:00:00"/>
        <d v="2019-11-19T00:00:00"/>
      </sharedItems>
    </cacheField>
    <cacheField name="n° de commande" numFmtId="14">
      <sharedItems count="5">
        <s v="20191118-2"/>
        <s v="20191119-3"/>
        <s v="20191118-4"/>
        <s v="20191118-5"/>
        <s v="20191119-6"/>
      </sharedItems>
    </cacheField>
    <cacheField name="Société" numFmtId="0">
      <sharedItems count="2">
        <s v="Test Company"/>
        <s v="Numéro 2 "/>
      </sharedItems>
    </cacheField>
    <cacheField name="n° Client" numFmtId="0">
      <sharedItems containsSemiMixedTypes="0" containsString="0" containsNumber="1" containsInteger="1" minValue="1" maxValue="2"/>
    </cacheField>
    <cacheField name="Remise accordée" numFmtId="172">
      <sharedItems containsSemiMixedTypes="0" containsString="0" containsNumber="1" minValue="0.05" maxValue="0.1"/>
    </cacheField>
    <cacheField name="Adresse livraison" numFmtId="0">
      <sharedItems/>
    </cacheField>
    <cacheField name="Code Postal" numFmtId="173">
      <sharedItems containsSemiMixedTypes="0" containsString="0" containsNumber="1" containsInteger="1" minValue="5300" maxValue="13200"/>
    </cacheField>
    <cacheField name="Ville" numFmtId="0">
      <sharedItems/>
    </cacheField>
    <cacheField name="GSM" numFmtId="170">
      <sharedItems containsSemiMixedTypes="0" containsString="0" containsNumber="1" containsInteger="1" minValue="612234556" maxValue="614578652"/>
    </cacheField>
    <cacheField name="Nom Contact" numFmtId="0">
      <sharedItems/>
    </cacheField>
    <cacheField name="Email contact" numFmtId="0">
      <sharedItems/>
    </cacheField>
    <cacheField name="SKU Produit" numFmtId="0">
      <sharedItems count="4">
        <s v="P001"/>
        <s v="P002"/>
        <s v="P003"/>
        <s v="P005"/>
      </sharedItems>
    </cacheField>
    <cacheField name="Produit" numFmtId="0">
      <sharedItems count="4">
        <s v="A"/>
        <s v="B"/>
        <s v="C"/>
        <s v="E"/>
      </sharedItems>
    </cacheField>
    <cacheField name="Lot" numFmtId="0">
      <sharedItems count="4">
        <s v="A1"/>
        <s v="B1"/>
        <s v="C1"/>
        <s v="E1"/>
      </sharedItems>
    </cacheField>
    <cacheField name="Qtés Acheté" numFmtId="0">
      <sharedItems containsString="0" containsBlank="1" containsNumber="1" containsInteger="1" minValue="2" maxValue="10"/>
    </cacheField>
    <cacheField name="Retours" numFmtId="0">
      <sharedItems containsString="0" containsBlank="1" containsNumber="1" containsInteger="1" minValue="3" maxValue="3"/>
    </cacheField>
    <cacheField name="Valeur stock après cette commande" numFmtId="0">
      <sharedItems containsSemiMixedTypes="0" containsString="0" containsNumber="1" containsInteger="1" minValue="286" maxValue="298"/>
    </cacheField>
    <cacheField name="Prix Unit HT" numFmtId="174">
      <sharedItems containsSemiMixedTypes="0" containsString="0" containsNumber="1" minValue="8" maxValue="12"/>
    </cacheField>
    <cacheField name="Prix remisé" numFmtId="174">
      <sharedItems containsSemiMixedTypes="0" containsString="0" containsNumber="1" minValue="-24" maxValue="9.4500000000000011"/>
    </cacheField>
    <cacheField name="Prix total HT" numFmtId="174">
      <sharedItems containsSemiMixedTypes="0" containsString="0" containsNumber="1" minValue="-48" maxValue="94.500000000000014"/>
    </cacheField>
    <cacheField name="TVA" numFmtId="10">
      <sharedItems containsSemiMixedTypes="0" containsString="0" containsNumber="1" minValue="0.06" maxValue="0.06"/>
    </cacheField>
    <cacheField name="Prix TTC" numFmtId="174">
      <sharedItems containsSemiMixedTypes="0" containsString="0" containsNumber="1" minValue="-50.88" maxValue="100.17000000000002"/>
    </cacheField>
  </cacheFields>
  <extLst>
    <ext xmlns:x14="http://schemas.microsoft.com/office/spreadsheetml/2009/9/main" uri="{725AE2AE-9491-48be-B2B4-4EB974FC3084}">
      <x14:pivotCacheDefinition pivotCacheId="322820487"/>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
  <r>
    <x v="0"/>
    <x v="0"/>
    <x v="0"/>
    <n v="1"/>
    <n v="0.1"/>
    <s v="20 rue du Pilou"/>
    <n v="5300"/>
    <s v="Le Poet"/>
    <n v="612234556"/>
    <s v="Marie Laforet"/>
    <s v="Marie@email.com"/>
    <x v="0"/>
    <x v="0"/>
    <x v="0"/>
    <n v="5"/>
    <m/>
    <n v="295"/>
    <n v="10"/>
    <n v="9"/>
    <n v="45"/>
    <n v="0.06"/>
    <n v="47.7"/>
  </r>
  <r>
    <x v="1"/>
    <x v="1"/>
    <x v="0"/>
    <n v="1"/>
    <n v="0.1"/>
    <s v="20 rue du Pilou"/>
    <n v="5300"/>
    <s v="Le Poet"/>
    <n v="612234556"/>
    <s v="Marie Laforet"/>
    <s v="Marie@email.com"/>
    <x v="0"/>
    <x v="0"/>
    <x v="0"/>
    <m/>
    <n v="3"/>
    <n v="298"/>
    <n v="10"/>
    <n v="9"/>
    <n v="-27"/>
    <n v="0.06"/>
    <n v="-28.620000000000005"/>
  </r>
  <r>
    <x v="0"/>
    <x v="2"/>
    <x v="1"/>
    <n v="2"/>
    <n v="0.05"/>
    <s v="15 rue du Pompom"/>
    <n v="13200"/>
    <s v="Marseille"/>
    <n v="614578652"/>
    <s v="Edgar Founkel"/>
    <s v="EF@Pompom.com"/>
    <x v="1"/>
    <x v="1"/>
    <x v="1"/>
    <n v="2"/>
    <m/>
    <n v="296"/>
    <n v="12"/>
    <n v="-24"/>
    <n v="-48"/>
    <n v="0.06"/>
    <n v="-50.88"/>
  </r>
  <r>
    <x v="0"/>
    <x v="3"/>
    <x v="1"/>
    <n v="2"/>
    <n v="0.05"/>
    <s v="15 rue du Pompom"/>
    <n v="13200"/>
    <s v="Marseille"/>
    <n v="614578652"/>
    <s v="Edgar Founkel"/>
    <s v="EF@Pompom.com"/>
    <x v="2"/>
    <x v="2"/>
    <x v="2"/>
    <m/>
    <m/>
    <n v="296"/>
    <n v="8"/>
    <n v="-16"/>
    <n v="0"/>
    <n v="0.06"/>
    <n v="0"/>
  </r>
  <r>
    <x v="1"/>
    <x v="4"/>
    <x v="0"/>
    <n v="1"/>
    <n v="0.1"/>
    <s v="20 rue du Pilou"/>
    <n v="5300"/>
    <s v="Le Poet"/>
    <n v="612234556"/>
    <s v="Marie Laforet"/>
    <s v="Marie@email.com"/>
    <x v="3"/>
    <x v="3"/>
    <x v="3"/>
    <n v="10"/>
    <m/>
    <n v="286"/>
    <n v="10.5"/>
    <n v="9.4500000000000011"/>
    <n v="94.500000000000014"/>
    <n v="0.06"/>
    <n v="100.1700000000000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9EE55209-7B5B-430A-AD86-8D7F196134E6}" name="TCD_Compile" cacheId="59" applyNumberFormats="0" applyBorderFormats="0" applyFontFormats="0" applyPatternFormats="0" applyAlignmentFormats="0" applyWidthHeightFormats="1" dataCaption="Values" updatedVersion="6" minRefreshableVersion="5" useAutoFormatting="1" itemPrintTitles="1" createdVersion="6" indent="0" outline="1" outlineData="1" multipleFieldFilters="0">
  <location ref="A1:E14" firstHeaderRow="0" firstDataRow="1" firstDataCol="1"/>
  <pivotFields count="22">
    <pivotField numFmtId="14" showAll="0">
      <items count="3">
        <item x="0"/>
        <item x="1"/>
        <item t="default"/>
      </items>
    </pivotField>
    <pivotField showAll="0"/>
    <pivotField axis="axisRow" showAll="0">
      <items count="3">
        <item x="0"/>
        <item x="1"/>
        <item t="default"/>
      </items>
    </pivotField>
    <pivotField showAll="0"/>
    <pivotField numFmtId="172" showAll="0"/>
    <pivotField showAll="0"/>
    <pivotField numFmtId="173" showAll="0"/>
    <pivotField showAll="0"/>
    <pivotField numFmtId="170" showAll="0"/>
    <pivotField showAll="0"/>
    <pivotField showAll="0"/>
    <pivotField showAll="0"/>
    <pivotField axis="axisRow" showAll="0">
      <items count="5">
        <item x="0"/>
        <item x="1"/>
        <item x="2"/>
        <item x="3"/>
        <item t="default"/>
      </items>
    </pivotField>
    <pivotField axis="axisRow" showAll="0">
      <items count="5">
        <item x="0"/>
        <item x="1"/>
        <item x="2"/>
        <item x="3"/>
        <item t="default"/>
      </items>
    </pivotField>
    <pivotField dataField="1" showAll="0"/>
    <pivotField dataField="1" showAll="0"/>
    <pivotField showAll="0"/>
    <pivotField numFmtId="174" showAll="0"/>
    <pivotField numFmtId="174" showAll="0"/>
    <pivotField dataField="1" numFmtId="174" showAll="0"/>
    <pivotField numFmtId="10" showAll="0"/>
    <pivotField dataField="1" numFmtId="174" showAll="0"/>
  </pivotFields>
  <rowFields count="3">
    <field x="12"/>
    <field x="13"/>
    <field x="2"/>
  </rowFields>
  <rowItems count="13">
    <i>
      <x/>
    </i>
    <i r="1">
      <x/>
    </i>
    <i r="2">
      <x/>
    </i>
    <i>
      <x v="1"/>
    </i>
    <i r="1">
      <x v="1"/>
    </i>
    <i r="2">
      <x v="1"/>
    </i>
    <i>
      <x v="2"/>
    </i>
    <i r="1">
      <x v="2"/>
    </i>
    <i r="2">
      <x v="1"/>
    </i>
    <i>
      <x v="3"/>
    </i>
    <i r="1">
      <x v="3"/>
    </i>
    <i r="2">
      <x/>
    </i>
    <i t="grand">
      <x/>
    </i>
  </rowItems>
  <colFields count="1">
    <field x="-2"/>
  </colFields>
  <colItems count="4">
    <i>
      <x/>
    </i>
    <i i="1">
      <x v="1"/>
    </i>
    <i i="2">
      <x v="2"/>
    </i>
    <i i="3">
      <x v="3"/>
    </i>
  </colItems>
  <dataFields count="4">
    <dataField name="Sum of Qtés Acheté" fld="14" baseField="0" baseItem="0"/>
    <dataField name="Sum of Retours" fld="15" baseField="0" baseItem="0"/>
    <dataField name="Sum of Prix total HT" fld="19" baseField="0" baseItem="0"/>
    <dataField name="Sum of Prix TTC" fld="21" baseField="0" baseItem="0"/>
  </dataFields>
  <pivotTableStyleInfo name="PivotStyleLight16" showRowHeaders="1" showColHeaders="1" showRowStripes="0" showColStripes="0" showLastColumn="1"/>
  <filters count="1">
    <filter fld="0" type="dateBetween" evalOrder="-1" id="8" name="Date Action">
      <autoFilter ref="A1">
        <filterColumn colId="0">
          <customFilters and="1">
            <customFilter operator="greaterThanOrEqual" val="43770"/>
            <customFilter operator="lessThanOrEqual" val="43830"/>
          </customFilters>
        </filterColumn>
      </autoFilter>
      <extLst>
        <ext xmlns:x15="http://schemas.microsoft.com/office/spreadsheetml/2010/11/main" uri="{0605FD5F-26C8-4aeb-8148-2DB25E43C511}">
          <x15:pivotFilter useWholeDay="1"/>
        </ext>
      </extLst>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CB8EFD5D-9C8B-4B17-93EE-6AC3E30610DD}" name="TCD_N°deCommande" cacheId="59"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B17" firstHeaderRow="0" firstDataRow="0" firstDataCol="0" rowPageCount="1" colPageCount="1"/>
  <pivotFields count="22">
    <pivotField numFmtId="14" showAll="0"/>
    <pivotField axis="axisPage" multipleItemSelectionAllowed="1" showAll="0">
      <items count="6">
        <item h="1" x="0"/>
        <item h="1" x="2"/>
        <item h="1" x="3"/>
        <item x="1"/>
        <item h="1" x="4"/>
        <item t="default"/>
      </items>
    </pivotField>
    <pivotField outline="0" showAll="0">
      <items count="3">
        <item x="1"/>
        <item x="0"/>
        <item t="default"/>
      </items>
    </pivotField>
    <pivotField outline="0" showAll="0"/>
    <pivotField numFmtId="172" outline="0" showAll="0"/>
    <pivotField outline="0" showAll="0"/>
    <pivotField numFmtId="173" outline="0" showAll="0"/>
    <pivotField outline="0" showAll="0"/>
    <pivotField numFmtId="170" showAll="0"/>
    <pivotField showAll="0"/>
    <pivotField showAll="0"/>
    <pivotField showAll="0"/>
    <pivotField showAll="0"/>
    <pivotField showAll="0"/>
    <pivotField showAll="0"/>
    <pivotField showAll="0"/>
    <pivotField showAll="0"/>
    <pivotField numFmtId="174" showAll="0"/>
    <pivotField numFmtId="174" showAll="0"/>
    <pivotField numFmtId="174" showAll="0"/>
    <pivotField numFmtId="10" showAll="0"/>
    <pivotField numFmtId="174" showAll="0"/>
  </pivotFields>
  <pageFields count="1">
    <pageField fld="1"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3E80329E-E94C-4946-881D-5426CE67B9EE}" name="TCD_Recap_Commande" cacheId="59"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B19:I25" firstHeaderRow="0" firstDataRow="1" firstDataCol="2"/>
  <pivotFields count="22">
    <pivotField axis="axisRow" numFmtId="14" showAll="0">
      <items count="3">
        <item x="0"/>
        <item x="1"/>
        <item t="default"/>
      </items>
    </pivotField>
    <pivotField multipleItemSelectionAllowed="1" showAll="0">
      <items count="6">
        <item h="1" x="0"/>
        <item h="1" x="2"/>
        <item h="1" x="3"/>
        <item x="1"/>
        <item h="1" x="4"/>
        <item t="default"/>
      </items>
    </pivotField>
    <pivotField axis="axisRow" outline="0" showAll="0">
      <items count="3">
        <item x="1"/>
        <item x="0"/>
        <item t="default"/>
      </items>
    </pivotField>
    <pivotField outline="0" showAll="0"/>
    <pivotField numFmtId="172" outline="0" showAll="0"/>
    <pivotField outline="0" showAll="0"/>
    <pivotField numFmtId="173" outline="0" showAll="0"/>
    <pivotField outline="0" showAll="0"/>
    <pivotField numFmtId="170" showAll="0"/>
    <pivotField showAll="0"/>
    <pivotField showAll="0"/>
    <pivotField axis="axisRow" showAll="0">
      <items count="5">
        <item x="0"/>
        <item x="1"/>
        <item x="2"/>
        <item x="3"/>
        <item t="default"/>
      </items>
    </pivotField>
    <pivotField axis="axisRow" showAll="0">
      <items count="5">
        <item x="0"/>
        <item x="1"/>
        <item x="2"/>
        <item x="3"/>
        <item t="default"/>
      </items>
    </pivotField>
    <pivotField axis="axisRow" showAll="0">
      <items count="5">
        <item x="0"/>
        <item x="1"/>
        <item x="2"/>
        <item x="3"/>
        <item t="default"/>
      </items>
    </pivotField>
    <pivotField dataField="1" showAll="0"/>
    <pivotField dataField="1" showAll="0"/>
    <pivotField showAll="0"/>
    <pivotField dataField="1" numFmtId="174" showAll="0"/>
    <pivotField dataField="1" numFmtId="174" showAll="0"/>
    <pivotField dataField="1" numFmtId="174" showAll="0"/>
    <pivotField numFmtId="10" showAll="0"/>
    <pivotField dataField="1" numFmtId="174" showAll="0"/>
  </pivotFields>
  <rowFields count="5">
    <field x="0"/>
    <field x="2"/>
    <field x="12"/>
    <field x="11"/>
    <field x="13"/>
  </rowFields>
  <rowItems count="6">
    <i>
      <x v="1"/>
    </i>
    <i r="1">
      <x v="1"/>
      <x/>
    </i>
    <i r="3">
      <x/>
    </i>
    <i r="4">
      <x/>
    </i>
    <i t="default" r="1">
      <x v="1"/>
    </i>
    <i t="grand">
      <x/>
    </i>
  </rowItems>
  <colFields count="1">
    <field x="-2"/>
  </colFields>
  <colItems count="6">
    <i>
      <x/>
    </i>
    <i i="1">
      <x v="1"/>
    </i>
    <i i="2">
      <x v="2"/>
    </i>
    <i i="3">
      <x v="3"/>
    </i>
    <i i="4">
      <x v="4"/>
    </i>
    <i i="5">
      <x v="5"/>
    </i>
  </colItems>
  <dataFields count="6">
    <dataField name="Sum of Qtés Acheté" fld="14" baseField="0" baseItem="0"/>
    <dataField name="Sum of Retours" fld="15" baseField="0" baseItem="0"/>
    <dataField name="Sum of Prix Unit HT" fld="17" baseField="0" baseItem="0"/>
    <dataField name="Sum of Prix remisé" fld="18" baseField="0" baseItem="0"/>
    <dataField name="Sum of Prix total HT" fld="19" baseField="0" baseItem="0"/>
    <dataField name="Sum of Prix TTC" fld="21"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D6625D3F-0307-4812-AFD1-01D7C314C5D1}" autoFormatId="16" applyNumberFormats="0" applyBorderFormats="0" applyFontFormats="0" applyPatternFormats="0" applyAlignmentFormats="0" applyWidthHeightFormats="0">
  <queryTableRefresh nextId="6">
    <queryTableFields count="5">
      <queryTableField id="1" name="A" tableColumnId="6"/>
      <queryTableField id="2" name="B" tableColumnId="2"/>
      <queryTableField id="3" name="C" tableColumnId="3"/>
      <queryTableField id="4" name="D" tableColumnId="4"/>
      <queryTableField id="5" name="E" tableColumnId="5"/>
    </queryTableFields>
  </queryTableRefresh>
</queryTable>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Lot" xr10:uid="{16411E49-44C8-460F-AEDB-493437AED63F}" sourceName="Lot">
  <pivotTables>
    <pivotTable tabId="6" name="TCD_Compile"/>
  </pivotTables>
  <data>
    <tabular pivotCacheId="322820487">
      <items count="4">
        <i x="0" s="1"/>
        <i x="1" s="1"/>
        <i x="2" s="1"/>
        <i x="3" s="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n°_de_commande" xr10:uid="{543A7CB6-9935-4D4A-ABE2-E885CEA671B0}" sourceName="n° de commande">
  <pivotTables>
    <pivotTable tabId="7" name="TCD_Recap_Commande"/>
    <pivotTable tabId="7" name="TCD_N°deCommande"/>
  </pivotTables>
  <data>
    <tabular pivotCacheId="322820487">
      <items count="5">
        <i x="0"/>
        <i x="2"/>
        <i x="3"/>
        <i x="1" s="1"/>
        <i x="4"/>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Société" xr10:uid="{3DBAABDC-5A04-4694-BBAE-2E5C161A4AFA}" sourceName="Société">
  <pivotTables>
    <pivotTable tabId="7" name="TCD_Recap_Commande"/>
    <pivotTable tabId="7" name="TCD_N°deCommande"/>
  </pivotTables>
  <data>
    <tabular pivotCacheId="322820487">
      <items count="2">
        <i x="0" s="1"/>
        <i x="1" s="1"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Lot" xr10:uid="{1625461F-7A52-4571-8C24-93E6D12DB381}" cache="Slicer_Lot" caption="Lot" rowHeight="241300"/>
</slicers>
</file>

<file path=xl/slicers/slicer2.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 de commande" xr10:uid="{7CDDA441-111D-410C-90F0-8DF1936A0FBD}" cache="Slicer_n°_de_commande" caption="S_Commande" rowHeight="241300"/>
  <slicer name="Société" xr10:uid="{612A8D35-4132-4DA1-AE19-0BF454C0081F}" cache="Slicer_Société" caption="Société" rowHeight="241300"/>
</slicers>
</file>

<file path=xl/tables/_rels/table4.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627A48CF-7889-43C0-82C0-A616D12BDA63}" name="t_Stock" displayName="t_Stock" ref="A1:I7" totalsRowShown="0">
  <autoFilter ref="A1:I7" xr:uid="{23D637D9-65F6-4F07-B717-8A538BC51D1D}"/>
  <sortState ref="A2:I6">
    <sortCondition ref="B1:B6"/>
  </sortState>
  <tableColumns count="9">
    <tableColumn id="1" xr3:uid="{209CCD3A-CB84-4B16-A82B-88D5E31A7C67}" name="Produit"/>
    <tableColumn id="2" xr3:uid="{0B634847-B55C-4AFA-ABD8-E367202ED286}" name="Ref">
      <calculatedColumnFormula>VLOOKUP(t_Stock[[#This Row],[Produit]],t_Produits[],2,FALSE)</calculatedColumnFormula>
    </tableColumn>
    <tableColumn id="3" xr3:uid="{FA26B20B-6FC9-437B-A8D9-6C7B27984283}" name="Lot"/>
    <tableColumn id="9" xr3:uid="{D8589521-BAA5-4472-8D4A-47B7F4DB3045}" name="Date production"/>
    <tableColumn id="4" xr3:uid="{8FB54C7E-5850-4B87-AEDE-9543475BF078}" name="Quantité produite"/>
    <tableColumn id="5" xr3:uid="{CF6284B3-A592-484F-8795-D3B25915711C}" name="Vendus">
      <calculatedColumnFormula>SUMIFS(t_Commandes[[#All],[Qtés Acheté]],t_Commandes[[#All],[Produit]],t_Stock[[#This Row],[Produit]],t_Commandes[[#All],[Lot]],t_Stock[[#This Row],[Lot]])</calculatedColumnFormula>
    </tableColumn>
    <tableColumn id="8" xr3:uid="{292C2B16-9764-4B22-9E62-B247923E9C06}" name="detruits" dataDxfId="7"/>
    <tableColumn id="6" xr3:uid="{3673C0BE-CB5B-4A16-A81D-09AF09E1D110}" name="Retours" dataDxfId="6">
      <calculatedColumnFormula>SUMIFS(t_Commandes[[#All],[Retours]],t_Commandes[[#All],[Produit]],t_Stock[[#This Row],[Produit]],t_Commandes[[#All],[Lot]],t_Stock[[#This Row],[Lot]])</calculatedColumnFormula>
    </tableColumn>
    <tableColumn id="7" xr3:uid="{3FBA9BEE-05D5-438F-8058-1ADFACB720ED}" name="Quantité Restante" dataDxfId="0">
      <calculatedColumnFormula>t_Stock[[#This Row],[Quantité produite]]-SUMIFS(t_Commandes[Qtés Acheté],t_Commandes[Produit],t_Stock[[#This Row],[Produit]],t_Commandes[Lot],t_Stock[[#This Row],[Lot]])+SUMIFS(t_Commandes[Retours],t_Commandes[Produit],t_Stock[[#This Row],[Produit]],t_Commandes[Lot],t_Stock[[#This Row],[Lot]])-t_Stock[[#This Row],[detruits]]</calculatedColumnFormula>
    </tableColumn>
  </tableColumns>
  <tableStyleInfo name="TableStyleLight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72CF7FD-E4D4-41A0-A6BE-DA46827540E4}" name="t_Produits" displayName="t_Produits" ref="A1:D7" totalsRowShown="0" headerRowDxfId="37" dataDxfId="36">
  <autoFilter ref="A1:D7" xr:uid="{9872ABE3-EA72-46B7-8D1C-BDE5A6CC8717}"/>
  <tableColumns count="4">
    <tableColumn id="2" xr3:uid="{FC25C127-364D-4363-9F66-E41B3B89D135}" name="Nom produit" dataDxfId="41"/>
    <tableColumn id="1" xr3:uid="{3AF8F2E0-BC4D-41C8-A715-C4FBD209326D}" name="Référence" dataDxfId="40"/>
    <tableColumn id="3" xr3:uid="{4D5D43A2-E1BA-4656-97A7-FEC0D226F5DC}" name="Prix Vente HTVA" dataDxfId="39"/>
    <tableColumn id="4" xr3:uid="{3561C841-0C04-4AEC-876D-D1B5E11F09FD}" name="TVA appliquée" dataDxfId="38"/>
  </tableColumns>
  <tableStyleInfo name="TableStyleMedium5"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5D314FE9-FE0B-4C9C-B9D5-6FB14BCE8664}" name="t_Clients" displayName="t_Clients" ref="A1:J26" totalsRowShown="0" headerRowDxfId="35">
  <autoFilter ref="A1:J26" xr:uid="{063EA09D-F34C-BE4A-B5D4-30AABA40BD68}"/>
  <tableColumns count="10">
    <tableColumn id="2" xr3:uid="{4667BFEE-BA52-4DD7-99FB-9A7EBA680E08}" name="Société"/>
    <tableColumn id="1" xr3:uid="{16467758-67C5-41E1-A1A8-9A5F5CC2A8AC}" name="n° Client" dataDxfId="33" dataCellStyle="Normal 2"/>
    <tableColumn id="3" xr3:uid="{B2E0142E-EBF5-4C79-A7DF-585F97312859}" name="Remise accordée"/>
    <tableColumn id="4" xr3:uid="{987985E3-CC79-4BA5-80A2-93844D8804EC}" name="Adresse livraison"/>
    <tableColumn id="5" xr3:uid="{C0CA63D0-CD9F-4029-BDD6-3BD50B9B8C3B}" name="Code Postal" dataDxfId="9"/>
    <tableColumn id="6" xr3:uid="{CFFC2F6D-F6AA-4D61-91AF-E8A2E0774B2A}" name="Ville"/>
    <tableColumn id="8" xr3:uid="{746C0E2A-92A7-44B9-9F86-47A09666D545}" name="GSM" dataDxfId="34"/>
    <tableColumn id="9" xr3:uid="{5C7613E4-2547-4730-9AE1-863A08E43C19}" name="Nom Contact"/>
    <tableColumn id="11" xr3:uid="{A17F6558-4047-4EB4-98D8-920F0C2CD443}" name="Email contact"/>
    <tableColumn id="12" xr3:uid="{9833C26D-AE81-4E45-9283-122A7486BC54}" name="Remarque"/>
  </tableColumns>
  <tableStyleInfo name="TableStyleLight2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FAD9CD65-4AC3-4D8A-AA78-24267B237681}" name="t_Listes" displayName="t_Listes" ref="A1:E3" tableType="queryTable" totalsRowShown="0">
  <autoFilter ref="A1:E3" xr:uid="{FCFE8903-0A09-4425-8354-7F7C6514E123}"/>
  <tableColumns count="5">
    <tableColumn id="6" xr3:uid="{0CC24136-9AB0-475B-97B2-67D50B9B36F4}" uniqueName="6" name="A" queryTableFieldId="1" dataDxfId="5"/>
    <tableColumn id="2" xr3:uid="{933A446A-AEA0-46BC-AD29-A47447BB80A7}" uniqueName="2" name="B" queryTableFieldId="2" dataDxfId="4"/>
    <tableColumn id="3" xr3:uid="{4DF8F092-F3BA-464B-99CC-0598368DF867}" uniqueName="3" name="C" queryTableFieldId="3" dataDxfId="3"/>
    <tableColumn id="4" xr3:uid="{50CA4B2A-D3BD-4A79-B9E6-7A065CADB94F}" uniqueName="4" name="D" queryTableFieldId="4" dataDxfId="2"/>
    <tableColumn id="5" xr3:uid="{83C046F5-BCD6-4363-B49E-E507CA0450EC}" uniqueName="5" name="E" queryTableFieldId="5" dataDxfId="1"/>
  </tableColumns>
  <tableStyleInfo name="TableStyleMedium7"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62E7E35E-7ACF-4900-8697-910E24EDE5BD}" name="t_Commandes" displayName="t_Commandes" ref="A1:V6" totalsRowShown="0" headerRowDxfId="16" dataDxfId="15" headerRowCellStyle="Normal 2">
  <autoFilter ref="A1:V6" xr:uid="{5F95B5B6-CA7E-4FEC-BED6-8C3C49757534}"/>
  <tableColumns count="22">
    <tableColumn id="10" xr3:uid="{0AE41AC2-276C-49EB-A918-DD2B204F59DA}" name="Date Action" dataDxfId="32"/>
    <tableColumn id="23" xr3:uid="{C4525AFB-F9FE-401B-9A66-259A62D344AC}" name="n° de commande" dataDxfId="8">
      <calculatedColumnFormula>YEAR(t_Commandes[[#This Row],[Date Action]])&amp;MONTH(t_Commandes[[#This Row],[Date Action]])&amp;DAY(t_Commandes[[#This Row],[Date Action]])&amp;"-"&amp;ROW()</calculatedColumnFormula>
    </tableColumn>
    <tableColumn id="1" xr3:uid="{946AD764-7588-4EB0-A7D4-52DF6D2474CF}" name="Société" dataDxfId="31"/>
    <tableColumn id="2" xr3:uid="{9D72EF9E-993E-4526-87A8-0DDC63154E26}" name="n° Client" dataDxfId="30">
      <calculatedColumnFormula>VLOOKUP($C2,CLIENTS!$1:$1048576,(HLOOKUP(D$1,CLIENTS!$1:$2,2,FALSE)),FALSE)</calculatedColumnFormula>
    </tableColumn>
    <tableColumn id="3" xr3:uid="{810E33F8-F388-47F8-BD91-BF133EBFAE90}" name="Remise accordée" dataDxfId="29">
      <calculatedColumnFormula>VLOOKUP($C2,CLIENTS!$1:$1048576,(HLOOKUP(E$1,CLIENTS!$1:$2,2,FALSE)),FALSE)</calculatedColumnFormula>
    </tableColumn>
    <tableColumn id="4" xr3:uid="{C6FF0696-F78A-4B13-B913-80B48FCB6E18}" name="Adresse livraison" dataDxfId="28">
      <calculatedColumnFormula>VLOOKUP($C2,CLIENTS!$1:$1048576,(HLOOKUP(F$1,CLIENTS!$1:$2,2,FALSE)),FALSE)</calculatedColumnFormula>
    </tableColumn>
    <tableColumn id="5" xr3:uid="{0FDB997A-F80A-48E3-8210-07C1D2E8833F}" name="Code Postal" dataDxfId="27">
      <calculatedColumnFormula>VLOOKUP($C2,CLIENTS!$1:$1048576,(HLOOKUP(G$1,CLIENTS!$1:$2,2,FALSE)),FALSE)</calculatedColumnFormula>
    </tableColumn>
    <tableColumn id="6" xr3:uid="{7D03EDA9-79B0-41F6-A249-A282CB82788F}" name="Ville" dataDxfId="26">
      <calculatedColumnFormula>VLOOKUP($C2,CLIENTS!$1:$1048576,(HLOOKUP(H$1,CLIENTS!$1:$2,2,FALSE)),FALSE)</calculatedColumnFormula>
    </tableColumn>
    <tableColumn id="7" xr3:uid="{572CBB89-B05F-43A5-A742-65369B94322F}" name="GSM" dataDxfId="25">
      <calculatedColumnFormula>VLOOKUP($C2,CLIENTS!$1:$1048576,(HLOOKUP(I$1,CLIENTS!$1:$2,2,FALSE)),FALSE)</calculatedColumnFormula>
    </tableColumn>
    <tableColumn id="8" xr3:uid="{AB1BF62E-1A25-48F5-8F55-7B52C213F210}" name="Nom Contact" dataDxfId="24">
      <calculatedColumnFormula>VLOOKUP($C2,CLIENTS!$1:$1048576,(HLOOKUP(J$1,CLIENTS!$1:$2,2,FALSE)),FALSE)</calculatedColumnFormula>
    </tableColumn>
    <tableColumn id="9" xr3:uid="{F216E685-A07A-43F2-8AC8-8CCDDB5CC8A6}" name="Email contact" dataDxfId="23">
      <calculatedColumnFormula>VLOOKUP(t_Commandes[[#This Row],[Nom Contact]],CLIENTS!$H:$I,2,FALSE)</calculatedColumnFormula>
    </tableColumn>
    <tableColumn id="12" xr3:uid="{972B0699-15F0-4D76-883D-FE061F419359}" name="SKU Produit" dataDxfId="22">
      <calculatedColumnFormula>VLOOKUP(t_Commandes[[#This Row],[Produit]],t_Produits[],2,FALSE)</calculatedColumnFormula>
    </tableColumn>
    <tableColumn id="11" xr3:uid="{8B4F6D7B-6360-4F24-9FDA-AC24C47D223C}" name="Produit" dataDxfId="21"/>
    <tableColumn id="14" xr3:uid="{9F5945A6-70B6-443C-9D54-729BDAA16A7F}" name="Lot" dataDxfId="20"/>
    <tableColumn id="13" xr3:uid="{5F863387-9C62-4579-8F45-4BE009CE0D8B}" name="Qtés Acheté" dataDxfId="19"/>
    <tableColumn id="17" xr3:uid="{258BF5E6-52E9-4714-B16F-7E576E810BD8}" name="Retours" dataDxfId="18"/>
    <tableColumn id="16" xr3:uid="{D0682B9C-4278-43FB-A328-6DC6E65BBF92}" name="Valeur stock après cette commande" dataDxfId="17">
      <calculatedColumnFormula>VLOOKUP(t_Commandes[[#This Row],[Lot]],t_Stock[[#All],[Lot]:[Quantité produite]],3,FALSE)-SUBTOTAL(109,$O$1:$O2)+SUBTOTAL(109,$P$1:$P2)</calculatedColumnFormula>
    </tableColumn>
    <tableColumn id="18" xr3:uid="{A88745D1-A89B-4BD5-8754-92C6B992D12A}" name="Prix Unit HT" dataDxfId="14">
      <calculatedColumnFormula>VLOOKUP(t_Commandes[[#This Row],[SKU Produit]],t_Produits[[#All],[Référence]:[TVA appliquée]],2,FALSE)</calculatedColumnFormula>
    </tableColumn>
    <tableColumn id="22" xr3:uid="{6781DFFA-177F-458E-BBFC-CCBF3E132A6C}" name="Prix remisé" dataDxfId="12">
      <calculatedColumnFormula>t_Commandes[[#This Row],[Prix Unit HT]]*(1-VLOOKUP(t_Commandes[[#This Row],[n° Client]],t_Clients[[#All],[n° Client]:[Remise accordée]],2,FALSE))</calculatedColumnFormula>
    </tableColumn>
    <tableColumn id="21" xr3:uid="{00150815-771F-40CC-B314-BBD4AA1BDDF3}" name="Prix total HT" dataDxfId="11">
      <calculatedColumnFormula>t_Commandes[[#This Row],[Prix remisé]]*(t_Commandes[[#This Row],[Qtés Acheté]]-t_Commandes[[#This Row],[Retours]])</calculatedColumnFormula>
    </tableColumn>
    <tableColumn id="19" xr3:uid="{85A51592-66A7-4DA7-B1EA-378AC6E21D2F}" name="TVA" dataDxfId="13">
      <calculatedColumnFormula>VLOOKUP(t_Commandes[[#This Row],[SKU Produit]],t_Produits[[#All],[Référence]:[TVA appliquée]],3,FALSE)</calculatedColumnFormula>
    </tableColumn>
    <tableColumn id="20" xr3:uid="{E0B81883-1C09-48AD-BB7A-80E65F112686}" name="Prix TTC" dataDxfId="10">
      <calculatedColumnFormula>(1+t_Commandes[[#This Row],[TVA]])*t_Commandes[[#This Row],[Prix remisé]]*(t_Commandes[[#This Row],[Qtés Acheté]]-t_Commandes[[#This Row],[Retours]])</calculatedColumnFormula>
    </tableColumn>
  </tableColumns>
  <tableStyleInfo name="TableStyleMedium2"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imelineCaches/timelineCache1.xml><?xml version="1.0" encoding="utf-8"?>
<timelineCacheDefinition xmlns="http://schemas.microsoft.com/office/spreadsheetml/2010/11/main" xmlns:x15="http://schemas.microsoft.com/office/spreadsheetml/2010/11/main" xmlns:mc="http://schemas.openxmlformats.org/markup-compatibility/2006" xmlns:xr10="http://schemas.microsoft.com/office/spreadsheetml/2016/revision10" mc:Ignorable="xr10" name="NativeTimeline_Date_Action" xr10:uid="{C5E2B976-D499-4608-B060-3F6AA17C519C}" sourceName="Date Action">
  <pivotTables>
    <pivotTable tabId="6" name="TCD_Compile"/>
  </pivotTables>
  <state minimalRefreshVersion="6" lastRefreshVersion="6" pivotCacheId="322820487" filterType="dateBetween">
    <selection startDate="2019-11-01T00:00:00" endDate="2019-12-31T00:00:00"/>
    <bounds startDate="2019-01-01T00:00:00" endDate="2020-01-01T00:00:00"/>
  </state>
</timelineCacheDefinition>
</file>

<file path=xl/timelines/timeline1.xml><?xml version="1.0" encoding="utf-8"?>
<timelines xmlns="http://schemas.microsoft.com/office/spreadsheetml/2010/11/main" xmlns:mc="http://schemas.openxmlformats.org/markup-compatibility/2006" xmlns:x="http://schemas.openxmlformats.org/spreadsheetml/2006/main" xmlns:xr10="http://schemas.microsoft.com/office/spreadsheetml/2016/revision10" mc:Ignorable="x xr10">
  <timeline name="Date Action" xr10:uid="{9BA8F8E0-1900-4D48-B53F-34610694536B}" cache="NativeTimeline_Date_Action" caption="Date Action" level="2" selectionLevel="2" scrollPosition="2019-08-21T00:00:00"/>
</timelines>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EF@Pompom.com" TargetMode="External"/><Relationship Id="rId1" Type="http://schemas.openxmlformats.org/officeDocument/2006/relationships/hyperlink" Target="mailto:Marie@email.com" TargetMode="External"/><Relationship Id="rId4"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_rels/sheet6.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 Id="rId4" Type="http://schemas.microsoft.com/office/2011/relationships/timeline" Target="../timelines/timeline1.x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pivotTable" Target="../pivotTables/pivotTable3.xml"/><Relationship Id="rId1" Type="http://schemas.openxmlformats.org/officeDocument/2006/relationships/pivotTable" Target="../pivotTables/pivotTable2.xml"/><Relationship Id="rId5" Type="http://schemas.microsoft.com/office/2007/relationships/slicer" Target="../slicers/slicer2.xm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BF03B1-0BA2-48D3-9996-3E5188006438}">
  <sheetPr>
    <tabColor theme="8" tint="0.79998168889431442"/>
  </sheetPr>
  <dimension ref="A1:I7"/>
  <sheetViews>
    <sheetView workbookViewId="0">
      <selection activeCell="I2" sqref="I2"/>
    </sheetView>
  </sheetViews>
  <sheetFormatPr defaultRowHeight="15" x14ac:dyDescent="0.25"/>
  <cols>
    <col min="1" max="1" width="9.85546875" bestFit="1" customWidth="1"/>
    <col min="2" max="2" width="6.28515625" bestFit="1" customWidth="1"/>
    <col min="3" max="3" width="6" bestFit="1" customWidth="1"/>
    <col min="4" max="4" width="17.7109375" bestFit="1" customWidth="1"/>
    <col min="5" max="5" width="19.5703125" bestFit="1" customWidth="1"/>
    <col min="6" max="6" width="10" bestFit="1" customWidth="1"/>
    <col min="7" max="7" width="10.28515625" bestFit="1" customWidth="1"/>
    <col min="8" max="8" width="10.140625" bestFit="1" customWidth="1"/>
    <col min="9" max="9" width="19.7109375" bestFit="1" customWidth="1"/>
  </cols>
  <sheetData>
    <row r="1" spans="1:9" x14ac:dyDescent="0.25">
      <c r="A1" t="s">
        <v>0</v>
      </c>
      <c r="B1" t="s">
        <v>1</v>
      </c>
      <c r="C1" t="s">
        <v>2</v>
      </c>
      <c r="D1" t="s">
        <v>23</v>
      </c>
      <c r="E1" t="s">
        <v>4</v>
      </c>
      <c r="F1" t="s">
        <v>6</v>
      </c>
      <c r="G1" t="s">
        <v>22</v>
      </c>
      <c r="H1" t="s">
        <v>5</v>
      </c>
      <c r="I1" t="s">
        <v>3</v>
      </c>
    </row>
    <row r="2" spans="1:9" x14ac:dyDescent="0.25">
      <c r="A2" t="s">
        <v>16</v>
      </c>
      <c r="B2" t="str">
        <f>VLOOKUP(t_Stock[[#This Row],[Produit]],t_Produits[],2,FALSE)</f>
        <v>P001</v>
      </c>
      <c r="C2" t="s">
        <v>41</v>
      </c>
      <c r="D2" s="7">
        <v>43787</v>
      </c>
      <c r="E2">
        <v>300</v>
      </c>
      <c r="F2">
        <f>SUMIFS(t_Commandes[[#All],[Qtés Acheté]],t_Commandes[[#All],[Produit]],t_Stock[[#This Row],[Produit]],t_Commandes[[#All],[Lot]],t_Stock[[#This Row],[Lot]])</f>
        <v>5</v>
      </c>
      <c r="H2">
        <f>SUMIFS(t_Commandes[[#All],[Retours]],t_Commandes[[#All],[Produit]],t_Stock[[#This Row],[Produit]],t_Commandes[[#All],[Lot]],t_Stock[[#This Row],[Lot]])</f>
        <v>3</v>
      </c>
      <c r="I2">
        <f>t_Stock[[#This Row],[Quantité produite]]-SUMIFS(t_Commandes[Qtés Acheté],t_Commandes[Produit],t_Stock[[#This Row],[Produit]],t_Commandes[Lot],t_Stock[[#This Row],[Lot]])+SUMIFS(t_Commandes[Retours],t_Commandes[Produit],t_Stock[[#This Row],[Produit]],t_Commandes[Lot],t_Stock[[#This Row],[Lot]])-t_Stock[[#This Row],[detruits]]</f>
        <v>298</v>
      </c>
    </row>
    <row r="3" spans="1:9" x14ac:dyDescent="0.25">
      <c r="A3" t="s">
        <v>17</v>
      </c>
      <c r="B3" t="str">
        <f>VLOOKUP(t_Stock[[#This Row],[Produit]],t_Produits[],2,FALSE)</f>
        <v>P002</v>
      </c>
      <c r="C3" t="s">
        <v>46</v>
      </c>
      <c r="D3" s="7">
        <v>43788</v>
      </c>
      <c r="E3">
        <v>300</v>
      </c>
      <c r="F3">
        <f>SUMIFS(t_Commandes[[#All],[Qtés Acheté]],t_Commandes[[#All],[Produit]],t_Stock[[#This Row],[Produit]],t_Commandes[[#All],[Lot]],t_Stock[[#This Row],[Lot]])</f>
        <v>2</v>
      </c>
      <c r="H3">
        <f>SUMIFS(t_Commandes[[#All],[Retours]],t_Commandes[[#All],[Produit]],t_Stock[[#This Row],[Produit]],t_Commandes[[#All],[Lot]],t_Stock[[#This Row],[Lot]])</f>
        <v>0</v>
      </c>
      <c r="I3">
        <f>t_Stock[[#This Row],[Quantité produite]]-SUMIFS(t_Commandes[Qtés Acheté],t_Commandes[Produit],t_Stock[[#This Row],[Produit]],t_Commandes[Lot],t_Stock[[#This Row],[Lot]])+SUMIFS(t_Commandes[Retours],t_Commandes[Produit],t_Stock[[#This Row],[Produit]],t_Commandes[Lot],t_Stock[[#This Row],[Lot]])-t_Stock[[#This Row],[detruits]]</f>
        <v>298</v>
      </c>
    </row>
    <row r="4" spans="1:9" x14ac:dyDescent="0.25">
      <c r="A4" t="s">
        <v>18</v>
      </c>
      <c r="B4" t="str">
        <f>VLOOKUP(t_Stock[[#This Row],[Produit]],t_Produits[],2,FALSE)</f>
        <v>P003</v>
      </c>
      <c r="C4" t="s">
        <v>43</v>
      </c>
      <c r="D4" s="7">
        <v>43789</v>
      </c>
      <c r="E4">
        <v>300</v>
      </c>
      <c r="F4">
        <f>SUMIFS(t_Commandes[[#All],[Qtés Acheté]],t_Commandes[[#All],[Produit]],t_Stock[[#This Row],[Produit]],t_Commandes[[#All],[Lot]],t_Stock[[#This Row],[Lot]])</f>
        <v>0</v>
      </c>
      <c r="H4">
        <f>SUMIFS(t_Commandes[[#All],[Retours]],t_Commandes[[#All],[Produit]],t_Stock[[#This Row],[Produit]],t_Commandes[[#All],[Lot]],t_Stock[[#This Row],[Lot]])</f>
        <v>0</v>
      </c>
      <c r="I4">
        <f>t_Stock[[#This Row],[Quantité produite]]-SUMIFS(t_Commandes[Qtés Acheté],t_Commandes[Produit],t_Stock[[#This Row],[Produit]],t_Commandes[Lot],t_Stock[[#This Row],[Lot]])+SUMIFS(t_Commandes[Retours],t_Commandes[Produit],t_Stock[[#This Row],[Produit]],t_Commandes[Lot],t_Stock[[#This Row],[Lot]])-t_Stock[[#This Row],[detruits]]</f>
        <v>300</v>
      </c>
    </row>
    <row r="5" spans="1:9" x14ac:dyDescent="0.25">
      <c r="A5" t="s">
        <v>19</v>
      </c>
      <c r="B5" t="str">
        <f>VLOOKUP(t_Stock[[#This Row],[Produit]],t_Produits[],2,FALSE)</f>
        <v>P004</v>
      </c>
      <c r="C5" t="s">
        <v>44</v>
      </c>
      <c r="D5" s="7">
        <v>43790</v>
      </c>
      <c r="E5">
        <v>300</v>
      </c>
      <c r="F5">
        <f>SUMIFS(t_Commandes[[#All],[Qtés Acheté]],t_Commandes[[#All],[Produit]],t_Stock[[#This Row],[Produit]],t_Commandes[[#All],[Lot]],t_Stock[[#This Row],[Lot]])</f>
        <v>0</v>
      </c>
      <c r="H5">
        <f>SUMIFS(t_Commandes[[#All],[Retours]],t_Commandes[[#All],[Produit]],t_Stock[[#This Row],[Produit]],t_Commandes[[#All],[Lot]],t_Stock[[#This Row],[Lot]])</f>
        <v>0</v>
      </c>
      <c r="I5">
        <f>t_Stock[[#This Row],[Quantité produite]]-SUMIFS(t_Commandes[Qtés Acheté],t_Commandes[Produit],t_Stock[[#This Row],[Produit]],t_Commandes[Lot],t_Stock[[#This Row],[Lot]])+SUMIFS(t_Commandes[Retours],t_Commandes[Produit],t_Stock[[#This Row],[Produit]],t_Commandes[Lot],t_Stock[[#This Row],[Lot]])-t_Stock[[#This Row],[detruits]]</f>
        <v>300</v>
      </c>
    </row>
    <row r="6" spans="1:9" x14ac:dyDescent="0.25">
      <c r="A6" t="s">
        <v>20</v>
      </c>
      <c r="B6" t="str">
        <f>VLOOKUP(t_Stock[[#This Row],[Produit]],t_Produits[],2,FALSE)</f>
        <v>P005</v>
      </c>
      <c r="C6" t="s">
        <v>45</v>
      </c>
      <c r="D6" s="7">
        <v>43791</v>
      </c>
      <c r="E6">
        <v>300</v>
      </c>
      <c r="F6">
        <f>SUMIFS(t_Commandes[[#All],[Qtés Acheté]],t_Commandes[[#All],[Produit]],t_Stock[[#This Row],[Produit]],t_Commandes[[#All],[Lot]],t_Stock[[#This Row],[Lot]])</f>
        <v>10</v>
      </c>
      <c r="H6">
        <f>SUMIFS(t_Commandes[[#All],[Retours]],t_Commandes[[#All],[Produit]],t_Stock[[#This Row],[Produit]],t_Commandes[[#All],[Lot]],t_Stock[[#This Row],[Lot]])</f>
        <v>0</v>
      </c>
      <c r="I6">
        <f>t_Stock[[#This Row],[Quantité produite]]-SUMIFS(t_Commandes[Qtés Acheté],t_Commandes[Produit],t_Stock[[#This Row],[Produit]],t_Commandes[Lot],t_Stock[[#This Row],[Lot]])+SUMIFS(t_Commandes[Retours],t_Commandes[Produit],t_Stock[[#This Row],[Produit]],t_Commandes[Lot],t_Stock[[#This Row],[Lot]])-t_Stock[[#This Row],[detruits]]</f>
        <v>290</v>
      </c>
    </row>
    <row r="7" spans="1:9" x14ac:dyDescent="0.25">
      <c r="A7" t="s">
        <v>16</v>
      </c>
      <c r="B7" t="str">
        <f>VLOOKUP(t_Stock[[#This Row],[Produit]],t_Produits[],2,FALSE)</f>
        <v>P001</v>
      </c>
      <c r="C7" t="s">
        <v>42</v>
      </c>
      <c r="D7" s="7">
        <v>43792</v>
      </c>
      <c r="E7">
        <v>300</v>
      </c>
      <c r="F7">
        <f>SUMIFS(t_Commandes[[#All],[Qtés Acheté]],t_Commandes[[#All],[Produit]],t_Stock[[#This Row],[Produit]],t_Commandes[[#All],[Lot]],t_Stock[[#This Row],[Lot]])</f>
        <v>0</v>
      </c>
      <c r="H7">
        <f>SUMIFS(t_Commandes[[#All],[Retours]],t_Commandes[[#All],[Produit]],t_Stock[[#This Row],[Produit]],t_Commandes[[#All],[Lot]],t_Stock[[#This Row],[Lot]])</f>
        <v>0</v>
      </c>
      <c r="I7">
        <f>t_Stock[[#This Row],[Quantité produite]]-SUMIFS(t_Commandes[Qtés Acheté],t_Commandes[Produit],t_Stock[[#This Row],[Produit]],t_Commandes[Lot],t_Stock[[#This Row],[Lot]])+SUMIFS(t_Commandes[Retours],t_Commandes[Produit],t_Stock[[#This Row],[Produit]],t_Commandes[Lot],t_Stock[[#This Row],[Lot]])-t_Stock[[#This Row],[detruits]]</f>
        <v>300</v>
      </c>
    </row>
  </sheetData>
  <pageMargins left="0.7" right="0.7" top="0.75" bottom="0.75" header="0.3" footer="0.3"/>
  <tableParts count="1">
    <tablePart r:id="rId1"/>
  </tableParts>
  <extLst>
    <ext xmlns:x14="http://schemas.microsoft.com/office/spreadsheetml/2009/9/main" uri="{CCE6A557-97BC-4b89-ADB6-D9C93CAAB3DF}">
      <x14:dataValidations xmlns:xm="http://schemas.microsoft.com/office/excel/2006/main" count="1">
        <x14:dataValidation type="list" allowBlank="1" showInputMessage="1" showErrorMessage="1" xr:uid="{FDAF8569-FC58-44EE-AAA0-4AFC01367950}">
          <x14:formula1>
            <xm:f>Produits!$A:$A</xm:f>
          </x14:formula1>
          <xm:sqref>A2:A7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5F480F-0886-46CC-B397-AB42DB13A2DE}">
  <sheetPr>
    <tabColor theme="7" tint="0.79998168889431442"/>
  </sheetPr>
  <dimension ref="A1:D7"/>
  <sheetViews>
    <sheetView workbookViewId="0">
      <selection activeCell="A4" sqref="A4"/>
    </sheetView>
  </sheetViews>
  <sheetFormatPr defaultRowHeight="15" x14ac:dyDescent="0.25"/>
  <cols>
    <col min="1" max="1" width="18.42578125" bestFit="1" customWidth="1"/>
    <col min="2" max="2" width="15.28515625" bestFit="1" customWidth="1"/>
    <col min="3" max="3" width="11.28515625" bestFit="1" customWidth="1"/>
    <col min="4" max="4" width="19.85546875" bestFit="1" customWidth="1"/>
    <col min="5" max="5" width="17.28515625" customWidth="1"/>
  </cols>
  <sheetData>
    <row r="1" spans="1:4" ht="47.25" x14ac:dyDescent="0.25">
      <c r="A1" s="1" t="s">
        <v>13</v>
      </c>
      <c r="B1" s="1" t="s">
        <v>12</v>
      </c>
      <c r="C1" s="2" t="s">
        <v>14</v>
      </c>
      <c r="D1" s="3" t="s">
        <v>15</v>
      </c>
    </row>
    <row r="2" spans="1:4" x14ac:dyDescent="0.25">
      <c r="A2" s="4" t="s">
        <v>16</v>
      </c>
      <c r="B2" s="4" t="s">
        <v>7</v>
      </c>
      <c r="C2" s="5">
        <v>10</v>
      </c>
      <c r="D2" s="6">
        <v>0.06</v>
      </c>
    </row>
    <row r="3" spans="1:4" x14ac:dyDescent="0.25">
      <c r="A3" s="4" t="s">
        <v>17</v>
      </c>
      <c r="B3" s="4" t="s">
        <v>8</v>
      </c>
      <c r="C3" s="5">
        <v>12</v>
      </c>
      <c r="D3" s="6">
        <v>0.06</v>
      </c>
    </row>
    <row r="4" spans="1:4" x14ac:dyDescent="0.25">
      <c r="A4" s="4" t="s">
        <v>18</v>
      </c>
      <c r="B4" s="4" t="s">
        <v>9</v>
      </c>
      <c r="C4" s="5">
        <v>8</v>
      </c>
      <c r="D4" s="6">
        <v>0.06</v>
      </c>
    </row>
    <row r="5" spans="1:4" x14ac:dyDescent="0.25">
      <c r="A5" s="4" t="s">
        <v>19</v>
      </c>
      <c r="B5" s="4" t="s">
        <v>10</v>
      </c>
      <c r="C5" s="5">
        <v>7</v>
      </c>
      <c r="D5" s="6">
        <v>0.06</v>
      </c>
    </row>
    <row r="6" spans="1:4" x14ac:dyDescent="0.25">
      <c r="A6" s="4" t="s">
        <v>20</v>
      </c>
      <c r="B6" s="4" t="s">
        <v>11</v>
      </c>
      <c r="C6" s="5">
        <v>10.5</v>
      </c>
      <c r="D6" s="6">
        <v>0.06</v>
      </c>
    </row>
    <row r="7" spans="1:4" x14ac:dyDescent="0.25">
      <c r="A7" s="4" t="s">
        <v>21</v>
      </c>
      <c r="B7" s="4"/>
      <c r="C7" s="5"/>
      <c r="D7" s="6"/>
    </row>
  </sheetData>
  <dataValidations count="1">
    <dataValidation type="list" showInputMessage="1" showErrorMessage="1" sqref="D1:D7" xr:uid="{B1C538BC-0E5A-4875-9288-EA4D01E31D84}">
      <formula1>"6%,21%"</formula1>
    </dataValidation>
  </dataValidations>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0C2977-F631-4D5A-A918-20B03C8D6F30}">
  <sheetPr>
    <tabColor theme="9" tint="0.79998168889431442"/>
  </sheetPr>
  <dimension ref="A1:J26"/>
  <sheetViews>
    <sheetView workbookViewId="0">
      <pane ySplit="1" topLeftCell="A2" activePane="bottomLeft" state="frozen"/>
      <selection activeCell="B1" sqref="B1"/>
      <selection pane="bottomLeft" activeCell="J4" sqref="J4"/>
    </sheetView>
  </sheetViews>
  <sheetFormatPr defaultColWidth="12.5703125" defaultRowHeight="15.75" x14ac:dyDescent="0.25"/>
  <cols>
    <col min="1" max="1" width="14.28515625" style="11" bestFit="1" customWidth="1"/>
    <col min="2" max="2" width="19.7109375" style="12" bestFit="1" customWidth="1"/>
    <col min="3" max="3" width="22.28515625" style="12" customWidth="1"/>
    <col min="4" max="4" width="17.7109375" style="14" customWidth="1"/>
    <col min="5" max="5" width="22.140625" style="12" customWidth="1"/>
    <col min="6" max="6" width="18.140625" style="15" customWidth="1"/>
    <col min="7" max="7" width="25.85546875" style="12" customWidth="1"/>
    <col min="8" max="8" width="26.42578125" style="12" customWidth="1"/>
    <col min="9" max="9" width="33.28515625" style="12" customWidth="1"/>
    <col min="10" max="16384" width="12.5703125" style="12"/>
  </cols>
  <sheetData>
    <row r="1" spans="1:10" s="10" customFormat="1" ht="16.5" thickBot="1" x14ac:dyDescent="0.3">
      <c r="A1" s="9" t="s">
        <v>24</v>
      </c>
      <c r="B1" s="17" t="s">
        <v>38</v>
      </c>
      <c r="C1" s="19" t="s">
        <v>25</v>
      </c>
      <c r="D1" s="17" t="s">
        <v>26</v>
      </c>
      <c r="E1" s="23" t="s">
        <v>27</v>
      </c>
      <c r="F1" s="17" t="s">
        <v>28</v>
      </c>
      <c r="G1" s="18" t="s">
        <v>29</v>
      </c>
      <c r="H1" s="17" t="s">
        <v>30</v>
      </c>
      <c r="I1" s="17" t="s">
        <v>31</v>
      </c>
      <c r="J1" s="9" t="s">
        <v>32</v>
      </c>
    </row>
    <row r="2" spans="1:10" s="10" customFormat="1" x14ac:dyDescent="0.25">
      <c r="A2" s="20">
        <v>1</v>
      </c>
      <c r="B2" s="21">
        <v>2</v>
      </c>
      <c r="C2" s="21">
        <v>3</v>
      </c>
      <c r="D2" s="20">
        <v>4</v>
      </c>
      <c r="E2" s="20">
        <v>5</v>
      </c>
      <c r="F2" s="20">
        <v>6</v>
      </c>
      <c r="G2" s="20">
        <v>7</v>
      </c>
      <c r="H2" s="21">
        <v>8</v>
      </c>
      <c r="I2" s="22">
        <v>0.09</v>
      </c>
      <c r="J2" s="20">
        <v>10</v>
      </c>
    </row>
    <row r="3" spans="1:10" x14ac:dyDescent="0.25">
      <c r="A3" s="12" t="s">
        <v>33</v>
      </c>
      <c r="B3" s="11">
        <v>1</v>
      </c>
      <c r="C3" s="13">
        <v>0.1</v>
      </c>
      <c r="D3" s="12" t="s">
        <v>34</v>
      </c>
      <c r="E3" s="45">
        <v>5300</v>
      </c>
      <c r="F3" s="12" t="s">
        <v>35</v>
      </c>
      <c r="G3" s="15">
        <v>612234556</v>
      </c>
      <c r="H3" s="12" t="s">
        <v>36</v>
      </c>
      <c r="I3" s="16" t="s">
        <v>37</v>
      </c>
    </row>
    <row r="4" spans="1:10" x14ac:dyDescent="0.25">
      <c r="A4" s="12" t="s">
        <v>60</v>
      </c>
      <c r="B4" s="11">
        <v>2</v>
      </c>
      <c r="C4" s="13">
        <v>0.05</v>
      </c>
      <c r="D4" s="12" t="s">
        <v>62</v>
      </c>
      <c r="E4" s="45">
        <v>13200</v>
      </c>
      <c r="F4" s="12" t="s">
        <v>63</v>
      </c>
      <c r="G4" s="15">
        <v>614578652</v>
      </c>
      <c r="H4" s="12" t="s">
        <v>64</v>
      </c>
      <c r="I4" s="16" t="s">
        <v>65</v>
      </c>
    </row>
    <row r="5" spans="1:10" x14ac:dyDescent="0.25">
      <c r="A5" s="12"/>
      <c r="B5" s="11">
        <v>3</v>
      </c>
      <c r="C5" s="13"/>
      <c r="D5" s="12"/>
      <c r="E5" s="45"/>
      <c r="F5" s="12"/>
      <c r="G5" s="15"/>
    </row>
    <row r="6" spans="1:10" x14ac:dyDescent="0.25">
      <c r="A6" s="12"/>
      <c r="B6" s="11">
        <v>4</v>
      </c>
      <c r="C6" s="13"/>
      <c r="D6" s="12"/>
      <c r="E6" s="45"/>
      <c r="F6" s="12"/>
      <c r="G6" s="15"/>
    </row>
    <row r="7" spans="1:10" x14ac:dyDescent="0.25">
      <c r="A7" s="12"/>
      <c r="B7" s="11">
        <v>5</v>
      </c>
      <c r="C7" s="13"/>
      <c r="D7" s="12"/>
      <c r="E7" s="45"/>
      <c r="F7" s="12"/>
      <c r="G7" s="15"/>
    </row>
    <row r="8" spans="1:10" x14ac:dyDescent="0.25">
      <c r="A8" s="12"/>
      <c r="B8" s="11">
        <v>6</v>
      </c>
      <c r="C8" s="13"/>
      <c r="D8" s="12"/>
      <c r="E8" s="45"/>
      <c r="F8" s="12"/>
      <c r="G8" s="15"/>
    </row>
    <row r="9" spans="1:10" x14ac:dyDescent="0.25">
      <c r="A9" s="12"/>
      <c r="B9" s="11">
        <v>7</v>
      </c>
      <c r="C9" s="13"/>
      <c r="D9" s="12"/>
      <c r="E9" s="45"/>
      <c r="F9" s="12"/>
      <c r="G9" s="15"/>
    </row>
    <row r="10" spans="1:10" x14ac:dyDescent="0.25">
      <c r="A10" s="12"/>
      <c r="B10" s="11">
        <v>8</v>
      </c>
      <c r="C10" s="13"/>
      <c r="D10" s="12"/>
      <c r="E10" s="45"/>
      <c r="F10" s="12"/>
      <c r="G10" s="15"/>
    </row>
    <row r="11" spans="1:10" x14ac:dyDescent="0.25">
      <c r="A11" s="12"/>
      <c r="B11" s="11">
        <v>9</v>
      </c>
      <c r="C11" s="13"/>
      <c r="D11" s="12"/>
      <c r="E11" s="45"/>
      <c r="F11" s="12"/>
      <c r="G11" s="15"/>
    </row>
    <row r="12" spans="1:10" x14ac:dyDescent="0.25">
      <c r="A12" s="12"/>
      <c r="B12" s="11">
        <v>10</v>
      </c>
      <c r="C12" s="13"/>
      <c r="D12" s="12"/>
      <c r="E12" s="45"/>
      <c r="F12" s="12"/>
      <c r="G12" s="15"/>
    </row>
    <row r="13" spans="1:10" x14ac:dyDescent="0.25">
      <c r="A13" s="12"/>
      <c r="B13" s="11">
        <v>11</v>
      </c>
      <c r="C13" s="13"/>
      <c r="D13" s="12"/>
      <c r="E13" s="45"/>
      <c r="F13" s="12"/>
      <c r="G13" s="15"/>
    </row>
    <row r="14" spans="1:10" x14ac:dyDescent="0.25">
      <c r="A14" s="12"/>
      <c r="B14" s="11">
        <v>12</v>
      </c>
      <c r="C14" s="13"/>
      <c r="D14" s="12"/>
      <c r="E14" s="45"/>
      <c r="F14" s="12"/>
      <c r="G14" s="15"/>
    </row>
    <row r="15" spans="1:10" x14ac:dyDescent="0.25">
      <c r="A15" s="12"/>
      <c r="B15" s="11">
        <v>13</v>
      </c>
      <c r="C15" s="13"/>
      <c r="D15" s="12"/>
      <c r="E15" s="45"/>
      <c r="F15" s="12"/>
      <c r="G15" s="15"/>
    </row>
    <row r="16" spans="1:10" x14ac:dyDescent="0.25">
      <c r="A16" s="12"/>
      <c r="B16" s="11">
        <v>14</v>
      </c>
      <c r="C16" s="13"/>
      <c r="D16" s="12"/>
      <c r="E16" s="45"/>
      <c r="F16" s="12"/>
      <c r="G16" s="15"/>
    </row>
    <row r="17" spans="1:7" x14ac:dyDescent="0.25">
      <c r="A17" s="12"/>
      <c r="B17" s="11">
        <v>15</v>
      </c>
      <c r="C17" s="13"/>
      <c r="D17" s="12"/>
      <c r="E17" s="45"/>
      <c r="F17" s="12"/>
      <c r="G17" s="15"/>
    </row>
    <row r="18" spans="1:7" x14ac:dyDescent="0.25">
      <c r="A18" s="12"/>
      <c r="B18" s="11">
        <v>16</v>
      </c>
      <c r="C18" s="13"/>
      <c r="D18" s="12"/>
      <c r="E18" s="45"/>
      <c r="F18" s="12"/>
      <c r="G18" s="15"/>
    </row>
    <row r="19" spans="1:7" x14ac:dyDescent="0.25">
      <c r="A19" s="12"/>
      <c r="B19" s="11">
        <v>17</v>
      </c>
      <c r="C19" s="13"/>
      <c r="D19" s="12"/>
      <c r="E19" s="45"/>
      <c r="F19" s="12"/>
      <c r="G19" s="15"/>
    </row>
    <row r="20" spans="1:7" x14ac:dyDescent="0.25">
      <c r="A20" s="12"/>
      <c r="B20" s="11">
        <v>18</v>
      </c>
      <c r="C20" s="13"/>
      <c r="D20" s="12"/>
      <c r="E20" s="45"/>
      <c r="F20" s="12"/>
      <c r="G20" s="15"/>
    </row>
    <row r="21" spans="1:7" x14ac:dyDescent="0.25">
      <c r="A21" s="12"/>
      <c r="B21" s="11">
        <v>19</v>
      </c>
      <c r="C21" s="13"/>
      <c r="D21" s="12"/>
      <c r="E21" s="45"/>
      <c r="F21" s="12"/>
      <c r="G21" s="15"/>
    </row>
    <row r="22" spans="1:7" x14ac:dyDescent="0.25">
      <c r="A22" s="12"/>
      <c r="B22" s="11">
        <v>20</v>
      </c>
      <c r="C22" s="13"/>
      <c r="D22" s="12"/>
      <c r="E22" s="45"/>
      <c r="F22" s="12"/>
      <c r="G22" s="15"/>
    </row>
    <row r="23" spans="1:7" x14ac:dyDescent="0.25">
      <c r="A23" s="12"/>
      <c r="B23" s="11">
        <v>21</v>
      </c>
      <c r="C23" s="13"/>
      <c r="D23" s="12"/>
      <c r="E23" s="45"/>
      <c r="F23" s="12"/>
      <c r="G23" s="15"/>
    </row>
    <row r="24" spans="1:7" x14ac:dyDescent="0.25">
      <c r="A24" s="12"/>
      <c r="B24" s="11">
        <v>22</v>
      </c>
      <c r="C24" s="13"/>
      <c r="D24" s="12"/>
      <c r="E24" s="45"/>
      <c r="F24" s="12"/>
      <c r="G24" s="15"/>
    </row>
    <row r="25" spans="1:7" x14ac:dyDescent="0.25">
      <c r="A25" s="12"/>
      <c r="B25" s="11">
        <v>23</v>
      </c>
      <c r="C25" s="13"/>
      <c r="D25" s="12"/>
      <c r="E25" s="45"/>
      <c r="F25" s="12"/>
      <c r="G25" s="15"/>
    </row>
    <row r="26" spans="1:7" x14ac:dyDescent="0.25">
      <c r="A26" s="12"/>
      <c r="B26" s="11">
        <v>24</v>
      </c>
      <c r="C26" s="13"/>
      <c r="D26" s="12"/>
      <c r="E26" s="45"/>
      <c r="F26" s="12"/>
      <c r="G26" s="15"/>
    </row>
  </sheetData>
  <hyperlinks>
    <hyperlink ref="I3" r:id="rId1" xr:uid="{CBF3AD8F-8CB4-43BA-A8BE-F5E080A44E32}"/>
    <hyperlink ref="I4" r:id="rId2" xr:uid="{DFA795A7-7098-4BE4-BC21-E6573D0B01EB}"/>
  </hyperlinks>
  <pageMargins left="0.7" right="0.7" top="0.75" bottom="0.75" header="0.3" footer="0.3"/>
  <pageSetup orientation="portrait" horizontalDpi="4294967293" verticalDpi="4294967293" r:id="rId3"/>
  <tableParts count="1">
    <tablePart r:id="rId4"/>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64ECEF-C792-41E7-A1C1-71985EA8C623}">
  <dimension ref="A1:E3"/>
  <sheetViews>
    <sheetView workbookViewId="0">
      <selection activeCell="D2" sqref="D2"/>
    </sheetView>
  </sheetViews>
  <sheetFormatPr defaultRowHeight="15" x14ac:dyDescent="0.25"/>
  <cols>
    <col min="1" max="1" width="4.5703125" bestFit="1" customWidth="1"/>
    <col min="2" max="3" width="4.42578125" bestFit="1" customWidth="1"/>
    <col min="4" max="4" width="4.5703125" bestFit="1" customWidth="1"/>
    <col min="5" max="5" width="4.28515625" bestFit="1" customWidth="1"/>
  </cols>
  <sheetData>
    <row r="1" spans="1:5" x14ac:dyDescent="0.25">
      <c r="A1" s="8" t="s">
        <v>16</v>
      </c>
      <c r="B1" s="8" t="s">
        <v>17</v>
      </c>
      <c r="C1" s="8" t="s">
        <v>18</v>
      </c>
      <c r="D1" s="8" t="s">
        <v>19</v>
      </c>
      <c r="E1" s="8" t="s">
        <v>20</v>
      </c>
    </row>
    <row r="2" spans="1:5" x14ac:dyDescent="0.25">
      <c r="A2" s="8" t="s">
        <v>41</v>
      </c>
      <c r="B2" s="8" t="s">
        <v>46</v>
      </c>
      <c r="C2" s="8" t="s">
        <v>43</v>
      </c>
      <c r="D2" s="8" t="s">
        <v>44</v>
      </c>
      <c r="E2" s="8" t="s">
        <v>45</v>
      </c>
    </row>
    <row r="3" spans="1:5" x14ac:dyDescent="0.25">
      <c r="A3" s="8" t="s">
        <v>42</v>
      </c>
      <c r="B3" s="8"/>
      <c r="C3" s="8"/>
      <c r="D3" s="8"/>
      <c r="E3" s="8"/>
    </row>
  </sheetData>
  <phoneticPr fontId="6" type="noConversion"/>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80CD98-953C-4EE3-9290-483707BFC1F0}">
  <sheetPr>
    <tabColor theme="9" tint="0.39997558519241921"/>
  </sheetPr>
  <dimension ref="A1:V6"/>
  <sheetViews>
    <sheetView tabSelected="1" zoomScaleNormal="100" workbookViewId="0">
      <selection activeCell="G5" sqref="G5"/>
    </sheetView>
  </sheetViews>
  <sheetFormatPr defaultRowHeight="15" x14ac:dyDescent="0.25"/>
  <cols>
    <col min="1" max="1" width="12" bestFit="1" customWidth="1"/>
    <col min="2" max="2" width="12" customWidth="1"/>
    <col min="3" max="3" width="13.5703125" bestFit="1" customWidth="1"/>
    <col min="4" max="4" width="13.7109375" bestFit="1" customWidth="1"/>
    <col min="5" max="5" width="20.7109375" bestFit="1" customWidth="1"/>
    <col min="6" max="6" width="14.28515625" bestFit="1" customWidth="1"/>
    <col min="7" max="7" width="11.5703125" bestFit="1" customWidth="1"/>
    <col min="8" max="8" width="9.7109375" bestFit="1" customWidth="1"/>
    <col min="9" max="9" width="12.7109375" bestFit="1" customWidth="1"/>
    <col min="10" max="10" width="18.5703125" bestFit="1" customWidth="1"/>
    <col min="11" max="11" width="17.5703125" bestFit="1" customWidth="1"/>
    <col min="12" max="13" width="13" bestFit="1" customWidth="1"/>
    <col min="14" max="14" width="8.7109375" bestFit="1" customWidth="1"/>
    <col min="15" max="15" width="12.42578125" bestFit="1" customWidth="1"/>
    <col min="16" max="16" width="13.140625" bestFit="1" customWidth="1"/>
    <col min="17" max="17" width="23.7109375" bestFit="1" customWidth="1"/>
  </cols>
  <sheetData>
    <row r="1" spans="1:22" ht="31.5" x14ac:dyDescent="0.25">
      <c r="A1" s="34" t="s">
        <v>39</v>
      </c>
      <c r="B1" s="34" t="s">
        <v>66</v>
      </c>
      <c r="C1" s="34" t="s">
        <v>24</v>
      </c>
      <c r="D1" s="24" t="s">
        <v>38</v>
      </c>
      <c r="E1" s="25" t="s">
        <v>25</v>
      </c>
      <c r="F1" s="24" t="s">
        <v>26</v>
      </c>
      <c r="G1" s="26" t="s">
        <v>27</v>
      </c>
      <c r="H1" s="24" t="s">
        <v>28</v>
      </c>
      <c r="I1" s="27" t="s">
        <v>29</v>
      </c>
      <c r="J1" s="24" t="s">
        <v>30</v>
      </c>
      <c r="K1" s="24" t="s">
        <v>31</v>
      </c>
      <c r="L1" s="24" t="s">
        <v>40</v>
      </c>
      <c r="M1" s="34" t="s">
        <v>0</v>
      </c>
      <c r="N1" s="34" t="s">
        <v>2</v>
      </c>
      <c r="O1" s="34" t="s">
        <v>48</v>
      </c>
      <c r="P1" s="34" t="s">
        <v>5</v>
      </c>
      <c r="Q1" s="24" t="s">
        <v>47</v>
      </c>
      <c r="R1" s="37" t="s">
        <v>51</v>
      </c>
      <c r="S1" s="37" t="s">
        <v>61</v>
      </c>
      <c r="T1" s="37" t="s">
        <v>52</v>
      </c>
      <c r="U1" s="39" t="s">
        <v>49</v>
      </c>
      <c r="V1" s="36" t="s">
        <v>50</v>
      </c>
    </row>
    <row r="2" spans="1:22" x14ac:dyDescent="0.25">
      <c r="A2" s="28">
        <v>43787</v>
      </c>
      <c r="B2" s="28" t="str">
        <f>YEAR(t_Commandes[[#This Row],[Date Action]])&amp;MONTH(t_Commandes[[#This Row],[Date Action]])&amp;DAY(t_Commandes[[#This Row],[Date Action]])&amp;"-"&amp;ROW()</f>
        <v>20191118-2</v>
      </c>
      <c r="C2" s="29" t="s">
        <v>33</v>
      </c>
      <c r="D2" s="29">
        <f>VLOOKUP($C2,CLIENTS!$1:$1048576,(HLOOKUP(D$1,CLIENTS!$1:$2,2,FALSE)),FALSE)</f>
        <v>1</v>
      </c>
      <c r="E2" s="30">
        <f>VLOOKUP($C2,CLIENTS!$1:$1048576,(HLOOKUP(E$1,CLIENTS!$1:$2,2,FALSE)),FALSE)</f>
        <v>0.1</v>
      </c>
      <c r="F2" s="29" t="str">
        <f>VLOOKUP($C2,CLIENTS!$1:$1048576,(HLOOKUP(F$1,CLIENTS!$1:$2,2,FALSE)),FALSE)</f>
        <v>20 rue du Pilou</v>
      </c>
      <c r="G2" s="31">
        <f>VLOOKUP($C2,CLIENTS!$1:$1048576,(HLOOKUP(G$1,CLIENTS!$1:$2,2,FALSE)),FALSE)</f>
        <v>5300</v>
      </c>
      <c r="H2" s="29" t="str">
        <f>VLOOKUP($C2,CLIENTS!$1:$1048576,(HLOOKUP(H$1,CLIENTS!$1:$2,2,FALSE)),FALSE)</f>
        <v>Le Poet</v>
      </c>
      <c r="I2" s="32">
        <f>VLOOKUP($C2,CLIENTS!$1:$1048576,(HLOOKUP(I$1,CLIENTS!$1:$2,2,FALSE)),FALSE)</f>
        <v>612234556</v>
      </c>
      <c r="J2" s="29" t="str">
        <f>VLOOKUP($C2,CLIENTS!$1:$1048576,(HLOOKUP(J$1,CLIENTS!$1:$2,2,FALSE)),FALSE)</f>
        <v>Marie Laforet</v>
      </c>
      <c r="K2" s="33" t="str">
        <f>VLOOKUP(t_Commandes[[#This Row],[Nom Contact]],CLIENTS!$H:$I,2,FALSE)</f>
        <v>Marie@email.com</v>
      </c>
      <c r="L2" s="33" t="str">
        <f>VLOOKUP(t_Commandes[[#This Row],[Produit]],t_Produits[],2,FALSE)</f>
        <v>P001</v>
      </c>
      <c r="M2" s="33" t="s">
        <v>16</v>
      </c>
      <c r="N2" s="33" t="s">
        <v>41</v>
      </c>
      <c r="O2" s="33">
        <v>5</v>
      </c>
      <c r="P2" s="33"/>
      <c r="Q2" s="33">
        <f>VLOOKUP(t_Commandes[[#This Row],[Lot]],t_Stock[[#All],[Lot]:[Quantité produite]],3,FALSE)-SUBTOTAL(109,$O$1:$O2)+SUBTOTAL(109,$P$1:$P2)</f>
        <v>295</v>
      </c>
      <c r="R2" s="38">
        <f>VLOOKUP(t_Commandes[[#This Row],[SKU Produit]],t_Produits[[#All],[Référence]:[TVA appliquée]],2,FALSE)</f>
        <v>10</v>
      </c>
      <c r="S2" s="38">
        <f>t_Commandes[[#This Row],[Prix Unit HT]]*(1-VLOOKUP(t_Commandes[[#This Row],[n° Client]],t_Clients[[#All],[n° Client]:[Remise accordée]],2,FALSE))</f>
        <v>9</v>
      </c>
      <c r="T2" s="38">
        <f>t_Commandes[[#This Row],[Prix remisé]]*(t_Commandes[[#This Row],[Qtés Acheté]]-t_Commandes[[#This Row],[Retours]])</f>
        <v>45</v>
      </c>
      <c r="U2" s="40">
        <f>VLOOKUP(t_Commandes[[#This Row],[SKU Produit]],t_Produits[[#All],[Référence]:[TVA appliquée]],3,FALSE)</f>
        <v>0.06</v>
      </c>
      <c r="V2" s="38">
        <f>(1+t_Commandes[[#This Row],[TVA]])*t_Commandes[[#This Row],[Prix remisé]]*(t_Commandes[[#This Row],[Qtés Acheté]]-t_Commandes[[#This Row],[Retours]])</f>
        <v>47.7</v>
      </c>
    </row>
    <row r="3" spans="1:22" x14ac:dyDescent="0.25">
      <c r="A3" s="28">
        <v>43788</v>
      </c>
      <c r="B3" s="28" t="str">
        <f>YEAR(t_Commandes[[#This Row],[Date Action]])&amp;MONTH(t_Commandes[[#This Row],[Date Action]])&amp;DAY(t_Commandes[[#This Row],[Date Action]])&amp;"-"&amp;ROW()</f>
        <v>20191119-3</v>
      </c>
      <c r="C3" s="29" t="s">
        <v>33</v>
      </c>
      <c r="D3" s="29">
        <f>VLOOKUP($C3,CLIENTS!$1:$1048576,(HLOOKUP(D$1,CLIENTS!$1:$2,2,FALSE)),FALSE)</f>
        <v>1</v>
      </c>
      <c r="E3" s="30">
        <f>VLOOKUP($C3,CLIENTS!$1:$1048576,(HLOOKUP(E$1,CLIENTS!$1:$2,2,FALSE)),FALSE)</f>
        <v>0.1</v>
      </c>
      <c r="F3" s="29" t="str">
        <f>VLOOKUP($C3,CLIENTS!$1:$1048576,(HLOOKUP(F$1,CLIENTS!$1:$2,2,FALSE)),FALSE)</f>
        <v>20 rue du Pilou</v>
      </c>
      <c r="G3" s="31">
        <f>VLOOKUP($C3,CLIENTS!$1:$1048576,(HLOOKUP(G$1,CLIENTS!$1:$2,2,FALSE)),FALSE)</f>
        <v>5300</v>
      </c>
      <c r="H3" s="29" t="str">
        <f>VLOOKUP($C3,CLIENTS!$1:$1048576,(HLOOKUP(H$1,CLIENTS!$1:$2,2,FALSE)),FALSE)</f>
        <v>Le Poet</v>
      </c>
      <c r="I3" s="32">
        <f>VLOOKUP($C3,CLIENTS!$1:$1048576,(HLOOKUP(I$1,CLIENTS!$1:$2,2,FALSE)),FALSE)</f>
        <v>612234556</v>
      </c>
      <c r="J3" s="29" t="str">
        <f>VLOOKUP($C3,CLIENTS!$1:$1048576,(HLOOKUP(J$1,CLIENTS!$1:$2,2,FALSE)),FALSE)</f>
        <v>Marie Laforet</v>
      </c>
      <c r="K3" s="33" t="str">
        <f>VLOOKUP(t_Commandes[[#This Row],[Nom Contact]],CLIENTS!$H:$I,2,FALSE)</f>
        <v>Marie@email.com</v>
      </c>
      <c r="L3" s="33" t="str">
        <f>VLOOKUP(t_Commandes[[#This Row],[Produit]],t_Produits[],2,FALSE)</f>
        <v>P001</v>
      </c>
      <c r="M3" s="33" t="s">
        <v>16</v>
      </c>
      <c r="N3" s="33" t="s">
        <v>41</v>
      </c>
      <c r="O3" s="33"/>
      <c r="P3" s="33">
        <v>3</v>
      </c>
      <c r="Q3" s="33">
        <f>VLOOKUP(t_Commandes[[#This Row],[Lot]],t_Stock[[#All],[Lot]:[Quantité produite]],3,FALSE)-SUBTOTAL(109,$O$1:$O3)+SUBTOTAL(109,$P$1:$P3)</f>
        <v>298</v>
      </c>
      <c r="R3" s="38">
        <f>VLOOKUP(t_Commandes[[#This Row],[SKU Produit]],t_Produits[[#All],[Référence]:[TVA appliquée]],2,FALSE)</f>
        <v>10</v>
      </c>
      <c r="S3" s="38">
        <f>t_Commandes[[#This Row],[Prix Unit HT]]*(1-VLOOKUP(t_Commandes[[#This Row],[n° Client]],t_Clients[[#All],[n° Client]:[Remise accordée]],2,FALSE))</f>
        <v>9</v>
      </c>
      <c r="T3" s="38">
        <f>t_Commandes[[#This Row],[Prix remisé]]*(t_Commandes[[#This Row],[Qtés Acheté]]-t_Commandes[[#This Row],[Retours]])</f>
        <v>-27</v>
      </c>
      <c r="U3" s="40">
        <f>VLOOKUP(t_Commandes[[#This Row],[SKU Produit]],t_Produits[[#All],[Référence]:[TVA appliquée]],3,FALSE)</f>
        <v>0.06</v>
      </c>
      <c r="V3" s="38">
        <f>(1+t_Commandes[[#This Row],[TVA]])*t_Commandes[[#This Row],[Prix remisé]]*(t_Commandes[[#This Row],[Qtés Acheté]]-t_Commandes[[#This Row],[Retours]])</f>
        <v>-28.620000000000005</v>
      </c>
    </row>
    <row r="4" spans="1:22" x14ac:dyDescent="0.25">
      <c r="A4" s="28">
        <v>43787</v>
      </c>
      <c r="B4" s="28" t="str">
        <f>YEAR(t_Commandes[[#This Row],[Date Action]])&amp;MONTH(t_Commandes[[#This Row],[Date Action]])&amp;DAY(t_Commandes[[#This Row],[Date Action]])&amp;"-"&amp;ROW()</f>
        <v>20191118-4</v>
      </c>
      <c r="C4" s="47" t="s">
        <v>60</v>
      </c>
      <c r="D4" s="35">
        <f>VLOOKUP($C4,CLIENTS!$1:$1048576,(HLOOKUP(D$1,CLIENTS!$1:$2,2,FALSE)),FALSE)</f>
        <v>2</v>
      </c>
      <c r="E4" s="48">
        <f>VLOOKUP($C4,CLIENTS!$1:$1048576,(HLOOKUP(E$1,CLIENTS!$1:$2,2,FALSE)),FALSE)</f>
        <v>0.05</v>
      </c>
      <c r="F4" s="35" t="str">
        <f>VLOOKUP($C4,CLIENTS!$1:$1048576,(HLOOKUP(F$1,CLIENTS!$1:$2,2,FALSE)),FALSE)</f>
        <v>15 rue du Pompom</v>
      </c>
      <c r="G4" s="49">
        <f>VLOOKUP($C4,CLIENTS!$1:$1048576,(HLOOKUP(G$1,CLIENTS!$1:$2,2,FALSE)),FALSE)</f>
        <v>13200</v>
      </c>
      <c r="H4" s="35" t="str">
        <f>VLOOKUP($C4,CLIENTS!$1:$1048576,(HLOOKUP(H$1,CLIENTS!$1:$2,2,FALSE)),FALSE)</f>
        <v>Marseille</v>
      </c>
      <c r="I4" s="50">
        <f>VLOOKUP($C4,CLIENTS!$1:$1048576,(HLOOKUP(I$1,CLIENTS!$1:$2,2,FALSE)),FALSE)</f>
        <v>614578652</v>
      </c>
      <c r="J4" s="35" t="str">
        <f>VLOOKUP($C4,CLIENTS!$1:$1048576,(HLOOKUP(J$1,CLIENTS!$1:$2,2,FALSE)),FALSE)</f>
        <v>Edgar Founkel</v>
      </c>
      <c r="K4" s="35" t="str">
        <f>VLOOKUP(t_Commandes[[#This Row],[Nom Contact]],CLIENTS!$H:$I,2,FALSE)</f>
        <v>EF@Pompom.com</v>
      </c>
      <c r="L4" s="35" t="str">
        <f>VLOOKUP(t_Commandes[[#This Row],[Produit]],t_Produits[],2,FALSE)</f>
        <v>P002</v>
      </c>
      <c r="M4" s="35" t="s">
        <v>17</v>
      </c>
      <c r="N4" s="35" t="s">
        <v>46</v>
      </c>
      <c r="O4" s="35">
        <v>2</v>
      </c>
      <c r="P4" s="35"/>
      <c r="Q4" s="35">
        <f>VLOOKUP(t_Commandes[[#This Row],[Lot]],t_Stock[[#All],[Lot]:[Quantité produite]],3,FALSE)-SUBTOTAL(109,$O$1:$O4)+SUBTOTAL(109,$P$1:$P4)</f>
        <v>296</v>
      </c>
      <c r="R4" s="38">
        <f>VLOOKUP(t_Commandes[[#This Row],[SKU Produit]],t_Produits[[#All],[Référence]:[TVA appliquée]],2,FALSE)</f>
        <v>12</v>
      </c>
      <c r="S4" s="38">
        <f>t_Commandes[[#This Row],[Prix Unit HT]]*(1-VLOOKUP(t_Commandes[[#This Row],[n° Client]],t_Clients[[#All],[n° Client]:[Remise accordée]],2,FALSE))</f>
        <v>-24</v>
      </c>
      <c r="T4" s="38">
        <f>t_Commandes[[#This Row],[Prix remisé]]*(t_Commandes[[#This Row],[Qtés Acheté]]-t_Commandes[[#This Row],[Retours]])</f>
        <v>-48</v>
      </c>
      <c r="U4" s="40">
        <f>VLOOKUP(t_Commandes[[#This Row],[SKU Produit]],t_Produits[[#All],[Référence]:[TVA appliquée]],3,FALSE)</f>
        <v>0.06</v>
      </c>
      <c r="V4" s="38">
        <f>(1+t_Commandes[[#This Row],[TVA]])*t_Commandes[[#This Row],[Prix remisé]]*(t_Commandes[[#This Row],[Qtés Acheté]]-t_Commandes[[#This Row],[Retours]])</f>
        <v>-50.88</v>
      </c>
    </row>
    <row r="5" spans="1:22" x14ac:dyDescent="0.25">
      <c r="A5" s="28">
        <v>43787</v>
      </c>
      <c r="B5" s="28" t="str">
        <f>YEAR(t_Commandes[[#This Row],[Date Action]])&amp;MONTH(t_Commandes[[#This Row],[Date Action]])&amp;DAY(t_Commandes[[#This Row],[Date Action]])&amp;"-"&amp;ROW()</f>
        <v>20191118-5</v>
      </c>
      <c r="C5" s="47" t="s">
        <v>60</v>
      </c>
      <c r="D5" s="35">
        <f>VLOOKUP($C5,CLIENTS!$1:$1048576,(HLOOKUP(D$1,CLIENTS!$1:$2,2,FALSE)),FALSE)</f>
        <v>2</v>
      </c>
      <c r="E5" s="48">
        <f>VLOOKUP($C5,CLIENTS!$1:$1048576,(HLOOKUP(E$1,CLIENTS!$1:$2,2,FALSE)),FALSE)</f>
        <v>0.05</v>
      </c>
      <c r="F5" s="35" t="str">
        <f>VLOOKUP($C5,CLIENTS!$1:$1048576,(HLOOKUP(F$1,CLIENTS!$1:$2,2,FALSE)),FALSE)</f>
        <v>15 rue du Pompom</v>
      </c>
      <c r="G5" s="49">
        <f>VLOOKUP($C5,CLIENTS!$1:$1048576,(HLOOKUP(G$1,CLIENTS!$1:$2,2,FALSE)),FALSE)</f>
        <v>13200</v>
      </c>
      <c r="H5" s="35" t="str">
        <f>VLOOKUP($C5,CLIENTS!$1:$1048576,(HLOOKUP(H$1,CLIENTS!$1:$2,2,FALSE)),FALSE)</f>
        <v>Marseille</v>
      </c>
      <c r="I5" s="50">
        <f>VLOOKUP($C5,CLIENTS!$1:$1048576,(HLOOKUP(I$1,CLIENTS!$1:$2,2,FALSE)),FALSE)</f>
        <v>614578652</v>
      </c>
      <c r="J5" s="35" t="str">
        <f>VLOOKUP($C5,CLIENTS!$1:$1048576,(HLOOKUP(J$1,CLIENTS!$1:$2,2,FALSE)),FALSE)</f>
        <v>Edgar Founkel</v>
      </c>
      <c r="K5" s="35" t="str">
        <f>VLOOKUP(t_Commandes[[#This Row],[Nom Contact]],CLIENTS!$H:$I,2,FALSE)</f>
        <v>EF@Pompom.com</v>
      </c>
      <c r="L5" s="35" t="str">
        <f>VLOOKUP(t_Commandes[[#This Row],[Produit]],t_Produits[],2,FALSE)</f>
        <v>P003</v>
      </c>
      <c r="M5" s="35" t="s">
        <v>18</v>
      </c>
      <c r="N5" s="35" t="s">
        <v>43</v>
      </c>
      <c r="O5" s="35"/>
      <c r="P5" s="35"/>
      <c r="Q5" s="33">
        <f>VLOOKUP(t_Commandes[[#This Row],[Lot]],t_Stock[[#All],[Lot]:[Quantité produite]],3,FALSE)-SUBTOTAL(109,$O$1:$O5)+SUBTOTAL(109,$P$1:$P5)</f>
        <v>296</v>
      </c>
      <c r="R5" s="38">
        <f>VLOOKUP(t_Commandes[[#This Row],[SKU Produit]],t_Produits[[#All],[Référence]:[TVA appliquée]],2,FALSE)</f>
        <v>8</v>
      </c>
      <c r="S5" s="38">
        <f>t_Commandes[[#This Row],[Prix Unit HT]]*(1-VLOOKUP(t_Commandes[[#This Row],[n° Client]],t_Clients[[#All],[n° Client]:[Remise accordée]],2,FALSE))</f>
        <v>-16</v>
      </c>
      <c r="T5" s="38">
        <f>t_Commandes[[#This Row],[Prix remisé]]*(t_Commandes[[#This Row],[Qtés Acheté]]-t_Commandes[[#This Row],[Retours]])</f>
        <v>0</v>
      </c>
      <c r="U5" s="40">
        <f>VLOOKUP(t_Commandes[[#This Row],[SKU Produit]],t_Produits[[#All],[Référence]:[TVA appliquée]],3,FALSE)</f>
        <v>0.06</v>
      </c>
      <c r="V5" s="38">
        <f>(1+t_Commandes[[#This Row],[TVA]])*t_Commandes[[#This Row],[Prix remisé]]*(t_Commandes[[#This Row],[Qtés Acheté]]-t_Commandes[[#This Row],[Retours]])</f>
        <v>0</v>
      </c>
    </row>
    <row r="6" spans="1:22" x14ac:dyDescent="0.25">
      <c r="A6" s="46">
        <v>43788</v>
      </c>
      <c r="B6" s="46" t="str">
        <f>YEAR(t_Commandes[[#This Row],[Date Action]])&amp;MONTH(t_Commandes[[#This Row],[Date Action]])&amp;DAY(t_Commandes[[#This Row],[Date Action]])&amp;"-"&amp;ROW()</f>
        <v>20191119-6</v>
      </c>
      <c r="C6" s="47" t="s">
        <v>33</v>
      </c>
      <c r="D6" s="35">
        <f>VLOOKUP($C6,CLIENTS!$1:$1048576,(HLOOKUP(D$1,CLIENTS!$1:$2,2,FALSE)),FALSE)</f>
        <v>1</v>
      </c>
      <c r="E6" s="48">
        <f>VLOOKUP($C6,CLIENTS!$1:$1048576,(HLOOKUP(E$1,CLIENTS!$1:$2,2,FALSE)),FALSE)</f>
        <v>0.1</v>
      </c>
      <c r="F6" s="35" t="str">
        <f>VLOOKUP($C6,CLIENTS!$1:$1048576,(HLOOKUP(F$1,CLIENTS!$1:$2,2,FALSE)),FALSE)</f>
        <v>20 rue du Pilou</v>
      </c>
      <c r="G6" s="49">
        <f>VLOOKUP($C6,CLIENTS!$1:$1048576,(HLOOKUP(G$1,CLIENTS!$1:$2,2,FALSE)),FALSE)</f>
        <v>5300</v>
      </c>
      <c r="H6" s="35" t="str">
        <f>VLOOKUP($C6,CLIENTS!$1:$1048576,(HLOOKUP(H$1,CLIENTS!$1:$2,2,FALSE)),FALSE)</f>
        <v>Le Poet</v>
      </c>
      <c r="I6" s="50">
        <f>VLOOKUP($C6,CLIENTS!$1:$1048576,(HLOOKUP(I$1,CLIENTS!$1:$2,2,FALSE)),FALSE)</f>
        <v>612234556</v>
      </c>
      <c r="J6" s="35" t="str">
        <f>VLOOKUP($C6,CLIENTS!$1:$1048576,(HLOOKUP(J$1,CLIENTS!$1:$2,2,FALSE)),FALSE)</f>
        <v>Marie Laforet</v>
      </c>
      <c r="K6" s="35" t="str">
        <f>VLOOKUP(t_Commandes[[#This Row],[Nom Contact]],CLIENTS!$H:$I,2,FALSE)</f>
        <v>Marie@email.com</v>
      </c>
      <c r="L6" s="35" t="str">
        <f>VLOOKUP(t_Commandes[[#This Row],[Produit]],t_Produits[],2,FALSE)</f>
        <v>P005</v>
      </c>
      <c r="M6" s="35" t="s">
        <v>20</v>
      </c>
      <c r="N6" s="35" t="s">
        <v>45</v>
      </c>
      <c r="O6" s="35">
        <v>10</v>
      </c>
      <c r="P6" s="35"/>
      <c r="Q6" s="33">
        <f>VLOOKUP(t_Commandes[[#This Row],[Lot]],t_Stock[[#All],[Lot]:[Quantité produite]],3,FALSE)-SUBTOTAL(109,$O$1:$O6)+SUBTOTAL(109,$P$1:$P6)</f>
        <v>286</v>
      </c>
      <c r="R6" s="38">
        <f>VLOOKUP(t_Commandes[[#This Row],[SKU Produit]],t_Produits[[#All],[Référence]:[TVA appliquée]],2,FALSE)</f>
        <v>10.5</v>
      </c>
      <c r="S6" s="38">
        <f>t_Commandes[[#This Row],[Prix Unit HT]]*(1-VLOOKUP(t_Commandes[[#This Row],[n° Client]],t_Clients[[#All],[n° Client]:[Remise accordée]],2,FALSE))</f>
        <v>9.4500000000000011</v>
      </c>
      <c r="T6" s="38">
        <f>t_Commandes[[#This Row],[Prix remisé]]*(t_Commandes[[#This Row],[Qtés Acheté]]-t_Commandes[[#This Row],[Retours]])</f>
        <v>94.500000000000014</v>
      </c>
      <c r="U6" s="40">
        <f>VLOOKUP(t_Commandes[[#This Row],[SKU Produit]],t_Produits[[#All],[Référence]:[TVA appliquée]],3,FALSE)</f>
        <v>0.06</v>
      </c>
      <c r="V6" s="38">
        <f>(1+t_Commandes[[#This Row],[TVA]])*t_Commandes[[#This Row],[Prix remisé]]*(t_Commandes[[#This Row],[Qtés Acheté]]-t_Commandes[[#This Row],[Retours]])</f>
        <v>100.17000000000002</v>
      </c>
    </row>
  </sheetData>
  <phoneticPr fontId="6" type="noConversion"/>
  <dataValidations count="2">
    <dataValidation type="list" allowBlank="1" showInputMessage="1" showErrorMessage="1" sqref="M2:M6" xr:uid="{C8B6C10A-766C-4896-87DE-97497617EAB0}">
      <formula1>L_Liste_Produits</formula1>
    </dataValidation>
    <dataValidation type="list" allowBlank="1" showInputMessage="1" showErrorMessage="1" sqref="N2:N6" xr:uid="{6AB13B35-5270-4082-9486-54B8FDA5EC1F}">
      <formula1>L_Formule1</formula1>
    </dataValidation>
  </dataValidations>
  <pageMargins left="0.7" right="0.7" top="0.75" bottom="0.75" header="0.3" footer="0.3"/>
  <tableParts count="1">
    <tablePart r:id="rId1"/>
  </tableParts>
  <extLst>
    <ext xmlns:x14="http://schemas.microsoft.com/office/spreadsheetml/2009/9/main" uri="{CCE6A557-97BC-4b89-ADB6-D9C93CAAB3DF}">
      <x14:dataValidations xmlns:xm="http://schemas.microsoft.com/office/excel/2006/main" count="1">
        <x14:dataValidation type="list" allowBlank="1" showInputMessage="1" showErrorMessage="1" xr:uid="{E22A2CD8-3FBF-44F6-B703-0A11E94CDA73}">
          <x14:formula1>
            <xm:f>CLIENTS!$A:$A</xm:f>
          </x14:formula1>
          <xm:sqref>C1:C1048576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B31E49-223D-4843-A9CE-EF971494698E}">
  <sheetPr>
    <tabColor rgb="FF9966FF"/>
  </sheetPr>
  <dimension ref="A1:E14"/>
  <sheetViews>
    <sheetView workbookViewId="0">
      <selection activeCell="B10" sqref="B10"/>
    </sheetView>
  </sheetViews>
  <sheetFormatPr defaultRowHeight="15" x14ac:dyDescent="0.25"/>
  <cols>
    <col min="1" max="1" width="19.140625" bestFit="1" customWidth="1"/>
    <col min="2" max="2" width="18.7109375" bestFit="1" customWidth="1"/>
    <col min="3" max="3" width="14.5703125" bestFit="1" customWidth="1"/>
    <col min="4" max="4" width="18.5703125" bestFit="1" customWidth="1"/>
    <col min="5" max="5" width="14.7109375" bestFit="1" customWidth="1"/>
    <col min="6" max="6" width="11.140625" bestFit="1" customWidth="1"/>
  </cols>
  <sheetData>
    <row r="1" spans="1:5" x14ac:dyDescent="0.25">
      <c r="A1" s="41" t="s">
        <v>53</v>
      </c>
      <c r="B1" t="s">
        <v>55</v>
      </c>
      <c r="C1" t="s">
        <v>56</v>
      </c>
      <c r="D1" t="s">
        <v>58</v>
      </c>
      <c r="E1" t="s">
        <v>59</v>
      </c>
    </row>
    <row r="2" spans="1:5" x14ac:dyDescent="0.25">
      <c r="A2" s="42" t="s">
        <v>16</v>
      </c>
      <c r="B2" s="8">
        <v>5</v>
      </c>
      <c r="C2" s="8">
        <v>3</v>
      </c>
      <c r="D2" s="8">
        <v>18</v>
      </c>
      <c r="E2" s="8">
        <v>19.079999999999998</v>
      </c>
    </row>
    <row r="3" spans="1:5" x14ac:dyDescent="0.25">
      <c r="A3" s="43" t="s">
        <v>41</v>
      </c>
      <c r="B3" s="8">
        <v>5</v>
      </c>
      <c r="C3" s="8">
        <v>3</v>
      </c>
      <c r="D3" s="8">
        <v>18</v>
      </c>
      <c r="E3" s="8">
        <v>19.079999999999998</v>
      </c>
    </row>
    <row r="4" spans="1:5" x14ac:dyDescent="0.25">
      <c r="A4" s="44" t="s">
        <v>33</v>
      </c>
      <c r="B4" s="8">
        <v>5</v>
      </c>
      <c r="C4" s="8">
        <v>3</v>
      </c>
      <c r="D4" s="8">
        <v>18</v>
      </c>
      <c r="E4" s="8">
        <v>19.079999999999998</v>
      </c>
    </row>
    <row r="5" spans="1:5" x14ac:dyDescent="0.25">
      <c r="A5" s="42" t="s">
        <v>17</v>
      </c>
      <c r="B5" s="8">
        <v>2</v>
      </c>
      <c r="C5" s="8"/>
      <c r="D5" s="8">
        <v>-48</v>
      </c>
      <c r="E5" s="8">
        <v>-50.88</v>
      </c>
    </row>
    <row r="6" spans="1:5" x14ac:dyDescent="0.25">
      <c r="A6" s="43" t="s">
        <v>46</v>
      </c>
      <c r="B6" s="8">
        <v>2</v>
      </c>
      <c r="C6" s="8"/>
      <c r="D6" s="8">
        <v>-48</v>
      </c>
      <c r="E6" s="8">
        <v>-50.88</v>
      </c>
    </row>
    <row r="7" spans="1:5" x14ac:dyDescent="0.25">
      <c r="A7" s="44" t="s">
        <v>60</v>
      </c>
      <c r="B7" s="8">
        <v>2</v>
      </c>
      <c r="C7" s="8"/>
      <c r="D7" s="8">
        <v>-48</v>
      </c>
      <c r="E7" s="8">
        <v>-50.88</v>
      </c>
    </row>
    <row r="8" spans="1:5" x14ac:dyDescent="0.25">
      <c r="A8" s="42" t="s">
        <v>18</v>
      </c>
      <c r="B8" s="8"/>
      <c r="C8" s="8"/>
      <c r="D8" s="8">
        <v>0</v>
      </c>
      <c r="E8" s="8">
        <v>0</v>
      </c>
    </row>
    <row r="9" spans="1:5" x14ac:dyDescent="0.25">
      <c r="A9" s="43" t="s">
        <v>43</v>
      </c>
      <c r="B9" s="8"/>
      <c r="C9" s="8"/>
      <c r="D9" s="8">
        <v>0</v>
      </c>
      <c r="E9" s="8">
        <v>0</v>
      </c>
    </row>
    <row r="10" spans="1:5" x14ac:dyDescent="0.25">
      <c r="A10" s="44" t="s">
        <v>60</v>
      </c>
      <c r="B10" s="8"/>
      <c r="C10" s="8"/>
      <c r="D10" s="8">
        <v>0</v>
      </c>
      <c r="E10" s="8">
        <v>0</v>
      </c>
    </row>
    <row r="11" spans="1:5" x14ac:dyDescent="0.25">
      <c r="A11" s="42" t="s">
        <v>20</v>
      </c>
      <c r="B11" s="8">
        <v>10</v>
      </c>
      <c r="C11" s="8"/>
      <c r="D11" s="8">
        <v>94.500000000000014</v>
      </c>
      <c r="E11" s="8">
        <v>100.17000000000002</v>
      </c>
    </row>
    <row r="12" spans="1:5" x14ac:dyDescent="0.25">
      <c r="A12" s="43" t="s">
        <v>45</v>
      </c>
      <c r="B12" s="8">
        <v>10</v>
      </c>
      <c r="C12" s="8"/>
      <c r="D12" s="8">
        <v>94.500000000000014</v>
      </c>
      <c r="E12" s="8">
        <v>100.17000000000002</v>
      </c>
    </row>
    <row r="13" spans="1:5" x14ac:dyDescent="0.25">
      <c r="A13" s="44" t="s">
        <v>33</v>
      </c>
      <c r="B13" s="8">
        <v>10</v>
      </c>
      <c r="C13" s="8"/>
      <c r="D13" s="8">
        <v>94.500000000000014</v>
      </c>
      <c r="E13" s="8">
        <v>100.17000000000002</v>
      </c>
    </row>
    <row r="14" spans="1:5" x14ac:dyDescent="0.25">
      <c r="A14" s="42" t="s">
        <v>54</v>
      </c>
      <c r="B14" s="8">
        <v>17</v>
      </c>
      <c r="C14" s="8">
        <v>3</v>
      </c>
      <c r="D14" s="8">
        <v>64.500000000000014</v>
      </c>
      <c r="E14" s="8">
        <v>68.37</v>
      </c>
    </row>
  </sheetData>
  <pageMargins left="0.7" right="0.7" top="0.75" bottom="0.75" header="0.3" footer="0.3"/>
  <drawing r:id="rId2"/>
  <extLst>
    <ext xmlns:x14="http://schemas.microsoft.com/office/spreadsheetml/2009/9/main" uri="{A8765BA9-456A-4dab-B4F3-ACF838C121DE}">
      <x14:slicerList>
        <x14:slicer r:id="rId3"/>
      </x14:slicerList>
    </ext>
    <ext xmlns:x15="http://schemas.microsoft.com/office/spreadsheetml/2010/11/main" uri="{7E03D99C-DC04-49d9-9315-930204A7B6E9}">
      <x15:timelineRefs>
        <x15:timelineRef r:id="rId4"/>
      </x15:timelineRef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D820F0-2E5C-4061-9C30-74A45E2387EF}">
  <sheetPr>
    <tabColor rgb="FF33CCFF"/>
    <pageSetUpPr fitToPage="1"/>
  </sheetPr>
  <dimension ref="B2:O26"/>
  <sheetViews>
    <sheetView workbookViewId="0">
      <selection activeCell="D23" sqref="D23"/>
    </sheetView>
  </sheetViews>
  <sheetFormatPr defaultRowHeight="15" x14ac:dyDescent="0.25"/>
  <cols>
    <col min="1" max="1" width="5.140625" customWidth="1"/>
    <col min="2" max="2" width="19.85546875" bestFit="1" customWidth="1"/>
    <col min="3" max="3" width="9.85546875" bestFit="1" customWidth="1"/>
    <col min="4" max="4" width="18.7109375" bestFit="1" customWidth="1"/>
    <col min="5" max="5" width="14.5703125" bestFit="1" customWidth="1"/>
    <col min="6" max="6" width="18.28515625" bestFit="1" customWidth="1"/>
    <col min="7" max="7" width="17.85546875" bestFit="1" customWidth="1"/>
    <col min="8" max="8" width="18.5703125" bestFit="1" customWidth="1"/>
    <col min="9" max="9" width="14.7109375" bestFit="1" customWidth="1"/>
    <col min="10" max="10" width="3.85546875" customWidth="1"/>
    <col min="11" max="15" width="14.7109375" bestFit="1" customWidth="1"/>
  </cols>
  <sheetData>
    <row r="2" spans="2:10" x14ac:dyDescent="0.25">
      <c r="B2" t="s">
        <v>69</v>
      </c>
    </row>
    <row r="3" spans="2:10" x14ac:dyDescent="0.25">
      <c r="B3" t="s">
        <v>70</v>
      </c>
    </row>
    <row r="4" spans="2:10" x14ac:dyDescent="0.25">
      <c r="B4" t="s">
        <v>71</v>
      </c>
    </row>
    <row r="5" spans="2:10" x14ac:dyDescent="0.25">
      <c r="B5" t="s">
        <v>72</v>
      </c>
      <c r="I5" t="str">
        <f>VLOOKUP($C$15,t_Commandes[[#All],[n° de commande]:[SKU Produit]],2,FALSE)</f>
        <v>Test Company</v>
      </c>
    </row>
    <row r="6" spans="2:10" x14ac:dyDescent="0.25">
      <c r="B6" t="s">
        <v>73</v>
      </c>
      <c r="I6" t="str">
        <f>VLOOKUP($C$15,t_Commandes[[#All],[n° de commande]:[SKU Produit]],5,FALSE)</f>
        <v>20 rue du Pilou</v>
      </c>
    </row>
    <row r="7" spans="2:10" x14ac:dyDescent="0.25">
      <c r="I7" t="str">
        <f>VLOOKUP($C$15,t_Commandes[[#All],[n° de commande]:[SKU Produit]],6,FALSE)&amp;" "&amp;VLOOKUP($C$15,t_Commandes[[#All],[n° de commande]:[SKU Produit]],7,FALSE)</f>
        <v>5300 Le Poet</v>
      </c>
    </row>
    <row r="8" spans="2:10" x14ac:dyDescent="0.25">
      <c r="I8" s="52">
        <f>VLOOKUP($C$15,t_Commandes[[#All],[n° de commande]:[SKU Produit]],8,FALSE)</f>
        <v>612234556</v>
      </c>
      <c r="J8" s="52"/>
    </row>
    <row r="9" spans="2:10" x14ac:dyDescent="0.25">
      <c r="H9" t="s">
        <v>75</v>
      </c>
      <c r="I9" s="52" t="str">
        <f>VLOOKUP($C$15,t_Commandes[[#All],[n° de commande]:[SKU Produit]],9,FALSE)</f>
        <v>Marie Laforet</v>
      </c>
      <c r="J9" s="52"/>
    </row>
    <row r="15" spans="2:10" x14ac:dyDescent="0.25">
      <c r="B15" s="41" t="s">
        <v>66</v>
      </c>
      <c r="C15" t="s">
        <v>74</v>
      </c>
    </row>
    <row r="19" spans="2:15" x14ac:dyDescent="0.25">
      <c r="B19" s="41" t="s">
        <v>53</v>
      </c>
      <c r="C19" s="41" t="s">
        <v>0</v>
      </c>
      <c r="D19" t="s">
        <v>55</v>
      </c>
      <c r="E19" t="s">
        <v>56</v>
      </c>
      <c r="F19" t="s">
        <v>57</v>
      </c>
      <c r="G19" t="s">
        <v>67</v>
      </c>
      <c r="H19" t="s">
        <v>58</v>
      </c>
      <c r="I19" t="s">
        <v>59</v>
      </c>
    </row>
    <row r="20" spans="2:15" x14ac:dyDescent="0.25">
      <c r="B20" s="51">
        <v>43788</v>
      </c>
      <c r="D20" s="8"/>
      <c r="E20" s="8">
        <v>3</v>
      </c>
      <c r="F20" s="8">
        <v>10</v>
      </c>
      <c r="G20" s="8">
        <v>9</v>
      </c>
      <c r="H20" s="8">
        <v>-27</v>
      </c>
      <c r="I20" s="8">
        <v>-28.620000000000005</v>
      </c>
      <c r="J20" s="8"/>
    </row>
    <row r="21" spans="2:15" x14ac:dyDescent="0.25">
      <c r="B21" s="43" t="s">
        <v>33</v>
      </c>
      <c r="C21" s="42" t="s">
        <v>16</v>
      </c>
      <c r="D21" s="8"/>
      <c r="E21" s="8">
        <v>3</v>
      </c>
      <c r="F21" s="8">
        <v>10</v>
      </c>
      <c r="G21" s="8">
        <v>9</v>
      </c>
      <c r="H21" s="8">
        <v>-27</v>
      </c>
      <c r="I21" s="8">
        <v>-28.620000000000005</v>
      </c>
      <c r="J21" s="8"/>
    </row>
    <row r="22" spans="2:15" x14ac:dyDescent="0.25">
      <c r="C22" s="43" t="s">
        <v>7</v>
      </c>
      <c r="D22" s="8"/>
      <c r="E22" s="8">
        <v>3</v>
      </c>
      <c r="F22" s="8">
        <v>10</v>
      </c>
      <c r="G22" s="8">
        <v>9</v>
      </c>
      <c r="H22" s="8">
        <v>-27</v>
      </c>
      <c r="I22" s="8">
        <v>-28.620000000000005</v>
      </c>
      <c r="J22" s="8"/>
    </row>
    <row r="23" spans="2:15" x14ac:dyDescent="0.25">
      <c r="C23" s="44" t="s">
        <v>41</v>
      </c>
      <c r="D23" s="8"/>
      <c r="E23" s="8">
        <v>3</v>
      </c>
      <c r="F23" s="8">
        <v>10</v>
      </c>
      <c r="G23" s="8">
        <v>9</v>
      </c>
      <c r="H23" s="8">
        <v>-27</v>
      </c>
      <c r="I23" s="8">
        <v>-28.620000000000005</v>
      </c>
      <c r="J23" s="8"/>
    </row>
    <row r="24" spans="2:15" x14ac:dyDescent="0.25">
      <c r="B24" s="43" t="s">
        <v>68</v>
      </c>
      <c r="D24" s="8"/>
      <c r="E24" s="8">
        <v>3</v>
      </c>
      <c r="F24" s="8">
        <v>10</v>
      </c>
      <c r="G24" s="8">
        <v>9</v>
      </c>
      <c r="H24" s="8">
        <v>-27</v>
      </c>
      <c r="I24" s="8">
        <v>-28.620000000000005</v>
      </c>
      <c r="J24" s="8"/>
    </row>
    <row r="25" spans="2:15" x14ac:dyDescent="0.25">
      <c r="B25" s="51" t="s">
        <v>54</v>
      </c>
      <c r="D25" s="8"/>
      <c r="E25" s="8">
        <v>3</v>
      </c>
      <c r="F25" s="8">
        <v>10</v>
      </c>
      <c r="G25" s="8">
        <v>9</v>
      </c>
      <c r="H25" s="8">
        <v>-27</v>
      </c>
      <c r="I25" s="8">
        <v>-28.620000000000005</v>
      </c>
      <c r="J25" s="8"/>
    </row>
    <row r="26" spans="2:15" x14ac:dyDescent="0.25">
      <c r="K26" s="41"/>
      <c r="L26" s="41"/>
      <c r="M26" s="41"/>
      <c r="N26" s="41"/>
      <c r="O26" s="41"/>
    </row>
  </sheetData>
  <pageMargins left="0.25" right="0.25" top="0.75" bottom="0.75" header="0.3" footer="0.3"/>
  <pageSetup scale="72" fitToHeight="0" orientation="portrait" horizontalDpi="4294967293" verticalDpi="4294967293" r:id="rId3"/>
  <drawing r:id="rId4"/>
  <extLst>
    <ext xmlns:x14="http://schemas.microsoft.com/office/spreadsheetml/2009/9/main" uri="{A8765BA9-456A-4dab-B4F3-ACF838C121DE}">
      <x14:slicerList>
        <x14:slicer r:id="rId5"/>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BFC8D7A-4689-4491-8A3D-BEA9BAD8D5AB}">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3</vt:i4>
      </vt:variant>
    </vt:vector>
  </HeadingPairs>
  <TitlesOfParts>
    <vt:vector size="10" baseType="lpstr">
      <vt:lpstr>BDD Production et Stock</vt:lpstr>
      <vt:lpstr>Produits</vt:lpstr>
      <vt:lpstr>CLIENTS</vt:lpstr>
      <vt:lpstr>Listes Lots</vt:lpstr>
      <vt:lpstr>Table des commandes</vt:lpstr>
      <vt:lpstr>TCD Compil</vt:lpstr>
      <vt:lpstr>Recap par commande</vt:lpstr>
      <vt:lpstr>L_Liste_Produits</vt:lpstr>
      <vt:lpstr>P_FirstColumn</vt:lpstr>
      <vt:lpstr>'Recap par commande'!Print_Area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imac</dc:creator>
  <cp:lastModifiedBy>imac</cp:lastModifiedBy>
  <cp:lastPrinted>2019-11-19T05:22:43Z</cp:lastPrinted>
  <dcterms:created xsi:type="dcterms:W3CDTF">2019-11-19T01:15:14Z</dcterms:created>
  <dcterms:modified xsi:type="dcterms:W3CDTF">2019-11-19T05:34:54Z</dcterms:modified>
</cp:coreProperties>
</file>