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.dacosta\Desktop\"/>
    </mc:Choice>
  </mc:AlternateContent>
  <xr:revisionPtr revIDLastSave="0" documentId="13_ncr:1_{0867EE77-51BF-4269-A51D-7B21C3328414}" xr6:coauthVersionLast="36" xr6:coauthVersionMax="36" xr10:uidLastSave="{00000000-0000-0000-0000-000000000000}"/>
  <bookViews>
    <workbookView xWindow="0" yWindow="0" windowWidth="13680" windowHeight="4520" xr2:uid="{00000000-000D-0000-FFFF-FFFF00000000}"/>
  </bookViews>
  <sheets>
    <sheet name="2021" sheetId="7" r:id="rId1"/>
    <sheet name="M_D_Sales" sheetId="8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6" i="7" l="1"/>
  <c r="E26" i="7"/>
  <c r="D111" i="7"/>
  <c r="D110" i="7"/>
  <c r="E110" i="7"/>
  <c r="D109" i="7"/>
  <c r="E109" i="7"/>
  <c r="E108" i="7"/>
  <c r="D108" i="7"/>
  <c r="E20" i="7"/>
  <c r="R22" i="7" l="1"/>
  <c r="R43" i="7"/>
  <c r="R44" i="7"/>
  <c r="R45" i="7"/>
  <c r="R46" i="7"/>
  <c r="R47" i="7"/>
  <c r="R48" i="7"/>
  <c r="R49" i="7"/>
  <c r="R20" i="7"/>
  <c r="R50" i="7"/>
  <c r="R51" i="7"/>
  <c r="R52" i="7"/>
  <c r="R53" i="7"/>
  <c r="R54" i="7"/>
  <c r="R55" i="7"/>
  <c r="R56" i="7"/>
  <c r="R57" i="7"/>
  <c r="R58" i="7"/>
  <c r="R59" i="7"/>
  <c r="R19" i="7"/>
  <c r="R21" i="7"/>
  <c r="R23" i="7"/>
  <c r="R24" i="7"/>
  <c r="R25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18" i="7"/>
  <c r="R17" i="7"/>
  <c r="R14" i="7"/>
  <c r="R16" i="7" l="1"/>
  <c r="R15" i="7"/>
  <c r="R13" i="7"/>
  <c r="Q3" i="7" l="1"/>
  <c r="F64" i="7"/>
  <c r="Q4" i="7"/>
  <c r="F62" i="7"/>
  <c r="Q2" i="7" s="1"/>
  <c r="F61" i="7"/>
  <c r="F60" i="7" l="1"/>
  <c r="E59" i="7"/>
  <c r="E15" i="7"/>
  <c r="E16" i="7"/>
  <c r="E17" i="7"/>
  <c r="E18" i="7"/>
  <c r="E19" i="7"/>
  <c r="E21" i="7"/>
  <c r="E22" i="7"/>
  <c r="E23" i="7"/>
  <c r="E24" i="7"/>
  <c r="E50" i="7"/>
  <c r="E25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1" i="7"/>
  <c r="E52" i="7"/>
  <c r="E53" i="7"/>
  <c r="E54" i="7"/>
  <c r="E55" i="7"/>
  <c r="E56" i="7"/>
  <c r="E57" i="7"/>
  <c r="E58" i="7"/>
  <c r="E14" i="7"/>
  <c r="E13" i="7"/>
  <c r="H5" i="7"/>
  <c r="H3" i="7"/>
  <c r="H7" i="7" l="1"/>
  <c r="H6" i="7"/>
  <c r="H2" i="7"/>
  <c r="E7" i="7" l="1"/>
  <c r="E6" i="7"/>
  <c r="E11" i="7"/>
  <c r="E10" i="7"/>
  <c r="E9" i="7"/>
  <c r="E8" i="7"/>
  <c r="E5" i="7"/>
  <c r="E4" i="7"/>
  <c r="E3" i="7"/>
  <c r="E2" i="7"/>
  <c r="E112" i="7" l="1"/>
  <c r="E111" i="7"/>
  <c r="D112" i="7"/>
  <c r="F74" i="7"/>
  <c r="F73" i="7"/>
  <c r="F72" i="7"/>
  <c r="F71" i="7"/>
  <c r="F70" i="7"/>
  <c r="F109" i="7" l="1"/>
  <c r="F108" i="7"/>
  <c r="F110" i="7"/>
  <c r="F111" i="7"/>
  <c r="F112" i="7"/>
  <c r="F80" i="7"/>
  <c r="F79" i="7"/>
  <c r="F78" i="7"/>
  <c r="F77" i="7"/>
  <c r="F76" i="7"/>
  <c r="D140" i="7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N3" i="8"/>
  <c r="B1" i="7"/>
  <c r="F113" i="7" l="1"/>
  <c r="Q66" i="7"/>
  <c r="Q65" i="7"/>
  <c r="Q64" i="7"/>
  <c r="Q63" i="7"/>
  <c r="Q62" i="7"/>
  <c r="Q61" i="7"/>
  <c r="Q60" i="7"/>
  <c r="D141" i="7" l="1"/>
</calcChain>
</file>

<file path=xl/sharedStrings.xml><?xml version="1.0" encoding="utf-8"?>
<sst xmlns="http://schemas.openxmlformats.org/spreadsheetml/2006/main" count="387" uniqueCount="141">
  <si>
    <t>CLIENT</t>
  </si>
  <si>
    <t>COMMENTS</t>
  </si>
  <si>
    <t>Q3</t>
  </si>
  <si>
    <t>Q4</t>
  </si>
  <si>
    <t>ORDER VALUE</t>
  </si>
  <si>
    <t>Q1</t>
  </si>
  <si>
    <t>Q2</t>
  </si>
  <si>
    <t>NN</t>
  </si>
  <si>
    <t>STATUS</t>
  </si>
  <si>
    <t>Q1 2021 ORDER PIPELINE</t>
  </si>
  <si>
    <t>Q2-Q3</t>
  </si>
  <si>
    <t>Value proposition</t>
  </si>
  <si>
    <t>Qualification</t>
  </si>
  <si>
    <t>Needs analysis</t>
  </si>
  <si>
    <t>Perception analysis</t>
  </si>
  <si>
    <t>Closed Won</t>
  </si>
  <si>
    <t>Closed Lost</t>
  </si>
  <si>
    <t>Negociation/Review</t>
  </si>
  <si>
    <t>Proposal/Price Quote</t>
  </si>
  <si>
    <t>Prospecting</t>
  </si>
  <si>
    <t>Stage name</t>
  </si>
  <si>
    <t>ID° of Decision Makers</t>
  </si>
  <si>
    <t>Probability</t>
  </si>
  <si>
    <t>Forecast Category</t>
  </si>
  <si>
    <t>Pipeline</t>
  </si>
  <si>
    <t>Closed</t>
  </si>
  <si>
    <t>Omitted</t>
  </si>
  <si>
    <t>Type</t>
  </si>
  <si>
    <t>Open</t>
  </si>
  <si>
    <t>Closed/Won</t>
  </si>
  <si>
    <t>Closed/Lost</t>
  </si>
  <si>
    <t>Country</t>
  </si>
  <si>
    <t>EUR - FR</t>
  </si>
  <si>
    <t>EUR - IT</t>
  </si>
  <si>
    <t>EUR - SP</t>
  </si>
  <si>
    <t>EUR - CH</t>
  </si>
  <si>
    <t>EUR - DK</t>
  </si>
  <si>
    <t>EUR - BE</t>
  </si>
  <si>
    <t>EUR - CZ</t>
  </si>
  <si>
    <t>Israel</t>
  </si>
  <si>
    <t>Brazil</t>
  </si>
  <si>
    <t>South Korea</t>
  </si>
  <si>
    <t>Taiwan</t>
  </si>
  <si>
    <t>USA - EST</t>
  </si>
  <si>
    <t>USA - CST</t>
  </si>
  <si>
    <t>USA - MST</t>
  </si>
  <si>
    <t>USA - PST</t>
  </si>
  <si>
    <t>RoW</t>
  </si>
  <si>
    <t>EUR - AUS</t>
  </si>
  <si>
    <t>China</t>
  </si>
  <si>
    <t>Service</t>
  </si>
  <si>
    <t>TA</t>
  </si>
  <si>
    <t>TOTAL SIGNED</t>
  </si>
  <si>
    <t>Prime</t>
  </si>
  <si>
    <t>D</t>
  </si>
  <si>
    <t>P</t>
  </si>
  <si>
    <t>D&amp;P</t>
  </si>
  <si>
    <t>O</t>
  </si>
  <si>
    <t>Potentielle</t>
  </si>
  <si>
    <t>Actée</t>
  </si>
  <si>
    <t>Rate</t>
  </si>
  <si>
    <t>NEXT STEP</t>
  </si>
  <si>
    <t>Signed</t>
  </si>
  <si>
    <t xml:space="preserve">Q2 </t>
  </si>
  <si>
    <t>Q.O.</t>
  </si>
  <si>
    <t>Quote Out (Q.O.)</t>
  </si>
  <si>
    <t>Yes</t>
  </si>
  <si>
    <t>No</t>
  </si>
  <si>
    <t>n.a.</t>
  </si>
  <si>
    <t>TOTAL POTENTIAL</t>
  </si>
  <si>
    <t>Time zone</t>
  </si>
  <si>
    <t>Tokyo</t>
  </si>
  <si>
    <t>Seoul</t>
  </si>
  <si>
    <t>Taipei</t>
  </si>
  <si>
    <t>Shanghai</t>
  </si>
  <si>
    <t>Singapour</t>
  </si>
  <si>
    <t>Hong-Kong</t>
  </si>
  <si>
    <t>New-Dehli</t>
  </si>
  <si>
    <t>Doha</t>
  </si>
  <si>
    <t>Jerusalem</t>
  </si>
  <si>
    <t>Melbourne</t>
  </si>
  <si>
    <t>Europe</t>
  </si>
  <si>
    <t>UK</t>
  </si>
  <si>
    <t>Sao Paulo</t>
  </si>
  <si>
    <t>US - EST</t>
  </si>
  <si>
    <t>US - CST</t>
  </si>
  <si>
    <t>US - MST</t>
  </si>
  <si>
    <t>US - PST</t>
  </si>
  <si>
    <t>Moscow</t>
  </si>
  <si>
    <t>RATE</t>
  </si>
  <si>
    <t>COUNTRY</t>
  </si>
  <si>
    <t>TIME ZONE</t>
  </si>
  <si>
    <t>SERVICES</t>
  </si>
  <si>
    <t>PROB.</t>
  </si>
  <si>
    <t>EUR - DE</t>
  </si>
  <si>
    <t>EUR - UK</t>
  </si>
  <si>
    <t>Japan</t>
  </si>
  <si>
    <t>TODAY:</t>
  </si>
  <si>
    <t>Canada - EST</t>
  </si>
  <si>
    <t>Canada - PST</t>
  </si>
  <si>
    <t>Objectif</t>
  </si>
  <si>
    <t xml:space="preserve">Différence </t>
  </si>
  <si>
    <t>Asia</t>
  </si>
  <si>
    <t>N. America</t>
  </si>
  <si>
    <t>S. America</t>
  </si>
  <si>
    <t>Sales Worldwide</t>
  </si>
  <si>
    <t>TOTAL QUOTES OUT</t>
  </si>
  <si>
    <t>TOTAL ENCOURS</t>
  </si>
  <si>
    <t>Prospection geographical distribution</t>
  </si>
  <si>
    <t>QUARTER ANALYSIS</t>
  </si>
  <si>
    <t>Encours</t>
  </si>
  <si>
    <t>Total</t>
  </si>
  <si>
    <t>TOTAL</t>
  </si>
  <si>
    <t>LOST OPPORTUNITIES</t>
  </si>
  <si>
    <t>Paris</t>
  </si>
  <si>
    <t>Tasks Today</t>
  </si>
  <si>
    <t>Delayed Task</t>
  </si>
  <si>
    <t>London</t>
  </si>
  <si>
    <t>ASIA</t>
  </si>
  <si>
    <t>EUROPE</t>
  </si>
  <si>
    <t>AMERICAS</t>
  </si>
  <si>
    <t>Today:</t>
  </si>
  <si>
    <t>In Asia</t>
  </si>
  <si>
    <t>In Europe</t>
  </si>
  <si>
    <t>In Americas</t>
  </si>
  <si>
    <t>Total encours</t>
  </si>
  <si>
    <t>Total Quotes OUT</t>
  </si>
  <si>
    <t>Signé</t>
  </si>
  <si>
    <t>10%</t>
  </si>
  <si>
    <t>20%</t>
  </si>
  <si>
    <t>50%</t>
  </si>
  <si>
    <t>60%</t>
  </si>
  <si>
    <t>70%</t>
  </si>
  <si>
    <t>75%</t>
  </si>
  <si>
    <t>90%</t>
  </si>
  <si>
    <t>Inv. #1</t>
  </si>
  <si>
    <t>Inv. #2</t>
  </si>
  <si>
    <t>Inv. #3</t>
  </si>
  <si>
    <t>Inv. #4</t>
  </si>
  <si>
    <t>Inv. #5</t>
  </si>
  <si>
    <t>Inv. 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</si>
</sst>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$-40C]d\-mmm;@"/>
    <numFmt numFmtId="166" formatCode="[$-409]h:mm\ AM/PM;@"/>
    <numFmt numFmtId="167" formatCode="_-[$$-409]* #,##0_ ;_-[$$-409]* \-#,##0\ ;_-[$$-409]* &quot;-&quot;??_ ;_-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9966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EFF7FF"/>
        <bgColor indexed="64"/>
      </patternFill>
    </fill>
    <fill>
      <patternFill patternType="solid">
        <fgColor rgb="FFEBFB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3"/>
        <bgColor indexed="64"/>
      </patternFill>
    </fill>
    <fill>
      <patternFill patternType="solid">
        <fgColor rgb="FFFFF7F7"/>
        <bgColor indexed="64"/>
      </patternFill>
    </fill>
    <fill>
      <patternFill patternType="solid">
        <fgColor rgb="FFE7FAFF"/>
        <bgColor indexed="64"/>
      </patternFill>
    </fill>
    <fill>
      <patternFill patternType="solid">
        <fgColor rgb="FFEBE1FF"/>
        <bgColor indexed="64"/>
      </patternFill>
    </fill>
    <fill>
      <patternFill patternType="solid">
        <fgColor rgb="FFFFF9DD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8">
    <xf numFmtId="0" fontId="0" fillId="0" borderId="0" xfId="0"/>
    <xf numFmtId="9" fontId="0" fillId="0" borderId="0" xfId="0" applyNumberFormat="1"/>
    <xf numFmtId="0" fontId="3" fillId="0" borderId="0" xfId="0" applyFont="1" applyFill="1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0" fillId="0" borderId="0" xfId="0" applyFont="1"/>
    <xf numFmtId="9" fontId="3" fillId="0" borderId="0" xfId="0" applyNumberFormat="1" applyFont="1" applyFill="1" applyBorder="1"/>
    <xf numFmtId="9" fontId="3" fillId="0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center"/>
    </xf>
    <xf numFmtId="164" fontId="0" fillId="0" borderId="0" xfId="1" applyNumberFormat="1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Border="1"/>
    <xf numFmtId="164" fontId="0" fillId="0" borderId="0" xfId="0" applyNumberFormat="1" applyFont="1"/>
    <xf numFmtId="0" fontId="5" fillId="0" borderId="0" xfId="0" applyFont="1"/>
    <xf numFmtId="0" fontId="5" fillId="0" borderId="0" xfId="0" applyFont="1" applyBorder="1"/>
    <xf numFmtId="14" fontId="4" fillId="0" borderId="0" xfId="0" applyNumberFormat="1" applyFont="1" applyFill="1" applyBorder="1"/>
    <xf numFmtId="14" fontId="4" fillId="0" borderId="0" xfId="0" applyNumberFormat="1" applyFont="1" applyFill="1"/>
    <xf numFmtId="14" fontId="4" fillId="0" borderId="0" xfId="0" applyNumberFormat="1" applyFont="1" applyFill="1" applyAlignment="1">
      <alignment vertical="top"/>
    </xf>
    <xf numFmtId="14" fontId="0" fillId="0" borderId="0" xfId="0" applyNumberFormat="1" applyFont="1" applyFill="1" applyBorder="1" applyAlignment="1">
      <alignment horizontal="left"/>
    </xf>
    <xf numFmtId="14" fontId="5" fillId="0" borderId="0" xfId="0" applyNumberFormat="1" applyFont="1"/>
    <xf numFmtId="0" fontId="6" fillId="0" borderId="0" xfId="0" applyFont="1" applyBorder="1"/>
    <xf numFmtId="14" fontId="6" fillId="0" borderId="0" xfId="0" applyNumberFormat="1" applyFont="1" applyFill="1" applyBorder="1"/>
    <xf numFmtId="0" fontId="6" fillId="0" borderId="0" xfId="0" applyFont="1"/>
    <xf numFmtId="0" fontId="0" fillId="0" borderId="0" xfId="0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4" fillId="0" borderId="1" xfId="0" applyFont="1" applyBorder="1"/>
    <xf numFmtId="0" fontId="4" fillId="0" borderId="1" xfId="0" applyFont="1" applyFill="1" applyBorder="1"/>
    <xf numFmtId="164" fontId="4" fillId="0" borderId="1" xfId="1" applyNumberFormat="1" applyFont="1" applyBorder="1"/>
    <xf numFmtId="164" fontId="0" fillId="0" borderId="1" xfId="1" applyNumberFormat="1" applyFont="1" applyBorder="1"/>
    <xf numFmtId="165" fontId="4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16" fontId="0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6" fontId="0" fillId="0" borderId="1" xfId="0" applyNumberFormat="1" applyFont="1" applyBorder="1" applyAlignment="1">
      <alignment horizontal="left" wrapText="1"/>
    </xf>
    <xf numFmtId="49" fontId="0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/>
    <xf numFmtId="0" fontId="4" fillId="0" borderId="3" xfId="0" applyFont="1" applyBorder="1"/>
    <xf numFmtId="164" fontId="4" fillId="0" borderId="3" xfId="1" applyNumberFormat="1" applyFont="1" applyBorder="1"/>
    <xf numFmtId="165" fontId="4" fillId="0" borderId="3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Fill="1" applyBorder="1"/>
    <xf numFmtId="0" fontId="0" fillId="0" borderId="2" xfId="0" applyFont="1" applyFill="1" applyBorder="1"/>
    <xf numFmtId="0" fontId="4" fillId="0" borderId="2" xfId="0" applyFont="1" applyFill="1" applyBorder="1"/>
    <xf numFmtId="164" fontId="4" fillId="0" borderId="2" xfId="1" applyNumberFormat="1" applyFont="1" applyBorder="1"/>
    <xf numFmtId="165" fontId="4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" fontId="0" fillId="0" borderId="2" xfId="0" applyNumberFormat="1" applyFont="1" applyBorder="1" applyAlignment="1">
      <alignment horizontal="left"/>
    </xf>
    <xf numFmtId="0" fontId="4" fillId="0" borderId="2" xfId="0" applyFont="1" applyFill="1" applyBorder="1" applyAlignment="1">
      <alignment vertical="top"/>
    </xf>
    <xf numFmtId="0" fontId="0" fillId="0" borderId="3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/>
    <xf numFmtId="0" fontId="4" fillId="0" borderId="1" xfId="0" applyNumberFormat="1" applyFont="1" applyFill="1" applyBorder="1"/>
    <xf numFmtId="0" fontId="0" fillId="0" borderId="0" xfId="0" applyAlignment="1">
      <alignment horizontal="left"/>
    </xf>
    <xf numFmtId="44" fontId="0" fillId="0" borderId="0" xfId="1" applyFont="1" applyAlignment="1"/>
    <xf numFmtId="44" fontId="0" fillId="0" borderId="4" xfId="1" applyFont="1" applyBorder="1"/>
    <xf numFmtId="164" fontId="0" fillId="2" borderId="4" xfId="1" applyNumberFormat="1" applyFont="1" applyFill="1" applyBorder="1"/>
    <xf numFmtId="164" fontId="7" fillId="0" borderId="4" xfId="1" applyNumberFormat="1" applyFont="1" applyBorder="1"/>
    <xf numFmtId="0" fontId="0" fillId="0" borderId="0" xfId="0" applyFont="1" applyBorder="1" applyAlignment="1"/>
    <xf numFmtId="0" fontId="7" fillId="0" borderId="0" xfId="0" applyFont="1" applyBorder="1" applyAlignment="1"/>
    <xf numFmtId="0" fontId="0" fillId="0" borderId="0" xfId="0" applyFont="1" applyFill="1" applyBorder="1" applyAlignment="1"/>
    <xf numFmtId="164" fontId="2" fillId="0" borderId="4" xfId="0" applyNumberFormat="1" applyFont="1" applyBorder="1"/>
    <xf numFmtId="164" fontId="0" fillId="0" borderId="9" xfId="1" applyNumberFormat="1" applyFont="1" applyBorder="1"/>
    <xf numFmtId="44" fontId="0" fillId="0" borderId="9" xfId="1" applyFont="1" applyBorder="1"/>
    <xf numFmtId="22" fontId="3" fillId="0" borderId="0" xfId="0" applyNumberFormat="1" applyFont="1" applyBorder="1" applyAlignment="1">
      <alignment horizontal="center"/>
    </xf>
    <xf numFmtId="22" fontId="3" fillId="0" borderId="0" xfId="0" applyNumberFormat="1" applyFont="1" applyBorder="1"/>
    <xf numFmtId="22" fontId="0" fillId="0" borderId="0" xfId="0" applyNumberFormat="1" applyFont="1"/>
    <xf numFmtId="166" fontId="0" fillId="0" borderId="0" xfId="0" applyNumberFormat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6" fontId="4" fillId="0" borderId="2" xfId="0" applyNumberFormat="1" applyFont="1" applyBorder="1" applyAlignment="1">
      <alignment horizontal="center" vertical="center"/>
    </xf>
    <xf numFmtId="0" fontId="0" fillId="0" borderId="0" xfId="0" applyNumberFormat="1" applyFont="1"/>
    <xf numFmtId="18" fontId="0" fillId="0" borderId="0" xfId="0" applyNumberFormat="1" applyFont="1"/>
    <xf numFmtId="1" fontId="0" fillId="0" borderId="0" xfId="0" applyNumberFormat="1" applyFont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0" fontId="4" fillId="0" borderId="0" xfId="0" applyNumberFormat="1" applyFont="1" applyFill="1"/>
    <xf numFmtId="0" fontId="2" fillId="0" borderId="0" xfId="0" applyFont="1"/>
    <xf numFmtId="44" fontId="0" fillId="0" borderId="0" xfId="1" applyFont="1" applyBorder="1"/>
    <xf numFmtId="9" fontId="0" fillId="0" borderId="0" xfId="0" applyNumberFormat="1" applyFont="1" applyBorder="1"/>
    <xf numFmtId="164" fontId="0" fillId="0" borderId="4" xfId="1" applyNumberFormat="1" applyFont="1" applyBorder="1"/>
    <xf numFmtId="0" fontId="0" fillId="0" borderId="0" xfId="0" applyFont="1" applyBorder="1" applyAlignment="1">
      <alignment vertical="center"/>
    </xf>
    <xf numFmtId="6" fontId="0" fillId="0" borderId="4" xfId="1" applyNumberFormat="1" applyFont="1" applyBorder="1"/>
    <xf numFmtId="164" fontId="5" fillId="0" borderId="0" xfId="1" applyNumberFormat="1" applyFont="1" applyBorder="1"/>
    <xf numFmtId="164" fontId="5" fillId="0" borderId="0" xfId="0" applyNumberFormat="1" applyFont="1"/>
    <xf numFmtId="9" fontId="5" fillId="0" borderId="0" xfId="0" applyNumberFormat="1" applyFont="1"/>
    <xf numFmtId="0" fontId="0" fillId="3" borderId="4" xfId="0" applyFont="1" applyFill="1" applyBorder="1" applyAlignment="1"/>
    <xf numFmtId="0" fontId="0" fillId="4" borderId="4" xfId="0" applyFont="1" applyFill="1" applyBorder="1"/>
    <xf numFmtId="164" fontId="0" fillId="5" borderId="4" xfId="1" applyNumberFormat="1" applyFont="1" applyFill="1" applyBorder="1"/>
    <xf numFmtId="0" fontId="3" fillId="5" borderId="0" xfId="0" applyFont="1" applyFill="1"/>
    <xf numFmtId="0" fontId="0" fillId="6" borderId="4" xfId="0" applyFont="1" applyFill="1" applyBorder="1"/>
    <xf numFmtId="0" fontId="0" fillId="0" borderId="4" xfId="0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right"/>
    </xf>
    <xf numFmtId="0" fontId="0" fillId="0" borderId="0" xfId="0" applyFont="1" applyAlignment="1"/>
    <xf numFmtId="0" fontId="0" fillId="8" borderId="20" xfId="0" applyFont="1" applyFill="1" applyBorder="1"/>
    <xf numFmtId="166" fontId="0" fillId="8" borderId="19" xfId="0" applyNumberFormat="1" applyFont="1" applyFill="1" applyBorder="1"/>
    <xf numFmtId="0" fontId="0" fillId="8" borderId="4" xfId="0" applyFont="1" applyFill="1" applyBorder="1"/>
    <xf numFmtId="166" fontId="0" fillId="8" borderId="32" xfId="0" applyNumberFormat="1" applyFont="1" applyFill="1" applyBorder="1"/>
    <xf numFmtId="0" fontId="0" fillId="8" borderId="18" xfId="0" applyFont="1" applyFill="1" applyBorder="1"/>
    <xf numFmtId="166" fontId="0" fillId="8" borderId="17" xfId="0" applyNumberFormat="1" applyFont="1" applyFill="1" applyBorder="1"/>
    <xf numFmtId="0" fontId="0" fillId="9" borderId="20" xfId="0" applyFont="1" applyFill="1" applyBorder="1"/>
    <xf numFmtId="166" fontId="0" fillId="9" borderId="19" xfId="0" applyNumberFormat="1" applyFont="1" applyFill="1" applyBorder="1"/>
    <xf numFmtId="0" fontId="0" fillId="9" borderId="4" xfId="0" applyFont="1" applyFill="1" applyBorder="1"/>
    <xf numFmtId="166" fontId="0" fillId="9" borderId="32" xfId="0" applyNumberFormat="1" applyFont="1" applyFill="1" applyBorder="1"/>
    <xf numFmtId="0" fontId="0" fillId="9" borderId="18" xfId="0" applyFont="1" applyFill="1" applyBorder="1"/>
    <xf numFmtId="166" fontId="0" fillId="9" borderId="17" xfId="0" applyNumberFormat="1" applyFont="1" applyFill="1" applyBorder="1"/>
    <xf numFmtId="0" fontId="0" fillId="10" borderId="20" xfId="0" applyFont="1" applyFill="1" applyBorder="1"/>
    <xf numFmtId="166" fontId="0" fillId="10" borderId="19" xfId="0" applyNumberFormat="1" applyFont="1" applyFill="1" applyBorder="1"/>
    <xf numFmtId="0" fontId="0" fillId="10" borderId="4" xfId="0" applyFont="1" applyFill="1" applyBorder="1"/>
    <xf numFmtId="166" fontId="0" fillId="10" borderId="32" xfId="0" applyNumberFormat="1" applyFont="1" applyFill="1" applyBorder="1"/>
    <xf numFmtId="0" fontId="0" fillId="10" borderId="18" xfId="0" applyFont="1" applyFill="1" applyBorder="1"/>
    <xf numFmtId="166" fontId="0" fillId="10" borderId="17" xfId="0" applyNumberFormat="1" applyFont="1" applyFill="1" applyBorder="1"/>
    <xf numFmtId="0" fontId="0" fillId="8" borderId="30" xfId="0" applyFont="1" applyFill="1" applyBorder="1" applyAlignment="1"/>
    <xf numFmtId="0" fontId="0" fillId="7" borderId="30" xfId="0" applyFont="1" applyFill="1" applyBorder="1" applyAlignment="1"/>
    <xf numFmtId="0" fontId="0" fillId="11" borderId="4" xfId="0" applyFont="1" applyFill="1" applyBorder="1" applyAlignment="1">
      <alignment horizontal="center"/>
    </xf>
    <xf numFmtId="1" fontId="0" fillId="11" borderId="4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/>
    </xf>
    <xf numFmtId="9" fontId="4" fillId="0" borderId="3" xfId="0" applyNumberFormat="1" applyFont="1" applyFill="1" applyBorder="1" applyAlignment="1">
      <alignment horizontal="center"/>
    </xf>
    <xf numFmtId="9" fontId="4" fillId="0" borderId="1" xfId="0" applyNumberFormat="1" applyFont="1" applyFill="1" applyBorder="1" applyAlignment="1">
      <alignment horizontal="center"/>
    </xf>
    <xf numFmtId="9" fontId="4" fillId="0" borderId="2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left"/>
    </xf>
    <xf numFmtId="0" fontId="4" fillId="0" borderId="22" xfId="0" applyFont="1" applyFill="1" applyBorder="1"/>
    <xf numFmtId="0" fontId="4" fillId="0" borderId="21" xfId="0" applyFont="1" applyFill="1" applyBorder="1"/>
    <xf numFmtId="0" fontId="4" fillId="0" borderId="26" xfId="0" applyFont="1" applyFill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16" fontId="0" fillId="0" borderId="25" xfId="0" applyNumberFormat="1" applyFont="1" applyBorder="1" applyAlignment="1">
      <alignment horizontal="left"/>
    </xf>
    <xf numFmtId="16" fontId="0" fillId="0" borderId="28" xfId="0" applyNumberFormat="1" applyFont="1" applyBorder="1" applyAlignment="1">
      <alignment horizontal="left"/>
    </xf>
    <xf numFmtId="49" fontId="4" fillId="0" borderId="1" xfId="0" applyNumberFormat="1" applyFont="1" applyFill="1" applyBorder="1" applyAlignment="1">
      <alignment horizontal="center"/>
    </xf>
    <xf numFmtId="164" fontId="4" fillId="0" borderId="3" xfId="1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4" fillId="0" borderId="2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7" fontId="4" fillId="0" borderId="3" xfId="1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6" fontId="3" fillId="0" borderId="0" xfId="0" applyNumberFormat="1" applyFont="1" applyBorder="1" applyAlignment="1">
      <alignment horizontal="left" vertical="center"/>
    </xf>
    <xf numFmtId="0" fontId="3" fillId="0" borderId="21" xfId="0" applyFont="1" applyFill="1" applyBorder="1"/>
    <xf numFmtId="166" fontId="3" fillId="0" borderId="0" xfId="0" applyNumberFormat="1" applyFont="1" applyBorder="1" applyAlignment="1">
      <alignment horizontal="center" vertical="center"/>
    </xf>
    <xf numFmtId="164" fontId="8" fillId="0" borderId="0" xfId="1" applyNumberFormat="1" applyFont="1" applyBorder="1"/>
    <xf numFmtId="165" fontId="3" fillId="0" borderId="0" xfId="1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16" fontId="3" fillId="0" borderId="0" xfId="0" applyNumberFormat="1" applyFont="1" applyBorder="1" applyAlignment="1">
      <alignment horizontal="left"/>
    </xf>
    <xf numFmtId="14" fontId="8" fillId="0" borderId="0" xfId="0" applyNumberFormat="1" applyFont="1" applyFill="1" applyBorder="1"/>
    <xf numFmtId="0" fontId="4" fillId="0" borderId="0" xfId="0" applyFont="1"/>
    <xf numFmtId="0" fontId="4" fillId="0" borderId="0" xfId="0" applyFont="1" applyBorder="1"/>
    <xf numFmtId="0" fontId="0" fillId="11" borderId="35" xfId="0" applyFont="1" applyFill="1" applyBorder="1" applyAlignment="1">
      <alignment horizontal="center"/>
    </xf>
    <xf numFmtId="0" fontId="0" fillId="11" borderId="36" xfId="0" applyFont="1" applyFill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9" fillId="0" borderId="14" xfId="0" applyFont="1" applyBorder="1" applyAlignment="1">
      <alignment horizontal="left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4" borderId="10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right" vertical="center"/>
    </xf>
    <xf numFmtId="0" fontId="0" fillId="8" borderId="30" xfId="0" applyFont="1" applyFill="1" applyBorder="1" applyAlignment="1">
      <alignment horizontal="right" vertical="center"/>
    </xf>
    <xf numFmtId="0" fontId="0" fillId="7" borderId="29" xfId="0" applyFont="1" applyFill="1" applyBorder="1" applyAlignment="1">
      <alignment horizontal="right" vertical="center"/>
    </xf>
    <xf numFmtId="0" fontId="0" fillId="7" borderId="30" xfId="0" applyFont="1" applyFill="1" applyBorder="1" applyAlignment="1">
      <alignment horizontal="right" vertical="center"/>
    </xf>
    <xf numFmtId="22" fontId="0" fillId="8" borderId="22" xfId="0" applyNumberFormat="1" applyFont="1" applyFill="1" applyBorder="1" applyAlignment="1">
      <alignment horizontal="right" vertical="center"/>
    </xf>
    <xf numFmtId="22" fontId="0" fillId="8" borderId="31" xfId="0" applyNumberFormat="1" applyFont="1" applyFill="1" applyBorder="1" applyAlignment="1">
      <alignment horizontal="right" vertical="center"/>
    </xf>
    <xf numFmtId="22" fontId="0" fillId="8" borderId="21" xfId="0" applyNumberFormat="1" applyFont="1" applyFill="1" applyBorder="1" applyAlignment="1">
      <alignment horizontal="right" vertical="center"/>
    </xf>
    <xf numFmtId="22" fontId="0" fillId="8" borderId="13" xfId="0" applyNumberFormat="1" applyFont="1" applyFill="1" applyBorder="1" applyAlignment="1">
      <alignment horizontal="right" vertical="center"/>
    </xf>
    <xf numFmtId="22" fontId="0" fillId="8" borderId="26" xfId="0" applyNumberFormat="1" applyFont="1" applyFill="1" applyBorder="1" applyAlignment="1">
      <alignment horizontal="right" vertical="center"/>
    </xf>
    <xf numFmtId="22" fontId="0" fillId="8" borderId="33" xfId="0" applyNumberFormat="1" applyFont="1" applyFill="1" applyBorder="1" applyAlignment="1">
      <alignment horizontal="right" vertical="center"/>
    </xf>
    <xf numFmtId="22" fontId="0" fillId="9" borderId="22" xfId="0" applyNumberFormat="1" applyFont="1" applyFill="1" applyBorder="1" applyAlignment="1">
      <alignment horizontal="right" vertical="center"/>
    </xf>
    <xf numFmtId="22" fontId="0" fillId="9" borderId="31" xfId="0" applyNumberFormat="1" applyFont="1" applyFill="1" applyBorder="1" applyAlignment="1">
      <alignment horizontal="right" vertical="center"/>
    </xf>
    <xf numFmtId="22" fontId="0" fillId="9" borderId="21" xfId="0" applyNumberFormat="1" applyFont="1" applyFill="1" applyBorder="1" applyAlignment="1">
      <alignment horizontal="right" vertical="center"/>
    </xf>
    <xf numFmtId="22" fontId="0" fillId="9" borderId="13" xfId="0" applyNumberFormat="1" applyFont="1" applyFill="1" applyBorder="1" applyAlignment="1">
      <alignment horizontal="right" vertical="center"/>
    </xf>
    <xf numFmtId="22" fontId="0" fillId="9" borderId="26" xfId="0" applyNumberFormat="1" applyFont="1" applyFill="1" applyBorder="1" applyAlignment="1">
      <alignment horizontal="right" vertical="center"/>
    </xf>
    <xf numFmtId="22" fontId="0" fillId="9" borderId="33" xfId="0" applyNumberFormat="1" applyFont="1" applyFill="1" applyBorder="1" applyAlignment="1">
      <alignment horizontal="right" vertical="center"/>
    </xf>
    <xf numFmtId="22" fontId="0" fillId="10" borderId="22" xfId="0" applyNumberFormat="1" applyFont="1" applyFill="1" applyBorder="1" applyAlignment="1">
      <alignment horizontal="right" vertical="center"/>
    </xf>
    <xf numFmtId="22" fontId="0" fillId="10" borderId="23" xfId="0" applyNumberFormat="1" applyFont="1" applyFill="1" applyBorder="1" applyAlignment="1">
      <alignment horizontal="right" vertical="center"/>
    </xf>
    <xf numFmtId="22" fontId="0" fillId="10" borderId="21" xfId="0" applyNumberFormat="1" applyFont="1" applyFill="1" applyBorder="1" applyAlignment="1">
      <alignment horizontal="right" vertical="center"/>
    </xf>
    <xf numFmtId="22" fontId="0" fillId="10" borderId="0" xfId="0" applyNumberFormat="1" applyFont="1" applyFill="1" applyBorder="1" applyAlignment="1">
      <alignment horizontal="right" vertical="center"/>
    </xf>
    <xf numFmtId="22" fontId="0" fillId="10" borderId="26" xfId="0" applyNumberFormat="1" applyFont="1" applyFill="1" applyBorder="1" applyAlignment="1">
      <alignment horizontal="right" vertical="center"/>
    </xf>
    <xf numFmtId="22" fontId="0" fillId="10" borderId="27" xfId="0" applyNumberFormat="1" applyFont="1" applyFill="1" applyBorder="1" applyAlignment="1">
      <alignment horizontal="right" vertic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0" fillId="3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11" borderId="34" xfId="0" applyFont="1" applyFill="1" applyBorder="1" applyAlignment="1">
      <alignment horizontal="center"/>
    </xf>
    <xf numFmtId="0" fontId="0" fillId="11" borderId="4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29">
    <dxf>
      <fill>
        <patternFill>
          <bgColor rgb="FFEBE1FF"/>
        </patternFill>
      </fill>
    </dxf>
    <dxf>
      <fill>
        <patternFill>
          <bgColor rgb="FF4DBF2C"/>
        </patternFill>
      </fill>
    </dxf>
    <dxf>
      <fill>
        <patternFill>
          <bgColor rgb="FF72AC23"/>
        </patternFill>
      </fill>
    </dxf>
    <dxf>
      <fill>
        <patternFill>
          <bgColor rgb="FF7FA620"/>
        </patternFill>
      </fill>
    </dxf>
    <dxf>
      <fill>
        <patternFill>
          <bgColor rgb="FF989919"/>
        </patternFill>
      </fill>
    </dxf>
    <dxf>
      <fill>
        <patternFill>
          <bgColor rgb="FFB18D13"/>
        </patternFill>
      </fill>
    </dxf>
    <dxf>
      <fill>
        <patternFill>
          <bgColor rgb="FFFD6700"/>
        </patternFill>
      </fill>
    </dxf>
    <dxf>
      <fill>
        <patternFill>
          <bgColor rgb="FFFF6600"/>
        </patternFill>
      </fill>
    </dxf>
    <dxf>
      <font>
        <b/>
        <i val="0"/>
        <color theme="0"/>
      </font>
      <fill>
        <patternFill>
          <bgColor rgb="FF0066FF"/>
        </patternFill>
      </fill>
    </dxf>
    <dxf>
      <font>
        <b/>
        <i val="0"/>
        <color rgb="FFFF0000"/>
      </font>
      <fill>
        <patternFill>
          <bgColor rgb="FFFFEFEF"/>
        </patternFill>
      </fill>
    </dxf>
    <dxf>
      <font>
        <b/>
        <i val="0"/>
        <color rgb="FFFF0000"/>
      </font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FFC000"/>
      </font>
      <fill>
        <patternFill>
          <bgColor theme="7" tint="0.79998168889431442"/>
        </patternFill>
      </fill>
    </dxf>
    <dxf>
      <font>
        <b/>
        <i val="0"/>
        <color rgb="FFFFC000"/>
      </font>
      <fill>
        <patternFill>
          <bgColor theme="7" tint="0.79998168889431442"/>
        </patternFill>
      </fill>
    </dxf>
    <dxf>
      <font>
        <b/>
        <i val="0"/>
        <color rgb="FFFFC000"/>
      </font>
      <fill>
        <patternFill>
          <bgColor theme="7" tint="0.79998168889431442"/>
        </patternFill>
      </fill>
    </dxf>
    <dxf>
      <font>
        <b/>
        <i val="0"/>
        <color rgb="FF00B050"/>
      </font>
    </dxf>
    <dxf>
      <fill>
        <patternFill>
          <bgColor rgb="FF4DBF2C"/>
        </patternFill>
      </fill>
    </dxf>
    <dxf>
      <fill>
        <patternFill>
          <bgColor rgb="FF72AC23"/>
        </patternFill>
      </fill>
    </dxf>
    <dxf>
      <fill>
        <patternFill>
          <bgColor rgb="FF7FA620"/>
        </patternFill>
      </fill>
    </dxf>
    <dxf>
      <fill>
        <patternFill>
          <bgColor rgb="FF989919"/>
        </patternFill>
      </fill>
    </dxf>
    <dxf>
      <fill>
        <patternFill>
          <bgColor rgb="FFB18D13"/>
        </patternFill>
      </fill>
    </dxf>
    <dxf>
      <fill>
        <patternFill>
          <bgColor rgb="FFFD6700"/>
        </patternFill>
      </fill>
    </dxf>
    <dxf>
      <fill>
        <patternFill>
          <bgColor rgb="FFFF6600"/>
        </patternFill>
      </fill>
    </dxf>
    <dxf>
      <fill>
        <patternFill>
          <bgColor rgb="FF66CCFF"/>
        </patternFill>
      </fill>
    </dxf>
    <dxf>
      <font>
        <b/>
        <i val="0"/>
        <color rgb="FF002060"/>
      </font>
      <fill>
        <patternFill>
          <bgColor theme="7" tint="0.39994506668294322"/>
        </patternFill>
      </fill>
    </dxf>
    <dxf>
      <font>
        <b/>
        <i val="0"/>
        <color rgb="FF7030A0"/>
      </font>
      <fill>
        <patternFill>
          <bgColor rgb="FFEED5FF"/>
        </patternFill>
      </fill>
    </dxf>
    <dxf>
      <font>
        <b/>
        <i val="0"/>
        <color rgb="FFFF0000"/>
      </font>
      <fill>
        <patternFill>
          <bgColor rgb="FFFFE1E1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EBE1FF"/>
      <color rgb="FFFF9966"/>
      <color rgb="FFDEC8EE"/>
      <color rgb="FFE4D2F2"/>
      <color rgb="FFDCC5ED"/>
      <color rgb="FFFF6600"/>
      <color rgb="FFFD6700"/>
      <color rgb="FFB18D13"/>
      <color rgb="FF989919"/>
      <color rgb="FF7FA6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Prospection</a:t>
            </a:r>
            <a:r>
              <a:rPr lang="en-US" baseline="0"/>
              <a:t> geographical distribution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CE-4841-A751-C0F95A5D8AB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CE-4841-A751-C0F95A5D8AB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7CE-4841-A751-C0F95A5D8AB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7CE-4841-A751-C0F95A5D8AB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7CE-4841-A751-C0F95A5D8A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'2021'!$E$70:$E$74</c:f>
              <c:strCache>
                <c:ptCount val="5"/>
                <c:pt idx="0">
                  <c:v>Europe</c:v>
                </c:pt>
                <c:pt idx="1">
                  <c:v>Asia</c:v>
                </c:pt>
                <c:pt idx="2">
                  <c:v>N. America</c:v>
                </c:pt>
                <c:pt idx="3">
                  <c:v>S. America</c:v>
                </c:pt>
                <c:pt idx="4">
                  <c:v>RoW</c:v>
                </c:pt>
              </c:strCache>
            </c:strRef>
          </c:cat>
          <c:val>
            <c:numRef>
              <c:f>'2021'!$F$70:$F$74</c:f>
              <c:numCache>
                <c:formatCode>_-* #\ ##0\ "€"_-;\-* #\ ##0\ "€"_-;_-*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D2-40C6-9064-D482E6561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 Worldwide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5B-4112-9C53-0B48B2D51E4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5B-4112-9C53-0B48B2D51E4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5B-4112-9C53-0B48B2D51E4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5B-4112-9C53-0B48B2D51E4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5B-4112-9C53-0B48B2D51E4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'2021'!$E$76:$E$80</c:f>
              <c:strCache>
                <c:ptCount val="5"/>
                <c:pt idx="0">
                  <c:v>Europe</c:v>
                </c:pt>
                <c:pt idx="1">
                  <c:v>Asia</c:v>
                </c:pt>
                <c:pt idx="2">
                  <c:v>N. America</c:v>
                </c:pt>
                <c:pt idx="3">
                  <c:v>S. America</c:v>
                </c:pt>
                <c:pt idx="4">
                  <c:v>RoW</c:v>
                </c:pt>
              </c:strCache>
            </c:strRef>
          </c:cat>
          <c:val>
            <c:numRef>
              <c:f>'2021'!$F$76:$F$80</c:f>
              <c:numCache>
                <c:formatCode>_-* #\ ##0\ "€"_-;\-* #\ ##0\ "€"_-;_-*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0B-4365-80E2-5C2128D35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 situation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'2021'!$D$107</c:f>
              <c:strCache>
                <c:ptCount val="1"/>
                <c:pt idx="0">
                  <c:v>Encours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'2021'!$C$108:$C$112</c:f>
              <c:strCache>
                <c:ptCount val="5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  <c:pt idx="4">
                  <c:v>NN</c:v>
                </c:pt>
              </c:strCache>
            </c:strRef>
          </c:cat>
          <c:val>
            <c:numRef>
              <c:f>'2021'!$D$108:$D$112</c:f>
              <c:numCache>
                <c:formatCode>_-* #\ ##0\ "€"_-;\-* #\ ##0\ "€"_-;_-*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5A-47E8-9A20-FD554532F1A2}"/>
            </c:ext>
          </c:extLst>
        </c:ser>
        <c:ser>
          <c:idx val="1"/>
          <c:order val="1"/>
          <c:tx>
            <c:strRef>
              <c:f>'2021'!$E$107</c:f>
              <c:strCache>
                <c:ptCount val="1"/>
                <c:pt idx="0">
                  <c:v>Signed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'2021'!$C$108:$C$112</c:f>
              <c:strCache>
                <c:ptCount val="5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  <c:pt idx="4">
                  <c:v>NN</c:v>
                </c:pt>
              </c:strCache>
            </c:strRef>
          </c:cat>
          <c:val>
            <c:numRef>
              <c:f>'2021'!$E$108:$E$112</c:f>
              <c:numCache>
                <c:formatCode>_-* #\ ##0\ "€"_-;\-* #\ ##0\ "€"_-;_-* "-"??\ "€"_-;_-@_-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5A-47E8-9A20-FD554532F1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52887519"/>
        <c:axId val="1143369839"/>
      </c:barChart>
      <c:catAx>
        <c:axId val="952887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3369839"/>
        <c:crosses val="autoZero"/>
        <c:auto val="1"/>
        <c:lblAlgn val="ctr"/>
        <c:lblOffset val="100"/>
        <c:noMultiLvlLbl val="0"/>
      </c:catAx>
      <c:valAx>
        <c:axId val="114336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887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1505856</xdr:colOff>
      <xdr:row>80</xdr:row>
      <xdr:rowOff>44109</xdr:rowOff>
    </xdr:from>
    <xdr:to>
      <xdr:col>7</xdr:col>
      <xdr:colOff>526142</xdr:colOff>
      <xdr:row>93</xdr:row>
      <xdr:rowOff>9071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F0808FC-5832-4796-8DDE-B913F1266E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18142</xdr:colOff>
      <xdr:row>93</xdr:row>
      <xdr:rowOff>44111</xdr:rowOff>
    </xdr:from>
    <xdr:to>
      <xdr:col>7</xdr:col>
      <xdr:colOff>517070</xdr:colOff>
      <xdr:row>104</xdr:row>
      <xdr:rowOff>127001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497C1CA-47FF-43FF-B1CD-53777AE2B4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3968</xdr:colOff>
      <xdr:row>113</xdr:row>
      <xdr:rowOff>172244</xdr:rowOff>
    </xdr:from>
    <xdr:to>
      <xdr:col>8</xdr:col>
      <xdr:colOff>752928</xdr:colOff>
      <xdr:row>130</xdr:row>
      <xdr:rowOff>150813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4604BC3-B33A-4979-891C-85DCB500E0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0.70833</cdr:x>
      <cdr:y>0.18895</cdr:y>
    </cdr:from>
    <cdr:to>
      <cdr:x>0.97049</cdr:x>
      <cdr:y>0.34809</cdr:y>
    </cdr:to>
    <cdr:sp macro="" textlink="'2021'!$F$64">
      <cdr:nvSpPr>
        <cdr:cNvPr id="5" name="ZoneTexte 4">
          <a:extLst xmlns:a="http://schemas.openxmlformats.org/drawingml/2006/main">
            <a:ext uri="{FF2B5EF4-FFF2-40B4-BE49-F238E27FC236}">
              <a16:creationId xmlns:a16="http://schemas.microsoft.com/office/drawing/2014/main" id="{3A802199-3CFF-4DD7-8412-5ECC73BDDDDD}"/>
            </a:ext>
          </a:extLst>
        </cdr:cNvPr>
        <cdr:cNvSpPr txBox="1"/>
      </cdr:nvSpPr>
      <cdr:spPr>
        <a:xfrm xmlns:a="http://schemas.openxmlformats.org/drawingml/2006/main">
          <a:off x="3238500" y="518319"/>
          <a:ext cx="1198563" cy="4365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1B7D0BC5-0F35-4FD9-BA02-8EEF588E574A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 -   € </a:t>
          </a:fld>
          <a:endParaRPr lang="en-US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0.71615</cdr:x>
      <cdr:y>0.16291</cdr:y>
    </cdr:from>
    <cdr:to>
      <cdr:x>0.95747</cdr:x>
      <cdr:y>0.33073</cdr:y>
    </cdr:to>
    <cdr:sp macro="" textlink="'2021'!$F$62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6A8BEF14-C752-4938-81C7-FF748DC8AF4E}"/>
            </a:ext>
          </a:extLst>
        </cdr:cNvPr>
        <cdr:cNvSpPr txBox="1"/>
      </cdr:nvSpPr>
      <cdr:spPr>
        <a:xfrm xmlns:a="http://schemas.openxmlformats.org/drawingml/2006/main">
          <a:off x="3274219" y="446882"/>
          <a:ext cx="1103313" cy="460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fld id="{74593F8D-6541-4A82-AEB9-7F241140333E}" type="TxLink">
            <a:rPr lang="en-US" sz="1100" b="1" i="0" u="none" strike="noStrike">
              <a:solidFill>
                <a:srgbClr val="00B050"/>
              </a:solidFill>
              <a:latin typeface="Calibri"/>
              <a:cs typeface="Calibri"/>
            </a:rPr>
            <a:pPr algn="ctr"/>
            <a:t> -   € </a:t>
          </a:fld>
          <a:endParaRPr lang="en-US" sz="1100" b="1">
            <a:solidFill>
              <a:sysClr val="windowText" lastClr="000000"/>
            </a:solidFill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0.12957</cdr:x>
      <cdr:y>0.45918</cdr:y>
    </cdr:from>
    <cdr:to>
      <cdr:x>1</cdr:x>
      <cdr:y>0.54932</cdr:y>
    </cdr:to>
    <cdr:grpSp>
      <cdr:nvGrpSpPr>
        <cdr:cNvPr id="5" name="Groupe 4">
          <a:extLst xmlns:a="http://schemas.openxmlformats.org/drawingml/2006/main">
            <a:ext uri="{FF2B5EF4-FFF2-40B4-BE49-F238E27FC236}">
              <a16:creationId xmlns:a16="http://schemas.microsoft.com/office/drawing/2014/main" id="{E24A4FF5-B009-4832-BB47-E0094F360C60}"/>
            </a:ext>
          </a:extLst>
        </cdr:cNvPr>
        <cdr:cNvGrpSpPr/>
      </cdr:nvGrpSpPr>
      <cdr:grpSpPr>
        <a:xfrm xmlns:a="http://schemas.openxmlformats.org/drawingml/2006/main">
          <a:off x="578951" y="1406406"/>
          <a:ext cx="3889295" cy="276086"/>
          <a:chOff x="600613" y="1621638"/>
          <a:chExt cx="4034887" cy="277813"/>
        </a:xfrm>
      </cdr:grpSpPr>
      <cdr:cxnSp macro="">
        <cdr:nvCxnSpPr>
          <cdr:cNvPr id="3" name="Connecteur droit 2">
            <a:extLst xmlns:a="http://schemas.openxmlformats.org/drawingml/2006/main">
              <a:ext uri="{FF2B5EF4-FFF2-40B4-BE49-F238E27FC236}">
                <a16:creationId xmlns:a16="http://schemas.microsoft.com/office/drawing/2014/main" id="{2D336D2E-CA7B-4593-B098-A3735A51E107}"/>
              </a:ext>
            </a:extLst>
          </cdr:cNvPr>
          <cdr:cNvCxnSpPr/>
        </cdr:nvCxnSpPr>
        <cdr:spPr>
          <a:xfrm xmlns:a="http://schemas.openxmlformats.org/drawingml/2006/main">
            <a:off x="600613" y="1828005"/>
            <a:ext cx="3963393" cy="0"/>
          </a:xfrm>
          <a:prstGeom xmlns:a="http://schemas.openxmlformats.org/drawingml/2006/main" prst="line">
            <a:avLst/>
          </a:prstGeom>
          <a:ln xmlns:a="http://schemas.openxmlformats.org/drawingml/2006/main" w="28575">
            <a:solidFill>
              <a:srgbClr val="FF6600"/>
            </a:solidFill>
            <a:prstDash val="sysDash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sp macro="" textlink="">
        <cdr:nvSpPr>
          <cdr:cNvPr id="4" name="ZoneTexte 3">
            <a:extLst xmlns:a="http://schemas.openxmlformats.org/drawingml/2006/main">
              <a:ext uri="{FF2B5EF4-FFF2-40B4-BE49-F238E27FC236}">
                <a16:creationId xmlns:a16="http://schemas.microsoft.com/office/drawing/2014/main" id="{1AB00B22-C07F-4A46-9734-753CB7C3334A}"/>
              </a:ext>
            </a:extLst>
          </cdr:cNvPr>
          <cdr:cNvSpPr txBox="1"/>
        </cdr:nvSpPr>
        <cdr:spPr>
          <a:xfrm xmlns:a="http://schemas.openxmlformats.org/drawingml/2006/main">
            <a:off x="3753682" y="1621638"/>
            <a:ext cx="881818" cy="277813"/>
          </a:xfrm>
          <a:prstGeom xmlns:a="http://schemas.openxmlformats.org/drawingml/2006/main" prst="rect">
            <a:avLst/>
          </a:prstGeom>
        </cdr:spPr>
        <cdr:txBody>
          <a:bodyPr xmlns:a="http://schemas.openxmlformats.org/drawingml/2006/main" vertOverflow="clip" wrap="square" rtlCol="0"/>
          <a:lstStyle xmlns:a="http://schemas.openxmlformats.org/drawingml/2006/main"/>
          <a:p xmlns:a="http://schemas.openxmlformats.org/drawingml/2006/main">
            <a:pPr algn="ctr"/>
            <a:r>
              <a:rPr lang="en-US" sz="800" b="1" i="1">
                <a:solidFill>
                  <a:srgbClr val="FF6600"/>
                </a:solidFill>
              </a:rPr>
              <a:t>Quarter Target</a:t>
            </a:r>
          </a:p>
        </cdr:txBody>
      </cdr:sp>
    </cdr:grp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25CA-29DE-4D58-B5A0-85973E5D30D3}">
  <sheetPr codeName="Feuil7"/>
  <dimension ref="A1:W204"/>
  <sheetViews>
    <sheetView tabSelected="1" zoomScale="70" zoomScaleNormal="70" workbookViewId="0">
      <pane xSplit="2" ySplit="12" topLeftCell="C13" activePane="bottomRight" state="frozen"/>
      <selection pane="topRight" activeCell="C1" sqref="C1"/>
      <selection pane="bottomLeft" activeCell="A4" sqref="A4"/>
      <selection pane="bottomRight" activeCell="F112" sqref="F112"/>
    </sheetView>
  </sheetViews>
  <sheetFormatPr baseColWidth="10" defaultRowHeight="14.5" outlineLevelRow="1" outlineLevelCol="2" x14ac:dyDescent="0.35"/>
  <cols>
    <col min="1" max="1" width="9.36328125" style="6" customWidth="1"/>
    <col min="2" max="2" width="21.81640625" style="6" customWidth="1"/>
    <col min="3" max="3" width="5.54296875" style="6" customWidth="1"/>
    <col min="4" max="4" width="10.6328125" style="6" customWidth="1"/>
    <col min="5" max="5" width="10.1796875" style="6" customWidth="1"/>
    <col min="6" max="6" width="12" style="6" customWidth="1"/>
    <col min="7" max="7" width="4.6328125" style="25" customWidth="1"/>
    <col min="8" max="8" width="10.26953125" style="11" customWidth="1"/>
    <col min="9" max="9" width="14.08984375" style="6" customWidth="1" outlineLevel="1"/>
    <col min="10" max="15" width="9.453125" style="6" hidden="1" customWidth="1" outlineLevel="2"/>
    <col min="16" max="16" width="31.6328125" style="6" customWidth="1" outlineLevel="1" collapsed="1"/>
    <col min="17" max="17" width="19.08984375" style="6" customWidth="1"/>
    <col min="18" max="18" width="6.08984375" style="6" customWidth="1"/>
    <col min="19" max="19" width="82.6328125" style="6" customWidth="1"/>
    <col min="20" max="20" width="10.90625" style="6"/>
    <col min="21" max="21" width="11.90625" style="6" bestFit="1" customWidth="1"/>
    <col min="22" max="16384" width="10.90625" style="6"/>
  </cols>
  <sheetData>
    <row r="1" spans="1:22" ht="15" thickBot="1" x14ac:dyDescent="0.4">
      <c r="A1" s="97" t="s">
        <v>97</v>
      </c>
      <c r="B1" s="86">
        <f ca="1">NOW()</f>
        <v>44285.30955578704</v>
      </c>
      <c r="E1" s="92"/>
      <c r="H1" s="69"/>
      <c r="I1" s="93"/>
      <c r="J1" s="93"/>
      <c r="K1" s="93"/>
      <c r="L1" s="93"/>
      <c r="M1" s="93"/>
      <c r="N1" s="93"/>
      <c r="O1" s="93"/>
    </row>
    <row r="2" spans="1:22" ht="13" customHeight="1" outlineLevel="1" thickBot="1" x14ac:dyDescent="0.4">
      <c r="A2" s="97"/>
      <c r="B2" s="189" t="s">
        <v>118</v>
      </c>
      <c r="C2" s="190"/>
      <c r="D2" s="116" t="s">
        <v>96</v>
      </c>
      <c r="E2" s="117">
        <f ca="1">NOW()+TIME(8,0,0)</f>
        <v>44285.642889120376</v>
      </c>
      <c r="F2" s="185" t="s">
        <v>115</v>
      </c>
      <c r="G2" s="186"/>
      <c r="H2" s="134">
        <f ca="1">COUNTIF($H13:$H59,TODAY())</f>
        <v>7</v>
      </c>
      <c r="I2" s="115"/>
      <c r="J2" s="115"/>
      <c r="K2" s="115"/>
      <c r="L2" s="115"/>
      <c r="M2" s="115"/>
      <c r="N2" s="115"/>
      <c r="O2" s="115"/>
      <c r="P2" s="114" t="s">
        <v>125</v>
      </c>
      <c r="Q2" s="100">
        <f>(SUM($F13:$F59)-F62)</f>
        <v>0</v>
      </c>
      <c r="R2" s="14"/>
    </row>
    <row r="3" spans="1:22" ht="13" customHeight="1" outlineLevel="1" thickBot="1" x14ac:dyDescent="0.4">
      <c r="A3" s="97"/>
      <c r="B3" s="191"/>
      <c r="C3" s="192"/>
      <c r="D3" s="118" t="s">
        <v>41</v>
      </c>
      <c r="E3" s="119">
        <f ca="1">NOW()+TIME(8,0,0)</f>
        <v>44285.642889120376</v>
      </c>
      <c r="F3" s="187" t="s">
        <v>116</v>
      </c>
      <c r="G3" s="188"/>
      <c r="H3" s="135">
        <f ca="1">COUNTIF($H13:$H59,"&lt;"&amp;TODAY())</f>
        <v>1</v>
      </c>
      <c r="I3" s="115"/>
      <c r="J3" s="115"/>
      <c r="K3" s="115"/>
      <c r="L3" s="115"/>
      <c r="M3" s="115"/>
      <c r="N3" s="115"/>
      <c r="O3" s="115"/>
      <c r="P3" s="114" t="s">
        <v>126</v>
      </c>
      <c r="Q3" s="100">
        <f>SUMIF(G13:G59,"Yes",F13:F59)</f>
        <v>0</v>
      </c>
    </row>
    <row r="4" spans="1:22" ht="13" customHeight="1" outlineLevel="1" thickBot="1" x14ac:dyDescent="0.4">
      <c r="A4" s="97"/>
      <c r="B4" s="193"/>
      <c r="C4" s="194"/>
      <c r="D4" s="120" t="s">
        <v>42</v>
      </c>
      <c r="E4" s="121">
        <f ca="1">NOW()+TIME(7,0,0)</f>
        <v>44285.601222453704</v>
      </c>
      <c r="F4" s="169" t="s">
        <v>121</v>
      </c>
      <c r="G4" s="170"/>
      <c r="H4" s="115"/>
      <c r="I4" s="115"/>
      <c r="J4" s="115"/>
      <c r="K4" s="115"/>
      <c r="L4" s="115"/>
      <c r="M4" s="115"/>
      <c r="N4" s="115"/>
      <c r="O4" s="115"/>
      <c r="P4" s="114" t="s">
        <v>127</v>
      </c>
      <c r="Q4" s="100">
        <f>SUMIF(R13:R58,100%,F13:F58)</f>
        <v>0</v>
      </c>
    </row>
    <row r="5" spans="1:22" ht="13" customHeight="1" outlineLevel="1" x14ac:dyDescent="0.35">
      <c r="A5" s="97"/>
      <c r="B5" s="195" t="s">
        <v>119</v>
      </c>
      <c r="C5" s="196"/>
      <c r="D5" s="122" t="s">
        <v>39</v>
      </c>
      <c r="E5" s="123">
        <f ca="1">NOW()+TIME(1,0,0)</f>
        <v>44285.351222453704</v>
      </c>
      <c r="F5" s="215" t="s">
        <v>122</v>
      </c>
      <c r="G5" s="216"/>
      <c r="H5" s="136">
        <f ca="1">COUNTIFS($H13:$H59,TODAY(),$D13:$D59,"Japan")+COUNTIFS($H13:$H59,TODAY(),$D13:$D59,"South Korea")+COUNTIFS($H13:$H59,TODAY(),$D13:$D59,"Taiwan")+COUNTIFS($H13:$H59,TODAY(),$D13:$D59,"China")</f>
        <v>0</v>
      </c>
      <c r="I5" s="93"/>
      <c r="J5" s="93"/>
      <c r="K5" s="93"/>
      <c r="L5" s="93"/>
      <c r="M5" s="93"/>
      <c r="N5" s="93"/>
      <c r="O5" s="93"/>
      <c r="Q5" s="14"/>
    </row>
    <row r="6" spans="1:22" ht="13" customHeight="1" outlineLevel="1" x14ac:dyDescent="0.35">
      <c r="A6" s="97"/>
      <c r="B6" s="197"/>
      <c r="C6" s="198"/>
      <c r="D6" s="124" t="s">
        <v>114</v>
      </c>
      <c r="E6" s="125">
        <f ca="1">NOW()</f>
        <v>44285.30955578704</v>
      </c>
      <c r="F6" s="215" t="s">
        <v>123</v>
      </c>
      <c r="G6" s="216"/>
      <c r="H6" s="136">
        <f ca="1">COUNTIFS($H13:$H59,TODAY(),$D13:$D59,"*EUR*")+COUNTIFS($H13:$H59,TODAY(),$D13:$D59,"Israel")</f>
        <v>3</v>
      </c>
      <c r="I6" s="93"/>
      <c r="J6" s="93"/>
      <c r="K6" s="93"/>
      <c r="L6" s="93"/>
      <c r="M6" s="93"/>
      <c r="N6" s="93"/>
      <c r="O6" s="93"/>
    </row>
    <row r="7" spans="1:22" ht="13" customHeight="1" outlineLevel="1" thickBot="1" x14ac:dyDescent="0.4">
      <c r="A7" s="97"/>
      <c r="B7" s="199"/>
      <c r="C7" s="200"/>
      <c r="D7" s="126" t="s">
        <v>117</v>
      </c>
      <c r="E7" s="127">
        <f ca="1">NOW()-TIME(1,0,0)</f>
        <v>44285.267889120376</v>
      </c>
      <c r="F7" s="215" t="s">
        <v>124</v>
      </c>
      <c r="G7" s="216"/>
      <c r="H7" s="137">
        <f ca="1">COUNTIFS($H13:$H59,TODAY(),$D13:$D59,"Canada")+COUNTIFS($H13:$H59,TODAY(),$D13:$D59,"*USA*")+COUNTIFS($H13:$H59,TODAY(),$D13:$D59,"Brazil")</f>
        <v>4</v>
      </c>
      <c r="I7" s="93"/>
      <c r="J7" s="93"/>
      <c r="K7" s="93"/>
      <c r="L7" s="93"/>
      <c r="M7" s="93"/>
      <c r="N7" s="93"/>
      <c r="O7" s="93"/>
    </row>
    <row r="8" spans="1:22" ht="13" customHeight="1" outlineLevel="1" x14ac:dyDescent="0.35">
      <c r="A8" s="97"/>
      <c r="B8" s="201" t="s">
        <v>120</v>
      </c>
      <c r="C8" s="202"/>
      <c r="D8" s="128" t="s">
        <v>40</v>
      </c>
      <c r="E8" s="129">
        <f ca="1">NOW()-TIME(5,0,0)</f>
        <v>44285.101222453704</v>
      </c>
      <c r="H8" s="69"/>
      <c r="I8" s="93"/>
      <c r="J8" s="93"/>
      <c r="K8" s="93"/>
      <c r="L8" s="93"/>
      <c r="M8" s="93"/>
      <c r="N8" s="93"/>
      <c r="O8" s="93"/>
    </row>
    <row r="9" spans="1:22" ht="13" customHeight="1" outlineLevel="1" x14ac:dyDescent="0.35">
      <c r="A9" s="97"/>
      <c r="B9" s="203"/>
      <c r="C9" s="204"/>
      <c r="D9" s="130" t="s">
        <v>43</v>
      </c>
      <c r="E9" s="131">
        <f ca="1">NOW()-TIME(5,0,0)</f>
        <v>44285.101222453704</v>
      </c>
      <c r="H9" s="69"/>
      <c r="I9" s="93"/>
      <c r="J9" s="93"/>
      <c r="K9" s="93"/>
      <c r="L9" s="93"/>
      <c r="M9" s="93"/>
      <c r="N9" s="93"/>
      <c r="O9" s="93"/>
    </row>
    <row r="10" spans="1:22" ht="13" customHeight="1" outlineLevel="1" x14ac:dyDescent="0.35">
      <c r="A10" s="97"/>
      <c r="B10" s="203"/>
      <c r="C10" s="204"/>
      <c r="D10" s="130" t="s">
        <v>44</v>
      </c>
      <c r="E10" s="131">
        <f ca="1">NOW()-TIME(6,0,0)</f>
        <v>44285.05955578704</v>
      </c>
      <c r="H10" s="69"/>
      <c r="I10" s="93"/>
      <c r="J10" s="93"/>
      <c r="K10" s="93"/>
      <c r="L10" s="93"/>
      <c r="M10" s="93"/>
      <c r="N10" s="93"/>
      <c r="O10" s="93"/>
      <c r="P10" s="138"/>
    </row>
    <row r="11" spans="1:22" ht="13" customHeight="1" outlineLevel="1" thickBot="1" x14ac:dyDescent="0.4">
      <c r="B11" s="205"/>
      <c r="C11" s="206"/>
      <c r="D11" s="132" t="s">
        <v>46</v>
      </c>
      <c r="E11" s="133">
        <f ca="1">NOW()-TIME(8,0,0)</f>
        <v>44284.976222453704</v>
      </c>
    </row>
    <row r="12" spans="1:22" s="12" customFormat="1" ht="42.5" customHeight="1" thickBot="1" x14ac:dyDescent="0.4">
      <c r="A12" s="51" t="s">
        <v>9</v>
      </c>
      <c r="B12" s="52" t="s">
        <v>0</v>
      </c>
      <c r="C12" s="52" t="s">
        <v>89</v>
      </c>
      <c r="D12" s="52" t="s">
        <v>90</v>
      </c>
      <c r="E12" s="52" t="s">
        <v>91</v>
      </c>
      <c r="F12" s="52" t="s">
        <v>4</v>
      </c>
      <c r="G12" s="52" t="s">
        <v>64</v>
      </c>
      <c r="H12" s="52" t="s">
        <v>61</v>
      </c>
      <c r="I12" s="52" t="s">
        <v>51</v>
      </c>
      <c r="J12" s="52" t="s">
        <v>135</v>
      </c>
      <c r="K12" s="52" t="s">
        <v>136</v>
      </c>
      <c r="L12" s="52" t="s">
        <v>137</v>
      </c>
      <c r="M12" s="52" t="s">
        <v>138</v>
      </c>
      <c r="N12" s="52" t="s">
        <v>139</v>
      </c>
      <c r="O12" s="52" t="s">
        <v>140</v>
      </c>
      <c r="P12" s="52" t="s">
        <v>92</v>
      </c>
      <c r="Q12" s="53" t="s">
        <v>8</v>
      </c>
      <c r="R12" s="53" t="s">
        <v>93</v>
      </c>
      <c r="S12" s="52" t="s">
        <v>1</v>
      </c>
    </row>
    <row r="13" spans="1:22" x14ac:dyDescent="0.35">
      <c r="A13" s="54" t="s">
        <v>5</v>
      </c>
      <c r="B13" s="55"/>
      <c r="C13" s="55" t="s">
        <v>57</v>
      </c>
      <c r="D13" s="55" t="s">
        <v>39</v>
      </c>
      <c r="E13" s="88">
        <f ca="1">IF($D13:$D59="EUR - FR",NOW(),IF($D13:$D59="EUR - DE",NOW(),IF($D13:$D59="EUR - UK",NOW()-TIME(1,0,0),IF($D13:$D59="EUR - IT",NOW(),IF($D13:$D59="EUR - SP",NOW(),IF($D13:$D59="EUR - CH",NOW(),IF($D13:$D59="EUR - DK",NOW(),IF($D13:$D59="EUR - BE",NOW(),IF($D13:$D59="EUR - CZ",NOW(),IF($D13:$D59="EUR - AUS",NOW(),IF($D13:$D59="Israel",NOW()+TIME(1,0,0),IF($D13:$D59="USA - EST",NOW()-TIME(5,0,0),IF($D13:$D59="USA - CST",NOW()-TIME(6,0,0),IF($D13:$D59="USA - MST",NOW()-TIME(7,0,0),IF($D13:$D59="USA - PST",NOW()-TIME(8,0,0),IF($D13:$D59="Brazil",NOW()-TIME(5,0,0),IF($D13:$D59="Japan",NOW()+TIME(8,0,0),IF($D13:$D59="South Korea",NOW()+TIME(8,0,0),IF($D13:$D59="Taiwan",NOW()+TIME(7,0,0),IF($D13:$D59="China",NOW()=TIME(7,0,0),IF($D13:$D59="RoW",NOW(),"")))))))))))))))))))))</f>
        <v>44285.351222453704</v>
      </c>
      <c r="F13" s="56"/>
      <c r="G13" s="56" t="s">
        <v>68</v>
      </c>
      <c r="H13" s="57" t="s">
        <v>62</v>
      </c>
      <c r="I13" s="58"/>
      <c r="J13" s="156"/>
      <c r="K13" s="156"/>
      <c r="L13" s="156"/>
      <c r="M13" s="151"/>
      <c r="N13" s="151"/>
      <c r="O13" s="151"/>
      <c r="P13" s="55"/>
      <c r="Q13" s="143" t="s">
        <v>15</v>
      </c>
      <c r="R13" s="139" t="str">
        <f>_xlfn.IFS($Q13="Closed Won","100%",$Q13="Prospecting","P",$Q13="Qualification","10%",$Q13="Needs Analysis","20%",$Q13="Value Proposition","50%",$Q13="ID° of Decision Makers","60%",$Q13="Perception Analysis","70%",$Q13="Proposal/Price Quote","75%",$Q13="Negociation/review","90%",$Q13="Closed Lost","Lost",$Q13="","")</f>
        <v>100%</v>
      </c>
      <c r="S13" s="146"/>
      <c r="T13" s="17"/>
      <c r="V13" s="13"/>
    </row>
    <row r="14" spans="1:22" x14ac:dyDescent="0.35">
      <c r="A14" s="29" t="s">
        <v>5</v>
      </c>
      <c r="B14" s="32"/>
      <c r="C14" s="32" t="s">
        <v>56</v>
      </c>
      <c r="D14" s="32" t="s">
        <v>94</v>
      </c>
      <c r="E14" s="89">
        <f t="shared" ref="E14:E20" ca="1" si="0">IF($D13:$D59="EUR - FR",NOW(),IF($D13:$D59="EUR - DE",NOW(),IF($D13:$D59="EUR - UK",NOW()-TIME(1,0,0),IF($D13:$D59="EUR - IT",NOW(),IF($D13:$D59="EUR - SP",NOW(),IF($D13:$D59="EUR - CH",NOW(),IF($D13:$D59="EUR - DK",NOW(),IF($D13:$D59="EUR - BE",NOW(),IF($D13:$D59="EUR - CZ",NOW(),IF($D13:$D59="EUR - AUS",NOW(),IF($D13:$D59="Israel",NOW()+TIME(1,0,0),IF($D13:$D59="USA - EST",NOW()-TIME(5,0,0),IF($D13:$D59="USA - CST",NOW()-TIME(6,0,0),IF($D13:$D59="USA - MST",NOW()-TIME(7,0,0),IF($D13:$D59="USA - PST",NOW()-TIME(8,0,0),IF($D13:$D59="Brazil",NOW()-TIME(5,0,0),IF($D13:$D59="Japan",NOW()+TIME(8,0,0),IF($D13:$D59="South Korea",NOW()+TIME(8,0,0),IF($D13:$D59="Taiwan",NOW()+TIME(7,0,0),IF($D13:$D59="China",NOW()=TIME(7,0,0),IF($D13:$D59="RoW",NOW(),"")))))))))))))))))))))</f>
        <v>44285.30955578704</v>
      </c>
      <c r="F14" s="34"/>
      <c r="G14" s="34" t="s">
        <v>68</v>
      </c>
      <c r="H14" s="36" t="s">
        <v>62</v>
      </c>
      <c r="I14" s="40"/>
      <c r="J14" s="152"/>
      <c r="K14" s="152"/>
      <c r="L14" s="152"/>
      <c r="M14" s="152"/>
      <c r="N14" s="152"/>
      <c r="O14" s="152"/>
      <c r="P14" s="32"/>
      <c r="Q14" s="144" t="s">
        <v>15</v>
      </c>
      <c r="R14" s="140" t="str">
        <f>_xlfn.IFS($Q14="Closed Won","100%",$Q14="Prospecting","P",$Q14="Qualification","10%",$Q14="Needs Analysis","20%",$Q14="Value Proposition","50%",$Q14="ID° of Decision Makers","60%",$Q14="Perception Analysis","70%",$Q14="Proposal/Price Quote","75%",$Q14="Negociation/review","90%",$Q14="Closed Lost","Lost",$Q14="","")</f>
        <v>100%</v>
      </c>
      <c r="S14" s="147"/>
      <c r="T14" s="17"/>
      <c r="V14" s="13"/>
    </row>
    <row r="15" spans="1:22" ht="14.5" customHeight="1" x14ac:dyDescent="0.35">
      <c r="A15" s="29" t="s">
        <v>5</v>
      </c>
      <c r="B15" s="33"/>
      <c r="C15" s="33" t="s">
        <v>56</v>
      </c>
      <c r="D15" s="30" t="s">
        <v>35</v>
      </c>
      <c r="E15" s="89">
        <f t="shared" ca="1" si="0"/>
        <v>44285.30955578704</v>
      </c>
      <c r="F15" s="34"/>
      <c r="G15" s="34" t="s">
        <v>67</v>
      </c>
      <c r="H15" s="36">
        <v>44285</v>
      </c>
      <c r="I15" s="40"/>
      <c r="J15" s="152"/>
      <c r="K15" s="152"/>
      <c r="L15" s="152"/>
      <c r="M15" s="152"/>
      <c r="N15" s="152"/>
      <c r="O15" s="152"/>
      <c r="P15" s="32"/>
      <c r="Q15" s="144" t="s">
        <v>17</v>
      </c>
      <c r="R15" s="140" t="str">
        <f t="shared" ref="R15" si="1">_xlfn.IFS($Q15="Closed Won","100%",$Q15="Prospecting","P",$Q15="Qualification","10%",$Q15="Needs Analysis","20%",$Q15="Value Proposition","50%",$Q15="ID° of Decision Makers","60%",$Q15="Perception Analysis","70%",$Q15="Proposal/Price Quote","75%",$Q15="Negociation/review","90%",$Q15="Closed Lost","Lost",$Q15="","")</f>
        <v>90%</v>
      </c>
      <c r="S15" s="148"/>
      <c r="T15" s="18"/>
      <c r="V15" s="13"/>
    </row>
    <row r="16" spans="1:22" ht="14.5" customHeight="1" thickBot="1" x14ac:dyDescent="0.4">
      <c r="A16" s="60" t="s">
        <v>5</v>
      </c>
      <c r="B16" s="61"/>
      <c r="C16" s="61" t="s">
        <v>55</v>
      </c>
      <c r="D16" s="31" t="s">
        <v>46</v>
      </c>
      <c r="E16" s="91">
        <f t="shared" ca="1" si="0"/>
        <v>44284.976222453704</v>
      </c>
      <c r="F16" s="62"/>
      <c r="G16" s="62" t="s">
        <v>67</v>
      </c>
      <c r="H16" s="63">
        <v>44285</v>
      </c>
      <c r="I16" s="64"/>
      <c r="J16" s="153"/>
      <c r="K16" s="153"/>
      <c r="L16" s="153"/>
      <c r="M16" s="153"/>
      <c r="N16" s="153"/>
      <c r="O16" s="153"/>
      <c r="P16" s="65"/>
      <c r="Q16" s="145" t="s">
        <v>17</v>
      </c>
      <c r="R16" s="141" t="str">
        <f t="shared" ref="R16:R59" si="2">_xlfn.IFS($Q16="Closed Won","100%",$Q16="Prospecting","P",$Q16="Qualification","10%",$Q16="Needs Analysis","20%",$Q16="Value Proposition","50%",$Q16="ID° of Decision Makers","60%",$Q16="Perception Analysis","70%",$Q16="Proposal/Price Quote","75%",$Q16="Negociation/review","90%",$Q16="Closed Lost","Lost",$Q16="","")</f>
        <v>90%</v>
      </c>
      <c r="S16" s="149"/>
      <c r="T16" s="18"/>
      <c r="V16" s="13"/>
    </row>
    <row r="17" spans="1:22" s="13" customFormat="1" x14ac:dyDescent="0.35">
      <c r="A17" s="29" t="s">
        <v>6</v>
      </c>
      <c r="B17" s="29"/>
      <c r="C17" s="29" t="s">
        <v>54</v>
      </c>
      <c r="D17" s="29" t="s">
        <v>40</v>
      </c>
      <c r="E17" s="89">
        <f t="shared" ca="1" si="0"/>
        <v>44285.101222453704</v>
      </c>
      <c r="F17" s="34"/>
      <c r="G17" s="34" t="s">
        <v>67</v>
      </c>
      <c r="H17" s="36">
        <v>44285</v>
      </c>
      <c r="I17" s="70"/>
      <c r="J17" s="152"/>
      <c r="K17" s="152"/>
      <c r="L17" s="152"/>
      <c r="M17" s="152"/>
      <c r="N17" s="152"/>
      <c r="O17" s="152"/>
      <c r="P17" s="71"/>
      <c r="Q17" s="72" t="s">
        <v>17</v>
      </c>
      <c r="R17" s="140" t="str">
        <f t="shared" si="2"/>
        <v>90%</v>
      </c>
      <c r="S17" s="46"/>
      <c r="T17" s="17"/>
    </row>
    <row r="18" spans="1:22" x14ac:dyDescent="0.35">
      <c r="A18" s="29" t="s">
        <v>6</v>
      </c>
      <c r="B18" s="30"/>
      <c r="C18" s="30" t="s">
        <v>54</v>
      </c>
      <c r="D18" s="30" t="s">
        <v>35</v>
      </c>
      <c r="E18" s="89">
        <f t="shared" ca="1" si="0"/>
        <v>44285.30955578704</v>
      </c>
      <c r="F18" s="34"/>
      <c r="G18" s="34" t="s">
        <v>67</v>
      </c>
      <c r="H18" s="36">
        <v>44285</v>
      </c>
      <c r="I18" s="40"/>
      <c r="J18" s="152"/>
      <c r="K18" s="152"/>
      <c r="L18" s="152"/>
      <c r="M18" s="152"/>
      <c r="N18" s="152"/>
      <c r="O18" s="152"/>
      <c r="P18" s="32"/>
      <c r="Q18" s="33" t="s">
        <v>17</v>
      </c>
      <c r="R18" s="140" t="str">
        <f t="shared" si="2"/>
        <v>90%</v>
      </c>
      <c r="S18" s="46"/>
      <c r="T18" s="18"/>
      <c r="V18" s="13"/>
    </row>
    <row r="19" spans="1:22" x14ac:dyDescent="0.35">
      <c r="A19" s="29" t="s">
        <v>6</v>
      </c>
      <c r="B19" s="33"/>
      <c r="C19" s="33" t="s">
        <v>54</v>
      </c>
      <c r="D19" s="33" t="s">
        <v>42</v>
      </c>
      <c r="E19" s="89">
        <f t="shared" ca="1" si="0"/>
        <v>44285.601222453704</v>
      </c>
      <c r="F19" s="34"/>
      <c r="G19" s="34" t="s">
        <v>67</v>
      </c>
      <c r="H19" s="36">
        <v>44286</v>
      </c>
      <c r="I19" s="40"/>
      <c r="J19" s="152"/>
      <c r="K19" s="152"/>
      <c r="L19" s="152"/>
      <c r="M19" s="152"/>
      <c r="N19" s="152"/>
      <c r="O19" s="152"/>
      <c r="P19" s="32"/>
      <c r="Q19" s="33" t="s">
        <v>17</v>
      </c>
      <c r="R19" s="140" t="str">
        <f t="shared" si="2"/>
        <v>90%</v>
      </c>
      <c r="S19" s="49"/>
      <c r="T19" s="18"/>
      <c r="V19" s="13"/>
    </row>
    <row r="20" spans="1:22" x14ac:dyDescent="0.35">
      <c r="A20" s="29" t="s">
        <v>6</v>
      </c>
      <c r="B20" s="30"/>
      <c r="C20" s="30" t="s">
        <v>54</v>
      </c>
      <c r="D20" s="30" t="s">
        <v>43</v>
      </c>
      <c r="E20" s="89">
        <f t="shared" ca="1" si="0"/>
        <v>44285.101222453704</v>
      </c>
      <c r="F20" s="34"/>
      <c r="G20" s="34" t="s">
        <v>67</v>
      </c>
      <c r="H20" s="36">
        <v>44285</v>
      </c>
      <c r="I20" s="40"/>
      <c r="J20" s="152"/>
      <c r="K20" s="152"/>
      <c r="L20" s="152"/>
      <c r="M20" s="152"/>
      <c r="N20" s="152"/>
      <c r="O20" s="152"/>
      <c r="P20" s="32"/>
      <c r="Q20" s="33" t="s">
        <v>18</v>
      </c>
      <c r="R20" s="140" t="str">
        <f t="shared" si="2"/>
        <v>75%</v>
      </c>
      <c r="S20" s="50"/>
      <c r="T20" s="18"/>
      <c r="V20" s="13"/>
    </row>
    <row r="21" spans="1:22" s="24" customFormat="1" x14ac:dyDescent="0.35">
      <c r="A21" s="33" t="s">
        <v>6</v>
      </c>
      <c r="B21" s="32"/>
      <c r="C21" s="32" t="s">
        <v>57</v>
      </c>
      <c r="D21" s="32" t="s">
        <v>37</v>
      </c>
      <c r="E21" s="89">
        <f ca="1">IF($D19:$D65="EUR - FR",NOW(),IF($D19:$D65="EUR - DE",NOW(),IF($D19:$D65="EUR - UK",NOW()-TIME(1,0,0),IF($D19:$D65="EUR - IT",NOW(),IF($D19:$D65="EUR - SP",NOW(),IF($D19:$D65="EUR - CH",NOW(),IF($D19:$D65="EUR - DK",NOW(),IF($D19:$D65="EUR - BE",NOW(),IF($D19:$D65="EUR - CZ",NOW(),IF($D19:$D65="EUR - AUS",NOW(),IF($D19:$D65="Israel",NOW()+TIME(1,0,0),IF($D19:$D65="USA - EST",NOW()-TIME(5,0,0),IF($D19:$D65="USA - CST",NOW()-TIME(6,0,0),IF($D19:$D65="USA - MST",NOW()-TIME(7,0,0),IF($D19:$D65="USA - PST",NOW()-TIME(8,0,0),IF($D19:$D65="Brazil",NOW()-TIME(5,0,0),IF($D19:$D65="Japan",NOW()+TIME(8,0,0),IF($D19:$D65="South Korea",NOW()+TIME(8,0,0),IF($D19:$D65="Taiwan",NOW()+TIME(7,0,0),IF($D19:$D65="China",NOW()=TIME(7,0,0),IF($D19:$D65="RoW",NOW(),"")))))))))))))))))))))</f>
        <v>44285.30955578704</v>
      </c>
      <c r="F21" s="34"/>
      <c r="G21" s="34" t="s">
        <v>67</v>
      </c>
      <c r="H21" s="36">
        <v>44294</v>
      </c>
      <c r="I21" s="40"/>
      <c r="J21" s="152"/>
      <c r="K21" s="152"/>
      <c r="L21" s="152"/>
      <c r="M21" s="152"/>
      <c r="N21" s="152"/>
      <c r="O21" s="152"/>
      <c r="P21" s="32"/>
      <c r="Q21" s="33" t="s">
        <v>14</v>
      </c>
      <c r="R21" s="140" t="str">
        <f t="shared" si="2"/>
        <v>70%</v>
      </c>
      <c r="S21" s="47"/>
      <c r="T21" s="23"/>
      <c r="V21" s="22"/>
    </row>
    <row r="22" spans="1:22" ht="14.5" customHeight="1" x14ac:dyDescent="0.35">
      <c r="A22" s="29" t="s">
        <v>6</v>
      </c>
      <c r="B22" s="33"/>
      <c r="C22" s="33" t="s">
        <v>54</v>
      </c>
      <c r="D22" s="30" t="s">
        <v>37</v>
      </c>
      <c r="E22" s="89">
        <f ca="1">IF($D21:$D66="EUR - FR",NOW(),IF($D21:$D66="EUR - DE",NOW(),IF($D21:$D66="EUR - UK",NOW()-TIME(1,0,0),IF($D21:$D66="EUR - IT",NOW(),IF($D21:$D66="EUR - SP",NOW(),IF($D21:$D66="EUR - CH",NOW(),IF($D21:$D66="EUR - DK",NOW(),IF($D21:$D66="EUR - BE",NOW(),IF($D21:$D66="EUR - CZ",NOW(),IF($D21:$D66="EUR - AUS",NOW(),IF($D21:$D66="Israel",NOW()+TIME(1,0,0),IF($D21:$D66="USA - EST",NOW()-TIME(5,0,0),IF($D21:$D66="USA - CST",NOW()-TIME(6,0,0),IF($D21:$D66="USA - MST",NOW()-TIME(7,0,0),IF($D21:$D66="USA - PST",NOW()-TIME(8,0,0),IF($D21:$D66="Brazil",NOW()-TIME(5,0,0),IF($D21:$D66="Japan",NOW()+TIME(8,0,0),IF($D21:$D66="South Korea",NOW()+TIME(8,0,0),IF($D21:$D66="Taiwan",NOW()+TIME(7,0,0),IF($D21:$D66="China",NOW()=TIME(7,0,0),IF($D21:$D66="RoW",NOW(),"")))))))))))))))))))))</f>
        <v>44285.30955578704</v>
      </c>
      <c r="F22" s="34"/>
      <c r="G22" s="34" t="s">
        <v>67</v>
      </c>
      <c r="H22" s="36">
        <v>44310</v>
      </c>
      <c r="I22" s="40"/>
      <c r="J22" s="157"/>
      <c r="K22" s="157"/>
      <c r="L22" s="157"/>
      <c r="M22" s="152"/>
      <c r="N22" s="152"/>
      <c r="O22" s="152"/>
      <c r="P22" s="32"/>
      <c r="Q22" s="33" t="s">
        <v>11</v>
      </c>
      <c r="R22" s="140" t="str">
        <f t="shared" si="2"/>
        <v>50%</v>
      </c>
      <c r="S22" s="46"/>
      <c r="T22" s="18"/>
      <c r="V22" s="13"/>
    </row>
    <row r="23" spans="1:22" ht="14.5" customHeight="1" x14ac:dyDescent="0.35">
      <c r="A23" s="29" t="s">
        <v>6</v>
      </c>
      <c r="B23" s="33"/>
      <c r="C23" s="33" t="s">
        <v>57</v>
      </c>
      <c r="D23" s="30" t="s">
        <v>35</v>
      </c>
      <c r="E23" s="89">
        <f ca="1">IF($D22:$D67="EUR - FR",NOW(),IF($D22:$D67="EUR - DE",NOW(),IF($D22:$D67="EUR - UK",NOW()-TIME(1,0,0),IF($D22:$D67="EUR - IT",NOW(),IF($D22:$D67="EUR - SP",NOW(),IF($D22:$D67="EUR - CH",NOW(),IF($D22:$D67="EUR - DK",NOW(),IF($D22:$D67="EUR - BE",NOW(),IF($D22:$D67="EUR - CZ",NOW(),IF($D22:$D67="EUR - AUS",NOW(),IF($D22:$D67="Israel",NOW()+TIME(1,0,0),IF($D22:$D67="USA - EST",NOW()-TIME(5,0,0),IF($D22:$D67="USA - CST",NOW()-TIME(6,0,0),IF($D22:$D67="USA - MST",NOW()-TIME(7,0,0),IF($D22:$D67="USA - PST",NOW()-TIME(8,0,0),IF($D22:$D67="Brazil",NOW()-TIME(5,0,0),IF($D22:$D67="Japan",NOW()+TIME(8,0,0),IF($D22:$D67="South Korea",NOW()+TIME(8,0,0),IF($D22:$D67="Taiwan",NOW()+TIME(7,0,0),IF($D22:$D67="China",NOW()=TIME(7,0,0),IF($D22:$D67="RoW",NOW(),"")))))))))))))))))))))</f>
        <v>44285.30955578704</v>
      </c>
      <c r="F23" s="34"/>
      <c r="G23" s="34" t="s">
        <v>67</v>
      </c>
      <c r="H23" s="36">
        <v>44286</v>
      </c>
      <c r="I23" s="40"/>
      <c r="J23" s="157"/>
      <c r="K23" s="157"/>
      <c r="L23" s="157"/>
      <c r="M23" s="152"/>
      <c r="N23" s="152"/>
      <c r="O23" s="152"/>
      <c r="P23" s="32"/>
      <c r="Q23" s="33" t="s">
        <v>14</v>
      </c>
      <c r="R23" s="140" t="str">
        <f t="shared" si="2"/>
        <v>70%</v>
      </c>
      <c r="S23" s="46"/>
      <c r="T23" s="18"/>
      <c r="V23" s="13"/>
    </row>
    <row r="24" spans="1:22" ht="14.5" customHeight="1" x14ac:dyDescent="0.35">
      <c r="A24" s="29" t="s">
        <v>6</v>
      </c>
      <c r="B24" s="33"/>
      <c r="C24" s="33" t="s">
        <v>57</v>
      </c>
      <c r="D24" s="30" t="s">
        <v>43</v>
      </c>
      <c r="E24" s="89">
        <f ca="1">IF($D23:$D68="EUR - FR",NOW(),IF($D23:$D68="EUR - DE",NOW(),IF($D23:$D68="EUR - UK",NOW()-TIME(1,0,0),IF($D23:$D68="EUR - IT",NOW(),IF($D23:$D68="EUR - SP",NOW(),IF($D23:$D68="EUR - CH",NOW(),IF($D23:$D68="EUR - DK",NOW(),IF($D23:$D68="EUR - BE",NOW(),IF($D23:$D68="EUR - CZ",NOW(),IF($D23:$D68="EUR - AUS",NOW(),IF($D23:$D68="Israel",NOW()+TIME(1,0,0),IF($D23:$D68="USA - EST",NOW()-TIME(5,0,0),IF($D23:$D68="USA - CST",NOW()-TIME(6,0,0),IF($D23:$D68="USA - MST",NOW()-TIME(7,0,0),IF($D23:$D68="USA - PST",NOW()-TIME(8,0,0),IF($D23:$D68="Brazil",NOW()-TIME(5,0,0),IF($D23:$D68="Japan",NOW()+TIME(8,0,0),IF($D23:$D68="South Korea",NOW()+TIME(8,0,0),IF($D23:$D68="Taiwan",NOW()+TIME(7,0,0),IF($D23:$D68="China",NOW()=TIME(7,0,0),IF($D23:$D68="RoW",NOW(),"")))))))))))))))))))))</f>
        <v>44285.101222453704</v>
      </c>
      <c r="F24" s="34"/>
      <c r="G24" s="34" t="s">
        <v>67</v>
      </c>
      <c r="H24" s="36">
        <v>44298</v>
      </c>
      <c r="I24" s="40"/>
      <c r="J24" s="157"/>
      <c r="K24" s="157"/>
      <c r="L24" s="157"/>
      <c r="M24" s="152"/>
      <c r="N24" s="152"/>
      <c r="O24" s="152"/>
      <c r="P24" s="32"/>
      <c r="Q24" s="33" t="s">
        <v>21</v>
      </c>
      <c r="R24" s="140" t="str">
        <f t="shared" si="2"/>
        <v>60%</v>
      </c>
      <c r="S24" s="46"/>
      <c r="T24" s="18"/>
      <c r="V24" s="13"/>
    </row>
    <row r="25" spans="1:22" ht="14.5" customHeight="1" x14ac:dyDescent="0.35">
      <c r="A25" s="29" t="s">
        <v>6</v>
      </c>
      <c r="B25" s="33"/>
      <c r="C25" s="33" t="s">
        <v>56</v>
      </c>
      <c r="D25" s="30" t="s">
        <v>32</v>
      </c>
      <c r="E25" s="89">
        <f ca="1">IF($D25:$D70="EUR - FR",NOW(),IF($D25:$D70="EUR - DE",NOW(),IF($D25:$D70="EUR - UK",NOW()-TIME(1,0,0),IF($D25:$D70="EUR - IT",NOW(),IF($D25:$D70="EUR - SP",NOW(),IF($D25:$D70="EUR - CH",NOW(),IF($D25:$D70="EUR - DK",NOW(),IF($D25:$D70="EUR - BE",NOW(),IF($D25:$D70="EUR - CZ",NOW(),IF($D25:$D70="EUR - AUS",NOW(),IF($D25:$D70="Israel",NOW()+TIME(1,0,0),IF($D25:$D70="USA - EST",NOW()-TIME(5,0,0),IF($D25:$D70="USA - CST",NOW()-TIME(6,0,0),IF($D25:$D70="USA - MST",NOW()-TIME(7,0,0),IF($D25:$D70="USA - PST",NOW()-TIME(8,0,0),IF($D25:$D70="Brazil",NOW()-TIME(5,0,0),IF($D25:$D70="Japan",NOW()+TIME(8,0,0),IF($D25:$D70="South Korea",NOW()+TIME(8,0,0),IF($D25:$D70="Taiwan",NOW()+TIME(7,0,0),IF($D25:$D70="China",NOW()=TIME(7,0,0),IF($D25:$D70="RoW",NOW(),"")))))))))))))))))))))</f>
        <v>44285.30955578704</v>
      </c>
      <c r="F25" s="34"/>
      <c r="G25" s="34" t="s">
        <v>67</v>
      </c>
      <c r="H25" s="36">
        <v>44281</v>
      </c>
      <c r="I25" s="40"/>
      <c r="J25" s="157"/>
      <c r="K25" s="157"/>
      <c r="L25" s="157"/>
      <c r="M25" s="152"/>
      <c r="N25" s="152"/>
      <c r="O25" s="152"/>
      <c r="P25" s="32"/>
      <c r="Q25" s="33" t="s">
        <v>11</v>
      </c>
      <c r="R25" s="140" t="str">
        <f t="shared" si="2"/>
        <v>50%</v>
      </c>
      <c r="S25" s="46"/>
      <c r="T25" s="18"/>
      <c r="V25" s="13"/>
    </row>
    <row r="26" spans="1:22" ht="14.5" customHeight="1" x14ac:dyDescent="0.35">
      <c r="A26" s="29" t="s">
        <v>6</v>
      </c>
      <c r="B26" s="33"/>
      <c r="C26" s="33" t="s">
        <v>54</v>
      </c>
      <c r="D26" s="30" t="s">
        <v>43</v>
      </c>
      <c r="E26" s="89">
        <f ca="1">IF($D26:$D71="EUR - FR",NOW(),IF($D26:$D71="EUR - DE",NOW(),IF($D26:$D71="EUR - UK",NOW()-TIME(1,0,0),IF($D26:$D71="EUR - IT",NOW(),IF($D26:$D71="EUR - SP",NOW(),IF($D26:$D71="EUR - CH",NOW(),IF($D26:$D71="EUR - DK",NOW(),IF($D26:$D71="EUR - BE",NOW(),IF($D26:$D71="EUR - CZ",NOW(),IF($D26:$D71="EUR - AUS",NOW(),IF($D26:$D71="Israel",NOW()+TIME(1,0,0),IF($D26:$D71="USA - EST",NOW()-TIME(5,0,0),IF($D26:$D71="USA - CST",NOW()-TIME(6,0,0),IF($D26:$D71="USA - MST",NOW()-TIME(7,0,0),IF($D26:$D71="USA - PST",NOW()-TIME(8,0,0),IF($D26:$D71="Brazil",NOW()-TIME(5,0,0),IF($D26:$D71="Japan",NOW()+TIME(8,0,0),IF($D26:$D71="South Korea",NOW()+TIME(8,0,0),IF($D26:$D71="Taiwan",NOW()+TIME(7,0,0),IF($D26:$D71="China",NOW()=TIME(7,0,0),IF($D26:$D71="RoW",NOW(),"")))))))))))))))))))))</f>
        <v>44285.101222453704</v>
      </c>
      <c r="F26" s="34"/>
      <c r="G26" s="34" t="s">
        <v>67</v>
      </c>
      <c r="H26" s="36">
        <v>44285</v>
      </c>
      <c r="I26" s="40"/>
      <c r="J26" s="157"/>
      <c r="K26" s="157"/>
      <c r="L26" s="157"/>
      <c r="M26" s="152"/>
      <c r="N26" s="152"/>
      <c r="O26" s="152"/>
      <c r="P26" s="32"/>
      <c r="Q26" s="33" t="s">
        <v>13</v>
      </c>
      <c r="R26" s="140" t="str">
        <f t="shared" si="2"/>
        <v>20%</v>
      </c>
      <c r="S26" s="46"/>
      <c r="T26" s="18"/>
      <c r="V26" s="13"/>
    </row>
    <row r="27" spans="1:22" ht="14.5" customHeight="1" x14ac:dyDescent="0.35">
      <c r="A27" s="29" t="s">
        <v>6</v>
      </c>
      <c r="B27" s="33"/>
      <c r="C27" s="33" t="s">
        <v>54</v>
      </c>
      <c r="D27" s="30" t="s">
        <v>32</v>
      </c>
      <c r="E27" s="89">
        <f ca="1">IF($D25:$D71="EUR - FR",NOW(),IF($D25:$D71="EUR - DE",NOW(),IF($D25:$D71="EUR - UK",NOW()-TIME(1,0,0),IF($D25:$D71="EUR - IT",NOW(),IF($D25:$D71="EUR - SP",NOW(),IF($D25:$D71="EUR - CH",NOW(),IF($D25:$D71="EUR - DK",NOW(),IF($D25:$D71="EUR - BE",NOW(),IF($D25:$D71="EUR - CZ",NOW(),IF($D25:$D71="EUR - AUS",NOW(),IF($D25:$D71="Israel",NOW()+TIME(1,0,0),IF($D25:$D71="USA - EST",NOW()-TIME(5,0,0),IF($D25:$D71="USA - CST",NOW()-TIME(6,0,0),IF($D25:$D71="USA - MST",NOW()-TIME(7,0,0),IF($D25:$D71="USA - PST",NOW()-TIME(8,0,0),IF($D25:$D71="Brazil",NOW()-TIME(5,0,0),IF($D25:$D71="Japan",NOW()+TIME(8,0,0),IF($D25:$D71="South Korea",NOW()+TIME(8,0,0),IF($D25:$D71="Taiwan",NOW()+TIME(7,0,0),IF($D25:$D71="China",NOW()=TIME(7,0,0),IF($D25:$D71="RoW",NOW(),"")))))))))))))))))))))</f>
        <v>44285.30955578704</v>
      </c>
      <c r="F27" s="34"/>
      <c r="G27" s="34" t="s">
        <v>67</v>
      </c>
      <c r="H27" s="36">
        <v>44301</v>
      </c>
      <c r="I27" s="40"/>
      <c r="J27" s="157"/>
      <c r="K27" s="157"/>
      <c r="L27" s="157"/>
      <c r="M27" s="152"/>
      <c r="N27" s="152"/>
      <c r="O27" s="152"/>
      <c r="P27" s="32"/>
      <c r="Q27" s="33" t="s">
        <v>11</v>
      </c>
      <c r="R27" s="140" t="str">
        <f t="shared" si="2"/>
        <v>50%</v>
      </c>
      <c r="S27" s="46"/>
      <c r="T27" s="18"/>
      <c r="V27" s="13"/>
    </row>
    <row r="28" spans="1:22" ht="14.5" customHeight="1" x14ac:dyDescent="0.35">
      <c r="A28" s="29" t="s">
        <v>6</v>
      </c>
      <c r="B28" s="33"/>
      <c r="C28" s="33" t="s">
        <v>54</v>
      </c>
      <c r="D28" s="30" t="s">
        <v>32</v>
      </c>
      <c r="E28" s="89">
        <f t="shared" ref="E28:E45" ca="1" si="3">IF($D27:$D72="EUR - FR",NOW(),IF($D27:$D72="EUR - DE",NOW(),IF($D27:$D72="EUR - UK",NOW()-TIME(1,0,0),IF($D27:$D72="EUR - IT",NOW(),IF($D27:$D72="EUR - SP",NOW(),IF($D27:$D72="EUR - CH",NOW(),IF($D27:$D72="EUR - DK",NOW(),IF($D27:$D72="EUR - BE",NOW(),IF($D27:$D72="EUR - CZ",NOW(),IF($D27:$D72="EUR - AUS",NOW(),IF($D27:$D72="Israel",NOW()+TIME(1,0,0),IF($D27:$D72="USA - EST",NOW()-TIME(5,0,0),IF($D27:$D72="USA - CST",NOW()-TIME(6,0,0),IF($D27:$D72="USA - MST",NOW()-TIME(7,0,0),IF($D27:$D72="USA - PST",NOW()-TIME(8,0,0),IF($D27:$D72="Brazil",NOW()-TIME(5,0,0),IF($D27:$D72="Japan",NOW()+TIME(8,0,0),IF($D27:$D72="South Korea",NOW()+TIME(8,0,0),IF($D27:$D72="Taiwan",NOW()+TIME(7,0,0),IF($D27:$D72="China",NOW()=TIME(7,0,0),IF($D27:$D72="RoW",NOW(),"")))))))))))))))))))))</f>
        <v>44285.30955578704</v>
      </c>
      <c r="F28" s="34"/>
      <c r="G28" s="34" t="s">
        <v>67</v>
      </c>
      <c r="H28" s="36">
        <v>44286</v>
      </c>
      <c r="I28" s="40"/>
      <c r="J28" s="157"/>
      <c r="K28" s="157"/>
      <c r="L28" s="157"/>
      <c r="M28" s="152"/>
      <c r="N28" s="152"/>
      <c r="O28" s="152"/>
      <c r="P28" s="32"/>
      <c r="Q28" s="33" t="s">
        <v>11</v>
      </c>
      <c r="R28" s="140" t="str">
        <f t="shared" si="2"/>
        <v>50%</v>
      </c>
      <c r="S28" s="46"/>
      <c r="T28" s="18"/>
      <c r="V28" s="13"/>
    </row>
    <row r="29" spans="1:22" x14ac:dyDescent="0.35">
      <c r="A29" s="29" t="s">
        <v>6</v>
      </c>
      <c r="B29" s="33"/>
      <c r="C29" s="33" t="s">
        <v>54</v>
      </c>
      <c r="D29" s="32" t="s">
        <v>34</v>
      </c>
      <c r="E29" s="89">
        <f t="shared" ca="1" si="3"/>
        <v>44285.30955578704</v>
      </c>
      <c r="F29" s="34"/>
      <c r="G29" s="34" t="s">
        <v>67</v>
      </c>
      <c r="H29" s="36">
        <v>44291</v>
      </c>
      <c r="I29" s="40"/>
      <c r="J29" s="157"/>
      <c r="K29" s="157"/>
      <c r="L29" s="157"/>
      <c r="M29" s="152"/>
      <c r="N29" s="152"/>
      <c r="O29" s="152"/>
      <c r="P29" s="32"/>
      <c r="Q29" s="33" t="s">
        <v>13</v>
      </c>
      <c r="R29" s="140" t="str">
        <f t="shared" si="2"/>
        <v>20%</v>
      </c>
      <c r="S29" s="45"/>
      <c r="T29" s="17"/>
      <c r="V29" s="13"/>
    </row>
    <row r="30" spans="1:22" x14ac:dyDescent="0.35">
      <c r="A30" s="29" t="s">
        <v>63</v>
      </c>
      <c r="B30" s="33"/>
      <c r="C30" s="33" t="s">
        <v>54</v>
      </c>
      <c r="D30" s="32" t="s">
        <v>32</v>
      </c>
      <c r="E30" s="89">
        <f t="shared" ca="1" si="3"/>
        <v>44285.30955578704</v>
      </c>
      <c r="F30" s="34"/>
      <c r="G30" s="34" t="s">
        <v>67</v>
      </c>
      <c r="H30" s="36">
        <v>44285</v>
      </c>
      <c r="I30" s="40"/>
      <c r="J30" s="157"/>
      <c r="K30" s="157"/>
      <c r="L30" s="157"/>
      <c r="M30" s="152"/>
      <c r="N30" s="152"/>
      <c r="O30" s="152"/>
      <c r="P30" s="32"/>
      <c r="Q30" s="33" t="s">
        <v>13</v>
      </c>
      <c r="R30" s="140" t="str">
        <f t="shared" si="2"/>
        <v>20%</v>
      </c>
      <c r="S30" s="45"/>
      <c r="T30" s="17"/>
      <c r="V30" s="13"/>
    </row>
    <row r="31" spans="1:22" x14ac:dyDescent="0.35">
      <c r="A31" s="29" t="s">
        <v>6</v>
      </c>
      <c r="B31" s="33"/>
      <c r="C31" s="33" t="s">
        <v>54</v>
      </c>
      <c r="D31" s="32" t="s">
        <v>41</v>
      </c>
      <c r="E31" s="89">
        <f t="shared" ca="1" si="3"/>
        <v>44285.642889120376</v>
      </c>
      <c r="F31" s="34"/>
      <c r="G31" s="34" t="s">
        <v>67</v>
      </c>
      <c r="H31" s="36">
        <v>44292</v>
      </c>
      <c r="I31" s="40"/>
      <c r="J31" s="157"/>
      <c r="K31" s="157"/>
      <c r="L31" s="157"/>
      <c r="M31" s="152"/>
      <c r="N31" s="152"/>
      <c r="O31" s="152"/>
      <c r="P31" s="32"/>
      <c r="Q31" s="33" t="s">
        <v>14</v>
      </c>
      <c r="R31" s="140" t="str">
        <f t="shared" si="2"/>
        <v>70%</v>
      </c>
      <c r="S31" s="45"/>
      <c r="T31" s="17"/>
      <c r="V31" s="13"/>
    </row>
    <row r="32" spans="1:22" x14ac:dyDescent="0.35">
      <c r="A32" s="29" t="s">
        <v>6</v>
      </c>
      <c r="B32" s="32"/>
      <c r="C32" s="32" t="s">
        <v>54</v>
      </c>
      <c r="D32" s="32" t="s">
        <v>33</v>
      </c>
      <c r="E32" s="89">
        <f t="shared" ca="1" si="3"/>
        <v>44285.30955578704</v>
      </c>
      <c r="F32" s="34"/>
      <c r="G32" s="34" t="s">
        <v>67</v>
      </c>
      <c r="H32" s="36">
        <v>44305</v>
      </c>
      <c r="I32" s="40"/>
      <c r="J32" s="157"/>
      <c r="K32" s="157"/>
      <c r="L32" s="157"/>
      <c r="M32" s="152"/>
      <c r="N32" s="152"/>
      <c r="O32" s="152"/>
      <c r="P32" s="32"/>
      <c r="Q32" s="33" t="s">
        <v>11</v>
      </c>
      <c r="R32" s="140" t="str">
        <f t="shared" si="2"/>
        <v>50%</v>
      </c>
      <c r="S32" s="45"/>
      <c r="T32" s="17"/>
      <c r="V32" s="13"/>
    </row>
    <row r="33" spans="1:22" ht="14.5" customHeight="1" x14ac:dyDescent="0.35">
      <c r="A33" s="29" t="s">
        <v>6</v>
      </c>
      <c r="B33" s="33"/>
      <c r="C33" s="33" t="s">
        <v>54</v>
      </c>
      <c r="D33" s="30" t="s">
        <v>96</v>
      </c>
      <c r="E33" s="89">
        <f t="shared" ca="1" si="3"/>
        <v>44285.642889120376</v>
      </c>
      <c r="F33" s="34"/>
      <c r="G33" s="34" t="s">
        <v>67</v>
      </c>
      <c r="H33" s="36">
        <v>44292</v>
      </c>
      <c r="I33" s="40"/>
      <c r="J33" s="157"/>
      <c r="K33" s="157"/>
      <c r="L33" s="157"/>
      <c r="M33" s="152"/>
      <c r="N33" s="152"/>
      <c r="O33" s="152"/>
      <c r="P33" s="32"/>
      <c r="Q33" s="33" t="s">
        <v>11</v>
      </c>
      <c r="R33" s="140" t="str">
        <f t="shared" si="2"/>
        <v>50%</v>
      </c>
      <c r="S33" s="46"/>
      <c r="T33" s="18"/>
      <c r="V33" s="13"/>
    </row>
    <row r="34" spans="1:22" x14ac:dyDescent="0.35">
      <c r="A34" s="29" t="s">
        <v>6</v>
      </c>
      <c r="B34" s="32"/>
      <c r="C34" s="32" t="s">
        <v>54</v>
      </c>
      <c r="D34" s="32" t="s">
        <v>37</v>
      </c>
      <c r="E34" s="89">
        <f t="shared" ca="1" si="3"/>
        <v>44285.30955578704</v>
      </c>
      <c r="F34" s="34"/>
      <c r="G34" s="34" t="s">
        <v>67</v>
      </c>
      <c r="H34" s="36">
        <v>44287</v>
      </c>
      <c r="I34" s="40"/>
      <c r="J34" s="157"/>
      <c r="K34" s="157"/>
      <c r="L34" s="157"/>
      <c r="M34" s="152"/>
      <c r="N34" s="152"/>
      <c r="O34" s="152"/>
      <c r="P34" s="32"/>
      <c r="Q34" s="33" t="s">
        <v>11</v>
      </c>
      <c r="R34" s="140" t="str">
        <f t="shared" si="2"/>
        <v>50%</v>
      </c>
      <c r="S34" s="45"/>
      <c r="T34" s="17"/>
      <c r="V34" s="13"/>
    </row>
    <row r="35" spans="1:22" x14ac:dyDescent="0.35">
      <c r="A35" s="29" t="s">
        <v>6</v>
      </c>
      <c r="B35" s="32"/>
      <c r="C35" s="32"/>
      <c r="D35" s="32" t="s">
        <v>35</v>
      </c>
      <c r="E35" s="89">
        <f t="shared" ca="1" si="3"/>
        <v>44285.30955578704</v>
      </c>
      <c r="F35" s="34"/>
      <c r="G35" s="34" t="s">
        <v>67</v>
      </c>
      <c r="H35" s="36">
        <v>44305</v>
      </c>
      <c r="I35" s="40"/>
      <c r="J35" s="157"/>
      <c r="K35" s="157"/>
      <c r="L35" s="157"/>
      <c r="M35" s="152"/>
      <c r="N35" s="152"/>
      <c r="O35" s="152"/>
      <c r="P35" s="32"/>
      <c r="Q35" s="33" t="s">
        <v>13</v>
      </c>
      <c r="R35" s="140" t="str">
        <f t="shared" si="2"/>
        <v>20%</v>
      </c>
      <c r="S35" s="45"/>
      <c r="T35" s="17"/>
      <c r="V35" s="13"/>
    </row>
    <row r="36" spans="1:22" ht="15" customHeight="1" x14ac:dyDescent="0.35">
      <c r="A36" s="29" t="s">
        <v>6</v>
      </c>
      <c r="B36" s="33"/>
      <c r="C36" s="33" t="s">
        <v>54</v>
      </c>
      <c r="D36" s="33" t="s">
        <v>43</v>
      </c>
      <c r="E36" s="89">
        <f t="shared" ca="1" si="3"/>
        <v>44285.101222453704</v>
      </c>
      <c r="F36" s="34"/>
      <c r="G36" s="34" t="s">
        <v>67</v>
      </c>
      <c r="H36" s="36">
        <v>44301</v>
      </c>
      <c r="I36" s="40"/>
      <c r="J36" s="157"/>
      <c r="K36" s="157"/>
      <c r="L36" s="157"/>
      <c r="M36" s="152"/>
      <c r="N36" s="152"/>
      <c r="O36" s="152"/>
      <c r="P36" s="32"/>
      <c r="Q36" s="33" t="s">
        <v>13</v>
      </c>
      <c r="R36" s="140" t="str">
        <f t="shared" si="2"/>
        <v>20%</v>
      </c>
      <c r="S36" s="48"/>
      <c r="T36" s="18"/>
      <c r="V36" s="13"/>
    </row>
    <row r="37" spans="1:22" ht="14.5" customHeight="1" x14ac:dyDescent="0.35">
      <c r="A37" s="29" t="s">
        <v>6</v>
      </c>
      <c r="B37" s="33"/>
      <c r="C37" s="33" t="s">
        <v>54</v>
      </c>
      <c r="D37" s="33" t="s">
        <v>34</v>
      </c>
      <c r="E37" s="89">
        <f t="shared" ca="1" si="3"/>
        <v>44285.30955578704</v>
      </c>
      <c r="F37" s="34"/>
      <c r="G37" s="34" t="s">
        <v>67</v>
      </c>
      <c r="H37" s="36">
        <v>44298</v>
      </c>
      <c r="I37" s="40"/>
      <c r="J37" s="157"/>
      <c r="K37" s="157"/>
      <c r="L37" s="157"/>
      <c r="M37" s="152"/>
      <c r="N37" s="152"/>
      <c r="O37" s="152"/>
      <c r="P37" s="32"/>
      <c r="Q37" s="33" t="s">
        <v>13</v>
      </c>
      <c r="R37" s="140" t="str">
        <f t="shared" si="2"/>
        <v>20%</v>
      </c>
      <c r="S37" s="48"/>
      <c r="T37" s="18"/>
      <c r="V37" s="13"/>
    </row>
    <row r="38" spans="1:22" x14ac:dyDescent="0.35">
      <c r="A38" s="29" t="s">
        <v>6</v>
      </c>
      <c r="B38" s="32"/>
      <c r="C38" s="32" t="s">
        <v>54</v>
      </c>
      <c r="D38" s="32" t="s">
        <v>96</v>
      </c>
      <c r="E38" s="89">
        <f t="shared" ca="1" si="3"/>
        <v>44285.642889120376</v>
      </c>
      <c r="F38" s="34"/>
      <c r="G38" s="34" t="s">
        <v>67</v>
      </c>
      <c r="H38" s="36">
        <v>44298</v>
      </c>
      <c r="I38" s="40"/>
      <c r="J38" s="157"/>
      <c r="K38" s="157"/>
      <c r="L38" s="157"/>
      <c r="M38" s="152"/>
      <c r="N38" s="152"/>
      <c r="O38" s="152"/>
      <c r="P38" s="32"/>
      <c r="Q38" s="33" t="s">
        <v>11</v>
      </c>
      <c r="R38" s="140" t="str">
        <f t="shared" si="2"/>
        <v>50%</v>
      </c>
      <c r="S38" s="45"/>
      <c r="T38" s="17"/>
      <c r="V38" s="13"/>
    </row>
    <row r="39" spans="1:22" x14ac:dyDescent="0.35">
      <c r="A39" s="29" t="s">
        <v>6</v>
      </c>
      <c r="B39" s="30"/>
      <c r="C39" s="30" t="s">
        <v>54</v>
      </c>
      <c r="D39" s="30" t="s">
        <v>43</v>
      </c>
      <c r="E39" s="89">
        <f t="shared" ca="1" si="3"/>
        <v>44285.101222453704</v>
      </c>
      <c r="F39" s="34"/>
      <c r="G39" s="34" t="s">
        <v>67</v>
      </c>
      <c r="H39" s="36">
        <v>44294</v>
      </c>
      <c r="I39" s="40"/>
      <c r="J39" s="157"/>
      <c r="K39" s="157"/>
      <c r="L39" s="157"/>
      <c r="M39" s="152"/>
      <c r="N39" s="152"/>
      <c r="O39" s="152"/>
      <c r="P39" s="32"/>
      <c r="Q39" s="43" t="s">
        <v>14</v>
      </c>
      <c r="R39" s="140" t="str">
        <f t="shared" si="2"/>
        <v>70%</v>
      </c>
      <c r="S39" s="46"/>
      <c r="T39" s="19"/>
      <c r="V39" s="13"/>
    </row>
    <row r="40" spans="1:22" x14ac:dyDescent="0.35">
      <c r="A40" s="29" t="s">
        <v>6</v>
      </c>
      <c r="B40" s="30"/>
      <c r="C40" s="30" t="s">
        <v>54</v>
      </c>
      <c r="D40" s="30" t="s">
        <v>35</v>
      </c>
      <c r="E40" s="89">
        <f t="shared" ca="1" si="3"/>
        <v>44285.30955578704</v>
      </c>
      <c r="F40" s="34"/>
      <c r="G40" s="34" t="s">
        <v>67</v>
      </c>
      <c r="H40" s="36"/>
      <c r="I40" s="40"/>
      <c r="J40" s="157"/>
      <c r="K40" s="157"/>
      <c r="L40" s="157"/>
      <c r="M40" s="152"/>
      <c r="N40" s="152"/>
      <c r="O40" s="152"/>
      <c r="P40" s="32"/>
      <c r="Q40" s="33" t="s">
        <v>21</v>
      </c>
      <c r="R40" s="140" t="str">
        <f t="shared" si="2"/>
        <v>60%</v>
      </c>
      <c r="S40" s="46"/>
      <c r="T40" s="18"/>
      <c r="V40" s="13"/>
    </row>
    <row r="41" spans="1:22" x14ac:dyDescent="0.35">
      <c r="A41" s="29" t="s">
        <v>6</v>
      </c>
      <c r="B41" s="33"/>
      <c r="C41" s="33" t="s">
        <v>54</v>
      </c>
      <c r="D41" s="33" t="s">
        <v>43</v>
      </c>
      <c r="E41" s="89">
        <f t="shared" ca="1" si="3"/>
        <v>44285.101222453704</v>
      </c>
      <c r="F41" s="34"/>
      <c r="G41" s="34" t="s">
        <v>67</v>
      </c>
      <c r="H41" s="36">
        <v>44286</v>
      </c>
      <c r="I41" s="40"/>
      <c r="J41" s="157"/>
      <c r="K41" s="157"/>
      <c r="L41" s="157"/>
      <c r="M41" s="152"/>
      <c r="N41" s="152"/>
      <c r="O41" s="152"/>
      <c r="P41" s="32"/>
      <c r="Q41" s="33" t="s">
        <v>13</v>
      </c>
      <c r="R41" s="140" t="str">
        <f t="shared" si="2"/>
        <v>20%</v>
      </c>
      <c r="S41" s="49"/>
      <c r="T41" s="18"/>
      <c r="V41" s="13"/>
    </row>
    <row r="42" spans="1:22" ht="15" thickBot="1" x14ac:dyDescent="0.4">
      <c r="A42" s="60" t="s">
        <v>10</v>
      </c>
      <c r="B42" s="61"/>
      <c r="C42" s="61" t="s">
        <v>54</v>
      </c>
      <c r="D42" s="61" t="s">
        <v>35</v>
      </c>
      <c r="E42" s="89">
        <f t="shared" ca="1" si="3"/>
        <v>44285.30955578704</v>
      </c>
      <c r="F42" s="62"/>
      <c r="G42" s="62" t="s">
        <v>67</v>
      </c>
      <c r="H42" s="63">
        <v>44291</v>
      </c>
      <c r="I42" s="64"/>
      <c r="J42" s="153"/>
      <c r="K42" s="153"/>
      <c r="L42" s="153"/>
      <c r="M42" s="153"/>
      <c r="N42" s="153"/>
      <c r="O42" s="153"/>
      <c r="P42" s="65"/>
      <c r="Q42" s="67" t="s">
        <v>11</v>
      </c>
      <c r="R42" s="140" t="str">
        <f t="shared" si="2"/>
        <v>50%</v>
      </c>
      <c r="S42" s="66"/>
      <c r="T42" s="19"/>
      <c r="V42" s="13"/>
    </row>
    <row r="43" spans="1:22" x14ac:dyDescent="0.35">
      <c r="A43" s="54" t="s">
        <v>2</v>
      </c>
      <c r="B43" s="54"/>
      <c r="C43" s="54" t="s">
        <v>54</v>
      </c>
      <c r="D43" s="54" t="s">
        <v>48</v>
      </c>
      <c r="E43" s="88">
        <f t="shared" ca="1" si="3"/>
        <v>44285.30955578704</v>
      </c>
      <c r="F43" s="56"/>
      <c r="G43" s="56" t="s">
        <v>67</v>
      </c>
      <c r="H43" s="57">
        <v>44340</v>
      </c>
      <c r="I43" s="58"/>
      <c r="J43" s="151"/>
      <c r="K43" s="151"/>
      <c r="L43" s="151"/>
      <c r="M43" s="151"/>
      <c r="N43" s="151"/>
      <c r="O43" s="151"/>
      <c r="P43" s="55"/>
      <c r="Q43" s="59" t="s">
        <v>18</v>
      </c>
      <c r="R43" s="139" t="str">
        <f t="shared" si="2"/>
        <v>75%</v>
      </c>
      <c r="S43" s="68"/>
      <c r="T43" s="96"/>
      <c r="V43" s="13"/>
    </row>
    <row r="44" spans="1:22" x14ac:dyDescent="0.35">
      <c r="A44" s="29" t="s">
        <v>2</v>
      </c>
      <c r="B44" s="29"/>
      <c r="C44" s="29" t="s">
        <v>54</v>
      </c>
      <c r="D44" s="29" t="s">
        <v>37</v>
      </c>
      <c r="E44" s="89">
        <f t="shared" ca="1" si="3"/>
        <v>44285.30955578704</v>
      </c>
      <c r="F44" s="34"/>
      <c r="G44" s="34" t="s">
        <v>67</v>
      </c>
      <c r="H44" s="36">
        <v>44288</v>
      </c>
      <c r="I44" s="40"/>
      <c r="J44" s="152"/>
      <c r="K44" s="152"/>
      <c r="L44" s="152"/>
      <c r="M44" s="152"/>
      <c r="N44" s="152"/>
      <c r="O44" s="152"/>
      <c r="P44" s="32"/>
      <c r="Q44" s="33" t="s">
        <v>11</v>
      </c>
      <c r="R44" s="140" t="str">
        <f t="shared" si="2"/>
        <v>50%</v>
      </c>
      <c r="S44" s="50"/>
      <c r="T44" s="96"/>
      <c r="V44" s="13"/>
    </row>
    <row r="45" spans="1:22" x14ac:dyDescent="0.35">
      <c r="A45" s="29" t="s">
        <v>2</v>
      </c>
      <c r="B45" s="30"/>
      <c r="C45" s="30" t="s">
        <v>54</v>
      </c>
      <c r="D45" s="30" t="s">
        <v>32</v>
      </c>
      <c r="E45" s="89">
        <f t="shared" ca="1" si="3"/>
        <v>44285.30955578704</v>
      </c>
      <c r="F45" s="34"/>
      <c r="G45" s="34" t="s">
        <v>66</v>
      </c>
      <c r="H45" s="36">
        <v>44326</v>
      </c>
      <c r="I45" s="40"/>
      <c r="J45" s="152"/>
      <c r="K45" s="152"/>
      <c r="L45" s="152"/>
      <c r="M45" s="152"/>
      <c r="N45" s="152"/>
      <c r="O45" s="152"/>
      <c r="P45" s="32"/>
      <c r="Q45" s="33" t="s">
        <v>13</v>
      </c>
      <c r="R45" s="140" t="str">
        <f t="shared" si="2"/>
        <v>20%</v>
      </c>
      <c r="S45" s="49"/>
      <c r="T45" s="18"/>
      <c r="V45" s="13"/>
    </row>
    <row r="46" spans="1:22" x14ac:dyDescent="0.35">
      <c r="A46" s="30" t="s">
        <v>2</v>
      </c>
      <c r="B46" s="30"/>
      <c r="C46" s="30" t="s">
        <v>54</v>
      </c>
      <c r="D46" s="30" t="s">
        <v>96</v>
      </c>
      <c r="E46" s="89">
        <f ca="1">IF($D46:$D91="EUR - FR",NOW(),IF($D46:$D91="EUR - DE",NOW(),IF($D46:$D91="EUR - UK",NOW()-TIME(1,0,0),IF($D46:$D91="EUR - IT",NOW(),IF($D46:$D91="EUR - SP",NOW(),IF($D46:$D91="EUR - CH",NOW(),IF($D46:$D91="EUR - DK",NOW(),IF($D46:$D91="EUR - BE",NOW(),IF($D46:$D91="EUR - CZ",NOW(),IF($D46:$D91="EUR - AUS",NOW(),IF($D46:$D91="Israel",NOW()+TIME(1,0,0),IF($D46:$D91="USA - EST",NOW()-TIME(5,0,0),IF($D46:$D91="USA - CST",NOW()-TIME(6,0,0),IF($D46:$D91="USA - MST",NOW()-TIME(7,0,0),IF($D46:$D91="USA - PST",NOW()-TIME(8,0,0),IF($D46:$D91="Brazil",NOW()-TIME(5,0,0),IF($D46:$D91="Japan",NOW()+TIME(8,0,0),IF($D46:$D91="South Korea",NOW()+TIME(8,0,0),IF($D46:$D91="Taiwan",NOW()+TIME(7,0,0),IF($D46:$D91="China",NOW()=TIME(7,0,0),IF($D46:$D91="RoW",NOW(),"")))))))))))))))))))))</f>
        <v>44285.642889120376</v>
      </c>
      <c r="F46" s="35"/>
      <c r="G46" s="35" t="s">
        <v>67</v>
      </c>
      <c r="H46" s="37"/>
      <c r="I46" s="41"/>
      <c r="J46" s="154"/>
      <c r="K46" s="154"/>
      <c r="L46" s="154"/>
      <c r="M46" s="154"/>
      <c r="N46" s="154"/>
      <c r="O46" s="154"/>
      <c r="P46" s="30"/>
      <c r="Q46" s="44" t="s">
        <v>13</v>
      </c>
      <c r="R46" s="140" t="str">
        <f t="shared" si="2"/>
        <v>20%</v>
      </c>
      <c r="S46" s="50"/>
      <c r="T46" s="20"/>
      <c r="V46" s="13"/>
    </row>
    <row r="47" spans="1:22" x14ac:dyDescent="0.35">
      <c r="A47" s="30" t="s">
        <v>2</v>
      </c>
      <c r="B47" s="30"/>
      <c r="C47" s="30" t="s">
        <v>54</v>
      </c>
      <c r="D47" s="30" t="s">
        <v>49</v>
      </c>
      <c r="E47" s="89" t="b">
        <f ca="1">IF($D46:$D92="EUR - FR",NOW(),IF($D46:$D92="EUR - DE",NOW(),IF($D46:$D92="EUR - UK",NOW()-TIME(1,0,0),IF($D46:$D92="EUR - IT",NOW(),IF($D46:$D92="EUR - SP",NOW(),IF($D46:$D92="EUR - CH",NOW(),IF($D46:$D92="EUR - DK",NOW(),IF($D46:$D92="EUR - BE",NOW(),IF($D46:$D92="EUR - CZ",NOW(),IF($D46:$D92="EUR - AUS",NOW(),IF($D46:$D92="Israel",NOW()+TIME(1,0,0),IF($D46:$D92="USA - EST",NOW()-TIME(5,0,0),IF($D46:$D92="USA - CST",NOW()-TIME(6,0,0),IF($D46:$D92="USA - MST",NOW()-TIME(7,0,0),IF($D46:$D92="USA - PST",NOW()-TIME(8,0,0),IF($D46:$D92="Brazil",NOW()-TIME(5,0,0),IF($D46:$D92="Japan",NOW()+TIME(8,0,0),IF($D46:$D92="South Korea",NOW()+TIME(8,0,0),IF($D46:$D92="Taiwan",NOW()+TIME(7,0,0),IF($D46:$D92="China",NOW()=TIME(7,0,0),IF($D46:$D92="RoW",NOW(),"")))))))))))))))))))))</f>
        <v>0</v>
      </c>
      <c r="F47" s="35"/>
      <c r="G47" s="35" t="s">
        <v>67</v>
      </c>
      <c r="H47" s="37">
        <v>44305</v>
      </c>
      <c r="I47" s="41"/>
      <c r="J47" s="154"/>
      <c r="K47" s="154"/>
      <c r="L47" s="154"/>
      <c r="M47" s="154"/>
      <c r="N47" s="154"/>
      <c r="O47" s="154"/>
      <c r="P47" s="30"/>
      <c r="Q47" s="44" t="s">
        <v>12</v>
      </c>
      <c r="R47" s="140" t="str">
        <f t="shared" si="2"/>
        <v>10%</v>
      </c>
      <c r="S47" s="50"/>
      <c r="T47" s="20"/>
      <c r="V47" s="13"/>
    </row>
    <row r="48" spans="1:22" x14ac:dyDescent="0.35">
      <c r="A48" s="29" t="s">
        <v>2</v>
      </c>
      <c r="B48" s="33"/>
      <c r="C48" s="33" t="s">
        <v>54</v>
      </c>
      <c r="D48" s="32" t="s">
        <v>94</v>
      </c>
      <c r="E48" s="89">
        <f ca="1">IF($D47:$D93="EUR - FR",NOW(),IF($D47:$D93="EUR - DE",NOW(),IF($D47:$D93="EUR - UK",NOW()-TIME(1,0,0),IF($D47:$D93="EUR - IT",NOW(),IF($D47:$D93="EUR - SP",NOW(),IF($D47:$D93="EUR - CH",NOW(),IF($D47:$D93="EUR - DK",NOW(),IF($D47:$D93="EUR - BE",NOW(),IF($D47:$D93="EUR - CZ",NOW(),IF($D47:$D93="EUR - AUS",NOW(),IF($D47:$D93="Israel",NOW()+TIME(1,0,0),IF($D47:$D93="USA - EST",NOW()-TIME(5,0,0),IF($D47:$D93="USA - CST",NOW()-TIME(6,0,0),IF($D47:$D93="USA - MST",NOW()-TIME(7,0,0),IF($D47:$D93="USA - PST",NOW()-TIME(8,0,0),IF($D47:$D93="Brazil",NOW()-TIME(5,0,0),IF($D47:$D93="Japan",NOW()+TIME(8,0,0),IF($D47:$D93="South Korea",NOW()+TIME(8,0,0),IF($D47:$D93="Taiwan",NOW()+TIME(7,0,0),IF($D47:$D93="China",NOW()=TIME(7,0,0),IF($D47:$D93="RoW",NOW(),"")))))))))))))))))))))</f>
        <v>44285.30955578704</v>
      </c>
      <c r="F48" s="34"/>
      <c r="G48" s="34" t="s">
        <v>66</v>
      </c>
      <c r="H48" s="36">
        <v>44389</v>
      </c>
      <c r="I48" s="40"/>
      <c r="J48" s="154"/>
      <c r="K48" s="154"/>
      <c r="L48" s="154"/>
      <c r="M48" s="152"/>
      <c r="N48" s="152"/>
      <c r="O48" s="152"/>
      <c r="P48" s="32"/>
      <c r="Q48" s="33" t="s">
        <v>18</v>
      </c>
      <c r="R48" s="140" t="str">
        <f t="shared" si="2"/>
        <v>75%</v>
      </c>
      <c r="S48" s="45"/>
      <c r="T48" s="17"/>
      <c r="V48" s="13"/>
    </row>
    <row r="49" spans="1:23" ht="14.5" customHeight="1" thickBot="1" x14ac:dyDescent="0.4">
      <c r="A49" s="60" t="s">
        <v>2</v>
      </c>
      <c r="B49" s="31"/>
      <c r="C49" s="31" t="s">
        <v>54</v>
      </c>
      <c r="D49" s="31" t="s">
        <v>43</v>
      </c>
      <c r="E49" s="91">
        <f ca="1">IF($D48:$D94="EUR - FR",NOW(),IF($D48:$D94="EUR - DE",NOW(),IF($D48:$D94="EUR - UK",NOW()-TIME(1,0,0),IF($D48:$D94="EUR - IT",NOW(),IF($D48:$D94="EUR - SP",NOW(),IF($D48:$D94="EUR - CH",NOW(),IF($D48:$D94="EUR - DK",NOW(),IF($D48:$D94="EUR - BE",NOW(),IF($D48:$D94="EUR - CZ",NOW(),IF($D48:$D94="EUR - AUS",NOW(),IF($D48:$D94="Israel",NOW()+TIME(1,0,0),IF($D48:$D94="USA - EST",NOW()-TIME(5,0,0),IF($D48:$D94="USA - CST",NOW()-TIME(6,0,0),IF($D48:$D94="USA - MST",NOW()-TIME(7,0,0),IF($D48:$D94="USA - PST",NOW()-TIME(8,0,0),IF($D48:$D94="Brazil",NOW()-TIME(5,0,0),IF($D48:$D94="Japan",NOW()+TIME(8,0,0),IF($D48:$D94="South Korea",NOW()+TIME(8,0,0),IF($D48:$D94="Taiwan",NOW()+TIME(7,0,0),IF($D48:$D94="China",NOW()=TIME(7,0,0),IF($D48:$D94="RoW",NOW(),"")))))))))))))))))))))</f>
        <v>44285.101222453704</v>
      </c>
      <c r="F49" s="62"/>
      <c r="G49" s="62" t="s">
        <v>67</v>
      </c>
      <c r="H49" s="63">
        <v>44286</v>
      </c>
      <c r="I49" s="64"/>
      <c r="J49" s="155"/>
      <c r="K49" s="155"/>
      <c r="L49" s="155"/>
      <c r="M49" s="153"/>
      <c r="N49" s="153"/>
      <c r="O49" s="153"/>
      <c r="P49" s="65"/>
      <c r="Q49" s="61" t="s">
        <v>11</v>
      </c>
      <c r="R49" s="141" t="str">
        <f t="shared" si="2"/>
        <v>50%</v>
      </c>
      <c r="S49" s="66"/>
      <c r="T49" s="18"/>
      <c r="V49" s="13"/>
    </row>
    <row r="50" spans="1:23" ht="14.5" customHeight="1" x14ac:dyDescent="0.35">
      <c r="A50" s="29" t="s">
        <v>3</v>
      </c>
      <c r="B50" s="33"/>
      <c r="C50" s="33" t="s">
        <v>54</v>
      </c>
      <c r="D50" s="30" t="s">
        <v>39</v>
      </c>
      <c r="E50" s="89">
        <f ca="1">IF($D24:$D69="EUR - FR",NOW(),IF($D24:$D69="EUR - DE",NOW(),IF($D24:$D69="EUR - UK",NOW()-TIME(1,0,0),IF($D24:$D69="EUR - IT",NOW(),IF($D24:$D69="EUR - SP",NOW(),IF($D24:$D69="EUR - CH",NOW(),IF($D24:$D69="EUR - DK",NOW(),IF($D24:$D69="EUR - BE",NOW(),IF($D24:$D69="EUR - CZ",NOW(),IF($D24:$D69="EUR - AUS",NOW(),IF($D24:$D69="Israel",NOW()+TIME(1,0,0),IF($D24:$D69="USA - EST",NOW()-TIME(5,0,0),IF($D24:$D69="USA - CST",NOW()-TIME(6,0,0),IF($D24:$D69="USA - MST",NOW()-TIME(7,0,0),IF($D24:$D69="USA - PST",NOW()-TIME(8,0,0),IF($D24:$D69="Brazil",NOW()-TIME(5,0,0),IF($D24:$D69="Japan",NOW()+TIME(8,0,0),IF($D24:$D69="South Korea",NOW()+TIME(8,0,0),IF($D24:$D69="Taiwan",NOW()+TIME(7,0,0),IF($D24:$D69="China",NOW()=TIME(7,0,0),IF($D24:$D69="RoW",NOW(),"")))))))))))))))))))))</f>
        <v>44285.351222453704</v>
      </c>
      <c r="F50" s="34"/>
      <c r="G50" s="34" t="s">
        <v>66</v>
      </c>
      <c r="H50" s="36">
        <v>44438</v>
      </c>
      <c r="I50" s="40"/>
      <c r="J50" s="152"/>
      <c r="K50" s="152"/>
      <c r="L50" s="152"/>
      <c r="M50" s="152"/>
      <c r="N50" s="152"/>
      <c r="O50" s="152"/>
      <c r="P50" s="32"/>
      <c r="Q50" s="33" t="s">
        <v>18</v>
      </c>
      <c r="R50" s="140" t="str">
        <f t="shared" si="2"/>
        <v>75%</v>
      </c>
      <c r="S50" s="46"/>
      <c r="T50" s="18"/>
      <c r="V50" s="13"/>
    </row>
    <row r="51" spans="1:23" s="13" customFormat="1" x14ac:dyDescent="0.35">
      <c r="A51" s="29" t="s">
        <v>3</v>
      </c>
      <c r="B51" s="32"/>
      <c r="C51" s="32" t="s">
        <v>54</v>
      </c>
      <c r="D51" s="32" t="s">
        <v>96</v>
      </c>
      <c r="E51" s="89">
        <f ca="1">IF($D20:$D104="EUR - FR",NOW(),IF($D20:$D104="EUR - DE",NOW(),IF($D20:$D104="EUR - UK",NOW()-TIME(1,0,0),IF($D20:$D104="EUR - IT",NOW(),IF($D20:$D104="EUR - SP",NOW(),IF($D20:$D104="EUR - CH",NOW(),IF($D20:$D104="EUR - DK",NOW(),IF($D20:$D104="EUR - BE",NOW(),IF($D20:$D104="EUR - CZ",NOW(),IF($D20:$D104="EUR - AUS",NOW(),IF($D20:$D104="Israel",NOW()+TIME(1,0,0),IF($D20:$D104="USA - EST",NOW()-TIME(5,0,0),IF($D20:$D104="USA - CST",NOW()-TIME(6,0,0),IF($D20:$D104="USA - MST",NOW()-TIME(7,0,0),IF($D20:$D104="USA - PST",NOW()-TIME(8,0,0),IF($D20:$D104="Brazil",NOW()-TIME(5,0,0),IF($D20:$D104="Japan",NOW()+TIME(8,0,0),IF($D20:$D104="South Korea",NOW()+TIME(8,0,0),IF($D20:$D104="Taiwan",NOW()+TIME(7,0,0),IF($D20:$D104="China",NOW()=TIME(7,0,0),IF($D20:$D104="RoW",NOW(),"")))))))))))))))))))))</f>
        <v>44285.642889120376</v>
      </c>
      <c r="F51" s="34"/>
      <c r="G51" s="34" t="s">
        <v>67</v>
      </c>
      <c r="H51" s="36">
        <v>44326</v>
      </c>
      <c r="I51" s="40"/>
      <c r="J51" s="152"/>
      <c r="K51" s="152"/>
      <c r="L51" s="152"/>
      <c r="M51" s="152"/>
      <c r="N51" s="152"/>
      <c r="O51" s="152"/>
      <c r="P51" s="32"/>
      <c r="Q51" s="33" t="s">
        <v>13</v>
      </c>
      <c r="R51" s="140" t="str">
        <f t="shared" si="2"/>
        <v>20%</v>
      </c>
      <c r="S51" s="45"/>
      <c r="T51" s="17"/>
    </row>
    <row r="52" spans="1:23" s="167" customFormat="1" x14ac:dyDescent="0.35">
      <c r="A52" s="32" t="s">
        <v>7</v>
      </c>
      <c r="B52" s="32"/>
      <c r="C52" s="32" t="s">
        <v>54</v>
      </c>
      <c r="D52" s="32" t="s">
        <v>96</v>
      </c>
      <c r="E52" s="89">
        <f t="shared" ref="E52:E58" ca="1" si="4">IF($D51:$D105="EUR - FR",NOW(),IF($D51:$D105="EUR - DE",NOW(),IF($D51:$D105="EUR - UK",NOW()-TIME(1,0,0),IF($D51:$D105="EUR - IT",NOW(),IF($D51:$D105="EUR - SP",NOW(),IF($D51:$D105="EUR - CH",NOW(),IF($D51:$D105="EUR - DK",NOW(),IF($D51:$D105="EUR - BE",NOW(),IF($D51:$D105="EUR - CZ",NOW(),IF($D51:$D105="EUR - AUS",NOW(),IF($D51:$D105="Israel",NOW()+TIME(1,0,0),IF($D51:$D105="USA - EST",NOW()-TIME(5,0,0),IF($D51:$D105="USA - CST",NOW()-TIME(6,0,0),IF($D51:$D105="USA - MST",NOW()-TIME(7,0,0),IF($D51:$D105="USA - PST",NOW()-TIME(8,0,0),IF($D51:$D105="Brazil",NOW()-TIME(5,0,0),IF($D51:$D105="Japan",NOW()+TIME(8,0,0),IF($D51:$D105="South Korea",NOW()+TIME(8,0,0),IF($D51:$D105="Taiwan",NOW()+TIME(7,0,0),IF($D51:$D105="China",NOW()=TIME(7,0,0),IF($D51:$D105="RoW",NOW(),"")))))))))))))))))))))</f>
        <v>44285.642889120376</v>
      </c>
      <c r="F52" s="34"/>
      <c r="G52" s="34" t="s">
        <v>67</v>
      </c>
      <c r="H52" s="36"/>
      <c r="I52" s="40"/>
      <c r="J52" s="152"/>
      <c r="K52" s="152"/>
      <c r="L52" s="152"/>
      <c r="M52" s="152"/>
      <c r="N52" s="152"/>
      <c r="O52" s="152"/>
      <c r="P52" s="32"/>
      <c r="Q52" s="33" t="s">
        <v>11</v>
      </c>
      <c r="R52" s="140" t="str">
        <f t="shared" si="2"/>
        <v>50%</v>
      </c>
      <c r="S52" s="45"/>
      <c r="T52" s="18"/>
      <c r="V52" s="168"/>
    </row>
    <row r="53" spans="1:23" s="13" customFormat="1" ht="18.5" customHeight="1" x14ac:dyDescent="0.35">
      <c r="A53" s="29" t="s">
        <v>7</v>
      </c>
      <c r="B53" s="32"/>
      <c r="C53" s="32" t="s">
        <v>54</v>
      </c>
      <c r="D53" s="32" t="s">
        <v>35</v>
      </c>
      <c r="E53" s="89">
        <f t="shared" ca="1" si="4"/>
        <v>44285.30955578704</v>
      </c>
      <c r="F53" s="34"/>
      <c r="G53" s="34" t="s">
        <v>67</v>
      </c>
      <c r="H53" s="36"/>
      <c r="I53" s="40"/>
      <c r="J53" s="152"/>
      <c r="K53" s="152"/>
      <c r="L53" s="152"/>
      <c r="M53" s="152"/>
      <c r="N53" s="152"/>
      <c r="O53" s="152"/>
      <c r="P53" s="32"/>
      <c r="Q53" s="33" t="s">
        <v>21</v>
      </c>
      <c r="R53" s="140" t="str">
        <f t="shared" si="2"/>
        <v>60%</v>
      </c>
      <c r="S53" s="45"/>
      <c r="T53" s="17"/>
    </row>
    <row r="54" spans="1:23" s="13" customFormat="1" ht="18.5" customHeight="1" x14ac:dyDescent="0.35">
      <c r="A54" s="29" t="s">
        <v>7</v>
      </c>
      <c r="B54" s="32"/>
      <c r="C54" s="32" t="s">
        <v>54</v>
      </c>
      <c r="D54" s="32" t="s">
        <v>96</v>
      </c>
      <c r="E54" s="89">
        <f t="shared" ca="1" si="4"/>
        <v>44285.642889120376</v>
      </c>
      <c r="F54" s="34"/>
      <c r="G54" s="34" t="s">
        <v>67</v>
      </c>
      <c r="H54" s="36">
        <v>44347</v>
      </c>
      <c r="I54" s="40"/>
      <c r="J54" s="152"/>
      <c r="K54" s="152"/>
      <c r="L54" s="152"/>
      <c r="M54" s="152"/>
      <c r="N54" s="152"/>
      <c r="O54" s="152"/>
      <c r="P54" s="32"/>
      <c r="Q54" s="33" t="s">
        <v>11</v>
      </c>
      <c r="R54" s="140" t="str">
        <f t="shared" si="2"/>
        <v>50%</v>
      </c>
      <c r="S54" s="45"/>
      <c r="T54" s="17"/>
    </row>
    <row r="55" spans="1:23" x14ac:dyDescent="0.35">
      <c r="A55" s="29" t="s">
        <v>7</v>
      </c>
      <c r="B55" s="32"/>
      <c r="C55" s="32" t="s">
        <v>57</v>
      </c>
      <c r="D55" s="32" t="s">
        <v>94</v>
      </c>
      <c r="E55" s="89">
        <f t="shared" ca="1" si="4"/>
        <v>44285.30955578704</v>
      </c>
      <c r="F55" s="34"/>
      <c r="G55" s="34" t="s">
        <v>67</v>
      </c>
      <c r="H55" s="36">
        <v>44316</v>
      </c>
      <c r="I55" s="40"/>
      <c r="J55" s="152"/>
      <c r="K55" s="152"/>
      <c r="L55" s="152"/>
      <c r="M55" s="152"/>
      <c r="N55" s="152"/>
      <c r="O55" s="152"/>
      <c r="P55" s="32"/>
      <c r="Q55" s="33" t="s">
        <v>11</v>
      </c>
      <c r="R55" s="140" t="str">
        <f t="shared" si="2"/>
        <v>50%</v>
      </c>
      <c r="S55" s="45"/>
      <c r="T55" s="17"/>
      <c r="V55" s="13"/>
    </row>
    <row r="56" spans="1:23" s="13" customFormat="1" ht="18.5" customHeight="1" x14ac:dyDescent="0.35">
      <c r="A56" s="29"/>
      <c r="B56" s="32"/>
      <c r="C56" s="32"/>
      <c r="D56" s="32"/>
      <c r="E56" s="89" t="str">
        <f t="shared" ca="1" si="4"/>
        <v/>
      </c>
      <c r="F56" s="34"/>
      <c r="G56" s="34"/>
      <c r="H56" s="36"/>
      <c r="I56" s="40"/>
      <c r="J56" s="152"/>
      <c r="K56" s="152"/>
      <c r="L56" s="152"/>
      <c r="M56" s="152"/>
      <c r="N56" s="152"/>
      <c r="O56" s="152"/>
      <c r="P56" s="32"/>
      <c r="Q56" s="33"/>
      <c r="R56" s="140" t="str">
        <f t="shared" si="2"/>
        <v/>
      </c>
      <c r="S56" s="45"/>
      <c r="T56" s="17"/>
    </row>
    <row r="57" spans="1:23" s="13" customFormat="1" ht="18.5" customHeight="1" x14ac:dyDescent="0.35">
      <c r="A57" s="29"/>
      <c r="B57" s="32"/>
      <c r="C57" s="32"/>
      <c r="D57" s="32"/>
      <c r="E57" s="89" t="str">
        <f t="shared" ca="1" si="4"/>
        <v/>
      </c>
      <c r="F57" s="34"/>
      <c r="G57" s="34"/>
      <c r="H57" s="36"/>
      <c r="I57" s="40"/>
      <c r="J57" s="152"/>
      <c r="K57" s="152"/>
      <c r="L57" s="152"/>
      <c r="M57" s="152"/>
      <c r="N57" s="152"/>
      <c r="O57" s="152"/>
      <c r="P57" s="32"/>
      <c r="Q57" s="33"/>
      <c r="R57" s="140" t="str">
        <f t="shared" si="2"/>
        <v/>
      </c>
      <c r="S57" s="142"/>
      <c r="T57" s="17"/>
    </row>
    <row r="58" spans="1:23" s="13" customFormat="1" x14ac:dyDescent="0.35">
      <c r="A58" s="29"/>
      <c r="B58" s="32"/>
      <c r="C58" s="32"/>
      <c r="D58" s="32"/>
      <c r="E58" s="89" t="str">
        <f t="shared" ca="1" si="4"/>
        <v/>
      </c>
      <c r="F58" s="32"/>
      <c r="G58" s="32"/>
      <c r="H58" s="38"/>
      <c r="I58" s="40"/>
      <c r="J58" s="152"/>
      <c r="K58" s="152"/>
      <c r="L58" s="152"/>
      <c r="M58" s="152"/>
      <c r="N58" s="152"/>
      <c r="O58" s="152"/>
      <c r="P58" s="32"/>
      <c r="Q58" s="33"/>
      <c r="R58" s="140" t="str">
        <f t="shared" si="2"/>
        <v/>
      </c>
      <c r="S58" s="45"/>
      <c r="T58" s="17"/>
    </row>
    <row r="59" spans="1:23" ht="15" thickBot="1" x14ac:dyDescent="0.4">
      <c r="A59" s="31"/>
      <c r="B59" s="31"/>
      <c r="C59" s="31"/>
      <c r="D59" s="31"/>
      <c r="E59" s="91" t="str">
        <f ca="1">IF($D13:$D59="EUR - FR",NOW(),IF($D13:$D59="EUR - DE",NOW(),IF($D13:$D59="EUR - UK",NOW()-TIME(1,0,0),IF($D13:$D59="EUR - IT",NOW(),IF($D13:$D59="EUR - SP",NOW(),IF($D13:$D59="EUR - CH",NOW(),IF($D13:$D59="EUR - DK",NOW(),IF($D13:$D59="EUR - BE",NOW(),IF($D13:$D59="EUR - CZ",NOW(),IF($D13:$D59="EUR - AUS",NOW(),IF($D13:$D59="Israel",NOW()+TIME(1,0,0),IF($D13:$D59="USA - EST",NOW()-TIME(5,0,0),IF($D13:$D59="USA - CST",NOW()-TIME(6,0,0),IF($D13:$D59="USA - MST",NOW()-TIME(7,0,0),IF($D13:$D59="USA - PST",NOW()-TIME(8,0,0),IF($D13:$D59="Brazil",NOW()-TIME(5,0,0),IF($D13:$D59="Japan",NOW()+TIME(8,0,0),IF($D13:$D59="South Korea",NOW()+TIME(8,0,0),IF($D13:$D59="Taiwan",NOW()+TIME(7,0,0),IF($D13:$D59="China",NOW()=TIME(7,0,0),IF($D13:$D59="RoW",NOW(),"")))))))))))))))))))))</f>
        <v/>
      </c>
      <c r="F59" s="31"/>
      <c r="G59" s="31"/>
      <c r="H59" s="39"/>
      <c r="I59" s="42"/>
      <c r="J59" s="153"/>
      <c r="K59" s="153"/>
      <c r="L59" s="153"/>
      <c r="M59" s="155"/>
      <c r="N59" s="155"/>
      <c r="O59" s="155"/>
      <c r="P59" s="31"/>
      <c r="Q59" s="31"/>
      <c r="R59" s="141" t="str">
        <f t="shared" si="2"/>
        <v/>
      </c>
      <c r="S59" s="31"/>
      <c r="T59" s="21"/>
      <c r="U59" s="15"/>
      <c r="V59" s="16"/>
      <c r="W59" s="15"/>
    </row>
    <row r="60" spans="1:23" x14ac:dyDescent="0.35">
      <c r="A60" s="78"/>
      <c r="B60" s="78"/>
      <c r="C60" s="78"/>
      <c r="D60" s="207" t="s">
        <v>69</v>
      </c>
      <c r="E60" s="208"/>
      <c r="F60" s="82">
        <f>(SUM($F13:$F59)-F62)</f>
        <v>0</v>
      </c>
      <c r="G60" s="10"/>
      <c r="H60" s="26"/>
      <c r="I60" s="11"/>
      <c r="J60" s="69"/>
      <c r="K60" s="69"/>
      <c r="L60" s="69"/>
      <c r="M60" s="69"/>
      <c r="N60" s="69"/>
      <c r="O60" s="69"/>
      <c r="Q60" s="83">
        <f>SUMIF(R13:R59,10%,F13:F59)</f>
        <v>0</v>
      </c>
      <c r="R60" s="150" t="s">
        <v>128</v>
      </c>
      <c r="S60" s="74"/>
    </row>
    <row r="61" spans="1:23" x14ac:dyDescent="0.35">
      <c r="A61" s="80"/>
      <c r="B61" s="80"/>
      <c r="C61" s="80"/>
      <c r="D61" s="209" t="s">
        <v>106</v>
      </c>
      <c r="E61" s="210"/>
      <c r="F61" s="76">
        <f>SUMIF(G13:G59,"Yes",F13:F59)</f>
        <v>0</v>
      </c>
      <c r="G61" s="10"/>
      <c r="H61" s="26"/>
      <c r="I61" s="69"/>
      <c r="J61" s="69"/>
      <c r="K61" s="69"/>
      <c r="L61" s="69"/>
      <c r="M61" s="69"/>
      <c r="N61" s="69"/>
      <c r="O61" s="69"/>
      <c r="Q61" s="75">
        <f>SUMIF(R13:R59,20%,F13:F59)</f>
        <v>0</v>
      </c>
      <c r="R61" s="150" t="s">
        <v>129</v>
      </c>
      <c r="S61" s="74"/>
    </row>
    <row r="62" spans="1:23" x14ac:dyDescent="0.35">
      <c r="A62" s="79"/>
      <c r="B62" s="79"/>
      <c r="C62" s="79"/>
      <c r="D62" s="211" t="s">
        <v>52</v>
      </c>
      <c r="E62" s="212"/>
      <c r="F62" s="77">
        <f>SUMIF(R13:R58,100%,F13:F58)</f>
        <v>0</v>
      </c>
      <c r="G62" s="10"/>
      <c r="H62" s="95"/>
      <c r="I62" s="11"/>
      <c r="J62" s="69"/>
      <c r="K62" s="69"/>
      <c r="L62" s="69"/>
      <c r="M62" s="69"/>
      <c r="N62" s="69"/>
      <c r="O62" s="69"/>
      <c r="Q62" s="75">
        <f>SUMIF(R13:R59,50%,F13:F59)</f>
        <v>0</v>
      </c>
      <c r="R62" s="150" t="s">
        <v>130</v>
      </c>
      <c r="S62" s="74"/>
    </row>
    <row r="63" spans="1:23" x14ac:dyDescent="0.35">
      <c r="G63" s="6"/>
      <c r="H63" s="25"/>
      <c r="I63" s="11"/>
      <c r="J63" s="69"/>
      <c r="K63" s="69"/>
      <c r="L63" s="69"/>
      <c r="M63" s="69"/>
      <c r="N63" s="69"/>
      <c r="O63" s="69"/>
      <c r="Q63" s="75">
        <f>SUMIF(R13:R59,60%,F13:F59)</f>
        <v>0</v>
      </c>
      <c r="R63" s="150" t="s">
        <v>131</v>
      </c>
      <c r="S63" s="74"/>
    </row>
    <row r="64" spans="1:23" x14ac:dyDescent="0.35">
      <c r="D64" s="173" t="s">
        <v>107</v>
      </c>
      <c r="E64" s="173"/>
      <c r="F64" s="81">
        <f>SUM(F13:F59)-SUMIF(R13:R59,100%,F13:F59)</f>
        <v>0</v>
      </c>
      <c r="G64" s="14"/>
      <c r="H64" s="94"/>
      <c r="I64" s="11"/>
      <c r="J64" s="69"/>
      <c r="K64" s="69"/>
      <c r="L64" s="69"/>
      <c r="M64" s="69"/>
      <c r="N64" s="69"/>
      <c r="O64" s="69"/>
      <c r="Q64" s="75">
        <f>SUMIF(R13:R59,70%,F13:F59)</f>
        <v>0</v>
      </c>
      <c r="R64" s="150" t="s">
        <v>132</v>
      </c>
      <c r="S64" s="74"/>
      <c r="V64" s="13"/>
    </row>
    <row r="65" spans="1:20" x14ac:dyDescent="0.35">
      <c r="G65" s="6"/>
      <c r="H65" s="25"/>
      <c r="I65" s="11"/>
      <c r="J65" s="69"/>
      <c r="K65" s="69"/>
      <c r="L65" s="69"/>
      <c r="M65" s="69"/>
      <c r="N65" s="69"/>
      <c r="O65" s="69"/>
      <c r="Q65" s="75">
        <f>SUMIF(R13:R59,75%,F13:F59)</f>
        <v>0</v>
      </c>
      <c r="R65" s="150" t="s">
        <v>133</v>
      </c>
      <c r="S65" s="74"/>
    </row>
    <row r="66" spans="1:20" s="3" customFormat="1" x14ac:dyDescent="0.35">
      <c r="A66" s="6"/>
      <c r="B66" s="6"/>
      <c r="C66" s="6"/>
      <c r="D66" s="214" t="s">
        <v>100</v>
      </c>
      <c r="E66" s="214"/>
      <c r="F66" s="100"/>
      <c r="G66" s="6"/>
      <c r="H66" s="25"/>
      <c r="I66" s="11"/>
      <c r="J66" s="69"/>
      <c r="K66" s="69"/>
      <c r="L66" s="69"/>
      <c r="M66" s="69"/>
      <c r="N66" s="69"/>
      <c r="O66" s="69"/>
      <c r="P66" s="6"/>
      <c r="Q66" s="75">
        <f>SUMIF(R13:R59,90%,F13:F59)</f>
        <v>0</v>
      </c>
      <c r="R66" s="150" t="s">
        <v>134</v>
      </c>
      <c r="S66" s="74"/>
      <c r="T66" s="2"/>
    </row>
    <row r="67" spans="1:20" s="3" customFormat="1" x14ac:dyDescent="0.35">
      <c r="A67" s="6"/>
      <c r="B67" s="6"/>
      <c r="C67" s="6"/>
      <c r="D67" s="214" t="s">
        <v>101</v>
      </c>
      <c r="E67" s="214"/>
      <c r="F67" s="102"/>
      <c r="G67" s="6"/>
      <c r="H67" s="25"/>
      <c r="I67" s="69"/>
      <c r="J67" s="69"/>
      <c r="K67" s="69"/>
      <c r="L67" s="69"/>
      <c r="M67" s="69"/>
      <c r="N67" s="69"/>
      <c r="O67" s="69"/>
      <c r="P67" s="6"/>
      <c r="Q67" s="98"/>
      <c r="R67" s="99"/>
      <c r="S67" s="74"/>
      <c r="T67" s="2"/>
    </row>
    <row r="68" spans="1:20" s="3" customFormat="1" outlineLevel="1" x14ac:dyDescent="0.35">
      <c r="A68" s="6"/>
      <c r="B68" s="6"/>
      <c r="C68" s="6"/>
      <c r="D68" s="6"/>
      <c r="E68" s="6"/>
      <c r="F68" s="6"/>
      <c r="G68" s="6"/>
      <c r="H68" s="25"/>
      <c r="I68" s="69"/>
      <c r="J68" s="69"/>
      <c r="K68" s="69"/>
      <c r="L68" s="69"/>
      <c r="M68" s="69"/>
      <c r="N68" s="69"/>
      <c r="O68" s="69"/>
      <c r="P68" s="110"/>
      <c r="Q68" s="75"/>
      <c r="R68" s="99"/>
      <c r="S68" s="74"/>
      <c r="T68" s="2"/>
    </row>
    <row r="69" spans="1:20" s="3" customFormat="1" outlineLevel="1" x14ac:dyDescent="0.35">
      <c r="A69" s="6"/>
      <c r="B69" s="6"/>
      <c r="C69" s="6"/>
      <c r="D69" s="6"/>
      <c r="E69" s="6"/>
      <c r="F69" s="6"/>
      <c r="G69" s="6"/>
      <c r="H69" s="25"/>
      <c r="I69" s="69"/>
      <c r="J69" s="69"/>
      <c r="K69" s="69"/>
      <c r="L69" s="69"/>
      <c r="M69" s="69"/>
      <c r="N69" s="69"/>
      <c r="O69" s="69"/>
      <c r="P69" s="110"/>
      <c r="Q69" s="75"/>
      <c r="R69" s="99"/>
      <c r="S69" s="74"/>
      <c r="T69" s="2"/>
    </row>
    <row r="70" spans="1:20" s="3" customFormat="1" ht="14.5" customHeight="1" outlineLevel="1" x14ac:dyDescent="0.35">
      <c r="A70" s="6"/>
      <c r="C70" s="213" t="s">
        <v>108</v>
      </c>
      <c r="D70" s="213"/>
      <c r="E70" s="106" t="s">
        <v>81</v>
      </c>
      <c r="F70" s="108">
        <f>SUMIFS(F13:F59,D13:D59,"*EUR*",R13:R59,"&lt;&gt;100%")+SUMIFS(F13:F59,D13:D59,"Israel",R13:R59,"&lt;&gt;100%")</f>
        <v>0</v>
      </c>
      <c r="G70" s="6"/>
      <c r="H70" s="27"/>
      <c r="I70" s="69"/>
      <c r="J70" s="69"/>
      <c r="K70" s="69"/>
      <c r="L70" s="69"/>
      <c r="M70" s="69"/>
      <c r="N70" s="69"/>
      <c r="O70" s="69"/>
      <c r="P70" s="110"/>
      <c r="Q70" s="75"/>
      <c r="R70" s="99"/>
      <c r="S70" s="74"/>
      <c r="T70" s="2"/>
    </row>
    <row r="71" spans="1:20" s="3" customFormat="1" outlineLevel="1" x14ac:dyDescent="0.35">
      <c r="A71" s="6"/>
      <c r="B71" s="101"/>
      <c r="C71" s="213"/>
      <c r="D71" s="213"/>
      <c r="E71" s="106" t="s">
        <v>102</v>
      </c>
      <c r="F71" s="108">
        <f>SUMIFS(F13:F59,D13:D59,"Japan",R13:R59,"&lt;&gt;100%")+SUMIFS(F13:F59,D13:D59,"South Korea",R13:R59,"&lt;&gt;100%")+SUMIFS(F13:F59,D13:D59,"China",R13:R59,"&lt;&gt;100%")+SUMIFS(F13:F59,D13:D59,"Taiwan",R13:R59,"&lt;&gt;100%")</f>
        <v>0</v>
      </c>
      <c r="G71" s="6"/>
      <c r="H71" s="25"/>
      <c r="I71" s="69"/>
      <c r="J71" s="69"/>
      <c r="K71" s="69"/>
      <c r="L71" s="69"/>
      <c r="M71" s="69"/>
      <c r="N71" s="69"/>
      <c r="O71" s="69"/>
      <c r="P71" s="110"/>
      <c r="Q71" s="75"/>
      <c r="R71" s="99"/>
      <c r="S71" s="74"/>
      <c r="T71" s="2"/>
    </row>
    <row r="72" spans="1:20" s="3" customFormat="1" outlineLevel="1" x14ac:dyDescent="0.35">
      <c r="A72" s="6"/>
      <c r="B72" s="101"/>
      <c r="C72" s="213"/>
      <c r="D72" s="213"/>
      <c r="E72" s="106" t="s">
        <v>103</v>
      </c>
      <c r="F72" s="108">
        <f>SUMIFS(F13:F59,D13:D59,"*USA*",R13:R59,"&lt;&gt;100%")+SUMIFS(F13:F59,D13:D59,"*Canada*",R13:R59,"&lt;&gt;100%")</f>
        <v>0</v>
      </c>
      <c r="G72" s="6"/>
      <c r="H72" s="25"/>
      <c r="I72" s="69"/>
      <c r="J72" s="69"/>
      <c r="K72" s="69"/>
      <c r="L72" s="69"/>
      <c r="M72" s="69"/>
      <c r="N72" s="69"/>
      <c r="O72" s="69"/>
      <c r="P72" s="110"/>
      <c r="Q72" s="75"/>
      <c r="R72" s="99"/>
      <c r="S72" s="74"/>
      <c r="T72" s="2"/>
    </row>
    <row r="73" spans="1:20" s="3" customFormat="1" outlineLevel="1" x14ac:dyDescent="0.35">
      <c r="A73" s="6"/>
      <c r="B73" s="101"/>
      <c r="C73" s="213"/>
      <c r="D73" s="213"/>
      <c r="E73" s="106" t="s">
        <v>104</v>
      </c>
      <c r="F73" s="108">
        <f>SUMIFS(F13:F59,D13:D59,"Brazil",R13:R59,"&lt;&gt;100%")</f>
        <v>0</v>
      </c>
      <c r="G73" s="6"/>
      <c r="H73" s="25"/>
      <c r="I73" s="69"/>
      <c r="J73" s="69"/>
      <c r="K73" s="69"/>
      <c r="L73" s="69"/>
      <c r="M73" s="69"/>
      <c r="N73" s="69"/>
      <c r="O73" s="69"/>
      <c r="P73" s="110"/>
      <c r="Q73" s="75"/>
      <c r="R73" s="99"/>
      <c r="S73" s="74"/>
      <c r="T73" s="2"/>
    </row>
    <row r="74" spans="1:20" s="3" customFormat="1" outlineLevel="1" x14ac:dyDescent="0.35">
      <c r="A74" s="6"/>
      <c r="B74" s="6"/>
      <c r="C74" s="213"/>
      <c r="D74" s="213"/>
      <c r="E74" s="106" t="s">
        <v>47</v>
      </c>
      <c r="F74" s="108">
        <f>SUMIFS(F13:F59,D13:D59,"RoW",R13:R59,"&lt;&gt;100%")</f>
        <v>0</v>
      </c>
      <c r="G74" s="6"/>
      <c r="H74" s="25"/>
      <c r="I74" s="69"/>
      <c r="J74" s="69"/>
      <c r="K74" s="69"/>
      <c r="L74" s="69"/>
      <c r="M74" s="69"/>
      <c r="N74" s="69"/>
      <c r="O74" s="69"/>
      <c r="P74" s="110"/>
      <c r="Q74" s="75"/>
      <c r="R74" s="99"/>
      <c r="S74" s="74"/>
      <c r="T74" s="2"/>
    </row>
    <row r="75" spans="1:20" s="3" customFormat="1" outlineLevel="1" x14ac:dyDescent="0.35">
      <c r="A75" s="6"/>
      <c r="B75" s="6"/>
      <c r="F75" s="109"/>
      <c r="G75" s="6"/>
      <c r="H75" s="25"/>
      <c r="I75" s="69"/>
      <c r="J75" s="69"/>
      <c r="K75" s="69"/>
      <c r="L75" s="69"/>
      <c r="M75" s="69"/>
      <c r="N75" s="69"/>
      <c r="O75" s="69"/>
      <c r="P75" s="6"/>
      <c r="Q75" s="98"/>
      <c r="R75" s="99"/>
      <c r="S75" s="74"/>
      <c r="T75" s="2"/>
    </row>
    <row r="76" spans="1:20" s="3" customFormat="1" outlineLevel="1" x14ac:dyDescent="0.35">
      <c r="A76" s="6"/>
      <c r="B76" s="6"/>
      <c r="C76" s="179" t="s">
        <v>105</v>
      </c>
      <c r="D76" s="180"/>
      <c r="E76" s="107" t="s">
        <v>81</v>
      </c>
      <c r="F76" s="108">
        <f>SUMIFS(F13:F59,R13:R59,100%,D13:D59,"*EUR*")+SUMIFS(F13:F59,R13:R59,100%,D13:D59,"Israel")</f>
        <v>0</v>
      </c>
      <c r="G76" s="6"/>
      <c r="H76" s="25"/>
      <c r="I76" s="69"/>
      <c r="J76" s="69"/>
      <c r="K76" s="69"/>
      <c r="L76" s="69"/>
      <c r="M76" s="69"/>
      <c r="N76" s="69"/>
      <c r="O76" s="69"/>
      <c r="P76" s="6"/>
      <c r="Q76" s="98"/>
      <c r="R76" s="99"/>
      <c r="S76" s="74"/>
      <c r="T76" s="2"/>
    </row>
    <row r="77" spans="1:20" s="3" customFormat="1" outlineLevel="1" x14ac:dyDescent="0.35">
      <c r="A77" s="6"/>
      <c r="B77" s="6"/>
      <c r="C77" s="181"/>
      <c r="D77" s="182"/>
      <c r="E77" s="107" t="s">
        <v>102</v>
      </c>
      <c r="F77" s="108">
        <f>SUMIFS(F13:F59,R13:R59,100%,D13:D59,"Japan")+SUMIFS(F13:F59,R13:R59,100%,D13:D59,"South Korea")+SUMIFS(F13:F59,R13:R59,100%,D13:D59,"China")+SUMIFS(F13:F59,R13:R59,100%,D13:D59,"Taiwan")</f>
        <v>0</v>
      </c>
      <c r="G77" s="6"/>
      <c r="H77" s="25"/>
      <c r="I77" s="69"/>
      <c r="J77" s="69"/>
      <c r="K77" s="69"/>
      <c r="L77" s="69"/>
      <c r="M77" s="69"/>
      <c r="N77" s="69"/>
      <c r="O77" s="69"/>
      <c r="P77" s="6"/>
      <c r="Q77" s="98"/>
      <c r="R77" s="99"/>
      <c r="S77" s="74"/>
      <c r="T77" s="2"/>
    </row>
    <row r="78" spans="1:20" s="3" customFormat="1" outlineLevel="1" x14ac:dyDescent="0.35">
      <c r="A78" s="6"/>
      <c r="B78" s="6"/>
      <c r="C78" s="181"/>
      <c r="D78" s="182"/>
      <c r="E78" s="107" t="s">
        <v>103</v>
      </c>
      <c r="F78" s="108">
        <f>SUMIFS(F13:F59,R13:R59,100%,D13:D59,"*Canada*")+SUMIFS(F13:F59,R13:R59,100%,D13:D59,"*USA*")</f>
        <v>0</v>
      </c>
      <c r="G78" s="6"/>
      <c r="H78" s="25"/>
      <c r="I78" s="69"/>
      <c r="J78" s="69"/>
      <c r="K78" s="69"/>
      <c r="L78" s="69"/>
      <c r="M78" s="69"/>
      <c r="N78" s="69"/>
      <c r="O78" s="69"/>
      <c r="P78" s="6"/>
      <c r="Q78" s="98"/>
      <c r="R78" s="99"/>
      <c r="S78" s="74"/>
      <c r="T78" s="2"/>
    </row>
    <row r="79" spans="1:20" s="3" customFormat="1" outlineLevel="1" x14ac:dyDescent="0.35">
      <c r="A79" s="6"/>
      <c r="B79" s="6"/>
      <c r="C79" s="181"/>
      <c r="D79" s="182"/>
      <c r="E79" s="107" t="s">
        <v>104</v>
      </c>
      <c r="F79" s="108">
        <f>SUMIFS(F13:F59,R13:R59,100%,D13:D59,"Brazil")</f>
        <v>0</v>
      </c>
      <c r="G79" s="6"/>
      <c r="H79" s="25"/>
      <c r="I79" s="69"/>
      <c r="J79" s="69"/>
      <c r="K79" s="69"/>
      <c r="L79" s="69"/>
      <c r="M79" s="69"/>
      <c r="N79" s="69"/>
      <c r="O79" s="69"/>
      <c r="P79" s="6"/>
      <c r="Q79" s="98"/>
      <c r="R79" s="99"/>
      <c r="S79" s="74"/>
      <c r="T79" s="2"/>
    </row>
    <row r="80" spans="1:20" s="3" customFormat="1" outlineLevel="1" x14ac:dyDescent="0.35">
      <c r="A80" s="6"/>
      <c r="B80" s="6"/>
      <c r="C80" s="183"/>
      <c r="D80" s="184"/>
      <c r="E80" s="107" t="s">
        <v>47</v>
      </c>
      <c r="F80" s="108">
        <f>SUMIFS(F13:F59,R13:R59,100%,D13:D59,"RoW")</f>
        <v>0</v>
      </c>
      <c r="G80" s="6"/>
      <c r="H80" s="25"/>
      <c r="I80" s="69"/>
      <c r="J80" s="69"/>
      <c r="K80" s="69"/>
      <c r="L80" s="69"/>
      <c r="M80" s="69"/>
      <c r="N80" s="69"/>
      <c r="O80" s="69"/>
      <c r="P80" s="6"/>
      <c r="Q80" s="98"/>
      <c r="R80" s="99"/>
      <c r="S80" s="74"/>
      <c r="T80" s="2"/>
    </row>
    <row r="81" spans="1:20" s="3" customFormat="1" outlineLevel="1" x14ac:dyDescent="0.35">
      <c r="A81" s="6"/>
      <c r="B81" s="6"/>
      <c r="G81" s="6"/>
      <c r="H81" s="25"/>
      <c r="I81" s="69"/>
      <c r="J81" s="69"/>
      <c r="K81" s="69"/>
      <c r="L81" s="69"/>
      <c r="M81" s="69"/>
      <c r="N81" s="69"/>
      <c r="O81" s="69"/>
      <c r="P81" s="6"/>
      <c r="Q81" s="98"/>
      <c r="R81" s="99"/>
      <c r="S81" s="74"/>
      <c r="T81" s="2"/>
    </row>
    <row r="82" spans="1:20" s="3" customFormat="1" outlineLevel="1" x14ac:dyDescent="0.35">
      <c r="A82" s="6"/>
      <c r="B82" s="6"/>
      <c r="G82" s="6"/>
      <c r="H82" s="25"/>
      <c r="I82" s="69"/>
      <c r="J82" s="69"/>
      <c r="K82" s="69"/>
      <c r="L82" s="69"/>
      <c r="M82" s="69"/>
      <c r="N82" s="69"/>
      <c r="O82" s="69"/>
      <c r="P82" s="6"/>
      <c r="Q82" s="98"/>
      <c r="R82" s="99"/>
      <c r="S82" s="74"/>
      <c r="T82" s="2"/>
    </row>
    <row r="83" spans="1:20" s="3" customFormat="1" outlineLevel="1" x14ac:dyDescent="0.35">
      <c r="A83" s="6"/>
      <c r="B83" s="6"/>
      <c r="G83" s="6"/>
      <c r="H83" s="25"/>
      <c r="I83" s="69"/>
      <c r="J83" s="69"/>
      <c r="K83" s="69"/>
      <c r="L83" s="69"/>
      <c r="M83" s="69"/>
      <c r="N83" s="69"/>
      <c r="O83" s="69"/>
      <c r="P83" s="6"/>
      <c r="Q83" s="98"/>
      <c r="R83" s="99"/>
      <c r="S83" s="74"/>
      <c r="T83" s="2"/>
    </row>
    <row r="84" spans="1:20" s="3" customFormat="1" outlineLevel="1" x14ac:dyDescent="0.35">
      <c r="A84" s="6"/>
      <c r="B84" s="6"/>
      <c r="G84" s="6"/>
      <c r="H84" s="25"/>
      <c r="I84" s="69"/>
      <c r="J84" s="69"/>
      <c r="K84" s="69"/>
      <c r="L84" s="69"/>
      <c r="M84" s="69"/>
      <c r="N84" s="69"/>
      <c r="O84" s="69"/>
      <c r="P84" s="6"/>
      <c r="Q84" s="98"/>
      <c r="R84" s="99"/>
      <c r="S84" s="74"/>
      <c r="T84" s="2"/>
    </row>
    <row r="85" spans="1:20" s="3" customFormat="1" outlineLevel="1" x14ac:dyDescent="0.35">
      <c r="A85" s="6"/>
      <c r="B85" s="6"/>
      <c r="C85" s="6"/>
      <c r="D85" s="6"/>
      <c r="E85" s="6"/>
      <c r="F85" s="6"/>
      <c r="G85" s="6"/>
      <c r="H85" s="25"/>
      <c r="I85" s="69"/>
      <c r="J85" s="69"/>
      <c r="K85" s="69"/>
      <c r="L85" s="69"/>
      <c r="M85" s="69"/>
      <c r="N85" s="69"/>
      <c r="O85" s="69"/>
      <c r="P85" s="6"/>
      <c r="Q85" s="98"/>
      <c r="R85" s="99"/>
      <c r="S85" s="74"/>
      <c r="T85" s="2"/>
    </row>
    <row r="86" spans="1:20" s="3" customFormat="1" outlineLevel="1" x14ac:dyDescent="0.35">
      <c r="A86" s="6"/>
      <c r="B86" s="6"/>
      <c r="C86" s="6"/>
      <c r="D86" s="6"/>
      <c r="E86" s="6"/>
      <c r="F86" s="6"/>
      <c r="G86" s="6"/>
      <c r="H86" s="25"/>
      <c r="I86" s="69"/>
      <c r="J86" s="69"/>
      <c r="K86" s="69"/>
      <c r="L86" s="69"/>
      <c r="M86" s="69"/>
      <c r="N86" s="69"/>
      <c r="O86" s="69"/>
      <c r="P86" s="6"/>
      <c r="Q86" s="98"/>
      <c r="R86" s="99"/>
      <c r="S86" s="74"/>
      <c r="T86" s="2"/>
    </row>
    <row r="87" spans="1:20" s="3" customFormat="1" outlineLevel="1" x14ac:dyDescent="0.35">
      <c r="A87" s="6"/>
      <c r="B87" s="6"/>
      <c r="C87" s="6"/>
      <c r="D87" s="6"/>
      <c r="E87" s="6"/>
      <c r="F87" s="6"/>
      <c r="G87" s="6"/>
      <c r="H87" s="25"/>
      <c r="I87" s="69"/>
      <c r="J87" s="69"/>
      <c r="K87" s="69"/>
      <c r="L87" s="69"/>
      <c r="M87" s="69"/>
      <c r="N87" s="69"/>
      <c r="O87" s="69"/>
      <c r="P87" s="6"/>
      <c r="Q87" s="98"/>
      <c r="R87" s="99"/>
      <c r="S87" s="74"/>
      <c r="T87" s="2"/>
    </row>
    <row r="88" spans="1:20" s="3" customFormat="1" outlineLevel="1" x14ac:dyDescent="0.35">
      <c r="A88" s="6"/>
      <c r="B88" s="6"/>
      <c r="C88" s="6"/>
      <c r="D88" s="6"/>
      <c r="E88" s="6"/>
      <c r="F88" s="6"/>
      <c r="G88" s="6"/>
      <c r="H88" s="25"/>
      <c r="I88" s="69"/>
      <c r="J88" s="69"/>
      <c r="K88" s="69"/>
      <c r="L88" s="69"/>
      <c r="M88" s="69"/>
      <c r="N88" s="69"/>
      <c r="O88" s="69"/>
      <c r="P88" s="6"/>
      <c r="Q88" s="98"/>
      <c r="R88" s="99"/>
      <c r="S88" s="74"/>
      <c r="T88" s="2"/>
    </row>
    <row r="89" spans="1:20" s="3" customFormat="1" outlineLevel="1" x14ac:dyDescent="0.35">
      <c r="A89" s="6"/>
      <c r="B89" s="6"/>
      <c r="C89" s="6"/>
      <c r="D89" s="6"/>
      <c r="E89" s="6"/>
      <c r="F89" s="6"/>
      <c r="G89" s="6"/>
      <c r="H89" s="25"/>
      <c r="I89" s="69"/>
      <c r="J89" s="69"/>
      <c r="K89" s="69"/>
      <c r="L89" s="69"/>
      <c r="M89" s="69"/>
      <c r="N89" s="69"/>
      <c r="O89" s="69"/>
      <c r="P89" s="6"/>
      <c r="Q89" s="98"/>
      <c r="R89" s="99"/>
      <c r="S89" s="74"/>
      <c r="T89" s="2"/>
    </row>
    <row r="90" spans="1:20" s="3" customFormat="1" outlineLevel="1" x14ac:dyDescent="0.35">
      <c r="A90" s="6"/>
      <c r="B90" s="6"/>
      <c r="C90" s="6"/>
      <c r="D90" s="6"/>
      <c r="E90" s="6"/>
      <c r="F90" s="6"/>
      <c r="G90" s="6"/>
      <c r="H90" s="25"/>
      <c r="I90" s="69"/>
      <c r="J90" s="69"/>
      <c r="K90" s="69"/>
      <c r="L90" s="69"/>
      <c r="M90" s="69"/>
      <c r="N90" s="69"/>
      <c r="O90" s="69"/>
      <c r="P90" s="6"/>
      <c r="Q90" s="98"/>
      <c r="R90" s="99"/>
      <c r="S90" s="74"/>
      <c r="T90" s="2"/>
    </row>
    <row r="91" spans="1:20" s="3" customFormat="1" outlineLevel="1" x14ac:dyDescent="0.35">
      <c r="A91" s="6"/>
      <c r="B91" s="6"/>
      <c r="C91" s="6"/>
      <c r="D91" s="6"/>
      <c r="E91" s="6"/>
      <c r="F91" s="6"/>
      <c r="G91" s="6"/>
      <c r="H91" s="25"/>
      <c r="I91" s="69"/>
      <c r="J91" s="69"/>
      <c r="K91" s="69"/>
      <c r="L91" s="69"/>
      <c r="M91" s="69"/>
      <c r="N91" s="69"/>
      <c r="O91" s="69"/>
      <c r="P91" s="6"/>
      <c r="Q91" s="98"/>
      <c r="R91" s="99"/>
      <c r="S91" s="74"/>
      <c r="T91" s="2"/>
    </row>
    <row r="92" spans="1:20" s="3" customFormat="1" outlineLevel="1" x14ac:dyDescent="0.35">
      <c r="A92" s="6"/>
      <c r="B92" s="6"/>
      <c r="C92" s="6"/>
      <c r="D92" s="6"/>
      <c r="E92" s="6"/>
      <c r="F92" s="6"/>
      <c r="G92" s="6"/>
      <c r="H92" s="25"/>
      <c r="I92" s="69"/>
      <c r="J92" s="69"/>
      <c r="K92" s="69"/>
      <c r="L92" s="69"/>
      <c r="M92" s="69"/>
      <c r="N92" s="69"/>
      <c r="O92" s="69"/>
      <c r="P92" s="6"/>
      <c r="Q92" s="98"/>
      <c r="R92" s="99"/>
      <c r="S92" s="74"/>
      <c r="T92" s="2"/>
    </row>
    <row r="93" spans="1:20" s="3" customFormat="1" outlineLevel="1" x14ac:dyDescent="0.35">
      <c r="A93" s="6"/>
      <c r="B93" s="6"/>
      <c r="C93" s="6"/>
      <c r="D93" s="6"/>
      <c r="E93" s="6"/>
      <c r="F93" s="6"/>
      <c r="G93" s="6"/>
      <c r="H93" s="25"/>
      <c r="I93" s="69"/>
      <c r="J93" s="69"/>
      <c r="K93" s="69"/>
      <c r="L93" s="69"/>
      <c r="M93" s="69"/>
      <c r="N93" s="69"/>
      <c r="O93" s="69"/>
      <c r="P93" s="6"/>
      <c r="Q93" s="98"/>
      <c r="R93" s="99"/>
      <c r="S93" s="74"/>
      <c r="T93" s="2"/>
    </row>
    <row r="94" spans="1:20" s="3" customFormat="1" outlineLevel="1" x14ac:dyDescent="0.35">
      <c r="A94" s="6"/>
      <c r="B94" s="6"/>
      <c r="C94" s="6"/>
      <c r="D94" s="6"/>
      <c r="E94" s="6"/>
      <c r="F94" s="6"/>
      <c r="G94" s="6"/>
      <c r="H94" s="25"/>
      <c r="I94" s="69"/>
      <c r="J94" s="69"/>
      <c r="K94" s="69"/>
      <c r="L94" s="69"/>
      <c r="M94" s="69"/>
      <c r="N94" s="69"/>
      <c r="O94" s="69"/>
      <c r="P94" s="6"/>
      <c r="Q94" s="98"/>
      <c r="R94" s="99"/>
      <c r="S94" s="74"/>
      <c r="T94" s="2"/>
    </row>
    <row r="95" spans="1:20" s="3" customFormat="1" outlineLevel="1" x14ac:dyDescent="0.35">
      <c r="A95" s="6"/>
      <c r="B95" s="6"/>
      <c r="C95" s="6"/>
      <c r="D95" s="6"/>
      <c r="E95" s="6"/>
      <c r="F95" s="6"/>
      <c r="G95" s="6"/>
      <c r="H95" s="25"/>
      <c r="I95" s="69"/>
      <c r="J95" s="69"/>
      <c r="K95" s="69"/>
      <c r="L95" s="69"/>
      <c r="M95" s="69"/>
      <c r="N95" s="69"/>
      <c r="O95" s="69"/>
      <c r="P95" s="6"/>
      <c r="Q95" s="98"/>
      <c r="R95" s="99"/>
      <c r="S95" s="74"/>
      <c r="T95" s="2"/>
    </row>
    <row r="96" spans="1:20" s="3" customFormat="1" outlineLevel="1" x14ac:dyDescent="0.35">
      <c r="A96" s="6"/>
      <c r="B96" s="6"/>
      <c r="C96" s="6"/>
      <c r="D96" s="6"/>
      <c r="E96" s="6"/>
      <c r="F96" s="6"/>
      <c r="G96" s="6"/>
      <c r="H96" s="25"/>
      <c r="I96" s="69"/>
      <c r="J96" s="69"/>
      <c r="K96" s="69"/>
      <c r="L96" s="69"/>
      <c r="M96" s="69"/>
      <c r="N96" s="69"/>
      <c r="O96" s="69"/>
      <c r="P96" s="6"/>
      <c r="Q96" s="98"/>
      <c r="R96" s="99"/>
      <c r="S96" s="74"/>
      <c r="T96" s="2"/>
    </row>
    <row r="97" spans="1:20" s="3" customFormat="1" outlineLevel="1" x14ac:dyDescent="0.35">
      <c r="A97" s="6"/>
      <c r="B97" s="6"/>
      <c r="C97" s="6"/>
      <c r="D97" s="6"/>
      <c r="E97" s="6"/>
      <c r="F97" s="6"/>
      <c r="G97" s="6"/>
      <c r="H97" s="25"/>
      <c r="I97" s="69"/>
      <c r="J97" s="69"/>
      <c r="K97" s="69"/>
      <c r="L97" s="69"/>
      <c r="M97" s="69"/>
      <c r="N97" s="69"/>
      <c r="O97" s="69"/>
      <c r="P97" s="6"/>
      <c r="Q97" s="98"/>
      <c r="R97" s="99"/>
      <c r="S97" s="74"/>
      <c r="T97" s="2"/>
    </row>
    <row r="98" spans="1:20" s="3" customFormat="1" outlineLevel="1" x14ac:dyDescent="0.35">
      <c r="A98" s="6"/>
      <c r="B98" s="6"/>
      <c r="C98" s="6"/>
      <c r="D98" s="6"/>
      <c r="E98" s="6"/>
      <c r="F98" s="6"/>
      <c r="G98" s="6"/>
      <c r="H98" s="25"/>
      <c r="I98" s="69"/>
      <c r="J98" s="69"/>
      <c r="K98" s="69"/>
      <c r="L98" s="69"/>
      <c r="M98" s="69"/>
      <c r="N98" s="69"/>
      <c r="O98" s="69"/>
      <c r="P98" s="6"/>
      <c r="Q98" s="98"/>
      <c r="R98" s="99"/>
      <c r="S98" s="74"/>
      <c r="T98" s="2"/>
    </row>
    <row r="99" spans="1:20" s="3" customFormat="1" outlineLevel="1" x14ac:dyDescent="0.35">
      <c r="A99" s="6"/>
      <c r="B99" s="6"/>
      <c r="C99" s="6"/>
      <c r="D99" s="6"/>
      <c r="E99" s="6"/>
      <c r="F99" s="6"/>
      <c r="G99" s="6"/>
      <c r="H99" s="25"/>
      <c r="I99" s="69"/>
      <c r="J99" s="69"/>
      <c r="K99" s="69"/>
      <c r="L99" s="69"/>
      <c r="M99" s="69"/>
      <c r="N99" s="69"/>
      <c r="O99" s="69"/>
      <c r="P99" s="6"/>
      <c r="Q99" s="98"/>
      <c r="R99" s="99"/>
      <c r="S99" s="74"/>
      <c r="T99" s="2"/>
    </row>
    <row r="100" spans="1:20" s="3" customFormat="1" outlineLevel="1" x14ac:dyDescent="0.35">
      <c r="A100" s="6"/>
      <c r="B100" s="6"/>
      <c r="C100" s="6"/>
      <c r="D100" s="6"/>
      <c r="E100" s="6"/>
      <c r="F100" s="6"/>
      <c r="G100" s="6"/>
      <c r="H100" s="25"/>
      <c r="I100" s="69"/>
      <c r="J100" s="69"/>
      <c r="K100" s="69"/>
      <c r="L100" s="69"/>
      <c r="M100" s="69"/>
      <c r="N100" s="69"/>
      <c r="O100" s="69"/>
      <c r="P100" s="6"/>
      <c r="Q100" s="98"/>
      <c r="R100" s="99"/>
      <c r="S100" s="74"/>
      <c r="T100" s="2"/>
    </row>
    <row r="101" spans="1:20" s="3" customFormat="1" outlineLevel="1" x14ac:dyDescent="0.35">
      <c r="A101" s="6"/>
      <c r="B101" s="6"/>
      <c r="C101" s="6"/>
      <c r="D101" s="6"/>
      <c r="E101" s="6"/>
      <c r="F101" s="6"/>
      <c r="G101" s="6"/>
      <c r="H101" s="25"/>
      <c r="I101" s="69"/>
      <c r="J101" s="69"/>
      <c r="K101" s="69"/>
      <c r="L101" s="69"/>
      <c r="M101" s="69"/>
      <c r="N101" s="69"/>
      <c r="O101" s="69"/>
      <c r="P101" s="6"/>
      <c r="Q101" s="98"/>
      <c r="R101" s="99"/>
      <c r="S101" s="74"/>
      <c r="T101" s="2"/>
    </row>
    <row r="102" spans="1:20" s="3" customFormat="1" outlineLevel="1" x14ac:dyDescent="0.35">
      <c r="A102" s="6"/>
      <c r="B102" s="6"/>
      <c r="C102" s="6"/>
      <c r="D102" s="6"/>
      <c r="E102" s="6"/>
      <c r="F102" s="6"/>
      <c r="G102" s="6"/>
      <c r="H102" s="25"/>
      <c r="I102" s="69"/>
      <c r="J102" s="69"/>
      <c r="K102" s="69"/>
      <c r="L102" s="69"/>
      <c r="M102" s="69"/>
      <c r="N102" s="69"/>
      <c r="O102" s="69"/>
      <c r="P102" s="6"/>
      <c r="Q102" s="98"/>
      <c r="R102" s="99"/>
      <c r="S102" s="74"/>
      <c r="T102" s="2"/>
    </row>
    <row r="103" spans="1:20" s="3" customFormat="1" outlineLevel="1" x14ac:dyDescent="0.35">
      <c r="A103" s="6"/>
      <c r="B103" s="6"/>
      <c r="C103" s="6"/>
      <c r="D103" s="6"/>
      <c r="E103" s="6"/>
      <c r="F103" s="6"/>
      <c r="G103" s="6"/>
      <c r="H103" s="25"/>
      <c r="I103" s="69"/>
      <c r="J103" s="69"/>
      <c r="K103" s="69"/>
      <c r="L103" s="69"/>
      <c r="M103" s="69"/>
      <c r="N103" s="69"/>
      <c r="O103" s="69"/>
      <c r="P103" s="6"/>
      <c r="Q103" s="98"/>
      <c r="R103" s="99"/>
      <c r="S103" s="74"/>
      <c r="T103" s="2"/>
    </row>
    <row r="104" spans="1:20" s="3" customFormat="1" outlineLevel="1" x14ac:dyDescent="0.35">
      <c r="A104" s="6"/>
      <c r="B104" s="6"/>
      <c r="C104" s="6"/>
      <c r="D104" s="6"/>
      <c r="E104" s="6"/>
      <c r="F104" s="6"/>
      <c r="G104" s="6"/>
      <c r="H104" s="25"/>
      <c r="I104" s="69"/>
      <c r="J104" s="69"/>
      <c r="K104" s="69"/>
      <c r="L104" s="69"/>
      <c r="M104" s="69"/>
      <c r="N104" s="69"/>
      <c r="O104" s="69"/>
      <c r="P104" s="6"/>
      <c r="Q104" s="98"/>
      <c r="R104" s="99"/>
      <c r="S104" s="74"/>
      <c r="T104" s="2"/>
    </row>
    <row r="105" spans="1:20" s="3" customFormat="1" outlineLevel="1" x14ac:dyDescent="0.35">
      <c r="A105" s="6"/>
      <c r="B105" s="6"/>
      <c r="C105" s="6"/>
      <c r="D105" s="6"/>
      <c r="E105" s="6"/>
      <c r="F105" s="6"/>
      <c r="G105" s="6"/>
      <c r="H105" s="25"/>
      <c r="I105" s="69"/>
      <c r="J105" s="69"/>
      <c r="K105" s="69"/>
      <c r="L105" s="69"/>
      <c r="M105" s="69"/>
      <c r="N105" s="69"/>
      <c r="O105" s="69"/>
      <c r="P105" s="6"/>
      <c r="Q105" s="98"/>
      <c r="R105" s="99"/>
      <c r="S105" s="74"/>
      <c r="T105" s="2"/>
    </row>
    <row r="106" spans="1:20" s="3" customFormat="1" outlineLevel="1" x14ac:dyDescent="0.35">
      <c r="A106" s="6"/>
      <c r="B106" s="6"/>
      <c r="C106" s="173" t="s">
        <v>109</v>
      </c>
      <c r="D106" s="173"/>
      <c r="E106" s="173"/>
      <c r="F106" s="173"/>
      <c r="G106" s="6"/>
      <c r="H106" s="25"/>
      <c r="I106" s="69"/>
      <c r="J106" s="69"/>
      <c r="K106" s="69"/>
      <c r="L106" s="69"/>
      <c r="M106" s="69"/>
      <c r="N106" s="69"/>
      <c r="O106" s="69"/>
      <c r="P106" s="6"/>
      <c r="Q106" s="98"/>
      <c r="R106" s="99"/>
      <c r="S106" s="74"/>
      <c r="T106" s="2"/>
    </row>
    <row r="107" spans="1:20" s="3" customFormat="1" outlineLevel="1" x14ac:dyDescent="0.35">
      <c r="A107" s="6"/>
      <c r="B107" s="6"/>
      <c r="C107" s="111"/>
      <c r="D107" s="113" t="s">
        <v>110</v>
      </c>
      <c r="E107" s="113" t="s">
        <v>62</v>
      </c>
      <c r="F107" s="113" t="s">
        <v>111</v>
      </c>
      <c r="G107" s="6"/>
      <c r="H107" s="25"/>
      <c r="I107" s="69"/>
      <c r="J107" s="69"/>
      <c r="K107" s="69"/>
      <c r="L107" s="69"/>
      <c r="M107" s="69"/>
      <c r="N107" s="69"/>
      <c r="O107" s="69"/>
      <c r="P107" s="6"/>
      <c r="Q107" s="98"/>
      <c r="R107" s="99"/>
      <c r="S107" s="74"/>
      <c r="T107" s="2"/>
    </row>
    <row r="108" spans="1:20" s="3" customFormat="1" outlineLevel="1" x14ac:dyDescent="0.35">
      <c r="A108" s="6"/>
      <c r="B108" s="6"/>
      <c r="C108" s="113" t="s">
        <v>5</v>
      </c>
      <c r="D108" s="112">
        <f>SUMIFS(F13:F59,A13:A59,"Q1",Q13:Q59,"&lt;&gt;"&amp;"Closed Won")</f>
        <v>0</v>
      </c>
      <c r="E108" s="112">
        <f>SUMIFS(F13:F59,A13:A59,"Q1",Q13:Q59,"Closed Won")</f>
        <v>0</v>
      </c>
      <c r="F108" s="112">
        <f>SUM(D108:E108)</f>
        <v>0</v>
      </c>
      <c r="G108" s="6"/>
      <c r="H108" s="25"/>
      <c r="I108" s="69"/>
      <c r="J108" s="69"/>
      <c r="K108" s="69"/>
      <c r="L108" s="69"/>
      <c r="M108" s="69"/>
      <c r="N108" s="69"/>
      <c r="O108" s="69"/>
      <c r="P108" s="6"/>
      <c r="Q108" s="98"/>
      <c r="R108" s="99"/>
      <c r="S108" s="74"/>
      <c r="T108" s="2"/>
    </row>
    <row r="109" spans="1:20" s="3" customFormat="1" outlineLevel="1" x14ac:dyDescent="0.35">
      <c r="A109" s="6"/>
      <c r="B109" s="6"/>
      <c r="C109" s="113" t="s">
        <v>6</v>
      </c>
      <c r="D109" s="112">
        <f>SUMIFS(F13:F59,A13:A59,"Q2",Q13:Q59,"&lt;&gt;"&amp;"Closed Won")</f>
        <v>0</v>
      </c>
      <c r="E109" s="112">
        <f>SUMIFS(F13:F59,A13:A59,"Q2",Q13:Q59,"Closed Won")</f>
        <v>0</v>
      </c>
      <c r="F109" s="112">
        <f t="shared" ref="F109:F112" si="5">SUM(D109:E109)</f>
        <v>0</v>
      </c>
      <c r="G109" s="6"/>
      <c r="H109" s="25"/>
      <c r="I109" s="69"/>
      <c r="J109" s="69"/>
      <c r="K109" s="69"/>
      <c r="L109" s="69"/>
      <c r="M109" s="69"/>
      <c r="N109" s="69"/>
      <c r="O109" s="69"/>
      <c r="P109" s="6"/>
      <c r="Q109" s="98"/>
      <c r="R109" s="99"/>
      <c r="S109" s="74"/>
      <c r="T109" s="2"/>
    </row>
    <row r="110" spans="1:20" s="3" customFormat="1" outlineLevel="1" x14ac:dyDescent="0.35">
      <c r="A110" s="6"/>
      <c r="B110" s="6"/>
      <c r="C110" s="113" t="s">
        <v>2</v>
      </c>
      <c r="D110" s="112">
        <f>SUMIFS(F13:F59,A13:A59,"Q3",Q13:Q59,"&lt;&gt;"&amp;"Closed Won")</f>
        <v>0</v>
      </c>
      <c r="E110" s="112">
        <f>SUMIFS(F13:F59,A13:A59,"Q3",Q13:Q59,"Closed Won")</f>
        <v>0</v>
      </c>
      <c r="F110" s="112">
        <f t="shared" si="5"/>
        <v>0</v>
      </c>
      <c r="G110" s="6"/>
      <c r="H110" s="25"/>
      <c r="I110" s="69"/>
      <c r="J110" s="69"/>
      <c r="K110" s="69"/>
      <c r="L110" s="69"/>
      <c r="M110" s="69"/>
      <c r="N110" s="69"/>
      <c r="O110" s="69"/>
      <c r="P110" s="6"/>
      <c r="Q110" s="98"/>
      <c r="R110" s="99"/>
      <c r="S110" s="74"/>
      <c r="T110" s="2"/>
    </row>
    <row r="111" spans="1:20" s="3" customFormat="1" outlineLevel="1" x14ac:dyDescent="0.35">
      <c r="A111" s="6"/>
      <c r="B111" s="6"/>
      <c r="C111" s="113" t="s">
        <v>3</v>
      </c>
      <c r="D111" s="112">
        <f>SUMIFS(F13:F59,A13:A59,"Q4",Q13:Q59,"&lt;&gt;"&amp;"Closed Won")</f>
        <v>0</v>
      </c>
      <c r="E111" s="112">
        <f>SUMIFS(F13:F59,A13:A59,"Q4",R13:R59,"100%")</f>
        <v>0</v>
      </c>
      <c r="F111" s="112">
        <f t="shared" si="5"/>
        <v>0</v>
      </c>
      <c r="G111" s="6"/>
      <c r="H111" s="25"/>
      <c r="I111" s="69"/>
      <c r="J111" s="69"/>
      <c r="K111" s="69"/>
      <c r="L111" s="69"/>
      <c r="M111" s="69"/>
      <c r="N111" s="69"/>
      <c r="O111" s="69"/>
      <c r="P111" s="6"/>
      <c r="Q111" s="98"/>
      <c r="R111" s="99"/>
      <c r="S111" s="74"/>
      <c r="T111" s="2"/>
    </row>
    <row r="112" spans="1:20" s="3" customFormat="1" outlineLevel="1" x14ac:dyDescent="0.35">
      <c r="A112" s="6"/>
      <c r="B112" s="6"/>
      <c r="C112" s="113" t="s">
        <v>7</v>
      </c>
      <c r="D112" s="112">
        <f>SUMIFS(F13:F59,A13:A59,"NN",R13:R59,"&lt;&gt;100%")</f>
        <v>0</v>
      </c>
      <c r="E112" s="112">
        <f>SUMIFS(F13:F59,A13:A59,"NN",R13:R59,"100%")</f>
        <v>0</v>
      </c>
      <c r="F112" s="112">
        <f t="shared" si="5"/>
        <v>0</v>
      </c>
      <c r="G112" s="6"/>
      <c r="H112" s="25"/>
      <c r="I112" s="69"/>
      <c r="J112" s="69"/>
      <c r="K112" s="69"/>
      <c r="L112" s="69"/>
      <c r="M112" s="69"/>
      <c r="N112" s="69"/>
      <c r="O112" s="69"/>
      <c r="P112" s="6"/>
      <c r="Q112" s="98"/>
      <c r="R112" s="99"/>
      <c r="S112" s="74"/>
      <c r="T112" s="2"/>
    </row>
    <row r="113" spans="1:20" s="3" customFormat="1" outlineLevel="1" x14ac:dyDescent="0.35">
      <c r="A113" s="6"/>
      <c r="B113" s="6"/>
      <c r="C113" s="174" t="s">
        <v>112</v>
      </c>
      <c r="D113" s="174"/>
      <c r="E113" s="174"/>
      <c r="F113" s="81">
        <f>SUM(F108:F112)</f>
        <v>0</v>
      </c>
      <c r="G113" s="6"/>
      <c r="H113" s="25"/>
      <c r="I113" s="69"/>
      <c r="J113" s="69"/>
      <c r="K113" s="69"/>
      <c r="L113" s="69"/>
      <c r="M113" s="69"/>
      <c r="N113" s="69"/>
      <c r="O113" s="69"/>
      <c r="P113" s="6"/>
      <c r="Q113" s="98"/>
      <c r="R113" s="99"/>
      <c r="S113" s="74"/>
      <c r="T113" s="2"/>
    </row>
    <row r="114" spans="1:20" s="3" customFormat="1" outlineLevel="1" x14ac:dyDescent="0.35">
      <c r="A114" s="6"/>
      <c r="B114" s="6"/>
      <c r="C114" s="6"/>
      <c r="D114" s="6"/>
      <c r="E114" s="6"/>
      <c r="F114" s="6"/>
      <c r="G114" s="6"/>
      <c r="H114" s="25"/>
      <c r="I114" s="69"/>
      <c r="J114" s="69"/>
      <c r="K114" s="69"/>
      <c r="L114" s="69"/>
      <c r="M114" s="69"/>
      <c r="N114" s="69"/>
      <c r="O114" s="69"/>
      <c r="P114" s="6"/>
      <c r="Q114" s="98"/>
      <c r="R114" s="99"/>
      <c r="S114" s="74"/>
      <c r="T114" s="2"/>
    </row>
    <row r="115" spans="1:20" s="3" customFormat="1" outlineLevel="1" x14ac:dyDescent="0.35">
      <c r="A115" s="6"/>
      <c r="B115" s="6"/>
      <c r="C115" s="6"/>
      <c r="D115" s="6"/>
      <c r="E115" s="6"/>
      <c r="F115" s="6"/>
      <c r="G115" s="6"/>
      <c r="H115" s="25"/>
      <c r="I115" s="69"/>
      <c r="J115" s="69"/>
      <c r="K115" s="69"/>
      <c r="L115" s="69"/>
      <c r="M115" s="69"/>
      <c r="N115" s="69"/>
      <c r="O115" s="69"/>
      <c r="P115" s="6"/>
      <c r="Q115" s="98"/>
      <c r="R115" s="99"/>
      <c r="S115" s="74"/>
      <c r="T115" s="2"/>
    </row>
    <row r="116" spans="1:20" s="3" customFormat="1" outlineLevel="1" x14ac:dyDescent="0.35">
      <c r="A116" s="6"/>
      <c r="B116" s="6"/>
      <c r="C116" s="6"/>
      <c r="D116" s="6"/>
      <c r="E116" s="6"/>
      <c r="F116" s="6"/>
      <c r="G116" s="6"/>
      <c r="H116" s="25"/>
      <c r="I116" s="69"/>
      <c r="J116" s="69"/>
      <c r="K116" s="69"/>
      <c r="L116" s="69"/>
      <c r="M116" s="69"/>
      <c r="N116" s="69"/>
      <c r="O116" s="69"/>
      <c r="P116" s="6"/>
      <c r="Q116" s="98"/>
      <c r="R116" s="99"/>
      <c r="S116" s="74"/>
      <c r="T116" s="2"/>
    </row>
    <row r="117" spans="1:20" s="3" customFormat="1" outlineLevel="1" x14ac:dyDescent="0.35">
      <c r="A117" s="6"/>
      <c r="B117" s="6"/>
      <c r="C117" s="6"/>
      <c r="D117" s="6"/>
      <c r="E117" s="6"/>
      <c r="F117" s="6"/>
      <c r="G117" s="6"/>
      <c r="H117" s="25"/>
      <c r="I117" s="69"/>
      <c r="J117" s="69"/>
      <c r="K117" s="69"/>
      <c r="L117" s="69"/>
      <c r="M117" s="69"/>
      <c r="N117" s="69"/>
      <c r="O117" s="69"/>
      <c r="P117" s="6"/>
      <c r="Q117" s="98"/>
      <c r="R117" s="99"/>
      <c r="S117" s="74"/>
      <c r="T117" s="2"/>
    </row>
    <row r="118" spans="1:20" s="3" customFormat="1" outlineLevel="1" x14ac:dyDescent="0.35">
      <c r="A118" s="6"/>
      <c r="B118" s="6"/>
      <c r="C118" s="6"/>
      <c r="D118" s="6"/>
      <c r="E118" s="6"/>
      <c r="F118" s="6"/>
      <c r="G118" s="6"/>
      <c r="H118" s="25"/>
      <c r="I118" s="69"/>
      <c r="J118" s="69"/>
      <c r="K118" s="69"/>
      <c r="L118" s="69"/>
      <c r="M118" s="69"/>
      <c r="N118" s="69"/>
      <c r="O118" s="69"/>
      <c r="P118" s="6"/>
      <c r="Q118" s="98"/>
      <c r="R118" s="99"/>
      <c r="S118" s="74"/>
      <c r="T118" s="2"/>
    </row>
    <row r="119" spans="1:20" s="3" customFormat="1" outlineLevel="1" x14ac:dyDescent="0.35">
      <c r="A119" s="6"/>
      <c r="B119" s="6"/>
      <c r="C119" s="6"/>
      <c r="D119" s="6"/>
      <c r="E119" s="6"/>
      <c r="F119" s="6"/>
      <c r="G119" s="6"/>
      <c r="H119" s="25"/>
      <c r="I119" s="69"/>
      <c r="J119" s="69"/>
      <c r="K119" s="69"/>
      <c r="L119" s="69"/>
      <c r="M119" s="69"/>
      <c r="N119" s="69"/>
      <c r="O119" s="69"/>
      <c r="P119" s="6"/>
      <c r="Q119" s="98"/>
      <c r="R119" s="99"/>
      <c r="S119" s="74"/>
      <c r="T119" s="2"/>
    </row>
    <row r="120" spans="1:20" s="3" customFormat="1" outlineLevel="1" x14ac:dyDescent="0.35">
      <c r="A120" s="6"/>
      <c r="B120" s="6"/>
      <c r="C120" s="6"/>
      <c r="D120" s="6"/>
      <c r="E120" s="6"/>
      <c r="F120" s="6"/>
      <c r="G120" s="6"/>
      <c r="H120" s="25"/>
      <c r="I120" s="69"/>
      <c r="J120" s="69"/>
      <c r="K120" s="69"/>
      <c r="L120" s="69"/>
      <c r="M120" s="69"/>
      <c r="N120" s="69"/>
      <c r="O120" s="69"/>
      <c r="P120" s="6"/>
      <c r="Q120" s="98"/>
      <c r="R120" s="99"/>
      <c r="S120" s="74"/>
      <c r="T120" s="2"/>
    </row>
    <row r="121" spans="1:20" s="3" customFormat="1" outlineLevel="1" x14ac:dyDescent="0.35">
      <c r="A121" s="6"/>
      <c r="B121" s="6"/>
      <c r="C121" s="6"/>
      <c r="D121" s="6"/>
      <c r="E121" s="6"/>
      <c r="F121" s="6"/>
      <c r="G121" s="6"/>
      <c r="H121" s="25"/>
      <c r="I121" s="69"/>
      <c r="J121" s="69"/>
      <c r="K121" s="69"/>
      <c r="L121" s="69"/>
      <c r="M121" s="69"/>
      <c r="N121" s="69"/>
      <c r="O121" s="69"/>
      <c r="P121" s="6"/>
      <c r="Q121" s="98"/>
      <c r="R121" s="99"/>
      <c r="S121" s="74"/>
      <c r="T121" s="2"/>
    </row>
    <row r="122" spans="1:20" s="3" customFormat="1" outlineLevel="1" x14ac:dyDescent="0.35">
      <c r="A122" s="6"/>
      <c r="B122" s="6"/>
      <c r="C122" s="6"/>
      <c r="D122" s="6"/>
      <c r="E122" s="6"/>
      <c r="F122" s="6"/>
      <c r="G122" s="6"/>
      <c r="H122" s="25"/>
      <c r="I122" s="69"/>
      <c r="J122" s="69"/>
      <c r="K122" s="69"/>
      <c r="L122" s="69"/>
      <c r="M122" s="69"/>
      <c r="N122" s="69"/>
      <c r="O122" s="69"/>
      <c r="P122" s="6"/>
      <c r="Q122" s="98"/>
      <c r="R122" s="99"/>
      <c r="S122" s="74"/>
      <c r="T122" s="2"/>
    </row>
    <row r="123" spans="1:20" s="3" customFormat="1" outlineLevel="1" x14ac:dyDescent="0.35">
      <c r="A123" s="6"/>
      <c r="B123" s="6"/>
      <c r="C123" s="6"/>
      <c r="D123" s="6"/>
      <c r="E123" s="6"/>
      <c r="F123" s="6"/>
      <c r="G123" s="6"/>
      <c r="H123" s="25"/>
      <c r="I123" s="69"/>
      <c r="J123" s="69"/>
      <c r="K123" s="69"/>
      <c r="L123" s="69"/>
      <c r="M123" s="69"/>
      <c r="N123" s="69"/>
      <c r="O123" s="69"/>
      <c r="P123" s="6"/>
      <c r="Q123" s="98"/>
      <c r="R123" s="99"/>
      <c r="S123" s="74"/>
      <c r="T123" s="2"/>
    </row>
    <row r="124" spans="1:20" s="3" customFormat="1" outlineLevel="1" x14ac:dyDescent="0.35">
      <c r="A124" s="6"/>
      <c r="B124" s="6"/>
      <c r="C124" s="6"/>
      <c r="D124" s="6"/>
      <c r="E124" s="6"/>
      <c r="F124" s="6"/>
      <c r="G124" s="6"/>
      <c r="H124" s="25"/>
      <c r="I124" s="69"/>
      <c r="J124" s="69"/>
      <c r="K124" s="69"/>
      <c r="L124" s="69"/>
      <c r="M124" s="69"/>
      <c r="N124" s="69"/>
      <c r="O124" s="69"/>
      <c r="P124" s="6"/>
      <c r="Q124" s="98"/>
      <c r="R124" s="99"/>
      <c r="S124" s="74"/>
      <c r="T124" s="2"/>
    </row>
    <row r="125" spans="1:20" s="3" customFormat="1" outlineLevel="1" x14ac:dyDescent="0.35">
      <c r="A125" s="6"/>
      <c r="B125" s="6"/>
      <c r="C125" s="6"/>
      <c r="D125" s="6"/>
      <c r="E125" s="6"/>
      <c r="F125" s="6"/>
      <c r="G125" s="6"/>
      <c r="H125" s="25"/>
      <c r="I125" s="69"/>
      <c r="J125" s="69"/>
      <c r="K125" s="69"/>
      <c r="L125" s="69"/>
      <c r="M125" s="69"/>
      <c r="N125" s="69"/>
      <c r="O125" s="69"/>
      <c r="P125" s="6"/>
      <c r="Q125" s="98"/>
      <c r="R125" s="99"/>
      <c r="S125" s="74"/>
      <c r="T125" s="2"/>
    </row>
    <row r="126" spans="1:20" s="3" customFormat="1" outlineLevel="1" x14ac:dyDescent="0.35">
      <c r="A126" s="6"/>
      <c r="B126" s="6"/>
      <c r="C126" s="6"/>
      <c r="D126" s="6"/>
      <c r="E126" s="6"/>
      <c r="F126" s="6"/>
      <c r="G126" s="6"/>
      <c r="H126" s="25"/>
      <c r="I126" s="69"/>
      <c r="J126" s="69"/>
      <c r="K126" s="69"/>
      <c r="L126" s="69"/>
      <c r="M126" s="69"/>
      <c r="N126" s="69"/>
      <c r="O126" s="69"/>
      <c r="P126" s="6"/>
      <c r="Q126" s="98"/>
      <c r="R126" s="99"/>
      <c r="S126" s="74"/>
      <c r="T126" s="2"/>
    </row>
    <row r="127" spans="1:20" s="3" customFormat="1" outlineLevel="1" x14ac:dyDescent="0.35">
      <c r="A127" s="6"/>
      <c r="B127" s="6"/>
      <c r="C127" s="6"/>
      <c r="D127" s="6"/>
      <c r="E127" s="6"/>
      <c r="F127" s="6"/>
      <c r="G127" s="6"/>
      <c r="H127" s="25"/>
      <c r="I127" s="69"/>
      <c r="J127" s="69"/>
      <c r="K127" s="69"/>
      <c r="L127" s="69"/>
      <c r="M127" s="69"/>
      <c r="N127" s="69"/>
      <c r="O127" s="69"/>
      <c r="P127" s="6"/>
      <c r="Q127" s="98"/>
      <c r="R127" s="99"/>
      <c r="S127" s="74"/>
      <c r="T127" s="2"/>
    </row>
    <row r="128" spans="1:20" s="3" customFormat="1" outlineLevel="1" x14ac:dyDescent="0.35">
      <c r="A128" s="6"/>
      <c r="B128" s="6"/>
      <c r="C128" s="6"/>
      <c r="D128" s="6"/>
      <c r="E128" s="6"/>
      <c r="F128" s="6"/>
      <c r="G128" s="6"/>
      <c r="H128" s="25"/>
      <c r="I128" s="69"/>
      <c r="J128" s="69"/>
      <c r="K128" s="69"/>
      <c r="L128" s="69"/>
      <c r="M128" s="69"/>
      <c r="N128" s="69"/>
      <c r="O128" s="69"/>
      <c r="P128" s="6"/>
      <c r="Q128" s="98"/>
      <c r="R128" s="99"/>
      <c r="S128" s="74"/>
      <c r="T128" s="2"/>
    </row>
    <row r="129" spans="1:22" s="3" customFormat="1" outlineLevel="1" x14ac:dyDescent="0.35">
      <c r="A129" s="6"/>
      <c r="B129" s="6"/>
      <c r="C129" s="6"/>
      <c r="D129" s="6"/>
      <c r="E129" s="6"/>
      <c r="F129" s="6"/>
      <c r="G129" s="6"/>
      <c r="H129" s="25"/>
      <c r="I129" s="69"/>
      <c r="J129" s="69"/>
      <c r="K129" s="69"/>
      <c r="L129" s="69"/>
      <c r="M129" s="69"/>
      <c r="N129" s="69"/>
      <c r="O129" s="69"/>
      <c r="P129" s="6"/>
      <c r="Q129" s="98"/>
      <c r="R129" s="99"/>
      <c r="S129" s="74"/>
      <c r="T129" s="2"/>
    </row>
    <row r="130" spans="1:22" s="3" customFormat="1" outlineLevel="1" x14ac:dyDescent="0.35">
      <c r="A130" s="6"/>
      <c r="B130" s="6"/>
      <c r="C130" s="6"/>
      <c r="D130" s="6"/>
      <c r="E130" s="6"/>
      <c r="F130" s="6"/>
      <c r="G130" s="6"/>
      <c r="H130" s="25"/>
      <c r="I130" s="69"/>
      <c r="J130" s="69"/>
      <c r="K130" s="69"/>
      <c r="L130" s="69"/>
      <c r="M130" s="69"/>
      <c r="N130" s="69"/>
      <c r="O130" s="69"/>
      <c r="P130" s="6"/>
      <c r="Q130" s="98"/>
      <c r="R130" s="99"/>
      <c r="S130" s="74"/>
      <c r="T130" s="2"/>
    </row>
    <row r="131" spans="1:22" s="3" customFormat="1" outlineLevel="1" x14ac:dyDescent="0.35">
      <c r="A131" s="6"/>
      <c r="B131" s="6"/>
      <c r="C131" s="6"/>
      <c r="D131" s="6"/>
      <c r="E131" s="6"/>
      <c r="F131" s="6"/>
      <c r="G131" s="6"/>
      <c r="H131" s="25"/>
      <c r="I131" s="69"/>
      <c r="J131" s="69"/>
      <c r="K131" s="69"/>
      <c r="L131" s="69"/>
      <c r="M131" s="69"/>
      <c r="N131" s="69"/>
      <c r="O131" s="69"/>
      <c r="P131" s="6"/>
      <c r="Q131" s="98"/>
      <c r="R131" s="99"/>
      <c r="S131" s="74"/>
      <c r="T131" s="2"/>
    </row>
    <row r="132" spans="1:22" s="3" customFormat="1" ht="15" thickBot="1" x14ac:dyDescent="0.4">
      <c r="A132" s="6"/>
      <c r="B132" s="6"/>
      <c r="C132" s="6"/>
      <c r="D132" s="6"/>
      <c r="E132" s="6"/>
      <c r="F132" s="6"/>
      <c r="G132" s="6"/>
      <c r="H132" s="25"/>
      <c r="I132" s="69"/>
      <c r="J132" s="69"/>
      <c r="K132" s="69"/>
      <c r="L132" s="69"/>
      <c r="M132" s="69"/>
      <c r="N132" s="69"/>
      <c r="O132" s="69"/>
      <c r="P132" s="6"/>
      <c r="Q132" s="98"/>
      <c r="R132" s="99"/>
      <c r="S132" s="74"/>
      <c r="T132" s="2"/>
    </row>
    <row r="133" spans="1:22" s="3" customFormat="1" ht="24.5" thickTop="1" thickBot="1" x14ac:dyDescent="0.6">
      <c r="A133" s="175" t="s">
        <v>113</v>
      </c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176"/>
      <c r="S133" s="177"/>
    </row>
    <row r="134" spans="1:22" s="4" customFormat="1" ht="17" customHeight="1" thickTop="1" x14ac:dyDescent="0.35">
      <c r="A134" s="2"/>
      <c r="B134" s="2"/>
      <c r="C134" s="2"/>
      <c r="G134" s="28"/>
      <c r="H134" s="84"/>
      <c r="I134" s="85"/>
      <c r="J134" s="85"/>
      <c r="K134" s="85"/>
      <c r="L134" s="85"/>
      <c r="M134" s="85"/>
      <c r="N134" s="85"/>
      <c r="O134" s="85"/>
      <c r="P134" s="2"/>
      <c r="Q134" s="7"/>
      <c r="R134" s="5"/>
      <c r="S134" s="2"/>
    </row>
    <row r="135" spans="1:22" s="4" customFormat="1" ht="17" customHeight="1" x14ac:dyDescent="0.35">
      <c r="A135" s="2"/>
      <c r="G135" s="28"/>
      <c r="H135" s="9"/>
      <c r="P135" s="2"/>
      <c r="Q135" s="7"/>
      <c r="R135" s="158"/>
      <c r="S135" s="2"/>
    </row>
    <row r="136" spans="1:22" s="13" customFormat="1" x14ac:dyDescent="0.35">
      <c r="A136" s="2"/>
      <c r="B136" s="4"/>
      <c r="C136" s="4"/>
      <c r="D136" s="4"/>
      <c r="E136" s="4"/>
      <c r="F136" s="4"/>
      <c r="G136" s="28"/>
      <c r="H136" s="9"/>
      <c r="I136" s="4"/>
      <c r="J136" s="4"/>
      <c r="K136" s="4"/>
      <c r="L136" s="4"/>
      <c r="M136" s="4"/>
      <c r="N136" s="4"/>
      <c r="O136" s="4"/>
      <c r="P136" s="2"/>
      <c r="Q136" s="8"/>
      <c r="R136" s="5"/>
    </row>
    <row r="137" spans="1:22" s="164" customFormat="1" x14ac:dyDescent="0.35">
      <c r="A137" s="159"/>
      <c r="B137" s="4"/>
      <c r="C137" s="4"/>
      <c r="D137" s="4"/>
      <c r="E137" s="160"/>
      <c r="F137" s="161"/>
      <c r="G137" s="161"/>
      <c r="H137" s="162"/>
      <c r="I137" s="163"/>
      <c r="J137" s="163"/>
      <c r="K137" s="163"/>
      <c r="L137" s="163"/>
      <c r="M137" s="163"/>
      <c r="N137" s="163"/>
      <c r="O137" s="163"/>
      <c r="Q137" s="2"/>
      <c r="R137" s="8"/>
      <c r="S137" s="165"/>
      <c r="T137" s="166"/>
      <c r="V137" s="4"/>
    </row>
    <row r="140" spans="1:22" x14ac:dyDescent="0.35">
      <c r="A140" s="15" t="s">
        <v>53</v>
      </c>
      <c r="B140" s="178" t="s">
        <v>58</v>
      </c>
      <c r="C140" s="178"/>
      <c r="D140" s="103">
        <f>((SUMIF(C13:C51,M_D_Sales!$G$3,F13:F51)*F141)+(SUMIF(C13:C51,M_D_Sales!$G$5,F13:F51)*F142)+(SUMIF(C13:C51,M_D_Sales!$G$6,F13:F51)*F143))*2%</f>
        <v>0</v>
      </c>
      <c r="E140" s="15"/>
      <c r="F140" s="15"/>
    </row>
    <row r="141" spans="1:22" x14ac:dyDescent="0.35">
      <c r="A141" s="104"/>
      <c r="B141" s="178" t="s">
        <v>59</v>
      </c>
      <c r="C141" s="178"/>
      <c r="D141" s="103">
        <f>(SUMIFS(F13:F51,C13:C51,M_D_Sales!$G$3,R13:R51,M_D_Sales!$E$11)+(SUMIFS(F13:F51,C13:C51,M_D_Sales!$G$5,R13:R51,M_D_Sales!$E$11)*0.5)+(SUMIFS(F13:F51,C13:C51,M_D_Sales!$G$6,R13:R51,M_D_Sales!$E$11)*0.3))*0.02</f>
        <v>0</v>
      </c>
      <c r="E141" s="15" t="s">
        <v>54</v>
      </c>
      <c r="F141" s="105">
        <v>1</v>
      </c>
      <c r="G141" s="11"/>
      <c r="H141" s="6"/>
    </row>
    <row r="142" spans="1:22" x14ac:dyDescent="0.35">
      <c r="A142" s="15"/>
      <c r="B142" s="15"/>
      <c r="C142" s="15"/>
      <c r="D142" s="16"/>
      <c r="E142" s="15" t="s">
        <v>56</v>
      </c>
      <c r="F142" s="105">
        <v>0.5</v>
      </c>
      <c r="G142" s="11"/>
      <c r="H142" s="6"/>
    </row>
    <row r="143" spans="1:22" x14ac:dyDescent="0.35">
      <c r="A143" s="15"/>
      <c r="B143" s="15"/>
      <c r="C143" s="15"/>
      <c r="D143" s="16"/>
      <c r="E143" s="15" t="s">
        <v>57</v>
      </c>
      <c r="F143" s="105">
        <v>0.3</v>
      </c>
      <c r="G143" s="11"/>
      <c r="H143" s="6"/>
    </row>
    <row r="146" spans="2:16" x14ac:dyDescent="0.35">
      <c r="I146" s="86"/>
      <c r="J146" s="86"/>
      <c r="K146" s="86"/>
      <c r="L146" s="86"/>
      <c r="M146" s="86"/>
      <c r="N146" s="86"/>
      <c r="O146" s="86"/>
    </row>
    <row r="148" spans="2:16" ht="115" customHeight="1" x14ac:dyDescent="0.35">
      <c r="B148" s="172"/>
      <c r="C148" s="172"/>
      <c r="D148" s="172"/>
      <c r="E148" s="172"/>
      <c r="F148" s="172"/>
      <c r="G148" s="172"/>
      <c r="H148" s="172"/>
      <c r="I148" s="172"/>
      <c r="J148" s="172"/>
      <c r="K148" s="172"/>
      <c r="L148" s="172"/>
      <c r="M148" s="172"/>
      <c r="N148" s="172"/>
      <c r="O148" s="172"/>
      <c r="P148" s="172"/>
    </row>
    <row r="151" spans="2:16" x14ac:dyDescent="0.35">
      <c r="B151"/>
    </row>
    <row r="152" spans="2:16" x14ac:dyDescent="0.35">
      <c r="B152"/>
    </row>
    <row r="153" spans="2:16" x14ac:dyDescent="0.35">
      <c r="B153"/>
    </row>
    <row r="154" spans="2:16" x14ac:dyDescent="0.35">
      <c r="B154"/>
    </row>
    <row r="155" spans="2:16" x14ac:dyDescent="0.35">
      <c r="B155"/>
    </row>
    <row r="156" spans="2:16" x14ac:dyDescent="0.35">
      <c r="B156"/>
    </row>
    <row r="157" spans="2:16" x14ac:dyDescent="0.35">
      <c r="B157"/>
    </row>
    <row r="158" spans="2:16" x14ac:dyDescent="0.35">
      <c r="B158"/>
    </row>
    <row r="159" spans="2:16" x14ac:dyDescent="0.35">
      <c r="B159"/>
    </row>
    <row r="160" spans="2:16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80" spans="2:2" x14ac:dyDescent="0.35">
      <c r="B180" s="90"/>
    </row>
    <row r="181" spans="2:2" x14ac:dyDescent="0.35">
      <c r="B181" s="90"/>
    </row>
    <row r="182" spans="2:2" x14ac:dyDescent="0.35">
      <c r="B182" s="90"/>
    </row>
    <row r="183" spans="2:2" x14ac:dyDescent="0.35">
      <c r="B183" s="90"/>
    </row>
    <row r="184" spans="2:2" x14ac:dyDescent="0.35">
      <c r="B184" s="90"/>
    </row>
    <row r="185" spans="2:2" x14ac:dyDescent="0.35">
      <c r="B185" s="90"/>
    </row>
    <row r="186" spans="2:2" x14ac:dyDescent="0.35">
      <c r="B186" s="90"/>
    </row>
    <row r="187" spans="2:2" x14ac:dyDescent="0.35">
      <c r="B187" s="90"/>
    </row>
    <row r="193" spans="4:17" ht="14.5" customHeight="1" x14ac:dyDescent="0.35">
      <c r="D193" s="171"/>
      <c r="E193" s="171"/>
      <c r="F193" s="171"/>
      <c r="G193" s="171"/>
      <c r="H193" s="171"/>
      <c r="I193" s="171"/>
      <c r="J193" s="171"/>
      <c r="K193" s="171"/>
      <c r="L193" s="171"/>
      <c r="M193" s="171"/>
      <c r="N193" s="171"/>
      <c r="O193" s="171"/>
      <c r="P193" s="171"/>
      <c r="Q193" s="171"/>
    </row>
    <row r="194" spans="4:17" x14ac:dyDescent="0.35">
      <c r="D194" s="171"/>
      <c r="E194" s="171"/>
      <c r="F194" s="171"/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171"/>
    </row>
    <row r="195" spans="4:17" x14ac:dyDescent="0.35">
      <c r="D195" s="171"/>
      <c r="E195" s="171"/>
      <c r="F195" s="171"/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171"/>
    </row>
    <row r="196" spans="4:17" x14ac:dyDescent="0.35">
      <c r="D196" s="171"/>
      <c r="E196" s="171"/>
      <c r="F196" s="171"/>
      <c r="G196" s="171"/>
      <c r="H196" s="171"/>
      <c r="I196" s="171"/>
      <c r="J196" s="171"/>
      <c r="K196" s="171"/>
      <c r="L196" s="171"/>
      <c r="M196" s="171"/>
      <c r="N196" s="171"/>
      <c r="O196" s="171"/>
      <c r="P196" s="171"/>
      <c r="Q196" s="171"/>
    </row>
    <row r="197" spans="4:17" x14ac:dyDescent="0.35">
      <c r="D197" s="171"/>
      <c r="E197" s="171"/>
      <c r="F197" s="171"/>
      <c r="G197" s="171"/>
      <c r="H197" s="171"/>
      <c r="I197" s="171"/>
      <c r="J197" s="171"/>
      <c r="K197" s="171"/>
      <c r="L197" s="171"/>
      <c r="M197" s="171"/>
      <c r="N197" s="171"/>
      <c r="O197" s="171"/>
      <c r="P197" s="171"/>
      <c r="Q197" s="171"/>
    </row>
    <row r="198" spans="4:17" x14ac:dyDescent="0.35">
      <c r="D198" s="171"/>
      <c r="E198" s="171"/>
      <c r="F198" s="171"/>
      <c r="G198" s="171"/>
      <c r="H198" s="171"/>
      <c r="I198" s="171"/>
      <c r="J198" s="171"/>
      <c r="K198" s="171"/>
      <c r="L198" s="171"/>
      <c r="M198" s="171"/>
      <c r="N198" s="171"/>
      <c r="O198" s="171"/>
      <c r="P198" s="171"/>
      <c r="Q198" s="171"/>
    </row>
    <row r="199" spans="4:17" x14ac:dyDescent="0.35">
      <c r="D199" s="171"/>
      <c r="E199" s="171"/>
      <c r="F199" s="171"/>
      <c r="G199" s="171"/>
      <c r="H199" s="171"/>
      <c r="I199" s="171"/>
      <c r="J199" s="171"/>
      <c r="K199" s="171"/>
      <c r="L199" s="171"/>
      <c r="M199" s="171"/>
      <c r="N199" s="171"/>
      <c r="O199" s="171"/>
      <c r="P199" s="171"/>
      <c r="Q199" s="171"/>
    </row>
    <row r="200" spans="4:17" x14ac:dyDescent="0.35"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171"/>
    </row>
    <row r="201" spans="4:17" x14ac:dyDescent="0.35">
      <c r="D201" s="171"/>
      <c r="E201" s="171"/>
      <c r="F201" s="171"/>
      <c r="G201" s="171"/>
      <c r="H201" s="171"/>
      <c r="I201" s="171"/>
      <c r="J201" s="171"/>
      <c r="K201" s="171"/>
      <c r="L201" s="171"/>
      <c r="M201" s="171"/>
      <c r="N201" s="171"/>
      <c r="O201" s="171"/>
      <c r="P201" s="171"/>
      <c r="Q201" s="171"/>
    </row>
    <row r="202" spans="4:17" x14ac:dyDescent="0.35">
      <c r="D202" s="171"/>
      <c r="E202" s="171"/>
      <c r="F202" s="171"/>
      <c r="G202" s="171"/>
      <c r="H202" s="171"/>
      <c r="I202" s="171"/>
      <c r="J202" s="171"/>
      <c r="K202" s="171"/>
      <c r="L202" s="171"/>
      <c r="M202" s="171"/>
      <c r="N202" s="171"/>
      <c r="O202" s="171"/>
      <c r="P202" s="171"/>
      <c r="Q202" s="171"/>
    </row>
    <row r="203" spans="4:17" x14ac:dyDescent="0.35">
      <c r="D203" s="171"/>
      <c r="E203" s="171"/>
      <c r="F203" s="171"/>
      <c r="G203" s="171"/>
      <c r="H203" s="171"/>
      <c r="I203" s="171"/>
      <c r="J203" s="171"/>
      <c r="K203" s="171"/>
      <c r="L203" s="171"/>
      <c r="M203" s="171"/>
      <c r="N203" s="171"/>
      <c r="O203" s="171"/>
      <c r="P203" s="171"/>
      <c r="Q203" s="171"/>
    </row>
    <row r="204" spans="4:17" x14ac:dyDescent="0.35">
      <c r="D204" s="171"/>
      <c r="E204" s="171"/>
      <c r="F204" s="171"/>
      <c r="G204" s="171"/>
      <c r="H204" s="171"/>
      <c r="I204" s="171"/>
      <c r="J204" s="171"/>
      <c r="K204" s="171"/>
      <c r="L204" s="171"/>
      <c r="M204" s="171"/>
      <c r="N204" s="171"/>
      <c r="O204" s="171"/>
      <c r="P204" s="171"/>
      <c r="Q204" s="171"/>
    </row>
  </sheetData>
  <mergeCells count="24">
    <mergeCell ref="F2:G2"/>
    <mergeCell ref="F3:G3"/>
    <mergeCell ref="B2:C4"/>
    <mergeCell ref="B5:C7"/>
    <mergeCell ref="B8:C11"/>
    <mergeCell ref="F5:G5"/>
    <mergeCell ref="F6:G6"/>
    <mergeCell ref="F7:G7"/>
    <mergeCell ref="F4:G4"/>
    <mergeCell ref="D193:Q204"/>
    <mergeCell ref="B148:P148"/>
    <mergeCell ref="C106:F106"/>
    <mergeCell ref="C113:E113"/>
    <mergeCell ref="A133:S133"/>
    <mergeCell ref="B141:C141"/>
    <mergeCell ref="B140:C140"/>
    <mergeCell ref="C76:D80"/>
    <mergeCell ref="D64:E64"/>
    <mergeCell ref="D60:E60"/>
    <mergeCell ref="D61:E61"/>
    <mergeCell ref="D62:E62"/>
    <mergeCell ref="C70:D74"/>
    <mergeCell ref="D66:E66"/>
    <mergeCell ref="D67:E67"/>
  </mergeCells>
  <conditionalFormatting sqref="A135:P136">
    <cfRule type="expression" dxfId="28" priority="39">
      <formula>$Q135=100%</formula>
    </cfRule>
  </conditionalFormatting>
  <conditionalFormatting sqref="H137 H13:H59">
    <cfRule type="expression" dxfId="27" priority="36">
      <formula>IF(AND($H13&lt;TODAY(),$H13&lt;&gt;""),TRUE,FALSE)</formula>
    </cfRule>
    <cfRule type="expression" dxfId="26" priority="37">
      <formula>AND($H13&gt;TODAY(),$H13&lt;TODAY()+7)</formula>
    </cfRule>
    <cfRule type="expression" dxfId="25" priority="38">
      <formula>$H13=TODAY()</formula>
    </cfRule>
  </conditionalFormatting>
  <conditionalFormatting sqref="H36 G137 G13:G59">
    <cfRule type="containsText" dxfId="24" priority="34" operator="containsText" text="yes">
      <formula>NOT(ISERROR(SEARCH("yes",G13)))</formula>
    </cfRule>
  </conditionalFormatting>
  <conditionalFormatting sqref="R13:R59">
    <cfRule type="expression" dxfId="23" priority="11">
      <formula>$R13="10%"</formula>
    </cfRule>
    <cfRule type="expression" dxfId="22" priority="12">
      <formula>$R13="20%"</formula>
    </cfRule>
    <cfRule type="expression" dxfId="21" priority="13">
      <formula>$R13="50%"</formula>
    </cfRule>
    <cfRule type="expression" dxfId="20" priority="14">
      <formula>$R13="60%"</formula>
    </cfRule>
    <cfRule type="expression" dxfId="19" priority="17">
      <formula>$R13="70%"</formula>
    </cfRule>
    <cfRule type="expression" dxfId="18" priority="18">
      <formula>$R13="75%"</formula>
    </cfRule>
    <cfRule type="expression" dxfId="17" priority="54">
      <formula>$R13="90%"</formula>
    </cfRule>
  </conditionalFormatting>
  <conditionalFormatting sqref="A137:Q137 A56:D57 F56:Q57 E50:E59 J52:L59 A13:Q55">
    <cfRule type="expression" dxfId="16" priority="55">
      <formula>$Q13="Closed Won"</formula>
    </cfRule>
  </conditionalFormatting>
  <conditionalFormatting sqref="E137 E13:E59">
    <cfRule type="expression" dxfId="15" priority="21">
      <formula>AND(($E13-TRUNC($E13)&gt;0.708333),($E13-TRUNC($E13)&lt;=0.75))</formula>
    </cfRule>
    <cfRule type="expression" dxfId="14" priority="22">
      <formula>AND(($E13-TRUNC($E13)&gt;0.5),($E13-TRUNC($E13)&lt;0.58333))</formula>
    </cfRule>
    <cfRule type="expression" dxfId="13" priority="23">
      <formula>AND(($E13-TRUNC($E13)&gt;=0.3333),($E13-TRUNC($E13)&lt;0.375))</formula>
    </cfRule>
    <cfRule type="expression" dxfId="12" priority="24">
      <formula>AND(($E13-TRUNC($E13)&gt;=0.58333),($E13-TRUNC($E13)&lt;=0.708333))</formula>
    </cfRule>
    <cfRule type="expression" dxfId="11" priority="25">
      <formula>AND(($E13-TRUNC($E13)&gt;=0.375),($E13-TRUNC($E13)&lt;=0.5))</formula>
    </cfRule>
  </conditionalFormatting>
  <conditionalFormatting sqref="A137:Q137 A13:Q59">
    <cfRule type="expression" dxfId="10" priority="20">
      <formula>$Q13="Closed Lost"</formula>
    </cfRule>
  </conditionalFormatting>
  <conditionalFormatting sqref="F3:H3">
    <cfRule type="expression" dxfId="9" priority="19">
      <formula>$H$3&lt;&gt;0</formula>
    </cfRule>
  </conditionalFormatting>
  <conditionalFormatting sqref="Q205:Q1048576 Q134:Q140 Q144:Q192 P141:P143 R137 Q1:Q11 R12:R132">
    <cfRule type="cellIs" dxfId="8" priority="48" operator="equal">
      <formula>"100%"</formula>
    </cfRule>
  </conditionalFormatting>
  <conditionalFormatting sqref="R60:R66">
    <cfRule type="expression" dxfId="7" priority="4">
      <formula>$R60="10%"</formula>
    </cfRule>
    <cfRule type="expression" dxfId="6" priority="5">
      <formula>$R60="20%"</formula>
    </cfRule>
    <cfRule type="expression" dxfId="5" priority="6">
      <formula>$R60="50%"</formula>
    </cfRule>
    <cfRule type="expression" dxfId="4" priority="7">
      <formula>$R60="60%"</formula>
    </cfRule>
    <cfRule type="expression" dxfId="3" priority="8">
      <formula>$R60="70%"</formula>
    </cfRule>
    <cfRule type="expression" dxfId="2" priority="9">
      <formula>$R60="75%"</formula>
    </cfRule>
    <cfRule type="expression" dxfId="1" priority="10">
      <formula>$R60="90%"</formula>
    </cfRule>
  </conditionalFormatting>
  <conditionalFormatting sqref="B13:B59">
    <cfRule type="expression" dxfId="0" priority="1">
      <formula>$D13="EUR*"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53BA875-0899-42C8-8972-31446C6DFEB9}">
          <x14:formula1>
            <xm:f>M_D_Sales!$B$3:$B$12</xm:f>
          </x14:formula1>
          <xm:sqref>P134:P137 Q137 Q13:Q59</xm:sqref>
        </x14:dataValidation>
        <x14:dataValidation type="list" allowBlank="1" showInputMessage="1" showErrorMessage="1" xr:uid="{A2B0369D-41C7-44B7-B0C7-040553A07587}">
          <x14:formula1>
            <xm:f>M_D_Sales!$E$3:$E$12</xm:f>
          </x14:formula1>
          <xm:sqref>Q134:Q137 R137</xm:sqref>
        </x14:dataValidation>
        <x14:dataValidation type="list" allowBlank="1" showInputMessage="1" showErrorMessage="1" xr:uid="{70BDB86F-A542-47D5-A77C-AD9C8C874A6C}">
          <x14:formula1>
            <xm:f>M_D_Sales!$H$3:$H$25</xm:f>
          </x14:formula1>
          <xm:sqref>D134:D139 D13:D59</xm:sqref>
        </x14:dataValidation>
        <x14:dataValidation type="list" allowBlank="1" showInputMessage="1" showErrorMessage="1" xr:uid="{E3F08F05-F16D-4E82-A2F4-05364EA57772}">
          <x14:formula1>
            <xm:f>M_D_Sales!$G$3:$G$6</xm:f>
          </x14:formula1>
          <xm:sqref>C137 C13:C59</xm:sqref>
        </x14:dataValidation>
        <x14:dataValidation type="list" allowBlank="1" showInputMessage="1" showErrorMessage="1" xr:uid="{13B45169-C868-4F03-B95F-257BCF354A8C}">
          <x14:formula1>
            <xm:f>M_D_Sales!$J$3:$J$5</xm:f>
          </x14:formula1>
          <xm:sqref>G137 G13:G59</xm:sqref>
        </x14:dataValidation>
        <x14:dataValidation type="list" allowBlank="1" showInputMessage="1" showErrorMessage="1" xr:uid="{F0CB0A15-F5D9-4DF9-94F4-D98E3806721D}">
          <x14:formula1>
            <xm:f>M_D_Sales!$I$3:$I$9</xm:f>
          </x14:formula1>
          <xm:sqref>P137 P13:P65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E15C-CB9A-44B7-9085-B1C0B06A2FEA}">
  <sheetPr codeName="Feuil8"/>
  <dimension ref="B2:N25"/>
  <sheetViews>
    <sheetView workbookViewId="0">
      <selection activeCell="I3" sqref="I3:I9"/>
    </sheetView>
  </sheetViews>
  <sheetFormatPr baseColWidth="10" defaultRowHeight="14.5" x14ac:dyDescent="0.35"/>
  <cols>
    <col min="9" max="9" width="31.6328125" customWidth="1"/>
    <col min="14" max="14" width="15.453125" bestFit="1" customWidth="1"/>
  </cols>
  <sheetData>
    <row r="2" spans="2:14" x14ac:dyDescent="0.35">
      <c r="B2" t="s">
        <v>20</v>
      </c>
      <c r="D2" t="s">
        <v>27</v>
      </c>
      <c r="E2" t="s">
        <v>22</v>
      </c>
      <c r="F2" t="s">
        <v>23</v>
      </c>
      <c r="G2" t="s">
        <v>60</v>
      </c>
      <c r="H2" t="s">
        <v>31</v>
      </c>
      <c r="I2" t="s">
        <v>50</v>
      </c>
      <c r="J2" t="s">
        <v>65</v>
      </c>
      <c r="M2" s="217" t="s">
        <v>70</v>
      </c>
      <c r="N2" s="217"/>
    </row>
    <row r="3" spans="2:14" x14ac:dyDescent="0.35">
      <c r="B3" t="s">
        <v>19</v>
      </c>
      <c r="D3" t="s">
        <v>28</v>
      </c>
      <c r="E3" s="1">
        <v>0.1</v>
      </c>
      <c r="F3" t="s">
        <v>24</v>
      </c>
      <c r="G3" t="s">
        <v>54</v>
      </c>
      <c r="H3" t="s">
        <v>32</v>
      </c>
      <c r="J3" t="s">
        <v>66</v>
      </c>
      <c r="M3" s="73" t="s">
        <v>80</v>
      </c>
      <c r="N3" s="87">
        <f ca="1">NOW()+TIME(10,0,0)</f>
        <v>44285.726222453704</v>
      </c>
    </row>
    <row r="4" spans="2:14" x14ac:dyDescent="0.35">
      <c r="B4" t="s">
        <v>12</v>
      </c>
      <c r="D4" t="s">
        <v>28</v>
      </c>
      <c r="E4" s="1">
        <v>0.1</v>
      </c>
      <c r="F4" t="s">
        <v>24</v>
      </c>
      <c r="G4" t="s">
        <v>55</v>
      </c>
      <c r="H4" t="s">
        <v>94</v>
      </c>
      <c r="J4" t="s">
        <v>67</v>
      </c>
      <c r="M4" t="s">
        <v>71</v>
      </c>
      <c r="N4" s="87">
        <f ca="1">NOW()+TIME(8,0,0)</f>
        <v>44285.642889120376</v>
      </c>
    </row>
    <row r="5" spans="2:14" x14ac:dyDescent="0.35">
      <c r="B5" t="s">
        <v>13</v>
      </c>
      <c r="D5" t="s">
        <v>28</v>
      </c>
      <c r="E5" s="1">
        <v>0.2</v>
      </c>
      <c r="F5" t="s">
        <v>24</v>
      </c>
      <c r="G5" t="s">
        <v>56</v>
      </c>
      <c r="H5" t="s">
        <v>95</v>
      </c>
      <c r="J5" t="s">
        <v>68</v>
      </c>
      <c r="M5" t="s">
        <v>72</v>
      </c>
      <c r="N5" s="87">
        <f ca="1">NOW()+TIME(8,0,0)</f>
        <v>44285.642889120376</v>
      </c>
    </row>
    <row r="6" spans="2:14" x14ac:dyDescent="0.35">
      <c r="B6" t="s">
        <v>11</v>
      </c>
      <c r="D6" t="s">
        <v>28</v>
      </c>
      <c r="E6" s="1">
        <v>0.5</v>
      </c>
      <c r="F6" t="s">
        <v>24</v>
      </c>
      <c r="G6" t="s">
        <v>57</v>
      </c>
      <c r="H6" t="s">
        <v>33</v>
      </c>
      <c r="M6" t="s">
        <v>73</v>
      </c>
      <c r="N6" s="87">
        <f ca="1">NOW()+TIME(7,0,0)</f>
        <v>44285.601222453704</v>
      </c>
    </row>
    <row r="7" spans="2:14" x14ac:dyDescent="0.35">
      <c r="B7" t="s">
        <v>21</v>
      </c>
      <c r="D7" t="s">
        <v>28</v>
      </c>
      <c r="E7" s="1">
        <v>0.6</v>
      </c>
      <c r="F7" t="s">
        <v>24</v>
      </c>
      <c r="H7" t="s">
        <v>34</v>
      </c>
      <c r="M7" t="s">
        <v>74</v>
      </c>
      <c r="N7" s="87">
        <f ca="1">NOW()+TIME(7,0,0)</f>
        <v>44285.601222453704</v>
      </c>
    </row>
    <row r="8" spans="2:14" x14ac:dyDescent="0.35">
      <c r="B8" t="s">
        <v>14</v>
      </c>
      <c r="D8" t="s">
        <v>28</v>
      </c>
      <c r="E8" s="1">
        <v>0.7</v>
      </c>
      <c r="F8" t="s">
        <v>24</v>
      </c>
      <c r="H8" t="s">
        <v>35</v>
      </c>
      <c r="M8" t="s">
        <v>76</v>
      </c>
      <c r="N8" s="87">
        <f ca="1">NOW()+TIME(7,0,0)</f>
        <v>44285.601222453704</v>
      </c>
    </row>
    <row r="9" spans="2:14" x14ac:dyDescent="0.35">
      <c r="B9" t="s">
        <v>18</v>
      </c>
      <c r="D9" t="s">
        <v>28</v>
      </c>
      <c r="E9" s="1">
        <v>0.75</v>
      </c>
      <c r="F9" t="s">
        <v>24</v>
      </c>
      <c r="H9" t="s">
        <v>36</v>
      </c>
      <c r="M9" t="s">
        <v>75</v>
      </c>
      <c r="N9" s="87">
        <f ca="1">NOW()+TIME(7,0,0)</f>
        <v>44285.601222453704</v>
      </c>
    </row>
    <row r="10" spans="2:14" x14ac:dyDescent="0.35">
      <c r="B10" t="s">
        <v>17</v>
      </c>
      <c r="D10" t="s">
        <v>28</v>
      </c>
      <c r="E10" s="1">
        <v>0.9</v>
      </c>
      <c r="F10" t="s">
        <v>24</v>
      </c>
      <c r="H10" t="s">
        <v>37</v>
      </c>
      <c r="M10" t="s">
        <v>77</v>
      </c>
      <c r="N10" s="87">
        <f ca="1">NOW()+TIME(4,30,0)</f>
        <v>44285.49705578704</v>
      </c>
    </row>
    <row r="11" spans="2:14" x14ac:dyDescent="0.35">
      <c r="B11" t="s">
        <v>15</v>
      </c>
      <c r="D11" t="s">
        <v>29</v>
      </c>
      <c r="E11" s="1">
        <v>1</v>
      </c>
      <c r="F11" t="s">
        <v>25</v>
      </c>
      <c r="H11" t="s">
        <v>38</v>
      </c>
      <c r="M11" t="s">
        <v>78</v>
      </c>
      <c r="N11" s="87">
        <f ca="1">NOW()+TIME(1,0,0)</f>
        <v>44285.351222453704</v>
      </c>
    </row>
    <row r="12" spans="2:14" x14ac:dyDescent="0.35">
      <c r="B12" t="s">
        <v>16</v>
      </c>
      <c r="D12" t="s">
        <v>30</v>
      </c>
      <c r="E12" s="1">
        <v>0</v>
      </c>
      <c r="F12" t="s">
        <v>26</v>
      </c>
      <c r="H12" t="s">
        <v>48</v>
      </c>
      <c r="M12" t="s">
        <v>88</v>
      </c>
      <c r="N12" s="87">
        <f ca="1">NOW()+TIME(1,0,0)</f>
        <v>44285.351222453704</v>
      </c>
    </row>
    <row r="13" spans="2:14" x14ac:dyDescent="0.35">
      <c r="H13" t="s">
        <v>39</v>
      </c>
      <c r="M13" t="s">
        <v>79</v>
      </c>
      <c r="N13" s="87">
        <f ca="1">NOW()+TIME(1,0,0)</f>
        <v>44285.351222453704</v>
      </c>
    </row>
    <row r="14" spans="2:14" x14ac:dyDescent="0.35">
      <c r="H14" t="s">
        <v>43</v>
      </c>
      <c r="M14" t="s">
        <v>81</v>
      </c>
      <c r="N14" s="87">
        <f ca="1">NOW()</f>
        <v>44285.30955578704</v>
      </c>
    </row>
    <row r="15" spans="2:14" x14ac:dyDescent="0.35">
      <c r="H15" t="s">
        <v>44</v>
      </c>
      <c r="M15" t="s">
        <v>82</v>
      </c>
      <c r="N15" s="87">
        <f ca="1">NOW()-TIME(1,0,0)</f>
        <v>44285.267889120376</v>
      </c>
    </row>
    <row r="16" spans="2:14" x14ac:dyDescent="0.35">
      <c r="H16" t="s">
        <v>45</v>
      </c>
      <c r="M16" t="s">
        <v>83</v>
      </c>
      <c r="N16" s="87">
        <f ca="1">NOW()-TIME(4,0,0)</f>
        <v>44285.142889120376</v>
      </c>
    </row>
    <row r="17" spans="8:14" x14ac:dyDescent="0.35">
      <c r="H17" t="s">
        <v>46</v>
      </c>
      <c r="M17" t="s">
        <v>84</v>
      </c>
      <c r="N17" s="87">
        <f ca="1">NOW()-TIME(5,0,0)</f>
        <v>44285.101222453704</v>
      </c>
    </row>
    <row r="18" spans="8:14" x14ac:dyDescent="0.35">
      <c r="H18" t="s">
        <v>98</v>
      </c>
      <c r="M18" t="s">
        <v>85</v>
      </c>
      <c r="N18" s="87">
        <f ca="1">NOW()-TIME(6,0,0)</f>
        <v>44285.05955578704</v>
      </c>
    </row>
    <row r="19" spans="8:14" x14ac:dyDescent="0.35">
      <c r="H19" t="s">
        <v>99</v>
      </c>
      <c r="M19" t="s">
        <v>86</v>
      </c>
      <c r="N19" s="87">
        <f ca="1">NOW()-TIME(7,0,0)</f>
        <v>44285.017889120376</v>
      </c>
    </row>
    <row r="20" spans="8:14" x14ac:dyDescent="0.35">
      <c r="H20" t="s">
        <v>40</v>
      </c>
      <c r="M20" t="s">
        <v>87</v>
      </c>
      <c r="N20" s="87">
        <f ca="1">NOW()-TIME(8,0,0)</f>
        <v>44284.976222453704</v>
      </c>
    </row>
    <row r="21" spans="8:14" x14ac:dyDescent="0.35">
      <c r="H21" t="s">
        <v>96</v>
      </c>
    </row>
    <row r="22" spans="8:14" x14ac:dyDescent="0.35">
      <c r="H22" t="s">
        <v>41</v>
      </c>
    </row>
    <row r="23" spans="8:14" x14ac:dyDescent="0.35">
      <c r="H23" t="s">
        <v>42</v>
      </c>
    </row>
    <row r="24" spans="8:14" x14ac:dyDescent="0.35">
      <c r="H24" t="s">
        <v>47</v>
      </c>
    </row>
    <row r="25" spans="8:14" x14ac:dyDescent="0.35">
      <c r="H25" t="s">
        <v>49</v>
      </c>
    </row>
  </sheetData>
  <mergeCells count="1">
    <mergeCell ref="M2:N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ACE0633-91CA-40C5-9418-24A9F9EE48BF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3E364974-A78F-472B-BC3D-D4D61C1D7B65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2021</vt:lpstr>
      <vt:lpstr>M_D_Sales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Bloomfield</dc:creator>
  <cp:lastModifiedBy>Daniel DA COSTA</cp:lastModifiedBy>
  <dcterms:created xsi:type="dcterms:W3CDTF">2019-04-30T05:38:25Z</dcterms:created>
  <dcterms:modified xsi:type="dcterms:W3CDTF">2021-03-30T05:45:22Z</dcterms:modified>
</cp:coreProperties>
</file>