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W:\AOP\SupplyChain\DC-FR\20-Warehouse_Packaging\Filialisation\"/>
    </mc:Choice>
  </mc:AlternateContent>
  <xr:revisionPtr revIDLastSave="0" documentId="13_ncr:1_{B432D47D-783A-4CC1-A89C-C94DDDC91DEB}" xr6:coauthVersionLast="45" xr6:coauthVersionMax="45" xr10:uidLastSave="{00000000-0000-0000-0000-000000000000}"/>
  <bookViews>
    <workbookView xWindow="-120" yWindow="-120" windowWidth="29040" windowHeight="15840" xr2:uid="{5F365045-E3E4-4C0E-9AF6-732DFF7BD0B6}"/>
  </bookViews>
  <sheets>
    <sheet name="Chrono" sheetId="1" r:id="rId1"/>
  </sheets>
  <externalReferences>
    <externalReference r:id="rId2"/>
  </externalReferences>
  <definedNames>
    <definedName name="Chrono">[1]!Timer[#Data]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1" i="1" l="1"/>
  <c r="C28" i="1" l="1"/>
  <c r="C29" i="1"/>
  <c r="C27" i="1"/>
  <c r="K28" i="1"/>
  <c r="K33" i="1"/>
  <c r="G22" i="1"/>
  <c r="G29" i="1" l="1"/>
  <c r="F29" i="1"/>
  <c r="G28" i="1"/>
  <c r="G27" i="1"/>
  <c r="G30" i="1" s="1"/>
  <c r="G26" i="1"/>
  <c r="F27" i="1"/>
  <c r="D26" i="1"/>
  <c r="C26" i="1" s="1"/>
  <c r="G3" i="1"/>
  <c r="G5" i="1"/>
  <c r="F28" i="1" s="1"/>
  <c r="G6" i="1"/>
  <c r="G7" i="1"/>
  <c r="G8" i="1"/>
  <c r="G9" i="1"/>
  <c r="G10" i="1"/>
  <c r="G11" i="1"/>
  <c r="G12" i="1"/>
  <c r="G13" i="1"/>
  <c r="G14" i="1"/>
  <c r="G15" i="1"/>
  <c r="G16" i="1"/>
  <c r="G4" i="1"/>
  <c r="M34" i="1" l="1"/>
  <c r="L34" i="1"/>
  <c r="F26" i="1"/>
  <c r="C30" i="1"/>
  <c r="K34" i="1" s="1"/>
  <c r="L37" i="1" l="1"/>
  <c r="L36" i="1"/>
  <c r="L38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tc={CDDF7422-A07A-42B2-B094-73F170766AC1}</author>
  </authors>
  <commentList>
    <comment ref="G29" authorId="0" shapeId="0" xr:uid="{CDDF7422-A07A-42B2-B094-73F170766AC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 seule personne pour le recomptage</t>
      </text>
    </comment>
  </commentList>
</comments>
</file>

<file path=xl/sharedStrings.xml><?xml version="1.0" encoding="utf-8"?>
<sst xmlns="http://schemas.openxmlformats.org/spreadsheetml/2006/main" count="207" uniqueCount="96">
  <si>
    <t>Ty.</t>
  </si>
  <si>
    <t>Désignat. type de magasin</t>
  </si>
  <si>
    <t>Occupé</t>
  </si>
  <si>
    <t xml:space="preserve"> Vide</t>
  </si>
  <si>
    <t>Total</t>
  </si>
  <si>
    <t>Type inventaire</t>
  </si>
  <si>
    <t>Quand faire l'inventaire</t>
  </si>
  <si>
    <t>Niveau</t>
  </si>
  <si>
    <t>Remarques</t>
  </si>
  <si>
    <t>B01</t>
  </si>
  <si>
    <t>Stocks Clients /Cde CBL</t>
  </si>
  <si>
    <t>Terminal SAIL</t>
  </si>
  <si>
    <t>J-1</t>
  </si>
  <si>
    <t>SOL</t>
  </si>
  <si>
    <t>Ne peut être fait qu'au dernier moment</t>
  </si>
  <si>
    <t>B02</t>
  </si>
  <si>
    <t>Picking Unitaire CBL Dynamique</t>
  </si>
  <si>
    <t>Picking Unitaire CBL Palette</t>
  </si>
  <si>
    <t>B05</t>
  </si>
  <si>
    <t>Art. Publicitaires CBL</t>
  </si>
  <si>
    <t>SAP papier</t>
  </si>
  <si>
    <t>J-10</t>
  </si>
  <si>
    <t>Peut être fait 2 semaines en amont</t>
  </si>
  <si>
    <t>B06</t>
  </si>
  <si>
    <t>Réserve CBL</t>
  </si>
  <si>
    <t>HAUTEUR</t>
  </si>
  <si>
    <t>Besoin Nacelle (2 personnes)</t>
  </si>
  <si>
    <t>B07</t>
  </si>
  <si>
    <t>Bulks</t>
  </si>
  <si>
    <t>B08</t>
  </si>
  <si>
    <t>B10</t>
  </si>
  <si>
    <t>Emballages CBL</t>
  </si>
  <si>
    <t>Inventaire fait déjà toutes les semaines le mercredi</t>
  </si>
  <si>
    <t>B11</t>
  </si>
  <si>
    <t>Prison Qualité CBL</t>
  </si>
  <si>
    <t>Peut être fait 3-4 semaines en amont</t>
  </si>
  <si>
    <t>B20</t>
  </si>
  <si>
    <t>Réserve SF / CBL</t>
  </si>
  <si>
    <t>B21</t>
  </si>
  <si>
    <t>Picking haut SF / CBL</t>
  </si>
  <si>
    <t>B22</t>
  </si>
  <si>
    <t>Picking sol SF / CBL</t>
  </si>
  <si>
    <t>B23</t>
  </si>
  <si>
    <t>Réserve externe PF+SF/STE</t>
  </si>
  <si>
    <t>B32</t>
  </si>
  <si>
    <t>B36</t>
  </si>
  <si>
    <t>B38</t>
  </si>
  <si>
    <t>B40</t>
  </si>
  <si>
    <t>Echantillons</t>
  </si>
  <si>
    <t>Peu importe</t>
  </si>
  <si>
    <t>Type de Niveau</t>
  </si>
  <si>
    <t xml:space="preserve">Temps total </t>
  </si>
  <si>
    <t>Nb Binômes</t>
  </si>
  <si>
    <t>Durée de travail</t>
  </si>
  <si>
    <t xml:space="preserve">TOTAL </t>
  </si>
  <si>
    <t>TOTAL</t>
  </si>
  <si>
    <t>Effectif</t>
  </si>
  <si>
    <t>Recomptage</t>
  </si>
  <si>
    <t>Prérequis</t>
  </si>
  <si>
    <t>Hauteur Nacelle</t>
  </si>
  <si>
    <t>Vide</t>
  </si>
  <si>
    <t>Ecart</t>
  </si>
  <si>
    <t>Prix pour la location d'une nacelle: 80 euros par jour + 160 euros transport aller/retour</t>
  </si>
  <si>
    <t>Temps total</t>
  </si>
  <si>
    <t>Temps pour 1 en fct du chrono</t>
  </si>
  <si>
    <t>Chariot</t>
  </si>
  <si>
    <t>Charge de travail</t>
  </si>
  <si>
    <t>Finances</t>
  </si>
  <si>
    <t>Besoin ETP</t>
  </si>
  <si>
    <t>Picking Unitaire CBL Etagère</t>
  </si>
  <si>
    <t>Réserve CBL Zone Restreint</t>
  </si>
  <si>
    <t>Plus rien de gérer dans ce type de mag pour le moment</t>
  </si>
  <si>
    <t>Hauteur Chariot élévateur</t>
  </si>
  <si>
    <t>Inventaire régulier dans les endroits où il y a le plus d'écart: B02 &amp; B01</t>
  </si>
  <si>
    <t>Besoin matériel</t>
  </si>
  <si>
    <t>Location 2 nacelles sur 3 jours</t>
  </si>
  <si>
    <t>1 transport 160 euros + 3 jours 80 euros x 2 nacelles</t>
  </si>
  <si>
    <t>cout horaire</t>
  </si>
  <si>
    <t xml:space="preserve">De manière exceptionnelle, il est possible de faire travailler 6 jours de suite à condition que les règles légales suivantes soit respectées : </t>
  </si>
  <si>
    <t>Au moins 35 heures de repos entre le samedi fin de la semaine et le lundi matin de la semaine suivante.</t>
  </si>
  <si>
    <t>Pas plus de 48 de travail au total sur la même semaine.</t>
  </si>
  <si>
    <t>Pour les heures, elles seront considérées comme des heures supplémentaires et seront payées le mois suivant.</t>
  </si>
  <si>
    <t>Heures supplémentaires = Taux horaire x 1,25</t>
  </si>
  <si>
    <t>nécessité d’en informer le prochain CSEE.</t>
  </si>
  <si>
    <t>Total jour semaine</t>
  </si>
  <si>
    <t>total jour samedi</t>
  </si>
  <si>
    <t>surcout</t>
  </si>
  <si>
    <t>trouver les volontaires !!! Si tous d'accord dans l'entrepot = 20 personnes environ</t>
  </si>
  <si>
    <r>
      <t xml:space="preserve">Prévoir location de 2 nacelles (Début d'inventaire la veille pour les hauteurs) </t>
    </r>
    <r>
      <rPr>
        <b/>
        <sz val="11"/>
        <color theme="1"/>
        <rFont val="Calibri"/>
        <family val="2"/>
        <scheme val="minor"/>
      </rPr>
      <t>et formation de Jordan avant mi-juin</t>
    </r>
  </si>
  <si>
    <t>Type</t>
  </si>
  <si>
    <t>Prix</t>
  </si>
  <si>
    <t>Picking (Stocks E) Etagère</t>
  </si>
  <si>
    <t>Picking (Stocks E) Dynamique</t>
  </si>
  <si>
    <t>Réserve (Stocks E)</t>
  </si>
  <si>
    <t>Réserve Z. Res.(Stocks E)</t>
  </si>
  <si>
    <t>recoll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</si>
</sst>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_-* #,##0.00\ [$€-40C]_-;\-* #,##0.0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1F497D"/>
      <name val="Calibri"/>
      <family val="2"/>
      <scheme val="minor"/>
    </font>
    <font>
      <sz val="11"/>
      <color rgb="FF000000"/>
      <name val="Calibri"/>
      <family val="2"/>
    </font>
    <font>
      <sz val="11"/>
      <color rgb="FF008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0">
    <border>
      <left/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 wrapText="1"/>
    </xf>
    <xf numFmtId="46" fontId="0" fillId="0" borderId="0" xfId="0" applyNumberFormat="1"/>
    <xf numFmtId="0" fontId="1" fillId="0" borderId="1" xfId="0" applyFont="1" applyBorder="1"/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left"/>
    </xf>
    <xf numFmtId="0" fontId="0" fillId="0" borderId="3" xfId="0" applyFont="1" applyFill="1" applyBorder="1"/>
    <xf numFmtId="164" fontId="0" fillId="0" borderId="4" xfId="0" applyNumberFormat="1" applyFill="1" applyBorder="1" applyAlignment="1">
      <alignment horizontal="right" vertical="center"/>
    </xf>
    <xf numFmtId="0" fontId="0" fillId="0" borderId="5" xfId="0" applyFont="1" applyFill="1" applyBorder="1"/>
    <xf numFmtId="164" fontId="0" fillId="0" borderId="0" xfId="0" applyNumberFormat="1" applyFill="1" applyBorder="1"/>
    <xf numFmtId="164" fontId="0" fillId="0" borderId="0" xfId="0" applyNumberFormat="1" applyFill="1" applyBorder="1" applyAlignment="1">
      <alignment horizontal="right" vertical="center"/>
    </xf>
    <xf numFmtId="164" fontId="2" fillId="0" borderId="6" xfId="0" applyNumberFormat="1" applyFont="1" applyFill="1" applyBorder="1"/>
    <xf numFmtId="21" fontId="0" fillId="0" borderId="6" xfId="0" applyNumberFormat="1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46" fontId="0" fillId="0" borderId="0" xfId="0" applyNumberFormat="1" applyAlignment="1">
      <alignment vertical="center" wrapText="1"/>
    </xf>
    <xf numFmtId="164" fontId="0" fillId="0" borderId="0" xfId="0" applyNumberFormat="1" applyAlignment="1">
      <alignment vertical="center" wrapText="1"/>
    </xf>
    <xf numFmtId="46" fontId="1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46" fontId="3" fillId="0" borderId="2" xfId="0" applyNumberFormat="1" applyFont="1" applyBorder="1" applyAlignment="1">
      <alignment horizontal="right" vertical="center"/>
    </xf>
    <xf numFmtId="164" fontId="1" fillId="0" borderId="0" xfId="0" applyNumberFormat="1" applyFont="1" applyAlignment="1">
      <alignment vertical="center" wrapText="1"/>
    </xf>
    <xf numFmtId="10" fontId="0" fillId="0" borderId="0" xfId="0" applyNumberFormat="1" applyAlignment="1">
      <alignment vertical="center" wrapText="1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left" vertical="center" indent="1"/>
    </xf>
    <xf numFmtId="0" fontId="5" fillId="0" borderId="0" xfId="0" applyFont="1"/>
    <xf numFmtId="0" fontId="4" fillId="0" borderId="0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right"/>
    </xf>
    <xf numFmtId="0" fontId="0" fillId="0" borderId="7" xfId="0" applyFill="1" applyBorder="1"/>
    <xf numFmtId="165" fontId="1" fillId="0" borderId="0" xfId="0" applyNumberFormat="1" applyFont="1" applyFill="1" applyAlignment="1">
      <alignment horizontal="left"/>
    </xf>
    <xf numFmtId="2" fontId="0" fillId="0" borderId="0" xfId="0" applyNumberFormat="1"/>
    <xf numFmtId="0" fontId="0" fillId="0" borderId="7" xfId="0" applyFill="1" applyBorder="1" applyAlignment="1">
      <alignment horizontal="left"/>
    </xf>
    <xf numFmtId="0" fontId="0" fillId="2" borderId="3" xfId="0" applyFill="1" applyBorder="1"/>
    <xf numFmtId="0" fontId="0" fillId="2" borderId="8" xfId="0" applyFill="1" applyBorder="1"/>
    <xf numFmtId="164" fontId="0" fillId="2" borderId="8" xfId="0" applyNumberFormat="1" applyFill="1" applyBorder="1" applyAlignment="1">
      <alignment horizontal="right" vertical="center"/>
    </xf>
    <xf numFmtId="0" fontId="0" fillId="2" borderId="9" xfId="0" applyFill="1" applyBorder="1"/>
    <xf numFmtId="0" fontId="0" fillId="0" borderId="3" xfId="0" applyBorder="1"/>
    <xf numFmtId="0" fontId="0" fillId="0" borderId="8" xfId="0" applyBorder="1"/>
    <xf numFmtId="164" fontId="0" fillId="0" borderId="8" xfId="0" applyNumberFormat="1" applyBorder="1" applyAlignment="1">
      <alignment horizontal="right" vertical="center"/>
    </xf>
    <xf numFmtId="0" fontId="0" fillId="0" borderId="9" xfId="0" applyBorder="1"/>
    <xf numFmtId="9" fontId="0" fillId="0" borderId="0" xfId="0" applyNumberFormat="1" applyAlignment="1">
      <alignment vertical="center" wrapText="1"/>
    </xf>
  </cellXfs>
  <cellStyles count="1">
    <cellStyle name="Normal" xfId="0" builtinId="0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</border>
    </dxf>
    <dxf>
      <fill>
        <patternFill patternType="none">
          <fgColor indexed="64"/>
          <bgColor auto="1"/>
        </patternFill>
      </fill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4" formatCode="[$-F400]h:mm:ss\ AM/PM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4" formatCode="0.00%"/>
      <alignment horizontal="general" vertical="center" textRotation="0" wrapText="1" indent="0" justifyLastLine="0" shrinkToFit="0" readingOrder="0"/>
    </dxf>
    <dxf>
      <numFmt numFmtId="31" formatCode="[h]:mm:ss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25</xdr:row>
          <xdr:rowOff>9525</xdr:rowOff>
        </xdr:from>
        <xdr:to>
          <xdr:col>9</xdr:col>
          <xdr:colOff>0</xdr:colOff>
          <xdr:row>26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Sans Recoll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1133475</xdr:colOff>
          <xdr:row>26</xdr:row>
          <xdr:rowOff>85725</xdr:rowOff>
        </xdr:from>
        <xdr:to>
          <xdr:col>9</xdr:col>
          <xdr:colOff>0</xdr:colOff>
          <xdr:row>26</xdr:row>
          <xdr:rowOff>485775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Avec Recoll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rmorgroup-my.sharepoint.com/personal/houcem-eddine_fattah_armor-group_com/Documents/Documents/Pr&#233;paration%20inventaire%20avant%20filialis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hrono"/>
      <sheetName val="Préparation inventaire avant fi"/>
    </sheetNames>
    <sheetDataSet>
      <sheetData sheetId="0"/>
      <sheetData sheetId="1"/>
      <sheetData sheetId="2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FATTAH Houcem-Eddine" id="{1C7F475F-E899-4EBD-8432-8A38F715D5DE}" userId="S::houcem-eddine.fattah@armor-group.com::6e329f64-b900-4255-86b8-2bfef3614717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3C3052-B276-45C9-9658-77DE2636563C}" name="Tableau2" displayName="Tableau2" ref="B2:K21" totalsRowShown="0" headerRowDxfId="20">
  <autoFilter ref="B2:K21" xr:uid="{C86FDE93-9E68-4725-AD12-49E371E93C9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91FF196F-64D4-45DD-883E-63BD5A1FC8F4}" name="Ty."/>
    <tableColumn id="2" xr3:uid="{FECB7F20-7DBB-4A2F-B0D9-E067B03E21E4}" name="Désignat. type de magasin"/>
    <tableColumn id="3" xr3:uid="{21700568-44CA-45C2-B78C-7B01E6D75C5E}" name="Occupé"/>
    <tableColumn id="4" xr3:uid="{F7A3CF0D-AC16-44B0-85FF-3F004F06C003}" name=" Vide"/>
    <tableColumn id="5" xr3:uid="{6213B114-46CC-4ADF-8DD5-F7BF4F0274C2}" name="Total"/>
    <tableColumn id="9" xr3:uid="{81F0CF36-985F-4881-A7A2-570A082F6C30}" name="Temps total" dataDxfId="19"/>
    <tableColumn id="10" xr3:uid="{BAC21611-8854-422C-854C-223FDD63EE55}" name="Type inventaire"/>
    <tableColumn id="11" xr3:uid="{35E1C04B-0B13-47E1-A3AC-D1D289090289}" name="Quand faire l'inventaire"/>
    <tableColumn id="12" xr3:uid="{A102DE5B-C3E0-41CC-BFE5-5099005A1186}" name="Niveau"/>
    <tableColumn id="13" xr3:uid="{E2BBD84E-1B41-4EB0-8682-D311A9FF426B}" name="Remarque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B771A0-4EAF-468D-8D44-6660996BCDEE}" name="Tableau3" displayName="Tableau3" ref="B25:G30" totalsRowShown="0" headerRowDxfId="18" dataDxfId="17">
  <autoFilter ref="B25:G30" xr:uid="{CED6226C-88ED-47A8-AA6F-5A37ED69CF5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6ECCD167-2DD4-469C-ADE8-19B6E1076AEF}" name="Type de Niveau" dataDxfId="16"/>
    <tableColumn id="2" xr3:uid="{AEDE524A-4B9F-425E-AEE0-3A71908E8650}" name="Temps total " dataDxfId="15"/>
    <tableColumn id="3" xr3:uid="{83D977DE-04BE-4027-88C7-D96335FBD631}" name="Charge de travail" dataDxfId="14"/>
    <tableColumn id="4" xr3:uid="{E6CEBA37-264F-44BB-865C-FC8B2051121C}" name="Nb Binômes" dataDxfId="13"/>
    <tableColumn id="5" xr3:uid="{0495D6D8-42B2-4790-BFB7-E768E15E7E48}" name="Durée de travail" dataDxfId="12"/>
    <tableColumn id="6" xr3:uid="{4E5C3767-B11B-422E-878E-BEBFF3878EBB}" name="Effectif" dataDxfId="11">
      <calculatedColumnFormula>Tableau3[[#This Row],[Nb Binômes]]*2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3A11BBD-9CC2-469E-BCF2-CFD14D447CF4}" name="Tableau4" displayName="Tableau4" ref="K25:K29" totalsRowShown="0" headerRowDxfId="10" dataDxfId="9">
  <autoFilter ref="K25:K29" xr:uid="{F2113129-B011-4155-9001-916E34DD8381}">
    <filterColumn colId="0" hiddenButton="1"/>
  </autoFilter>
  <tableColumns count="1">
    <tableColumn id="1" xr3:uid="{54796DED-E3DD-4C49-9B71-4EF0A1590E4F}" name="Prérequis" dataDxfId="8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4E82763-25A6-43D2-8379-0CBD2373E75F}" name="Timer" displayName="Timer" ref="B34:C56" totalsRowShown="0" dataDxfId="7">
  <autoFilter ref="B34:C56" xr:uid="{C100B8DF-DA69-4919-945F-5E55B871F956}">
    <filterColumn colId="0" hiddenButton="1"/>
    <filterColumn colId="1" hiddenButton="1"/>
  </autoFilter>
  <tableColumns count="2">
    <tableColumn id="1" xr3:uid="{AD44D66A-1FA3-435F-8243-17237F156E52}" name="Ty." dataDxfId="6"/>
    <tableColumn id="2" xr3:uid="{D1468357-2B01-40E2-A738-3BDA5EB85AB4}" name="Temps pour 1 en fct du chrono" dataDxfId="5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749E6A4-E462-4A1D-8471-BA6359AA4054}" name="Tableau5" displayName="Tableau5" ref="J32:L38" totalsRowShown="0" headerRowDxfId="4" dataDxfId="3">
  <autoFilter ref="J32:L38" xr:uid="{88FB6B76-E899-4CFA-902C-BD868C0C2934}"/>
  <tableColumns count="3">
    <tableColumn id="1" xr3:uid="{FF9432E7-B1AB-48EC-9D45-131B9F45FAF8}" name="Type" dataDxfId="2"/>
    <tableColumn id="2" xr3:uid="{EE8DC244-74B2-483E-9879-FAA00F856DCE}" name="Finances" dataDxfId="1"/>
    <tableColumn id="3" xr3:uid="{7C554CC3-564E-451B-8619-8B1E4F9CD8C4}" name="Prix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G29" dT="2021-05-07T09:25:56.77" personId="{1C7F475F-E899-4EBD-8432-8A38F715D5DE}" id="{CDDF7422-A07A-42B2-B094-73F170766AC1}">
    <text>1 seule personne pour le recomptage</text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12" Type="http://schemas.microsoft.com/office/2017/10/relationships/threadedComment" Target="../threadedComments/threadedComment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11" Type="http://schemas.openxmlformats.org/officeDocument/2006/relationships/comments" Target="../comments1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5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92EF8-D377-4238-B062-3641635B142C}">
  <sheetPr codeName="Feuil1"/>
  <dimension ref="B2:M64"/>
  <sheetViews>
    <sheetView tabSelected="1" zoomScaleNormal="100" workbookViewId="0">
      <selection activeCell="E35" sqref="E35"/>
    </sheetView>
  </sheetViews>
  <sheetFormatPr baseColWidth="10" defaultRowHeight="15" x14ac:dyDescent="0.25"/>
  <cols>
    <col min="1" max="1" width="2.85546875" customWidth="1"/>
    <col min="2" max="2" width="11.85546875" customWidth="1"/>
    <col min="3" max="3" width="27.42578125" customWidth="1"/>
    <col min="4" max="4" width="14" customWidth="1"/>
    <col min="5" max="5" width="13.85546875" customWidth="1"/>
    <col min="6" max="6" width="17.28515625" customWidth="1"/>
    <col min="7" max="7" width="29.5703125" customWidth="1"/>
    <col min="8" max="8" width="17.140625" bestFit="1" customWidth="1"/>
    <col min="9" max="9" width="13.7109375" customWidth="1"/>
    <col min="10" max="10" width="15" bestFit="1" customWidth="1"/>
    <col min="11" max="11" width="78.140625" bestFit="1" customWidth="1"/>
    <col min="12" max="14" width="11.5703125" customWidth="1"/>
  </cols>
  <sheetData>
    <row r="2" spans="2:11" s="1" customFormat="1" ht="30" x14ac:dyDescent="0.2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63</v>
      </c>
      <c r="H2" s="1" t="s">
        <v>5</v>
      </c>
      <c r="I2" s="1" t="s">
        <v>6</v>
      </c>
      <c r="J2" s="1" t="s">
        <v>7</v>
      </c>
      <c r="K2" s="1" t="s">
        <v>8</v>
      </c>
    </row>
    <row r="3" spans="2:11" ht="15" customHeight="1" x14ac:dyDescent="0.25">
      <c r="B3" t="s">
        <v>9</v>
      </c>
      <c r="C3" t="s">
        <v>10</v>
      </c>
      <c r="D3">
        <v>121</v>
      </c>
      <c r="E3">
        <v>310</v>
      </c>
      <c r="F3">
        <v>431</v>
      </c>
      <c r="G3" s="4">
        <f>C35*800+Tableau2[[#This Row],[ Vide]]*$C$54</f>
        <v>0.37995701058201059</v>
      </c>
      <c r="H3" t="s">
        <v>11</v>
      </c>
      <c r="I3" t="s">
        <v>12</v>
      </c>
      <c r="J3" t="s">
        <v>13</v>
      </c>
      <c r="K3" t="s">
        <v>14</v>
      </c>
    </row>
    <row r="4" spans="2:11" ht="15" customHeight="1" x14ac:dyDescent="0.25">
      <c r="B4" t="s">
        <v>15</v>
      </c>
      <c r="C4" t="s">
        <v>16</v>
      </c>
      <c r="D4">
        <v>1047</v>
      </c>
      <c r="E4">
        <v>527</v>
      </c>
      <c r="F4">
        <v>1574</v>
      </c>
      <c r="G4" s="4">
        <f>Tableau2[[#This Row],[Occupé]]*C36+Tableau2[[#This Row],[ Vide]]*$C$54</f>
        <v>0.50639616402116405</v>
      </c>
      <c r="H4" t="s">
        <v>11</v>
      </c>
      <c r="I4" t="s">
        <v>12</v>
      </c>
      <c r="J4" t="s">
        <v>13</v>
      </c>
      <c r="K4" t="s">
        <v>14</v>
      </c>
    </row>
    <row r="5" spans="2:11" ht="15" customHeight="1" x14ac:dyDescent="0.25">
      <c r="B5" t="s">
        <v>15</v>
      </c>
      <c r="C5" t="s">
        <v>69</v>
      </c>
      <c r="D5">
        <v>596</v>
      </c>
      <c r="E5">
        <v>1238</v>
      </c>
      <c r="F5">
        <v>1834</v>
      </c>
      <c r="G5" s="4">
        <f>Tableau2[[#This Row],[Occupé]]*C37+Tableau2[[#This Row],[ Vide]]*$C$54</f>
        <v>0.28989814814814818</v>
      </c>
      <c r="H5" t="s">
        <v>11</v>
      </c>
      <c r="I5" t="s">
        <v>12</v>
      </c>
      <c r="J5" t="s">
        <v>13</v>
      </c>
      <c r="K5" t="s">
        <v>14</v>
      </c>
    </row>
    <row r="6" spans="2:11" ht="15" customHeight="1" x14ac:dyDescent="0.25">
      <c r="B6" t="s">
        <v>15</v>
      </c>
      <c r="C6" t="s">
        <v>17</v>
      </c>
      <c r="D6">
        <v>130</v>
      </c>
      <c r="E6">
        <v>15</v>
      </c>
      <c r="F6">
        <v>145</v>
      </c>
      <c r="G6" s="4">
        <f>Tableau2[[#This Row],[Occupé]]*C38+Tableau2[[#This Row],[ Vide]]*$C$54</f>
        <v>7.8618827160493829E-2</v>
      </c>
      <c r="H6" t="s">
        <v>11</v>
      </c>
      <c r="I6" t="s">
        <v>12</v>
      </c>
      <c r="J6" t="s">
        <v>13</v>
      </c>
      <c r="K6" t="s">
        <v>14</v>
      </c>
    </row>
    <row r="7" spans="2:11" ht="15" customHeight="1" x14ac:dyDescent="0.25">
      <c r="B7" t="s">
        <v>18</v>
      </c>
      <c r="C7" t="s">
        <v>19</v>
      </c>
      <c r="D7">
        <v>6</v>
      </c>
      <c r="E7">
        <v>16</v>
      </c>
      <c r="F7">
        <v>22</v>
      </c>
      <c r="G7" s="4">
        <f>Tableau2[[#This Row],[Occupé]]*C39+Tableau2[[#This Row],[ Vide]]*$C$54</f>
        <v>7.990740740740741E-3</v>
      </c>
      <c r="H7" t="s">
        <v>20</v>
      </c>
      <c r="I7" t="s">
        <v>21</v>
      </c>
      <c r="J7" t="s">
        <v>13</v>
      </c>
      <c r="K7" t="s">
        <v>22</v>
      </c>
    </row>
    <row r="8" spans="2:11" ht="15" customHeight="1" x14ac:dyDescent="0.25">
      <c r="B8" t="s">
        <v>23</v>
      </c>
      <c r="C8" t="s">
        <v>24</v>
      </c>
      <c r="D8">
        <v>1496</v>
      </c>
      <c r="E8">
        <v>226</v>
      </c>
      <c r="F8">
        <v>1722</v>
      </c>
      <c r="G8" s="4">
        <f>Tableau2[[#This Row],[Occupé]]*C40+Tableau2[[#This Row],[ Vide]]*$C$54</f>
        <v>0.60982870370370368</v>
      </c>
      <c r="H8" t="s">
        <v>11</v>
      </c>
      <c r="I8" t="s">
        <v>12</v>
      </c>
      <c r="J8" t="s">
        <v>25</v>
      </c>
      <c r="K8" t="s">
        <v>26</v>
      </c>
    </row>
    <row r="9" spans="2:11" ht="15" customHeight="1" x14ac:dyDescent="0.25">
      <c r="B9" t="s">
        <v>27</v>
      </c>
      <c r="C9" t="s">
        <v>28</v>
      </c>
      <c r="D9">
        <v>1</v>
      </c>
      <c r="E9">
        <v>0</v>
      </c>
      <c r="F9">
        <v>1</v>
      </c>
      <c r="G9" s="4">
        <f>Tableau2[[#This Row],[Occupé]]*C41+Tableau2[[#This Row],[ Vide]]*$C$54</f>
        <v>4.8611111111111112E-3</v>
      </c>
      <c r="H9" t="s">
        <v>20</v>
      </c>
      <c r="I9" t="s">
        <v>12</v>
      </c>
      <c r="J9" t="s">
        <v>13</v>
      </c>
      <c r="K9" t="s">
        <v>14</v>
      </c>
    </row>
    <row r="10" spans="2:11" ht="15" customHeight="1" x14ac:dyDescent="0.25">
      <c r="B10" t="s">
        <v>29</v>
      </c>
      <c r="C10" t="s">
        <v>70</v>
      </c>
      <c r="D10">
        <v>157</v>
      </c>
      <c r="E10">
        <v>571</v>
      </c>
      <c r="F10">
        <v>728</v>
      </c>
      <c r="G10" s="4">
        <f>Tableau2[[#This Row],[Occupé]]*C42+Tableau2[[#This Row],[ Vide]]*$C$54</f>
        <v>0.12354166666666666</v>
      </c>
      <c r="H10" t="s">
        <v>11</v>
      </c>
      <c r="I10" t="s">
        <v>12</v>
      </c>
      <c r="J10" t="s">
        <v>25</v>
      </c>
      <c r="K10" t="s">
        <v>26</v>
      </c>
    </row>
    <row r="11" spans="2:11" ht="15" customHeight="1" x14ac:dyDescent="0.25">
      <c r="B11" t="s">
        <v>30</v>
      </c>
      <c r="C11" t="s">
        <v>31</v>
      </c>
      <c r="D11">
        <v>12</v>
      </c>
      <c r="E11">
        <v>1</v>
      </c>
      <c r="F11">
        <v>13</v>
      </c>
      <c r="G11" s="4">
        <f>Tableau2[[#This Row],[Occupé]]*C43+Tableau2[[#This Row],[ Vide]]*$C$54</f>
        <v>2.094212962962963E-2</v>
      </c>
      <c r="H11" t="s">
        <v>11</v>
      </c>
      <c r="I11" t="s">
        <v>12</v>
      </c>
      <c r="J11" t="s">
        <v>13</v>
      </c>
      <c r="K11" t="s">
        <v>32</v>
      </c>
    </row>
    <row r="12" spans="2:11" ht="15" customHeight="1" x14ac:dyDescent="0.25">
      <c r="B12" t="s">
        <v>33</v>
      </c>
      <c r="C12" t="s">
        <v>34</v>
      </c>
      <c r="D12">
        <v>3</v>
      </c>
      <c r="E12">
        <v>0</v>
      </c>
      <c r="F12">
        <v>3</v>
      </c>
      <c r="G12" s="4">
        <f>Tableau2[[#This Row],[Occupé]]*C44+Tableau2[[#This Row],[ Vide]]*$C$54</f>
        <v>1.0416666666666666E-2</v>
      </c>
      <c r="H12" t="s">
        <v>20</v>
      </c>
      <c r="I12" t="s">
        <v>21</v>
      </c>
      <c r="J12" t="s">
        <v>13</v>
      </c>
      <c r="K12" t="s">
        <v>35</v>
      </c>
    </row>
    <row r="13" spans="2:11" ht="15" customHeight="1" x14ac:dyDescent="0.25">
      <c r="B13" t="s">
        <v>36</v>
      </c>
      <c r="C13" t="s">
        <v>37</v>
      </c>
      <c r="D13">
        <v>544</v>
      </c>
      <c r="E13">
        <v>179</v>
      </c>
      <c r="F13">
        <v>723</v>
      </c>
      <c r="G13" s="4">
        <f>Tableau2[[#This Row],[Occupé]]*C45+Tableau2[[#This Row],[ Vide]]*$C$54</f>
        <v>0.36775658831908831</v>
      </c>
      <c r="H13" t="s">
        <v>11</v>
      </c>
      <c r="I13" t="s">
        <v>12</v>
      </c>
      <c r="J13" t="s">
        <v>25</v>
      </c>
      <c r="K13" t="s">
        <v>26</v>
      </c>
    </row>
    <row r="14" spans="2:11" ht="15" customHeight="1" x14ac:dyDescent="0.25">
      <c r="B14" t="s">
        <v>38</v>
      </c>
      <c r="C14" t="s">
        <v>39</v>
      </c>
      <c r="D14">
        <v>246</v>
      </c>
      <c r="E14">
        <v>40</v>
      </c>
      <c r="F14">
        <v>286</v>
      </c>
      <c r="G14" s="4">
        <f>Tableau2[[#This Row],[Occupé]]*C46+Tableau2[[#This Row],[ Vide]]*$C$54</f>
        <v>9.9790740740740749E-2</v>
      </c>
      <c r="H14" t="s">
        <v>11</v>
      </c>
      <c r="I14" t="s">
        <v>12</v>
      </c>
      <c r="J14" t="s">
        <v>13</v>
      </c>
      <c r="K14" t="s">
        <v>14</v>
      </c>
    </row>
    <row r="15" spans="2:11" ht="15" customHeight="1" x14ac:dyDescent="0.25">
      <c r="B15" t="s">
        <v>40</v>
      </c>
      <c r="C15" t="s">
        <v>41</v>
      </c>
      <c r="D15">
        <v>273</v>
      </c>
      <c r="E15">
        <v>59</v>
      </c>
      <c r="F15">
        <v>332</v>
      </c>
      <c r="G15" s="4">
        <f>Tableau2[[#This Row],[Occupé]]*C47+Tableau2[[#This Row],[ Vide]]*$C$54</f>
        <v>6.5927083333333331E-2</v>
      </c>
      <c r="H15" t="s">
        <v>11</v>
      </c>
      <c r="I15" t="s">
        <v>12</v>
      </c>
      <c r="J15" t="s">
        <v>13</v>
      </c>
      <c r="K15" t="s">
        <v>14</v>
      </c>
    </row>
    <row r="16" spans="2:11" ht="15" customHeight="1" x14ac:dyDescent="0.25">
      <c r="B16" t="s">
        <v>42</v>
      </c>
      <c r="C16" t="s">
        <v>43</v>
      </c>
      <c r="D16">
        <v>129</v>
      </c>
      <c r="E16">
        <v>60</v>
      </c>
      <c r="F16">
        <v>189</v>
      </c>
      <c r="G16" s="4">
        <f>Tableau2[[#This Row],[Occupé]]*C48+Tableau2[[#This Row],[ Vide]]*$C$54</f>
        <v>8.9116720085470072E-2</v>
      </c>
      <c r="H16" t="s">
        <v>11</v>
      </c>
      <c r="I16" t="s">
        <v>12</v>
      </c>
      <c r="J16" t="s">
        <v>25</v>
      </c>
      <c r="K16" t="s">
        <v>26</v>
      </c>
    </row>
    <row r="17" spans="2:12" ht="15" customHeight="1" x14ac:dyDescent="0.25">
      <c r="B17" s="33" t="s">
        <v>44</v>
      </c>
      <c r="C17" s="34" t="s">
        <v>91</v>
      </c>
      <c r="D17" s="34">
        <v>296</v>
      </c>
      <c r="E17" s="34">
        <v>462</v>
      </c>
      <c r="F17" s="34">
        <v>758</v>
      </c>
      <c r="G17" s="35">
        <v>0.12906018518518517</v>
      </c>
      <c r="H17" s="34" t="s">
        <v>11</v>
      </c>
      <c r="I17" s="34" t="s">
        <v>12</v>
      </c>
      <c r="J17" s="34" t="s">
        <v>13</v>
      </c>
      <c r="K17" s="36" t="s">
        <v>14</v>
      </c>
    </row>
    <row r="18" spans="2:12" ht="15" customHeight="1" x14ac:dyDescent="0.25">
      <c r="B18" s="37" t="s">
        <v>44</v>
      </c>
      <c r="C18" s="38" t="s">
        <v>92</v>
      </c>
      <c r="D18" s="38">
        <v>479</v>
      </c>
      <c r="E18" s="38">
        <v>321</v>
      </c>
      <c r="F18" s="38">
        <v>800</v>
      </c>
      <c r="G18" s="39">
        <v>0.29364274691358022</v>
      </c>
      <c r="H18" s="38" t="s">
        <v>11</v>
      </c>
      <c r="I18" s="38" t="s">
        <v>12</v>
      </c>
      <c r="J18" s="38" t="s">
        <v>13</v>
      </c>
      <c r="K18" s="40" t="s">
        <v>14</v>
      </c>
    </row>
    <row r="19" spans="2:12" ht="15" customHeight="1" x14ac:dyDescent="0.25">
      <c r="B19" s="33" t="s">
        <v>45</v>
      </c>
      <c r="C19" s="34" t="s">
        <v>93</v>
      </c>
      <c r="D19" s="34">
        <v>183</v>
      </c>
      <c r="E19" s="34">
        <v>9</v>
      </c>
      <c r="F19" s="34">
        <v>192</v>
      </c>
      <c r="G19" s="35">
        <v>5.9679563492063492E-2</v>
      </c>
      <c r="H19" s="34" t="s">
        <v>11</v>
      </c>
      <c r="I19" s="34" t="s">
        <v>12</v>
      </c>
      <c r="J19" s="34" t="s">
        <v>25</v>
      </c>
      <c r="K19" s="36" t="s">
        <v>26</v>
      </c>
    </row>
    <row r="20" spans="2:12" ht="15" customHeight="1" x14ac:dyDescent="0.25">
      <c r="B20" s="37" t="s">
        <v>46</v>
      </c>
      <c r="C20" s="38" t="s">
        <v>94</v>
      </c>
      <c r="D20" s="38">
        <v>19</v>
      </c>
      <c r="E20" s="38">
        <v>6</v>
      </c>
      <c r="F20" s="38">
        <v>25</v>
      </c>
      <c r="G20" s="39">
        <v>8.3495370370370373E-3</v>
      </c>
      <c r="H20" s="38" t="s">
        <v>11</v>
      </c>
      <c r="I20" s="38" t="s">
        <v>12</v>
      </c>
      <c r="J20" s="38" t="s">
        <v>25</v>
      </c>
      <c r="K20" s="40" t="s">
        <v>26</v>
      </c>
    </row>
    <row r="21" spans="2:12" ht="15" customHeight="1" thickBot="1" x14ac:dyDescent="0.3">
      <c r="B21" t="s">
        <v>47</v>
      </c>
      <c r="C21" t="s">
        <v>48</v>
      </c>
      <c r="D21">
        <v>0</v>
      </c>
      <c r="E21">
        <v>7</v>
      </c>
      <c r="F21">
        <v>7</v>
      </c>
      <c r="G21" s="4">
        <f>Tableau2[[#This Row],[Occupé]]*C53+Tableau2[[#This Row],[ Vide]]*$C$54</f>
        <v>7.6157407407407402E-4</v>
      </c>
      <c r="H21" t="s">
        <v>20</v>
      </c>
      <c r="I21" s="5" t="s">
        <v>49</v>
      </c>
      <c r="J21" t="s">
        <v>13</v>
      </c>
      <c r="K21" t="s">
        <v>71</v>
      </c>
    </row>
    <row r="22" spans="2:12" ht="15.75" thickBot="1" x14ac:dyDescent="0.3">
      <c r="F22" s="3" t="s">
        <v>55</v>
      </c>
      <c r="G22" s="21">
        <f>SUBTOTAL(109,Tableau2[Temps total])</f>
        <v>3.1465359076109074</v>
      </c>
      <c r="J22" s="2"/>
    </row>
    <row r="23" spans="2:12" ht="9.9499999999999993" customHeight="1" x14ac:dyDescent="0.25"/>
    <row r="24" spans="2:12" ht="9.9499999999999993" customHeight="1" x14ac:dyDescent="0.25"/>
    <row r="25" spans="2:12" ht="30" x14ac:dyDescent="0.25">
      <c r="B25" s="14" t="s">
        <v>50</v>
      </c>
      <c r="C25" s="14" t="s">
        <v>51</v>
      </c>
      <c r="D25" s="14" t="s">
        <v>66</v>
      </c>
      <c r="E25" s="14" t="s">
        <v>52</v>
      </c>
      <c r="F25" s="14" t="s">
        <v>53</v>
      </c>
      <c r="G25" s="14" t="s">
        <v>56</v>
      </c>
      <c r="K25" s="20" t="s">
        <v>58</v>
      </c>
    </row>
    <row r="26" spans="2:12" ht="30" x14ac:dyDescent="0.25">
      <c r="B26" s="14" t="s">
        <v>59</v>
      </c>
      <c r="C26" s="17">
        <f>1.1*(SUMIF(K3:K21,K10,G3:G21)*Tableau3[[#This Row],[Charge de travail]])</f>
        <v>1.0380750429258243</v>
      </c>
      <c r="D26" s="41">
        <f>1-D27</f>
        <v>0.75</v>
      </c>
      <c r="E26" s="14">
        <v>3</v>
      </c>
      <c r="F26" s="18">
        <f>Tableau3[[#This Row],[Temps total ]]/Tableau3[[#This Row],[Nb Binômes]]</f>
        <v>0.3460250143086081</v>
      </c>
      <c r="G26" s="13">
        <f>Tableau3[[#This Row],[Nb Binômes]]*2</f>
        <v>6</v>
      </c>
      <c r="K26" s="14" t="s">
        <v>88</v>
      </c>
    </row>
    <row r="27" spans="2:12" ht="45" x14ac:dyDescent="0.25">
      <c r="B27" s="14" t="s">
        <v>72</v>
      </c>
      <c r="C27" s="17">
        <f>SUMIF(K3:K21,K10,F3:F21)*Tableau3[[#This Row],[Charge de travail]]*C56*1.1</f>
        <v>0.66497840711805556</v>
      </c>
      <c r="D27" s="41">
        <v>0.25</v>
      </c>
      <c r="E27" s="14">
        <v>2</v>
      </c>
      <c r="F27" s="18">
        <f>Tableau3[[#This Row],[Temps total ]]/Tableau3[[#This Row],[Nb Binômes]]</f>
        <v>0.33248920355902778</v>
      </c>
      <c r="G27" s="13">
        <f>Tableau3[[#This Row],[Nb Binômes]]*2</f>
        <v>4</v>
      </c>
      <c r="K27" s="16" t="s">
        <v>62</v>
      </c>
    </row>
    <row r="28" spans="2:12" x14ac:dyDescent="0.25">
      <c r="B28" s="14" t="s">
        <v>13</v>
      </c>
      <c r="C28" s="17">
        <f>1.1*SUMIF(J3:J21,J3,G3:G21)</f>
        <v>2.0770894411375664</v>
      </c>
      <c r="D28" s="41">
        <v>1</v>
      </c>
      <c r="E28" s="14">
        <v>6</v>
      </c>
      <c r="F28" s="18">
        <f>Tableau3[[#This Row],[Temps total ]]/Tableau3[[#This Row],[Nb Binômes]]</f>
        <v>0.34618157352292772</v>
      </c>
      <c r="G28" s="13">
        <f>Tableau3[[#This Row],[Nb Binômes]]*2</f>
        <v>12</v>
      </c>
      <c r="K28" s="16" t="str">
        <f>"Vérifier qu'on ait " &amp;SUM(E26:E28)&amp; " terminaux qui fonctionnent"</f>
        <v>Vérifier qu'on ait 11 terminaux qui fonctionnent</v>
      </c>
    </row>
    <row r="29" spans="2:12" ht="30" x14ac:dyDescent="0.25">
      <c r="B29" s="14" t="s">
        <v>57</v>
      </c>
      <c r="C29" s="17">
        <f>0.15*SUM(D3:D20)*C55</f>
        <v>1.6536597222222222</v>
      </c>
      <c r="D29" s="41">
        <v>1</v>
      </c>
      <c r="E29" s="14">
        <v>5</v>
      </c>
      <c r="F29" s="18">
        <f>Tableau3[[#This Row],[Temps total ]]/Tableau3[[#This Row],[Nb Binômes]]</f>
        <v>0.33073194444444443</v>
      </c>
      <c r="G29" s="13">
        <f>Tableau3[[#This Row],[Nb Binômes]]</f>
        <v>5</v>
      </c>
      <c r="K29" s="16" t="s">
        <v>73</v>
      </c>
    </row>
    <row r="30" spans="2:12" x14ac:dyDescent="0.25">
      <c r="B30" s="15" t="s">
        <v>54</v>
      </c>
      <c r="C30" s="19">
        <f>SUBTOTAL(109,C26:C29)</f>
        <v>5.4338026134036692</v>
      </c>
      <c r="D30" s="23"/>
      <c r="E30" s="15"/>
      <c r="F30" s="22"/>
      <c r="G30" s="13">
        <f>SUBTOTAL(109,G26:G29)</f>
        <v>27</v>
      </c>
    </row>
    <row r="32" spans="2:12" x14ac:dyDescent="0.25">
      <c r="J32" s="27" t="s">
        <v>89</v>
      </c>
      <c r="K32" s="27" t="s">
        <v>67</v>
      </c>
      <c r="L32" s="27" t="s">
        <v>90</v>
      </c>
    </row>
    <row r="33" spans="2:13" x14ac:dyDescent="0.25">
      <c r="J33" s="32" t="s">
        <v>68</v>
      </c>
      <c r="K33" s="29" t="str">
        <f>G30&amp; " personnes (11 binômes pour comptage + 5 solo pour recomptage)"</f>
        <v>27 personnes (11 binômes pour comptage + 5 solo pour recomptage)</v>
      </c>
      <c r="L33" s="30"/>
    </row>
    <row r="34" spans="2:13" x14ac:dyDescent="0.25">
      <c r="B34" t="s">
        <v>0</v>
      </c>
      <c r="C34" t="s">
        <v>64</v>
      </c>
      <c r="G34" s="31"/>
      <c r="J34" s="32" t="s">
        <v>77</v>
      </c>
      <c r="K34" s="29" t="str">
        <f>ROUNDUP(C30*24,0)&amp; " heures de charge au global soit " &amp;ROUNDUP(((SUM(C26:C28)*2)+C29)*24,0)&amp;"  heures ETP"</f>
        <v>131 heures de charge au global soit 222  heures ETP</v>
      </c>
      <c r="L34" s="30">
        <f>ROUNDUP(((SUM(C26:C28)*2)+C29)*24,0)*23</f>
        <v>5106</v>
      </c>
      <c r="M34" t="str">
        <f>ROUNDUP(((SUM(C26:C28)*2)+C29)*24,0)&amp;" heures x 23 euros (moyenne cout / H intérimaire)"</f>
        <v>222 heures x 23 euros (moyenne cout / H intérimaire)</v>
      </c>
    </row>
    <row r="35" spans="2:13" x14ac:dyDescent="0.25">
      <c r="B35" s="6" t="s">
        <v>9</v>
      </c>
      <c r="C35" s="9">
        <v>4.327876984126984E-4</v>
      </c>
      <c r="J35" s="32" t="s">
        <v>74</v>
      </c>
      <c r="K35" s="29" t="s">
        <v>75</v>
      </c>
      <c r="L35" s="30">
        <v>800</v>
      </c>
      <c r="M35" t="s">
        <v>76</v>
      </c>
    </row>
    <row r="36" spans="2:13" x14ac:dyDescent="0.25">
      <c r="B36" s="6" t="s">
        <v>15</v>
      </c>
      <c r="C36" s="9">
        <v>4.289021164021164E-4</v>
      </c>
      <c r="J36" s="32"/>
      <c r="K36" s="28" t="s">
        <v>84</v>
      </c>
      <c r="L36" s="30">
        <f>SUM(L34:L35)</f>
        <v>5906</v>
      </c>
    </row>
    <row r="37" spans="2:13" x14ac:dyDescent="0.25">
      <c r="B37" s="6" t="s">
        <v>15</v>
      </c>
      <c r="C37" s="9">
        <v>2.6041666666666666E-4</v>
      </c>
      <c r="J37" s="32"/>
      <c r="K37" s="28" t="s">
        <v>85</v>
      </c>
      <c r="L37" s="30">
        <f>(L34*1.25)+L35</f>
        <v>7182.5</v>
      </c>
      <c r="M37" t="s">
        <v>82</v>
      </c>
    </row>
    <row r="38" spans="2:13" x14ac:dyDescent="0.25">
      <c r="B38" s="6" t="s">
        <v>15</v>
      </c>
      <c r="C38" s="9">
        <v>5.9220679012345675E-4</v>
      </c>
      <c r="J38" s="32"/>
      <c r="K38" s="28" t="s">
        <v>86</v>
      </c>
      <c r="L38" s="30">
        <f>L37-L36</f>
        <v>1276.5</v>
      </c>
      <c r="M38" t="s">
        <v>87</v>
      </c>
    </row>
    <row r="39" spans="2:13" x14ac:dyDescent="0.25">
      <c r="B39" s="6" t="s">
        <v>18</v>
      </c>
      <c r="C39" s="10">
        <v>1.0416666666666667E-3</v>
      </c>
    </row>
    <row r="40" spans="2:13" x14ac:dyDescent="0.25">
      <c r="B40" s="6" t="s">
        <v>23</v>
      </c>
      <c r="C40" s="9">
        <v>3.9120370370370367E-4</v>
      </c>
      <c r="K40" s="24" t="s">
        <v>78</v>
      </c>
    </row>
    <row r="41" spans="2:13" x14ac:dyDescent="0.25">
      <c r="B41" s="6" t="s">
        <v>27</v>
      </c>
      <c r="C41" s="11">
        <v>4.8611111111111112E-3</v>
      </c>
      <c r="K41" s="25" t="s">
        <v>79</v>
      </c>
    </row>
    <row r="42" spans="2:13" x14ac:dyDescent="0.25">
      <c r="B42" s="6" t="s">
        <v>29</v>
      </c>
      <c r="C42" s="9">
        <v>3.9120370370370367E-4</v>
      </c>
      <c r="K42" s="25" t="s">
        <v>80</v>
      </c>
    </row>
    <row r="43" spans="2:13" x14ac:dyDescent="0.25">
      <c r="B43" s="6" t="s">
        <v>30</v>
      </c>
      <c r="C43" s="9">
        <v>1.736111111111111E-3</v>
      </c>
      <c r="K43" s="26" t="s">
        <v>83</v>
      </c>
    </row>
    <row r="44" spans="2:13" x14ac:dyDescent="0.25">
      <c r="B44" s="6" t="s">
        <v>33</v>
      </c>
      <c r="C44" s="9">
        <v>3.472222222222222E-3</v>
      </c>
      <c r="K44" s="24" t="s">
        <v>81</v>
      </c>
    </row>
    <row r="45" spans="2:13" x14ac:dyDescent="0.25">
      <c r="B45" s="6" t="s">
        <v>36</v>
      </c>
      <c r="C45" s="9">
        <v>6.4022435897435892E-4</v>
      </c>
    </row>
    <row r="46" spans="2:13" x14ac:dyDescent="0.25">
      <c r="B46" s="6" t="s">
        <v>38</v>
      </c>
      <c r="C46" s="9">
        <v>3.87962962962963E-4</v>
      </c>
    </row>
    <row r="47" spans="2:13" x14ac:dyDescent="0.25">
      <c r="B47" s="6" t="s">
        <v>40</v>
      </c>
      <c r="C47" s="9">
        <v>2.1797839506172841E-4</v>
      </c>
    </row>
    <row r="48" spans="2:13" x14ac:dyDescent="0.25">
      <c r="B48" s="6" t="s">
        <v>42</v>
      </c>
      <c r="C48" s="9">
        <v>6.4022435897435892E-4</v>
      </c>
    </row>
    <row r="49" spans="2:11" x14ac:dyDescent="0.25">
      <c r="B49" s="6" t="s">
        <v>44</v>
      </c>
      <c r="C49" s="9">
        <v>2.6620370370370367E-4</v>
      </c>
    </row>
    <row r="50" spans="2:11" x14ac:dyDescent="0.25">
      <c r="B50" s="6" t="s">
        <v>44</v>
      </c>
      <c r="C50" s="9">
        <v>5.4012345679012341E-4</v>
      </c>
    </row>
    <row r="51" spans="2:11" x14ac:dyDescent="0.25">
      <c r="B51" s="6" t="s">
        <v>45</v>
      </c>
      <c r="C51" s="9">
        <v>3.2076719576719576E-4</v>
      </c>
    </row>
    <row r="52" spans="2:11" x14ac:dyDescent="0.25">
      <c r="B52" s="6" t="s">
        <v>46</v>
      </c>
      <c r="C52" s="12">
        <v>4.0509259259259258E-4</v>
      </c>
    </row>
    <row r="53" spans="2:11" x14ac:dyDescent="0.25">
      <c r="B53" s="6" t="s">
        <v>47</v>
      </c>
      <c r="C53" s="7">
        <v>2.0833333333333333E-3</v>
      </c>
    </row>
    <row r="54" spans="2:11" x14ac:dyDescent="0.25">
      <c r="B54" s="8" t="s">
        <v>60</v>
      </c>
      <c r="C54" s="9">
        <v>1.0879629629629629E-4</v>
      </c>
    </row>
    <row r="55" spans="2:11" x14ac:dyDescent="0.25">
      <c r="B55" s="8" t="s">
        <v>61</v>
      </c>
      <c r="C55" s="9">
        <v>1.9212962962962964E-3</v>
      </c>
    </row>
    <row r="56" spans="2:11" x14ac:dyDescent="0.25">
      <c r="B56" s="8" t="s">
        <v>65</v>
      </c>
      <c r="C56" s="9">
        <v>6.7563657407407405E-4</v>
      </c>
    </row>
    <row r="60" spans="2:11" x14ac:dyDescent="0.25">
      <c r="B60" t="s">
        <v>95</v>
      </c>
    </row>
    <row r="61" spans="2:11" x14ac:dyDescent="0.25">
      <c r="B61" s="33" t="s">
        <v>44</v>
      </c>
      <c r="C61" s="34" t="s">
        <v>91</v>
      </c>
      <c r="D61" s="34">
        <v>296</v>
      </c>
      <c r="E61" s="34">
        <v>462</v>
      </c>
      <c r="F61" s="34">
        <v>758</v>
      </c>
      <c r="G61" s="35">
        <v>0.12906018518518517</v>
      </c>
      <c r="H61" s="34" t="s">
        <v>11</v>
      </c>
      <c r="I61" s="34" t="s">
        <v>12</v>
      </c>
      <c r="J61" s="34" t="s">
        <v>13</v>
      </c>
      <c r="K61" s="36" t="s">
        <v>14</v>
      </c>
    </row>
    <row r="62" spans="2:11" x14ac:dyDescent="0.25">
      <c r="B62" s="37" t="s">
        <v>44</v>
      </c>
      <c r="C62" s="38" t="s">
        <v>92</v>
      </c>
      <c r="D62" s="38">
        <v>479</v>
      </c>
      <c r="E62" s="38">
        <v>321</v>
      </c>
      <c r="F62" s="38">
        <v>800</v>
      </c>
      <c r="G62" s="39">
        <v>0.29364274691358022</v>
      </c>
      <c r="H62" s="38" t="s">
        <v>11</v>
      </c>
      <c r="I62" s="38" t="s">
        <v>12</v>
      </c>
      <c r="J62" s="38" t="s">
        <v>13</v>
      </c>
      <c r="K62" s="40" t="s">
        <v>14</v>
      </c>
    </row>
    <row r="63" spans="2:11" x14ac:dyDescent="0.25">
      <c r="B63" s="33" t="s">
        <v>45</v>
      </c>
      <c r="C63" s="34" t="s">
        <v>93</v>
      </c>
      <c r="D63" s="34">
        <v>183</v>
      </c>
      <c r="E63" s="34">
        <v>9</v>
      </c>
      <c r="F63" s="34">
        <v>192</v>
      </c>
      <c r="G63" s="35">
        <v>5.9679563492063492E-2</v>
      </c>
      <c r="H63" s="34" t="s">
        <v>11</v>
      </c>
      <c r="I63" s="34" t="s">
        <v>12</v>
      </c>
      <c r="J63" s="34" t="s">
        <v>25</v>
      </c>
      <c r="K63" s="36" t="s">
        <v>26</v>
      </c>
    </row>
    <row r="64" spans="2:11" x14ac:dyDescent="0.25">
      <c r="B64" s="37" t="s">
        <v>46</v>
      </c>
      <c r="C64" s="38" t="s">
        <v>94</v>
      </c>
      <c r="D64" s="38">
        <v>19</v>
      </c>
      <c r="E64" s="38">
        <v>6</v>
      </c>
      <c r="F64" s="38">
        <v>25</v>
      </c>
      <c r="G64" s="39">
        <v>8.3495370370370373E-3</v>
      </c>
      <c r="H64" s="38" t="s">
        <v>11</v>
      </c>
      <c r="I64" s="38" t="s">
        <v>12</v>
      </c>
      <c r="J64" s="38" t="s">
        <v>25</v>
      </c>
      <c r="K64" s="40" t="s">
        <v>26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pydel">
                <anchor moveWithCells="1" sizeWithCells="1">
                  <from>
                    <xdr:col>8</xdr:col>
                    <xdr:colOff>0</xdr:colOff>
                    <xdr:row>25</xdr:row>
                    <xdr:rowOff>9525</xdr:rowOff>
                  </from>
                  <to>
                    <xdr:col>9</xdr:col>
                    <xdr:colOff>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_xludf.paste">
                <anchor moveWithCells="1" sizeWithCells="1">
                  <from>
                    <xdr:col>7</xdr:col>
                    <xdr:colOff>1133475</xdr:colOff>
                    <xdr:row>26</xdr:row>
                    <xdr:rowOff>85725</xdr:rowOff>
                  </from>
                  <to>
                    <xdr:col>9</xdr:col>
                    <xdr:colOff>0</xdr:colOff>
                    <xdr:row>26</xdr:row>
                    <xdr:rowOff>485775</xdr:rowOff>
                  </to>
                </anchor>
              </controlPr>
            </control>
          </mc:Choice>
        </mc:AlternateContent>
      </controls>
    </mc:Choice>
  </mc:AlternateContent>
  <tableParts count="5"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Chrono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FATTAH Houcem-Eddine</dc:creator>
  <cp:lastModifiedBy>FATTAH Houcem-Eddine</cp:lastModifiedBy>
  <dcterms:created xsi:type="dcterms:W3CDTF">2021-05-05T09:20:30Z</dcterms:created>
  <dcterms:modified xsi:type="dcterms:W3CDTF">2021-05-18T12:05:22Z</dcterms:modified>
</cp:coreProperties>
</file>