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tables/table9.xml" ContentType="application/vnd.openxmlformats-officedocument.spreadsheetml.table+xml"/>
  <Override PartName="/xl/queryTables/queryTable8.xml" ContentType="application/vnd.openxmlformats-officedocument.spreadsheetml.queryTable+xml"/>
  <Override PartName="/xl/tables/table10.xml" ContentType="application/vnd.openxmlformats-officedocument.spreadsheetml.table+xml"/>
  <Override PartName="/xl/queryTables/queryTable9.xml" ContentType="application/vnd.openxmlformats-officedocument.spreadsheetml.queryTable+xml"/>
  <Override PartName="/xl/tables/table11.xml" ContentType="application/vnd.openxmlformats-officedocument.spreadsheetml.table+xml"/>
  <Override PartName="/xl/queryTables/queryTable10.xml" ContentType="application/vnd.openxmlformats-officedocument.spreadsheetml.queryTable+xml"/>
  <Override PartName="/xl/tables/table12.xml" ContentType="application/vnd.openxmlformats-officedocument.spreadsheetml.table+xml"/>
  <Override PartName="/xl/queryTables/queryTable11.xml" ContentType="application/vnd.openxmlformats-officedocument.spreadsheetml.queryTable+xml"/>
  <Override PartName="/xl/tables/table13.xml" ContentType="application/vnd.openxmlformats-officedocument.spreadsheetml.table+xml"/>
  <Override PartName="/xl/queryTables/queryTable12.xml" ContentType="application/vnd.openxmlformats-officedocument.spreadsheetml.queryTable+xml"/>
  <Override PartName="/xl/tables/table14.xml" ContentType="application/vnd.openxmlformats-officedocument.spreadsheetml.table+xml"/>
  <Override PartName="/xl/queryTables/queryTable13.xml" ContentType="application/vnd.openxmlformats-officedocument.spreadsheetml.queryTable+xml"/>
  <Override PartName="/xl/slicers/slicer2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5.xml" ContentType="application/vnd.openxmlformats-officedocument.spreadsheetml.table+xml"/>
  <Override PartName="/xl/drawings/drawing5.xml" ContentType="application/vnd.openxmlformats-officedocument.drawing+xml"/>
  <Override PartName="/xl/tables/table16.xml" ContentType="application/vnd.openxmlformats-officedocument.spreadsheetml.table+xml"/>
  <Override PartName="/xl/drawings/drawing6.xml" ContentType="application/vnd.openxmlformats-officedocument.drawing+xml"/>
  <Override PartName="/xl/tables/table17.xml" ContentType="application/vnd.openxmlformats-officedocument.spreadsheetml.table+xml"/>
  <Override PartName="/xl/drawings/drawing7.xml" ContentType="application/vnd.openxmlformats-officedocument.drawing+xml"/>
  <Override PartName="/xl/tables/table18.xml" ContentType="application/vnd.openxmlformats-officedocument.spreadsheetml.table+xml"/>
  <Override PartName="/xl/drawings/drawing8.xml" ContentType="application/vnd.openxmlformats-officedocument.drawing+xml"/>
  <Override PartName="/xl/tables/table19.xml" ContentType="application/vnd.openxmlformats-officedocument.spreadsheetml.table+xml"/>
  <Override PartName="/xl/drawings/drawing9.xml" ContentType="application/vnd.openxmlformats-officedocument.drawing+xml"/>
  <Override PartName="/xl/tables/table20.xml" ContentType="application/vnd.openxmlformats-officedocument.spreadsheetml.table+xml"/>
  <Override PartName="/xl/drawings/drawing10.xml" ContentType="application/vnd.openxmlformats-officedocument.drawing+xml"/>
  <Override PartName="/xl/tables/table21.xml" ContentType="application/vnd.openxmlformats-officedocument.spreadsheetml.table+xml"/>
  <Override PartName="/xl/drawings/drawing11.xml" ContentType="application/vnd.openxmlformats-officedocument.drawing+xml"/>
  <Override PartName="/xl/tables/table22.xml" ContentType="application/vnd.openxmlformats-officedocument.spreadsheetml.table+xml"/>
  <Override PartName="/xl/drawings/drawing12.xml" ContentType="application/vnd.openxmlformats-officedocument.drawing+xml"/>
  <Override PartName="/xl/tables/table23.xml" ContentType="application/vnd.openxmlformats-officedocument.spreadsheetml.table+xml"/>
  <Override PartName="/xl/drawings/drawing13.xml" ContentType="application/vnd.openxmlformats-officedocument.drawing+xml"/>
  <Override PartName="/xl/tables/table24.xml" ContentType="application/vnd.openxmlformats-officedocument.spreadsheetml.table+xml"/>
  <Override PartName="/xl/drawings/drawing14.xml" ContentType="application/vnd.openxmlformats-officedocument.drawing+xml"/>
  <Override PartName="/xl/tables/table2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 codeName="{3D1A710C-6663-3D7B-7F91-EC182F24A4B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PFE TMH\BDD\REX LOTS\"/>
    </mc:Choice>
  </mc:AlternateContent>
  <xr:revisionPtr revIDLastSave="0" documentId="13_ncr:80001_{B9A923C5-B9EE-49D9-AAFE-020E2F8D46FA}" xr6:coauthVersionLast="36" xr6:coauthVersionMax="36" xr10:uidLastSave="{00000000-0000-0000-0000-000000000000}"/>
  <bookViews>
    <workbookView xWindow="0" yWindow="0" windowWidth="20760" windowHeight="9510" firstSheet="2" activeTab="2" xr2:uid="{497E5993-6CB8-4CA7-B9E3-86384BCE2848}"/>
  </bookViews>
  <sheets>
    <sheet name="Données" sheetId="12" r:id="rId1"/>
    <sheet name="Tableau de bord BILAN" sheetId="16" r:id="rId2"/>
    <sheet name="Tableau de bord OPE" sheetId="18" r:id="rId3"/>
    <sheet name="MENU" sheetId="8" r:id="rId4"/>
    <sheet name="SYNTHESE" sheetId="9" r:id="rId5"/>
    <sheet name="TERRASSEMENT-GO" sheetId="1" r:id="rId6"/>
    <sheet name="TOITURE" sheetId="3" r:id="rId7"/>
    <sheet name="MENUISERIES EXTERIEURES" sheetId="4" r:id="rId8"/>
    <sheet name="MENUISERIES INTERIEURES" sheetId="5" r:id="rId9"/>
    <sheet name="CVC" sheetId="6" r:id="rId10"/>
    <sheet name="ELEC" sheetId="7" r:id="rId11"/>
    <sheet name="SOLS" sheetId="13" r:id="rId12"/>
    <sheet name="PLATRERIE" sheetId="15" r:id="rId13"/>
    <sheet name="PEINTURE" sheetId="14" r:id="rId14"/>
    <sheet name="ESPACES VERTS" sheetId="2" r:id="rId15"/>
  </sheets>
  <definedNames>
    <definedName name="Bilan">TableauBilan[Opération]</definedName>
    <definedName name="Choix">OFFSET(Données!$J$1,,,COUNTA(Données!$J:$J))</definedName>
    <definedName name="ChoixTableau">Données!$A$2:$A$13</definedName>
    <definedName name="DonnéesExternes_1" localSheetId="2" hidden="1">'Tableau de bord OPE'!$E$8:$E$12</definedName>
    <definedName name="DonnéesExternes_10" localSheetId="2" hidden="1">'Tableau de bord OPE'!$N$8:$N$12</definedName>
    <definedName name="DonnéesExternes_11" localSheetId="2" hidden="1">'Tableau de bord OPE'!$B$14:$C$26</definedName>
    <definedName name="DonnéesExternes_12" localSheetId="2" hidden="1">'Tableau de bord OPE'!$E$19:$H$20</definedName>
    <definedName name="DonnéesExternes_13" localSheetId="2" hidden="1">'Tableau de bord OPE'!$J$15:$K$26</definedName>
    <definedName name="DonnéesExternes_2" localSheetId="2" hidden="1">'Tableau de bord OPE'!$F$8:$F$12</definedName>
    <definedName name="DonnéesExternes_3" localSheetId="2" hidden="1">'Tableau de bord OPE'!$G$8:$G$12</definedName>
    <definedName name="DonnéesExternes_4" localSheetId="2" hidden="1">'Tableau de bord OPE'!$H$8:$H$12</definedName>
    <definedName name="DonnéesExternes_5" localSheetId="2" hidden="1">'Tableau de bord OPE'!$I$8:$I$12</definedName>
    <definedName name="DonnéesExternes_6" localSheetId="2" hidden="1">'Tableau de bord OPE'!$J$8:$J$12</definedName>
    <definedName name="DonnéesExternes_7" localSheetId="2" hidden="1">'Tableau de bord OPE'!$K$8:$K$12</definedName>
    <definedName name="DonnéesExternes_8" localSheetId="2" hidden="1">'Tableau de bord OPE'!$L$8:$L$12</definedName>
    <definedName name="DonnéesExternes_9" localSheetId="2" hidden="1">'Tableau de bord OPE'!$M$8:$M$12</definedName>
    <definedName name="ListeChoixBilan">TableauBilan[#Headers]</definedName>
    <definedName name="ListeOpéGO">TableauGO[[#All],[N° de l''opération]]</definedName>
    <definedName name="ListeRATIO">Données!$F$2:$F$5</definedName>
    <definedName name="Segment_LOTS">#N/A</definedName>
    <definedName name="Segment_Opération1">#N/A</definedName>
    <definedName name="Segment_RATIO1">#N/A</definedName>
  </definedNames>
  <calcPr calcId="191029" calcMode="manual"/>
  <pivotCaches>
    <pivotCache cacheId="0" r:id="rId16"/>
    <pivotCache cacheId="1" r:id="rId17"/>
  </pivotCaches>
  <extLst>
    <ext xmlns:x14="http://schemas.microsoft.com/office/spreadsheetml/2009/9/main" uri="{BBE1A952-AA13-448e-AADC-164F8A28A991}">
      <x14:slicerCaches>
        <x14:slicerCache r:id="rId18"/>
        <x14:slicerCache r:id="rId19"/>
        <x14:slicerCache r:id="rId2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3" i="9" l="1"/>
  <c r="T13" i="9"/>
  <c r="S13" i="9"/>
  <c r="R13" i="9"/>
  <c r="L13" i="14"/>
  <c r="L13" i="15"/>
  <c r="A1" i="13"/>
  <c r="L13" i="7"/>
  <c r="L13" i="6"/>
  <c r="L13" i="5"/>
  <c r="L13" i="4"/>
  <c r="L13" i="3"/>
  <c r="M13" i="1"/>
  <c r="L12" i="6"/>
  <c r="L12" i="5"/>
  <c r="L12" i="4"/>
  <c r="L12" i="3"/>
  <c r="N12" i="1"/>
  <c r="M12" i="1"/>
  <c r="L12" i="1"/>
  <c r="K12" i="1"/>
  <c r="T12" i="9"/>
  <c r="L12" i="7"/>
  <c r="L13" i="13"/>
  <c r="L12" i="14"/>
  <c r="L11" i="2"/>
  <c r="L12" i="15"/>
  <c r="M11" i="2"/>
  <c r="K11" i="2"/>
  <c r="J11" i="2"/>
  <c r="M12" i="15"/>
  <c r="K12" i="15"/>
  <c r="J12" i="15"/>
  <c r="M13" i="13"/>
  <c r="K13" i="13"/>
  <c r="J13" i="13"/>
  <c r="M12" i="7"/>
  <c r="K12" i="7"/>
  <c r="J12" i="7"/>
  <c r="M12" i="6"/>
  <c r="K12" i="6"/>
  <c r="J12" i="6"/>
  <c r="M12" i="5"/>
  <c r="K12" i="5"/>
  <c r="J12" i="5"/>
  <c r="M12" i="4"/>
  <c r="K12" i="4"/>
  <c r="M12" i="3"/>
  <c r="K12" i="3"/>
  <c r="J12" i="4"/>
  <c r="J12" i="3"/>
  <c r="U12" i="9"/>
  <c r="S12" i="9"/>
  <c r="R12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6378B7-06F8-4CF2-B820-8B91C1C17253}" keepAlive="1" name="Requête - Choix" description="Connexion à la requête « Choix » dans le classeur." type="5" refreshedVersion="6" background="1" saveData="1">
    <dbPr connection="Provider=Microsoft.Mashup.OleDb.1;Data Source=$Workbook$;Location=Choix;Extended Properties=&quot;&quot;" command="SELECT * FROM [Choix]"/>
  </connection>
  <connection id="2" xr16:uid="{11979BAC-44A7-4911-A5F8-C2A0128A3979}" keepAlive="1" name="Requête - Opération" description="Connexion à la requête « Opération » dans le classeur." type="5" refreshedVersion="0" background="1">
    <dbPr connection="Provider=Microsoft.Mashup.OleDb.1;Data Source=$Workbook$;Location=Opération;Extended Properties=&quot;&quot;" command="SELECT * FROM [Opération]"/>
  </connection>
  <connection id="3" xr16:uid="{53E01F51-D3C4-4416-B4E4-D2F0F551F2C3}" keepAlive="1" name="Requête - TableauBilan" description="Connexion à la requête « TableauBilan » dans le classeur." type="5" refreshedVersion="6" background="1" saveData="1">
    <dbPr connection="Provider=Microsoft.Mashup.OleDb.1;Data Source=$Workbook$;Location=TableauBilan;Extended Properties=&quot;&quot;" command="SELECT * FROM [TableauBilan]"/>
  </connection>
  <connection id="4" xr16:uid="{F5B86B56-1EE9-4D0E-BEE7-26DB693E6B0B}" keepAlive="1" name="Requête - TableauBilan Coût TOT" description="Connexion à la requête « TableauBilan Coût TOT » dans le classeur." type="5" refreshedVersion="6" background="1" saveData="1">
    <dbPr connection="Provider=Microsoft.Mashup.OleDb.1;Data Source=$Workbook$;Location=TableauBilan Coût TOT;Extended Properties=&quot;&quot;" command="SELECT * FROM [TableauBilan Coût TOT]"/>
  </connection>
  <connection id="5" xr16:uid="{A4CE9CB7-AEB3-4CBB-B0B3-1D0B4824C589}" keepAlive="1" name="Requête - TableauBilan Descriptif" description="Connexion à la requête « TableauBilan Descriptif » dans le classeur." type="5" refreshedVersion="6" background="1" refreshOnLoad="1" saveData="1">
    <dbPr connection="Provider=Microsoft.Mashup.OleDb.1;Data Source=$Workbook$;Location=TableauBilan Descriptif;Extended Properties=&quot;&quot;" command="SELECT * FROM [TableauBilan Descriptif]"/>
  </connection>
  <connection id="6" xr16:uid="{857B24AA-151F-49E5-AFBC-CC0C701CCFCE}" keepAlive="1" name="Requête - TableauBilan GLOBAL OK" description="Connexion à la requête « TableauBilan GLOBAL OK » dans le classeur." type="5" refreshedVersion="6" saveData="1">
    <dbPr connection="Provider=Microsoft.Mashup.OleDb.1;Data Source=$Workbook$;Location=&quot;TableauBilan GLOBAL OK&quot;;Extended Properties=&quot;&quot;" command="SELECT * FROM [TableauBilan GLOBAL OK]"/>
  </connection>
  <connection id="7" xr16:uid="{3EC2A88F-F702-455A-84F9-E8918BB8B2C2}" keepAlive="1" name="Requête - TableauBilan OPE" description="Connexion à la requête « TableauBilan OPE » dans le classeur." type="5" refreshedVersion="6" background="1" saveData="1">
    <dbPr connection="Provider=Microsoft.Mashup.OleDb.1;Data Source=$Workbook$;Location=TableauBilan OPE;Extended Properties=&quot;&quot;" command="SELECT * FROM [TableauBilan OPE]"/>
  </connection>
  <connection id="8" xr16:uid="{21DDF308-A7CA-4D78-B5A3-AC71BD964D30}" keepAlive="1" name="Requête - TableauCVC" description="Connexion à la requête « TableauCVC » dans le classeur." type="5" refreshedVersion="6" background="1" saveData="1">
    <dbPr connection="Provider=Microsoft.Mashup.OleDb.1;Data Source=$Workbook$;Location=TableauCVC;Extended Properties=&quot;&quot;" command="SELECT * FROM [TableauCVC]"/>
  </connection>
  <connection id="9" xr16:uid="{1CEC9388-8783-47B2-A3F9-263DB706897D}" keepAlive="1" name="Requête - TableauCVC OPE" description="Connexion à la requête « TableauCVC OPE » dans le classeur." type="5" refreshedVersion="6" background="1" saveData="1">
    <dbPr connection="Provider=Microsoft.Mashup.OleDb.1;Data Source=$Workbook$;Location=TableauCVC OPE;Extended Properties=&quot;&quot;" command="SELECT * FROM [TableauCVC OPE]"/>
  </connection>
  <connection id="10" xr16:uid="{BD307FDB-569A-434E-AB63-B2990269F41D}" keepAlive="1" name="Requête - TableauELEC" description="Connexion à la requête « TableauELEC » dans le classeur." type="5" refreshedVersion="0" background="1">
    <dbPr connection="Provider=Microsoft.Mashup.OleDb.1;Data Source=$Workbook$;Location=TableauELEC;Extended Properties=&quot;&quot;" command="SELECT * FROM [TableauELEC]"/>
  </connection>
  <connection id="11" xr16:uid="{B81474C6-E257-4062-A3F7-712B84D6994D}" keepAlive="1" name="Requête - TableauELEC OPE" description="Connexion à la requête « TableauELEC OPE » dans le classeur." type="5" refreshedVersion="6" background="1" saveData="1">
    <dbPr connection="Provider=Microsoft.Mashup.OleDb.1;Data Source=$Workbook$;Location=TableauELEC OPE;Extended Properties=&quot;&quot;" command="SELECT * FROM [TableauELEC OPE]"/>
  </connection>
  <connection id="12" xr16:uid="{2774EA64-33E1-4B71-A1D1-4CCF8A095609}" keepAlive="1" name="Requête - TableauESPACESVERTS" description="Connexion à la requête « TableauESPACESVERTS » dans le classeur." type="5" refreshedVersion="0" background="1">
    <dbPr connection="Provider=Microsoft.Mashup.OleDb.1;Data Source=$Workbook$;Location=TableauESPACESVERTS;Extended Properties=&quot;&quot;" command="SELECT * FROM [TableauESPACESVERTS]"/>
  </connection>
  <connection id="13" xr16:uid="{FEB7298B-9FF3-49F2-B740-E9E37DD5F3D0}" keepAlive="1" name="Requête - TableauGO" description="Connexion à la requête « TableauGO » dans le classeur." type="5" refreshedVersion="6" background="1" saveData="1">
    <dbPr connection="Provider=Microsoft.Mashup.OleDb.1;Data Source=$Workbook$;Location=TableauGO;Extended Properties=&quot;&quot;" command="SELECT * FROM [TableauGO]"/>
  </connection>
  <connection id="14" xr16:uid="{3030A134-69FC-4409-AC39-D4798EBF032F}" keepAlive="1" name="Requête - TableauGO OPE" description="Connexion à la requête « TableauGO OPE » dans le classeur." type="5" refreshedVersion="6" background="1" saveData="1">
    <dbPr connection="Provider=Microsoft.Mashup.OleDb.1;Data Source=$Workbook$;Location=TableauGO OPE;Extended Properties=&quot;&quot;" command="SELECT * FROM [TableauGO OPE]"/>
  </connection>
  <connection id="15" xr16:uid="{7BC87207-0BE1-4785-ACBA-E4C7EFB29D0B}" keepAlive="1" name="Requête - TableauMENUISERIESEXTERIEURES" description="Connexion à la requête « TableauMENUISERIESEXTERIEURES » dans le classeur." type="5" refreshedVersion="6" background="1" saveData="1">
    <dbPr connection="Provider=Microsoft.Mashup.OleDb.1;Data Source=$Workbook$;Location=TableauMENUISERIESEXTERIEURES;Extended Properties=&quot;&quot;" command="SELECT * FROM [TableauMENUISERIESEXTERIEURES]"/>
  </connection>
  <connection id="16" xr16:uid="{4AD7A2CD-5C2E-4647-A2CD-6931F00AF97F}" keepAlive="1" name="Requête - TableauMENUISERIESEXTERIEURES OPE" description="Connexion à la requête « TableauMENUISERIESEXTERIEURES OPE » dans le classeur." type="5" refreshedVersion="6" background="1" saveData="1">
    <dbPr connection="Provider=Microsoft.Mashup.OleDb.1;Data Source=$Workbook$;Location=TableauMENUISERIESEXTERIEURES OPE;Extended Properties=&quot;&quot;" command="SELECT * FROM [TableauMENUISERIESEXTERIEURES OPE]"/>
  </connection>
  <connection id="17" xr16:uid="{BB7BE4EE-61A4-453D-BBDF-DE8EEAF4A1B6}" keepAlive="1" name="Requête - TableauMENUISERIESINTERIEURES" description="Connexion à la requête « TableauMENUISERIESINTERIEURES » dans le classeur." type="5" refreshedVersion="6" background="1" saveData="1">
    <dbPr connection="Provider=Microsoft.Mashup.OleDb.1;Data Source=$Workbook$;Location=TableauMENUISERIESINTERIEURES;Extended Properties=&quot;&quot;" command="SELECT * FROM [TableauMENUISERIESINTERIEURES]"/>
  </connection>
  <connection id="18" xr16:uid="{EE256922-5258-46E7-8DE7-C77AFE74E7B2}" keepAlive="1" name="Requête - TableauMENUISERIESINTERIEURES OPE" description="Connexion à la requête « TableauMENUISERIESINTERIEURES OPE » dans le classeur." type="5" refreshedVersion="6" background="1" saveData="1">
    <dbPr connection="Provider=Microsoft.Mashup.OleDb.1;Data Source=$Workbook$;Location=TableauMENUISERIESINTERIEURES OPE;Extended Properties=&quot;&quot;" command="SELECT * FROM [TableauMENUISERIESINTERIEURES OPE]"/>
  </connection>
  <connection id="19" xr16:uid="{B5F6230D-48E8-4392-8115-D933F5D7BE81}" keepAlive="1" name="Requête - TableauPEINTURE" description="Connexion à la requête « TableauPEINTURE » dans le classeur." type="5" refreshedVersion="0" background="1">
    <dbPr connection="Provider=Microsoft.Mashup.OleDb.1;Data Source=$Workbook$;Location=TableauPEINTURE;Extended Properties=&quot;&quot;" command="SELECT * FROM [TableauPEINTURE]"/>
  </connection>
  <connection id="20" xr16:uid="{7AB60BEB-3DFD-4997-B19C-43810FF2E0C9}" keepAlive="1" name="Requête - TableauPEINTURE OPE" description="Connexion à la requête « TableauPEINTURE OPE » dans le classeur." type="5" refreshedVersion="6" background="1" saveData="1">
    <dbPr connection="Provider=Microsoft.Mashup.OleDb.1;Data Source=$Workbook$;Location=TableauPEINTURE OPE;Extended Properties=&quot;&quot;" command="SELECT * FROM [TableauPEINTURE OPE]"/>
  </connection>
  <connection id="21" xr16:uid="{6F945C42-F46E-4D56-AB10-18C6798346CC}" keepAlive="1" name="Requête - TableauPLATRERIE" description="Connexion à la requête « TableauPLATRERIE » dans le classeur." type="5" refreshedVersion="0" background="1">
    <dbPr connection="Provider=Microsoft.Mashup.OleDb.1;Data Source=$Workbook$;Location=TableauPLATRERIE;Extended Properties=&quot;&quot;" command="SELECT * FROM [TableauPLATRERIE]"/>
  </connection>
  <connection id="22" xr16:uid="{5BCC59D9-ACAD-4B33-884A-89A3BBA20900}" keepAlive="1" name="Requête - TableauPLATRERIE OPE" description="Connexion à la requête « TableauPLATRERIE OPE » dans le classeur." type="5" refreshedVersion="6" background="1" saveData="1">
    <dbPr connection="Provider=Microsoft.Mashup.OleDb.1;Data Source=$Workbook$;Location=TableauPLATRERIE OPE;Extended Properties=&quot;&quot;" command="SELECT * FROM [TableauPLATRERIE OPE]"/>
  </connection>
  <connection id="23" xr16:uid="{924AB46E-A6BC-421E-9007-FDD269DE900B}" keepAlive="1" name="Requête - TableauSOLS" description="Connexion à la requête « TableauSOLS » dans le classeur." type="5" refreshedVersion="6" background="1" saveData="1">
    <dbPr connection="Provider=Microsoft.Mashup.OleDb.1;Data Source=$Workbook$;Location=TableauSOLS;Extended Properties=&quot;&quot;" command="SELECT * FROM [TableauSOLS]"/>
  </connection>
  <connection id="24" xr16:uid="{D717F953-BFB0-4CF8-935C-2FA0BEE8C1B7}" keepAlive="1" name="Requête - TableauSOLS OPE" description="Connexion à la requête « TableauSOLS OPE » dans le classeur." type="5" refreshedVersion="6" background="1" saveData="1">
    <dbPr connection="Provider=Microsoft.Mashup.OleDb.1;Data Source=$Workbook$;Location=TableauSOLS OPE;Extended Properties=&quot;&quot;" command="SELECT * FROM [TableauSOLS OPE]"/>
  </connection>
  <connection id="25" xr16:uid="{57885E11-E759-46D8-B0F0-EA8032B66ECF}" keepAlive="1" name="Requête - TableauTOITURE" description="Connexion à la requête « TableauTOITURE » dans le classeur." type="5" refreshedVersion="0" background="1">
    <dbPr connection="Provider=Microsoft.Mashup.OleDb.1;Data Source=$Workbook$;Location=TableauTOITURE;Extended Properties=&quot;&quot;" command="SELECT * FROM [TableauTOITURE]"/>
  </connection>
  <connection id="26" xr16:uid="{9B7273D5-7549-4CFD-9A1D-AFB769D476DC}" keepAlive="1" name="Requête - TableauTOITURE OPE" description="Connexion à la requête « TableauTOITURE OPE » dans le classeur." type="5" refreshedVersion="6" background="1" saveData="1">
    <dbPr connection="Provider=Microsoft.Mashup.OleDb.1;Data Source=$Workbook$;Location=TableauTOITURE OPE;Extended Properties=&quot;&quot;" command="SELECT * FROM [TableauTOITURE OPE]"/>
  </connection>
  <connection id="27" xr16:uid="{BA30249B-E4A5-4276-B0AC-D08212E67F52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<sst xmlns="http://schemas.openxmlformats.org/spreadsheetml/2006/main" count="476" uniqueCount="101">
  <si>
    <t>N° de l'opération</t>
  </si>
  <si>
    <t>Opération</t>
  </si>
  <si>
    <t>Type</t>
  </si>
  <si>
    <t>Bâtiment</t>
  </si>
  <si>
    <t>SU</t>
  </si>
  <si>
    <t>SHAB</t>
  </si>
  <si>
    <t>SDP</t>
  </si>
  <si>
    <t>Nombre de logements</t>
  </si>
  <si>
    <t>RATIO SU</t>
  </si>
  <si>
    <t>RATIO SHAB</t>
  </si>
  <si>
    <t>RATIO SDP</t>
  </si>
  <si>
    <t>RATIO LOGEMENT</t>
  </si>
  <si>
    <t>TOITURE</t>
  </si>
  <si>
    <t>Coût TOTAL Livraison</t>
  </si>
  <si>
    <t>MENUISERIES INTERIEURES</t>
  </si>
  <si>
    <t>MENUISERIES EXTERIEURES</t>
  </si>
  <si>
    <t>ELECTRICITE</t>
  </si>
  <si>
    <t>BILAN DE L'OPERATION</t>
  </si>
  <si>
    <t>Côut Travaux OS</t>
  </si>
  <si>
    <t>Coût Travaux Livraison</t>
  </si>
  <si>
    <t>RATIO Logement</t>
  </si>
  <si>
    <t>Nombre de sous-sols</t>
  </si>
  <si>
    <t>Caractéristiques</t>
  </si>
  <si>
    <t>Nombre de bâtiments</t>
  </si>
  <si>
    <t>Zone</t>
  </si>
  <si>
    <t>TERRASSEMENT-GO</t>
  </si>
  <si>
    <t>ELEC</t>
  </si>
  <si>
    <t>SOLS</t>
  </si>
  <si>
    <t>PEINTURE</t>
  </si>
  <si>
    <t>PLATRERIE</t>
  </si>
  <si>
    <t>REVETEMENT DE SOLS</t>
  </si>
  <si>
    <t>CVC</t>
  </si>
  <si>
    <t>Date OS</t>
  </si>
  <si>
    <t>Coût TOTAL Livraison TOITURE</t>
  </si>
  <si>
    <t>RATIO SU TOITURE</t>
  </si>
  <si>
    <t>RATIO SHAB TOITURE</t>
  </si>
  <si>
    <t>RATIO SDP TOITURE</t>
  </si>
  <si>
    <t>RATIO LOGEMENT TOITURE</t>
  </si>
  <si>
    <t>Coût TOTAL Livraison GO</t>
  </si>
  <si>
    <t>RATIO SU GO</t>
  </si>
  <si>
    <t>RATIO SHAB GO</t>
  </si>
  <si>
    <t>RATIO SDP GO</t>
  </si>
  <si>
    <t>RATIO LOGEMENT GO</t>
  </si>
  <si>
    <t>Coût TOTAL Livraison MENUISERIES EXT</t>
  </si>
  <si>
    <t>RATIO SU MENUISERIES EXT</t>
  </si>
  <si>
    <t>RATIO SHAB MENUISERIES EXT</t>
  </si>
  <si>
    <t>RATIO SDP MENUISERIES EXT</t>
  </si>
  <si>
    <t>RATIO LOGEMENT MENUISERIES EXT</t>
  </si>
  <si>
    <t>Coût TOTAL Livraison MENUISERIES INT</t>
  </si>
  <si>
    <t>RATIO SU MENUISERIES INT</t>
  </si>
  <si>
    <t>RATIO SHAB MENUISERIES INT</t>
  </si>
  <si>
    <t>RATIO SDP MENUISERIES INT</t>
  </si>
  <si>
    <t>RATIO LOGEMENT MENUISERIES INT</t>
  </si>
  <si>
    <t>Total général</t>
  </si>
  <si>
    <t>Étiquettes de colonnes</t>
  </si>
  <si>
    <t>MENUISERIES EXT</t>
  </si>
  <si>
    <t>Prix de revient</t>
  </si>
  <si>
    <t>Coût objectif CI</t>
  </si>
  <si>
    <t>TOITURE-ETANCHEITE</t>
  </si>
  <si>
    <t>ESPACES VERTS</t>
  </si>
  <si>
    <t>²</t>
  </si>
  <si>
    <t>Étiquettes de lignes</t>
  </si>
  <si>
    <t>Manouchian</t>
  </si>
  <si>
    <t>Collectif</t>
  </si>
  <si>
    <t>Neuf</t>
  </si>
  <si>
    <t>Hors ZAC</t>
  </si>
  <si>
    <t>Les Fenetras</t>
  </si>
  <si>
    <t>ZAC</t>
  </si>
  <si>
    <t>MENUISERIES INT</t>
  </si>
  <si>
    <t xml:space="preserve">Fiche synthèse financière des opérations </t>
  </si>
  <si>
    <t>Colonne1</t>
  </si>
  <si>
    <t>Commune</t>
  </si>
  <si>
    <t>Chauffage</t>
  </si>
  <si>
    <t>Toulouse</t>
  </si>
  <si>
    <t>Purpan</t>
  </si>
  <si>
    <t>SYNTHESE</t>
  </si>
  <si>
    <t>RATIOS</t>
  </si>
  <si>
    <t>LOTS</t>
  </si>
  <si>
    <t>Somme de Valeur</t>
  </si>
  <si>
    <t>BILAN</t>
  </si>
  <si>
    <t>INFO</t>
  </si>
  <si>
    <t>Données</t>
  </si>
  <si>
    <t>TEST</t>
  </si>
  <si>
    <t>Individuel</t>
  </si>
  <si>
    <t>TOLUOUSE</t>
  </si>
  <si>
    <t>Réhab</t>
  </si>
  <si>
    <t>02/05/2018 00:00:00</t>
  </si>
  <si>
    <t>Coût TERRASSEMENT-GO</t>
  </si>
  <si>
    <t>Coût  TOITURE-ETANCHEITE</t>
  </si>
  <si>
    <t>Coût  MENUISERIES EXT</t>
  </si>
  <si>
    <t>Coût MENUISERIES INT</t>
  </si>
  <si>
    <t>Coût  CVC</t>
  </si>
  <si>
    <t>Coût ELEC</t>
  </si>
  <si>
    <t>Coût SOLS</t>
  </si>
  <si>
    <t>Coût PLATRERIE</t>
  </si>
  <si>
    <t>Coût PEINTURE</t>
  </si>
  <si>
    <t>Coût AUTRES</t>
  </si>
  <si>
    <t>2018</t>
  </si>
  <si>
    <t>2019</t>
  </si>
  <si>
    <t>Column1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</si>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</sst>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6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164" fontId="8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0" xfId="0" applyFont="1" applyAlignment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1"/>
    <xf numFmtId="0" fontId="2" fillId="3" borderId="1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pivotButton="1"/>
    <xf numFmtId="14" fontId="2" fillId="0" borderId="2" xfId="0" applyNumberFormat="1" applyFont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2" fontId="0" fillId="0" borderId="0" xfId="0" applyNumberFormat="1"/>
    <xf numFmtId="2" fontId="5" fillId="0" borderId="0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2" borderId="14" xfId="0" applyNumberFormat="1" applyFont="1" applyFill="1" applyBorder="1" applyAlignment="1">
      <alignment horizontal="center" vertical="center"/>
    </xf>
    <xf numFmtId="0" fontId="2" fillId="3" borderId="15" xfId="0" applyNumberFormat="1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NumberFormat="1" applyFont="1" applyFill="1" applyBorder="1" applyAlignment="1">
      <alignment horizontal="center" vertical="center"/>
    </xf>
    <xf numFmtId="0" fontId="7" fillId="0" borderId="0" xfId="0" applyFont="1"/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pivotButton="1" applyNumberFormat="1"/>
    <xf numFmtId="2" fontId="0" fillId="0" borderId="0" xfId="0" applyNumberFormat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165" fontId="5" fillId="0" borderId="0" xfId="2" applyNumberFormat="1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0" fillId="0" borderId="0" xfId="0" pivotButton="1" applyNumberFormat="1" applyFill="1" applyBorder="1" applyAlignment="1">
      <alignment horizontal="center" vertical="center"/>
    </xf>
    <xf numFmtId="2" fontId="0" fillId="0" borderId="0" xfId="0" pivotButton="1" applyNumberFormat="1" applyBorder="1" applyAlignment="1">
      <alignment horizontal="center" vertical="center"/>
    </xf>
    <xf numFmtId="0" fontId="0" fillId="0" borderId="0" xfId="0" pivotButton="1" applyFill="1"/>
    <xf numFmtId="49" fontId="5" fillId="0" borderId="0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9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4" borderId="20" xfId="0" applyNumberFormat="1" applyFill="1" applyBorder="1" applyAlignment="1">
      <alignment horizontal="center" vertical="center"/>
    </xf>
    <xf numFmtId="2" fontId="0" fillId="4" borderId="7" xfId="0" applyNumberForma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5" fillId="3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388"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</dxf>
    <dxf>
      <numFmt numFmtId="0" formatCode="General"/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i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6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7/relationships/slicerCache" Target="slicerCaches/slicerCache1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5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microsoft.com/office/2007/relationships/slicerCache" Target="slicerCaches/slicerCache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Relationship Id="rId27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pivotSource>
    <c:name>[SYNTHESE.xlsm]Tableau de bord BILAN!Tableau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i="1" u="none">
                <a:solidFill>
                  <a:sysClr val="windowText" lastClr="000000"/>
                </a:solidFill>
              </a:rPr>
              <a:t>Evolution du ratio en fonction du temps</a:t>
            </a:r>
          </a:p>
        </c:rich>
      </c:tx>
      <c:layout>
        <c:manualLayout>
          <c:xMode val="edge"/>
          <c:yMode val="edge"/>
          <c:x val="0.34002114766329056"/>
          <c:y val="2.38473767885532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2"/>
          </a:solidFill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1"/>
        <c:spPr>
          <a:solidFill>
            <a:schemeClr val="accent2"/>
          </a:solidFill>
          <a:ln w="28575" cap="rnd">
            <a:solidFill>
              <a:schemeClr val="accent2"/>
            </a:solidFill>
            <a:round/>
          </a:ln>
          <a:effectLst/>
        </c:spPr>
        <c:marker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2"/>
        <c:spPr>
          <a:solidFill>
            <a:schemeClr val="accent2"/>
          </a:solidFill>
          <a:ln w="28575" cap="rnd">
            <a:solidFill>
              <a:schemeClr val="accent2"/>
            </a:solidFill>
            <a:round/>
          </a:ln>
          <a:effectLst/>
        </c:spPr>
        <c:marker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3"/>
        <c:spPr>
          <a:solidFill>
            <a:schemeClr val="accent2"/>
          </a:solidFill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4"/>
        <c:spPr>
          <a:solidFill>
            <a:schemeClr val="accent2"/>
          </a:solidFill>
          <a:ln w="28575" cap="rnd">
            <a:solidFill>
              <a:schemeClr val="accent2"/>
            </a:solidFill>
            <a:round/>
          </a:ln>
          <a:effectLst/>
        </c:spPr>
        <c:marker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5"/>
        <c:spPr>
          <a:solidFill>
            <a:schemeClr val="accent2"/>
          </a:solidFill>
          <a:ln w="28575" cap="rnd">
            <a:solidFill>
              <a:schemeClr val="accent2"/>
            </a:solidFill>
            <a:round/>
          </a:ln>
          <a:effectLst/>
        </c:spPr>
        <c:marker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6"/>
        <c:spPr>
          <a:solidFill>
            <a:schemeClr val="accent2"/>
          </a:solidFill>
          <a:ln w="28575" cap="rnd">
            <a:solidFill>
              <a:schemeClr val="accent2"/>
            </a:solidFill>
            <a:round/>
          </a:ln>
          <a:effectLst/>
        </c:spPr>
        <c:marker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7"/>
        <c:spPr>
          <a:solidFill>
            <a:schemeClr val="accent2"/>
          </a:solidFill>
          <a:ln w="28575" cap="rnd">
            <a:solidFill>
              <a:schemeClr val="accent2"/>
            </a:solidFill>
            <a:round/>
          </a:ln>
          <a:effectLst/>
        </c:spPr>
        <c:marker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13"/>
        <c:spPr>
          <a:solidFill>
            <a:schemeClr val="accent2"/>
          </a:solidFill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14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15"/>
        <c:spPr>
          <a:solidFill>
            <a:schemeClr val="accent2"/>
          </a:solidFill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16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17"/>
        <c:spPr>
          <a:ln w="28575" cap="rnd">
            <a:solidFill>
              <a:schemeClr val="accent2"/>
            </a:solidFill>
            <a:round/>
          </a:ln>
          <a:effectLst/>
        </c:spPr>
        <c:marker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</c:pivotFmts>
    <c:plotArea>
      <c:layout>
        <c:manualLayout>
          <c:layoutTarget val="inner"/>
          <c:xMode val="edge"/>
          <c:yMode val="edge"/>
          <c:x val="0.10652255720931952"/>
          <c:y val="0.14597244303126655"/>
          <c:w val="0.87677732533805852"/>
          <c:h val="0.75016357255819965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 BILAN'!$I$18:$I$19</c:f>
              <c:strCache>
                <c:ptCount val="1"/>
                <c:pt idx="0">
                  <c:v>RATIO SHAB MENUISERIES EXT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 BILAN'!$H$20:$H$22</c:f>
              <c:strCache>
                <c:ptCount val="2"/>
                <c:pt idx="0">
                  <c:v>2018</c:v>
                </c:pt>
                <c:pt idx="1">
                  <c:v>2019</c:v>
                </c:pt>
              </c:strCache>
            </c:strRef>
          </c:cat>
          <c:val>
            <c:numRef>
              <c:f>'Tableau de bord BILAN'!$I$20:$I$22</c:f>
              <c:numCache>
                <c:formatCode>General</c:formatCode>
                <c:ptCount val="2"/>
                <c:pt idx="0">
                  <c:v>44.869633336822034</c:v>
                </c:pt>
                <c:pt idx="1">
                  <c:v>96.395035993218258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3D-4D13-BE93-1E7AFD2EB7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01219295"/>
        <c:axId val="2112207599"/>
      </c:lineChart>
      <c:catAx>
        <c:axId val="21012192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2207599"/>
        <c:crosses val="autoZero"/>
        <c:auto val="1"/>
        <c:lblAlgn val="ctr"/>
        <c:lblOffset val="100"/>
        <c:noMultiLvlLbl val="0"/>
      </c:catAx>
      <c:valAx>
        <c:axId val="211220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0">
                    <a:solidFill>
                      <a:sysClr val="windowText" lastClr="000000"/>
                    </a:solidFill>
                  </a:rPr>
                  <a:t>Coût HT</a:t>
                </a:r>
              </a:p>
            </c:rich>
          </c:tx>
          <c:layout>
            <c:manualLayout>
              <c:xMode val="edge"/>
              <c:yMode val="edge"/>
              <c:x val="2.4277350470932102E-2"/>
              <c:y val="0.475247340902736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12192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83139033415876"/>
          <c:y val="7.407407407407407E-2"/>
          <c:w val="0.79216266641368627"/>
          <c:h val="0.810249476391208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 OPE'!$F$19:$H$19</c:f>
              <c:strCache>
                <c:ptCount val="3"/>
                <c:pt idx="0">
                  <c:v>Coût objectif CI</c:v>
                </c:pt>
                <c:pt idx="1">
                  <c:v>Côut Travaux OS</c:v>
                </c:pt>
                <c:pt idx="2">
                  <c:v>Coût Travaux Livraison</c:v>
                </c:pt>
              </c:strCache>
            </c:strRef>
          </c:cat>
          <c:val>
            <c:numRef>
              <c:f>'Tableau de bord OPE'!$F$20:$H$20</c:f>
              <c:numCache>
                <c:formatCode>General</c:formatCode>
                <c:ptCount val="3"/>
                <c:pt idx="0">
                  <c:v>8597090.6799999997</c:v>
                </c:pt>
                <c:pt idx="1">
                  <c:v>9488771.8800000008</c:v>
                </c:pt>
                <c:pt idx="2">
                  <c:v>9192353.7100000009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5F-4582-A0D0-F4D26D1870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24399455"/>
        <c:axId val="1022928575"/>
      </c:barChart>
      <c:catAx>
        <c:axId val="1024399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2928575"/>
        <c:crosses val="autoZero"/>
        <c:auto val="1"/>
        <c:lblAlgn val="ctr"/>
        <c:lblOffset val="100"/>
        <c:noMultiLvlLbl val="0"/>
      </c:catAx>
      <c:valAx>
        <c:axId val="1022928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;[Red]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4399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9BF-45ED-963E-FF873707978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9BF-45ED-963E-FF873707978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9BF-45ED-963E-FF873707978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9BF-45ED-963E-FF873707978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9BF-45ED-963E-FF873707978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9BF-45ED-963E-FF873707978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9BF-45ED-963E-FF873707978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9BF-45ED-963E-FF873707978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9BF-45ED-963E-FF873707978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9BF-45ED-963E-FF873707978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'Tableau de bord OPE'!$J$17:$J$26</c:f>
              <c:strCache>
                <c:ptCount val="10"/>
                <c:pt idx="0">
                  <c:v>Coût TERRASSEMENT-GO</c:v>
                </c:pt>
                <c:pt idx="1">
                  <c:v>Coût  TOITURE-ETANCHEITE</c:v>
                </c:pt>
                <c:pt idx="2">
                  <c:v>Coût  MENUISERIES EXT</c:v>
                </c:pt>
                <c:pt idx="3">
                  <c:v>Coût MENUISERIES INT</c:v>
                </c:pt>
                <c:pt idx="4">
                  <c:v>Coût  CVC</c:v>
                </c:pt>
                <c:pt idx="5">
                  <c:v>Coût ELEC</c:v>
                </c:pt>
                <c:pt idx="6">
                  <c:v>Coût SOLS</c:v>
                </c:pt>
                <c:pt idx="7">
                  <c:v>Coût PLATRERIE</c:v>
                </c:pt>
                <c:pt idx="8">
                  <c:v>Coût PEINTURE</c:v>
                </c:pt>
                <c:pt idx="9">
                  <c:v>Coût AUTRES</c:v>
                </c:pt>
              </c:strCache>
            </c:strRef>
          </c:cat>
          <c:val>
            <c:numRef>
              <c:f>'Tableau de bord OPE'!$K$17:$K$26</c:f>
              <c:numCache>
                <c:formatCode>General</c:formatCode>
                <c:ptCount val="10"/>
                <c:pt idx="0">
                  <c:v>4869324.2300000004</c:v>
                </c:pt>
                <c:pt idx="1">
                  <c:v>291091.92</c:v>
                </c:pt>
                <c:pt idx="2">
                  <c:v>282950.59999999998</c:v>
                </c:pt>
                <c:pt idx="3">
                  <c:v>326563.05</c:v>
                </c:pt>
                <c:pt idx="4">
                  <c:v>963076.1</c:v>
                </c:pt>
                <c:pt idx="5">
                  <c:v>590068.37</c:v>
                </c:pt>
                <c:pt idx="6">
                  <c:v>383952.3</c:v>
                </c:pt>
                <c:pt idx="7">
                  <c:v>352028.14</c:v>
                </c:pt>
                <c:pt idx="8">
                  <c:v>221500</c:v>
                </c:pt>
                <c:pt idx="9">
                  <c:v>911799.00000000186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CB-45EA-B1F5-F7ABB4137E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TERRASSEMENT-GO'!A1"/><Relationship Id="rId3" Type="http://schemas.openxmlformats.org/officeDocument/2006/relationships/hyperlink" Target="#'MENUISERIES EXTERIEURES'!A1"/><Relationship Id="rId7" Type="http://schemas.openxmlformats.org/officeDocument/2006/relationships/hyperlink" Target="#SOLS!A1"/><Relationship Id="rId12" Type="http://schemas.openxmlformats.org/officeDocument/2006/relationships/hyperlink" Target="#'Tableau de bord BILAN'!A1"/><Relationship Id="rId2" Type="http://schemas.openxmlformats.org/officeDocument/2006/relationships/hyperlink" Target="#TOITURE!A1"/><Relationship Id="rId1" Type="http://schemas.openxmlformats.org/officeDocument/2006/relationships/hyperlink" Target="#ETANCHEITE!A1"/><Relationship Id="rId6" Type="http://schemas.openxmlformats.org/officeDocument/2006/relationships/hyperlink" Target="#ELEC!A1"/><Relationship Id="rId11" Type="http://schemas.openxmlformats.org/officeDocument/2006/relationships/hyperlink" Target="#'Tableau de bord OPE'!A1"/><Relationship Id="rId5" Type="http://schemas.openxmlformats.org/officeDocument/2006/relationships/hyperlink" Target="#CVC!A1"/><Relationship Id="rId10" Type="http://schemas.openxmlformats.org/officeDocument/2006/relationships/hyperlink" Target="#SYNTHESE!A1"/><Relationship Id="rId4" Type="http://schemas.openxmlformats.org/officeDocument/2006/relationships/hyperlink" Target="#'MENUISERIES INTERIEURES'!A1"/><Relationship Id="rId9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12" Type="http://schemas.openxmlformats.org/officeDocument/2006/relationships/hyperlink" Target="#'ESPACES VERTS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11" Type="http://schemas.openxmlformats.org/officeDocument/2006/relationships/hyperlink" Target="#PLATRERIE!A1"/><Relationship Id="rId5" Type="http://schemas.openxmlformats.org/officeDocument/2006/relationships/hyperlink" Target="#ELEC!A1"/><Relationship Id="rId10" Type="http://schemas.openxmlformats.org/officeDocument/2006/relationships/hyperlink" Target="#PEINTURE!A1"/><Relationship Id="rId4" Type="http://schemas.openxmlformats.org/officeDocument/2006/relationships/hyperlink" Target="#CVC!A1"/><Relationship Id="rId9" Type="http://schemas.openxmlformats.org/officeDocument/2006/relationships/hyperlink" Target="#BILAN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12" Type="http://schemas.openxmlformats.org/officeDocument/2006/relationships/hyperlink" Target="#'ESPACES VERTS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11" Type="http://schemas.openxmlformats.org/officeDocument/2006/relationships/hyperlink" Target="#PLATRERIE!A1"/><Relationship Id="rId5" Type="http://schemas.openxmlformats.org/officeDocument/2006/relationships/hyperlink" Target="#ELEC!A1"/><Relationship Id="rId10" Type="http://schemas.openxmlformats.org/officeDocument/2006/relationships/hyperlink" Target="#PEINTURE!A1"/><Relationship Id="rId4" Type="http://schemas.openxmlformats.org/officeDocument/2006/relationships/hyperlink" Target="#CVC!A1"/><Relationship Id="rId9" Type="http://schemas.openxmlformats.org/officeDocument/2006/relationships/hyperlink" Target="#SYNTHES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12" Type="http://schemas.openxmlformats.org/officeDocument/2006/relationships/hyperlink" Target="#'ESPACES VERTS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11" Type="http://schemas.openxmlformats.org/officeDocument/2006/relationships/hyperlink" Target="#PLATRERIE!A1"/><Relationship Id="rId5" Type="http://schemas.openxmlformats.org/officeDocument/2006/relationships/hyperlink" Target="#ELEC!A1"/><Relationship Id="rId10" Type="http://schemas.openxmlformats.org/officeDocument/2006/relationships/hyperlink" Target="#PEINTURE!A1"/><Relationship Id="rId4" Type="http://schemas.openxmlformats.org/officeDocument/2006/relationships/hyperlink" Target="#CVC!A1"/><Relationship Id="rId9" Type="http://schemas.openxmlformats.org/officeDocument/2006/relationships/hyperlink" Target="#SYNTHES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12" Type="http://schemas.openxmlformats.org/officeDocument/2006/relationships/hyperlink" Target="#'ESPACES VERTS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11" Type="http://schemas.openxmlformats.org/officeDocument/2006/relationships/hyperlink" Target="#PLATRERIE!A1"/><Relationship Id="rId5" Type="http://schemas.openxmlformats.org/officeDocument/2006/relationships/hyperlink" Target="#ELEC!A1"/><Relationship Id="rId10" Type="http://schemas.openxmlformats.org/officeDocument/2006/relationships/hyperlink" Target="#PEINTURE!A1"/><Relationship Id="rId4" Type="http://schemas.openxmlformats.org/officeDocument/2006/relationships/hyperlink" Target="#CVC!A1"/><Relationship Id="rId9" Type="http://schemas.openxmlformats.org/officeDocument/2006/relationships/hyperlink" Target="#SYNTHES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11" Type="http://schemas.openxmlformats.org/officeDocument/2006/relationships/hyperlink" Target="#'ESPACES VERTS'!A1"/><Relationship Id="rId5" Type="http://schemas.openxmlformats.org/officeDocument/2006/relationships/hyperlink" Target="#ELEC!A1"/><Relationship Id="rId10" Type="http://schemas.openxmlformats.org/officeDocument/2006/relationships/hyperlink" Target="#PLATRERIE!A1"/><Relationship Id="rId4" Type="http://schemas.openxmlformats.org/officeDocument/2006/relationships/hyperlink" Target="#CVC!A1"/><Relationship Id="rId9" Type="http://schemas.openxmlformats.org/officeDocument/2006/relationships/hyperlink" Target="#SYNTHES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12" Type="http://schemas.openxmlformats.org/officeDocument/2006/relationships/hyperlink" Target="#'ESPACES VERTS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11" Type="http://schemas.openxmlformats.org/officeDocument/2006/relationships/hyperlink" Target="#PLATRERIE!A1"/><Relationship Id="rId5" Type="http://schemas.openxmlformats.org/officeDocument/2006/relationships/hyperlink" Target="#ELEC!A1"/><Relationship Id="rId10" Type="http://schemas.openxmlformats.org/officeDocument/2006/relationships/hyperlink" Target="#PEINTURE!A1"/><Relationship Id="rId4" Type="http://schemas.openxmlformats.org/officeDocument/2006/relationships/hyperlink" Target="#CVC!A1"/><Relationship Id="rId9" Type="http://schemas.openxmlformats.org/officeDocument/2006/relationships/hyperlink" Target="#SYNTHES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12" Type="http://schemas.openxmlformats.org/officeDocument/2006/relationships/hyperlink" Target="#'ESPACES VERTS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11" Type="http://schemas.openxmlformats.org/officeDocument/2006/relationships/hyperlink" Target="#PLATRERIE!A1"/><Relationship Id="rId5" Type="http://schemas.openxmlformats.org/officeDocument/2006/relationships/hyperlink" Target="#ELEC!A1"/><Relationship Id="rId10" Type="http://schemas.openxmlformats.org/officeDocument/2006/relationships/hyperlink" Target="#PEINTURE!A1"/><Relationship Id="rId4" Type="http://schemas.openxmlformats.org/officeDocument/2006/relationships/hyperlink" Target="#CVC!A1"/><Relationship Id="rId9" Type="http://schemas.openxmlformats.org/officeDocument/2006/relationships/hyperlink" Target="#SYNTHES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12" Type="http://schemas.openxmlformats.org/officeDocument/2006/relationships/hyperlink" Target="#'ESPACES VERTS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11" Type="http://schemas.openxmlformats.org/officeDocument/2006/relationships/hyperlink" Target="#PLATRERIE!A1"/><Relationship Id="rId5" Type="http://schemas.openxmlformats.org/officeDocument/2006/relationships/hyperlink" Target="#ELEC!A1"/><Relationship Id="rId10" Type="http://schemas.openxmlformats.org/officeDocument/2006/relationships/hyperlink" Target="#PEINTURE!A1"/><Relationship Id="rId4" Type="http://schemas.openxmlformats.org/officeDocument/2006/relationships/hyperlink" Target="#CVC!A1"/><Relationship Id="rId9" Type="http://schemas.openxmlformats.org/officeDocument/2006/relationships/hyperlink" Target="#SYNTHES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5" Type="http://schemas.openxmlformats.org/officeDocument/2006/relationships/hyperlink" Target="#ELEC!A1"/><Relationship Id="rId10" Type="http://schemas.openxmlformats.org/officeDocument/2006/relationships/hyperlink" Target="#PEINTURE!A1"/><Relationship Id="rId4" Type="http://schemas.openxmlformats.org/officeDocument/2006/relationships/hyperlink" Target="#CVC!A1"/><Relationship Id="rId9" Type="http://schemas.openxmlformats.org/officeDocument/2006/relationships/hyperlink" Target="#SYNTHESE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11" Type="http://schemas.openxmlformats.org/officeDocument/2006/relationships/hyperlink" Target="#'ESPACES VERTS'!A1"/><Relationship Id="rId5" Type="http://schemas.openxmlformats.org/officeDocument/2006/relationships/hyperlink" Target="#ELEC!A1"/><Relationship Id="rId10" Type="http://schemas.openxmlformats.org/officeDocument/2006/relationships/hyperlink" Target="#PLATRERIE!A1"/><Relationship Id="rId4" Type="http://schemas.openxmlformats.org/officeDocument/2006/relationships/hyperlink" Target="#CVC!A1"/><Relationship Id="rId9" Type="http://schemas.openxmlformats.org/officeDocument/2006/relationships/hyperlink" Target="#SYNTHESE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11" Type="http://schemas.openxmlformats.org/officeDocument/2006/relationships/hyperlink" Target="#PLATRERIE!A1"/><Relationship Id="rId5" Type="http://schemas.openxmlformats.org/officeDocument/2006/relationships/hyperlink" Target="#ELEC!A1"/><Relationship Id="rId10" Type="http://schemas.openxmlformats.org/officeDocument/2006/relationships/hyperlink" Target="#PEINTURE!A1"/><Relationship Id="rId4" Type="http://schemas.openxmlformats.org/officeDocument/2006/relationships/hyperlink" Target="#CVC!A1"/><Relationship Id="rId9" Type="http://schemas.openxmlformats.org/officeDocument/2006/relationships/hyperlink" Target="#SYNTHES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7</xdr:col>
      <xdr:colOff>1076325</xdr:colOff>
      <xdr:row>3</xdr:row>
      <xdr:rowOff>180975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66675" y="57150"/>
          <a:ext cx="9420225" cy="695325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ANALYSE</a:t>
          </a:r>
          <a:r>
            <a:rPr lang="fr-FR" sz="2000" b="1" baseline="0">
              <a:solidFill>
                <a:schemeClr val="bg1"/>
              </a:solidFill>
            </a:rPr>
            <a:t> FINANCIERE GLOBALE DES COUTS TRAVAUX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1238250</xdr:colOff>
      <xdr:row>1</xdr:row>
      <xdr:rowOff>47625</xdr:rowOff>
    </xdr:from>
    <xdr:to>
      <xdr:col>9</xdr:col>
      <xdr:colOff>441960</xdr:colOff>
      <xdr:row>4</xdr:row>
      <xdr:rowOff>1905</xdr:rowOff>
    </xdr:to>
    <xdr:sp macro="" textlink="">
      <xdr:nvSpPr>
        <xdr:cNvPr id="7" name="Rectangle : coins arrondis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0296525" y="238125"/>
          <a:ext cx="1184910" cy="52578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MENU</a:t>
          </a:r>
          <a:endParaRPr lang="fr-FR" sz="1100" b="1"/>
        </a:p>
      </xdr:txBody>
    </xdr:sp>
    <xdr:clientData/>
  </xdr:twoCellAnchor>
  <xdr:twoCellAnchor>
    <xdr:from>
      <xdr:col>5</xdr:col>
      <xdr:colOff>579120</xdr:colOff>
      <xdr:row>8</xdr:row>
      <xdr:rowOff>74295</xdr:rowOff>
    </xdr:from>
    <xdr:to>
      <xdr:col>13</xdr:col>
      <xdr:colOff>238125</xdr:colOff>
      <xdr:row>34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716280</xdr:colOff>
      <xdr:row>11</xdr:row>
      <xdr:rowOff>28575</xdr:rowOff>
    </xdr:from>
    <xdr:to>
      <xdr:col>2</xdr:col>
      <xdr:colOff>1203960</xdr:colOff>
      <xdr:row>28</xdr:row>
      <xdr:rowOff>135255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LOTS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O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0130" y="2124075"/>
              <a:ext cx="1792605" cy="31546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158115</xdr:colOff>
      <xdr:row>15</xdr:row>
      <xdr:rowOff>160020</xdr:rowOff>
    </xdr:from>
    <xdr:to>
      <xdr:col>5</xdr:col>
      <xdr:colOff>352425</xdr:colOff>
      <xdr:row>24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RATIO 1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ATIO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72790" y="3017520"/>
              <a:ext cx="2613660" cy="15640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0</xdr:row>
      <xdr:rowOff>41910</xdr:rowOff>
    </xdr:from>
    <xdr:to>
      <xdr:col>7</xdr:col>
      <xdr:colOff>205740</xdr:colOff>
      <xdr:row>3</xdr:row>
      <xdr:rowOff>165735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0960" y="41910"/>
          <a:ext cx="7886700" cy="626745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ANALYSE</a:t>
          </a:r>
          <a:r>
            <a:rPr lang="fr-FR" sz="2000" b="1" baseline="0">
              <a:solidFill>
                <a:schemeClr val="bg1"/>
              </a:solidFill>
            </a:rPr>
            <a:t> FINANCIERE DES OPERATIONS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0</xdr:row>
          <xdr:rowOff>152400</xdr:rowOff>
        </xdr:from>
        <xdr:to>
          <xdr:col>10</xdr:col>
          <xdr:colOff>85725</xdr:colOff>
          <xdr:row>3</xdr:row>
          <xdr:rowOff>180975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2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RATIO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281940</xdr:colOff>
      <xdr:row>0</xdr:row>
      <xdr:rowOff>167640</xdr:rowOff>
    </xdr:from>
    <xdr:to>
      <xdr:col>8</xdr:col>
      <xdr:colOff>30480</xdr:colOff>
      <xdr:row>3</xdr:row>
      <xdr:rowOff>175260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8023860" y="167640"/>
          <a:ext cx="1242060" cy="51054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MENU</a:t>
          </a:r>
          <a:endParaRPr lang="fr-FR" sz="1100" b="1"/>
        </a:p>
      </xdr:txBody>
    </xdr:sp>
    <xdr:clientData/>
  </xdr:twoCellAnchor>
  <xdr:twoCellAnchor editAs="oneCell">
    <xdr:from>
      <xdr:col>1</xdr:col>
      <xdr:colOff>205740</xdr:colOff>
      <xdr:row>4</xdr:row>
      <xdr:rowOff>160019</xdr:rowOff>
    </xdr:from>
    <xdr:to>
      <xdr:col>2</xdr:col>
      <xdr:colOff>483870</xdr:colOff>
      <xdr:row>10</xdr:row>
      <xdr:rowOff>228599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Opération 2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io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2465" y="864870"/>
              <a:ext cx="1792605" cy="104013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485775</xdr:colOff>
      <xdr:row>14</xdr:row>
      <xdr:rowOff>9526</xdr:rowOff>
    </xdr:from>
    <xdr:to>
      <xdr:col>8</xdr:col>
      <xdr:colOff>95249</xdr:colOff>
      <xdr:row>28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438149</xdr:colOff>
      <xdr:row>12</xdr:row>
      <xdr:rowOff>476249</xdr:rowOff>
    </xdr:from>
    <xdr:to>
      <xdr:col>14</xdr:col>
      <xdr:colOff>142874</xdr:colOff>
      <xdr:row>28</xdr:row>
      <xdr:rowOff>57149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403860</xdr:colOff>
      <xdr:row>11</xdr:row>
      <xdr:rowOff>60960</xdr:rowOff>
    </xdr:from>
    <xdr:to>
      <xdr:col>3</xdr:col>
      <xdr:colOff>175260</xdr:colOff>
      <xdr:row>13</xdr:row>
      <xdr:rowOff>137160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196340" y="238506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ETANCHEITE</a:t>
          </a:r>
          <a:endParaRPr lang="fr-FR" sz="1100" b="0"/>
        </a:p>
      </xdr:txBody>
    </xdr:sp>
    <xdr:clientData/>
  </xdr:twoCellAnchor>
  <xdr:twoCellAnchor>
    <xdr:from>
      <xdr:col>1</xdr:col>
      <xdr:colOff>396240</xdr:colOff>
      <xdr:row>14</xdr:row>
      <xdr:rowOff>76200</xdr:rowOff>
    </xdr:from>
    <xdr:to>
      <xdr:col>3</xdr:col>
      <xdr:colOff>167640</xdr:colOff>
      <xdr:row>16</xdr:row>
      <xdr:rowOff>152400</xdr:rowOff>
    </xdr:to>
    <xdr:sp macro="" textlink="">
      <xdr:nvSpPr>
        <xdr:cNvPr id="12" name="Rectangle : coins arrondi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1188720" y="294894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396240</xdr:colOff>
      <xdr:row>17</xdr:row>
      <xdr:rowOff>144780</xdr:rowOff>
    </xdr:from>
    <xdr:to>
      <xdr:col>3</xdr:col>
      <xdr:colOff>167640</xdr:colOff>
      <xdr:row>20</xdr:row>
      <xdr:rowOff>91440</xdr:rowOff>
    </xdr:to>
    <xdr:sp macro="" textlink="">
      <xdr:nvSpPr>
        <xdr:cNvPr id="13" name="Rectangle : coins arrondis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1188720" y="3566160"/>
          <a:ext cx="1089660" cy="4953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1</xdr:col>
      <xdr:colOff>381000</xdr:colOff>
      <xdr:row>21</xdr:row>
      <xdr:rowOff>53340</xdr:rowOff>
    </xdr:from>
    <xdr:to>
      <xdr:col>3</xdr:col>
      <xdr:colOff>152400</xdr:colOff>
      <xdr:row>23</xdr:row>
      <xdr:rowOff>175260</xdr:rowOff>
    </xdr:to>
    <xdr:sp macro="" textlink="">
      <xdr:nvSpPr>
        <xdr:cNvPr id="14" name="Rectangle : coins arrondis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1173480" y="4206240"/>
          <a:ext cx="1089660" cy="48768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1</xdr:col>
      <xdr:colOff>381000</xdr:colOff>
      <xdr:row>24</xdr:row>
      <xdr:rowOff>114300</xdr:rowOff>
    </xdr:from>
    <xdr:to>
      <xdr:col>3</xdr:col>
      <xdr:colOff>152400</xdr:colOff>
      <xdr:row>27</xdr:row>
      <xdr:rowOff>7620</xdr:rowOff>
    </xdr:to>
    <xdr:sp macro="" textlink="">
      <xdr:nvSpPr>
        <xdr:cNvPr id="15" name="Rectangle : coins arrondis 1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1173480" y="481584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1</xdr:col>
      <xdr:colOff>381000</xdr:colOff>
      <xdr:row>27</xdr:row>
      <xdr:rowOff>144780</xdr:rowOff>
    </xdr:from>
    <xdr:to>
      <xdr:col>3</xdr:col>
      <xdr:colOff>152400</xdr:colOff>
      <xdr:row>30</xdr:row>
      <xdr:rowOff>38100</xdr:rowOff>
    </xdr:to>
    <xdr:sp macro="" textlink="">
      <xdr:nvSpPr>
        <xdr:cNvPr id="16" name="Rectangle : coins arrondis 1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1173480" y="539496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</xdr:col>
      <xdr:colOff>396240</xdr:colOff>
      <xdr:row>30</xdr:row>
      <xdr:rowOff>167640</xdr:rowOff>
    </xdr:from>
    <xdr:to>
      <xdr:col>3</xdr:col>
      <xdr:colOff>160020</xdr:colOff>
      <xdr:row>33</xdr:row>
      <xdr:rowOff>60960</xdr:rowOff>
    </xdr:to>
    <xdr:sp macro="" textlink="">
      <xdr:nvSpPr>
        <xdr:cNvPr id="17" name="Rectangle : coins arrondis 1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188720" y="5966460"/>
          <a:ext cx="108204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419100</xdr:colOff>
      <xdr:row>8</xdr:row>
      <xdr:rowOff>129540</xdr:rowOff>
    </xdr:from>
    <xdr:to>
      <xdr:col>3</xdr:col>
      <xdr:colOff>190500</xdr:colOff>
      <xdr:row>10</xdr:row>
      <xdr:rowOff>182880</xdr:rowOff>
    </xdr:to>
    <xdr:sp macro="" textlink="">
      <xdr:nvSpPr>
        <xdr:cNvPr id="19" name="Rectangle : coins arrondis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1211580" y="1836420"/>
          <a:ext cx="1089660" cy="4191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  <a:endParaRPr lang="fr-FR" sz="1100"/>
        </a:p>
      </xdr:txBody>
    </xdr:sp>
    <xdr:clientData/>
  </xdr:twoCellAnchor>
  <xdr:twoCellAnchor editAs="oneCell">
    <xdr:from>
      <xdr:col>9</xdr:col>
      <xdr:colOff>264794</xdr:colOff>
      <xdr:row>5</xdr:row>
      <xdr:rowOff>28576</xdr:rowOff>
    </xdr:from>
    <xdr:to>
      <xdr:col>12</xdr:col>
      <xdr:colOff>381722</xdr:colOff>
      <xdr:row>17</xdr:row>
      <xdr:rowOff>91440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0414" y="1224916"/>
          <a:ext cx="2494368" cy="2326004"/>
        </a:xfrm>
        <a:prstGeom prst="rect">
          <a:avLst/>
        </a:prstGeom>
      </xdr:spPr>
    </xdr:pic>
    <xdr:clientData/>
  </xdr:twoCellAnchor>
  <xdr:twoCellAnchor>
    <xdr:from>
      <xdr:col>1</xdr:col>
      <xdr:colOff>251460</xdr:colOff>
      <xdr:row>2</xdr:row>
      <xdr:rowOff>7620</xdr:rowOff>
    </xdr:from>
    <xdr:to>
      <xdr:col>3</xdr:col>
      <xdr:colOff>304800</xdr:colOff>
      <xdr:row>4</xdr:row>
      <xdr:rowOff>83820</xdr:rowOff>
    </xdr:to>
    <xdr:sp macro="[0]!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3940" y="373380"/>
          <a:ext cx="1371600" cy="52578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MENU</a:t>
          </a:r>
          <a:endParaRPr lang="fr-FR" sz="1100" b="1"/>
        </a:p>
      </xdr:txBody>
    </xdr:sp>
    <xdr:clientData/>
  </xdr:twoCellAnchor>
  <xdr:twoCellAnchor>
    <xdr:from>
      <xdr:col>1</xdr:col>
      <xdr:colOff>411480</xdr:colOff>
      <xdr:row>5</xdr:row>
      <xdr:rowOff>137160</xdr:rowOff>
    </xdr:from>
    <xdr:to>
      <xdr:col>3</xdr:col>
      <xdr:colOff>182880</xdr:colOff>
      <xdr:row>8</xdr:row>
      <xdr:rowOff>30480</xdr:rowOff>
    </xdr:to>
    <xdr:sp macro="" textlink="">
      <xdr:nvSpPr>
        <xdr:cNvPr id="18" name="Rectangle : coins arrondis 1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1203960" y="113538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160020</xdr:colOff>
      <xdr:row>1</xdr:row>
      <xdr:rowOff>76200</xdr:rowOff>
    </xdr:from>
    <xdr:to>
      <xdr:col>3</xdr:col>
      <xdr:colOff>403860</xdr:colOff>
      <xdr:row>34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952500" y="259080"/>
          <a:ext cx="1562100" cy="593598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192405</xdr:colOff>
      <xdr:row>18</xdr:row>
      <xdr:rowOff>28575</xdr:rowOff>
    </xdr:from>
    <xdr:to>
      <xdr:col>10</xdr:col>
      <xdr:colOff>342900</xdr:colOff>
      <xdr:row>22</xdr:row>
      <xdr:rowOff>110490</xdr:rowOff>
    </xdr:to>
    <xdr:sp macro="" textlink="">
      <xdr:nvSpPr>
        <xdr:cNvPr id="3" name="Rectangle : coins arrondis 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4526280" y="3743325"/>
          <a:ext cx="3208020" cy="843915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SYNTHESE</a:t>
          </a:r>
          <a:r>
            <a:rPr lang="fr-FR" sz="1800" b="1" baseline="0"/>
            <a:t> PAR OPERATION</a:t>
          </a:r>
        </a:p>
      </xdr:txBody>
    </xdr:sp>
    <xdr:clientData/>
  </xdr:twoCellAnchor>
  <xdr:twoCellAnchor>
    <xdr:from>
      <xdr:col>11</xdr:col>
      <xdr:colOff>266700</xdr:colOff>
      <xdr:row>18</xdr:row>
      <xdr:rowOff>19050</xdr:rowOff>
    </xdr:from>
    <xdr:to>
      <xdr:col>15</xdr:col>
      <xdr:colOff>426720</xdr:colOff>
      <xdr:row>22</xdr:row>
      <xdr:rowOff>100965</xdr:rowOff>
    </xdr:to>
    <xdr:sp macro="" textlink="">
      <xdr:nvSpPr>
        <xdr:cNvPr id="20" name="Rectangle : coins arrondis 1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>
          <a:off x="8420100" y="3733800"/>
          <a:ext cx="3208020" cy="843915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/>
            <a:t>EVOLUTION GLOBALE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546735</xdr:colOff>
      <xdr:row>1</xdr:row>
      <xdr:rowOff>104775</xdr:rowOff>
    </xdr:from>
    <xdr:to>
      <xdr:col>5</xdr:col>
      <xdr:colOff>127957</xdr:colOff>
      <xdr:row>4</xdr:row>
      <xdr:rowOff>22860</xdr:rowOff>
    </xdr:to>
    <xdr:sp macro="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3632835" y="295275"/>
          <a:ext cx="1105222" cy="48958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TOITURE</a:t>
          </a:r>
          <a:endParaRPr lang="fr-FR" sz="1100" b="1"/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200026</xdr:colOff>
      <xdr:row>1</xdr:row>
      <xdr:rowOff>85725</xdr:rowOff>
    </xdr:from>
    <xdr:to>
      <xdr:col>6</xdr:col>
      <xdr:colOff>466726</xdr:colOff>
      <xdr:row>4</xdr:row>
      <xdr:rowOff>20955</xdr:rowOff>
    </xdr:to>
    <xdr:sp macro="" textlink="">
      <xdr:nvSpPr>
        <xdr:cNvPr id="17" name="Rectangle : coins arrondis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4810126" y="276225"/>
          <a:ext cx="1066800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6</xdr:col>
      <xdr:colOff>542925</xdr:colOff>
      <xdr:row>1</xdr:row>
      <xdr:rowOff>76200</xdr:rowOff>
    </xdr:from>
    <xdr:to>
      <xdr:col>8</xdr:col>
      <xdr:colOff>322267</xdr:colOff>
      <xdr:row>4</xdr:row>
      <xdr:rowOff>30481</xdr:rowOff>
    </xdr:to>
    <xdr:sp macro="" textlink="">
      <xdr:nvSpPr>
        <xdr:cNvPr id="18" name="Rectangle : coins arrondis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6128385" y="259080"/>
          <a:ext cx="1158562" cy="50292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403860</xdr:colOff>
      <xdr:row>1</xdr:row>
      <xdr:rowOff>123826</xdr:rowOff>
    </xdr:from>
    <xdr:to>
      <xdr:col>10</xdr:col>
      <xdr:colOff>270510</xdr:colOff>
      <xdr:row>4</xdr:row>
      <xdr:rowOff>28576</xdr:rowOff>
    </xdr:to>
    <xdr:sp macro="" textlink="">
      <xdr:nvSpPr>
        <xdr:cNvPr id="19" name="Rectangle : coins arrondis 1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7157085" y="314326"/>
          <a:ext cx="1047750" cy="4762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CVC</a:t>
          </a:r>
          <a:endParaRPr lang="fr-FR" sz="1100" b="1"/>
        </a:p>
      </xdr:txBody>
    </xdr:sp>
    <xdr:clientData/>
  </xdr:twoCellAnchor>
  <xdr:twoCellAnchor>
    <xdr:from>
      <xdr:col>10</xdr:col>
      <xdr:colOff>356235</xdr:colOff>
      <xdr:row>1</xdr:row>
      <xdr:rowOff>133350</xdr:rowOff>
    </xdr:from>
    <xdr:to>
      <xdr:col>11</xdr:col>
      <xdr:colOff>752475</xdr:colOff>
      <xdr:row>4</xdr:row>
      <xdr:rowOff>34290</xdr:rowOff>
    </xdr:to>
    <xdr:sp macro="" textlink="">
      <xdr:nvSpPr>
        <xdr:cNvPr id="20" name="Rectangle : coins arrondis 1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8290560" y="323850"/>
          <a:ext cx="967740" cy="47244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ELEC</a:t>
          </a:r>
        </a:p>
      </xdr:txBody>
    </xdr:sp>
    <xdr:clientData/>
  </xdr:twoCellAnchor>
  <xdr:twoCellAnchor>
    <xdr:from>
      <xdr:col>11</xdr:col>
      <xdr:colOff>828675</xdr:colOff>
      <xdr:row>1</xdr:row>
      <xdr:rowOff>142875</xdr:rowOff>
    </xdr:from>
    <xdr:to>
      <xdr:col>12</xdr:col>
      <xdr:colOff>771524</xdr:colOff>
      <xdr:row>4</xdr:row>
      <xdr:rowOff>28575</xdr:rowOff>
    </xdr:to>
    <xdr:sp macro="" textlink="">
      <xdr:nvSpPr>
        <xdr:cNvPr id="21" name="Rectangle : coins arrondis 2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9334500" y="333375"/>
          <a:ext cx="990599" cy="45720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SOLS</a:t>
          </a:r>
          <a:endParaRPr lang="fr-FR" sz="1100" b="1"/>
        </a:p>
      </xdr:txBody>
    </xdr:sp>
    <xdr:clientData/>
  </xdr:twoCellAnchor>
  <xdr:twoCellAnchor>
    <xdr:from>
      <xdr:col>2</xdr:col>
      <xdr:colOff>198120</xdr:colOff>
      <xdr:row>1</xdr:row>
      <xdr:rowOff>108585</xdr:rowOff>
    </xdr:from>
    <xdr:to>
      <xdr:col>3</xdr:col>
      <xdr:colOff>466725</xdr:colOff>
      <xdr:row>4</xdr:row>
      <xdr:rowOff>5715</xdr:rowOff>
    </xdr:to>
    <xdr:sp macro="" textlink="">
      <xdr:nvSpPr>
        <xdr:cNvPr id="22" name="Rectangle : coins arrondis 2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2522220" y="299085"/>
          <a:ext cx="103060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0</xdr:row>
      <xdr:rowOff>85725</xdr:rowOff>
    </xdr:from>
    <xdr:to>
      <xdr:col>1</xdr:col>
      <xdr:colOff>234315</xdr:colOff>
      <xdr:row>3</xdr:row>
      <xdr:rowOff>180975</xdr:rowOff>
    </xdr:to>
    <xdr:sp macro="" textlink="">
      <xdr:nvSpPr>
        <xdr:cNvPr id="23" name="Rectangle : coins arrondis 2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95250" y="85725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280035</xdr:colOff>
      <xdr:row>1</xdr:row>
      <xdr:rowOff>108585</xdr:rowOff>
    </xdr:from>
    <xdr:to>
      <xdr:col>2</xdr:col>
      <xdr:colOff>99060</xdr:colOff>
      <xdr:row>4</xdr:row>
      <xdr:rowOff>5715</xdr:rowOff>
    </xdr:to>
    <xdr:sp macro="" textlink="">
      <xdr:nvSpPr>
        <xdr:cNvPr id="24" name="Rectangle : coins arrondis 2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1394460" y="299085"/>
          <a:ext cx="1028700" cy="46863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13</xdr:col>
      <xdr:colOff>723900</xdr:colOff>
      <xdr:row>1</xdr:row>
      <xdr:rowOff>139065</xdr:rowOff>
    </xdr:from>
    <xdr:to>
      <xdr:col>14</xdr:col>
      <xdr:colOff>802005</xdr:colOff>
      <xdr:row>4</xdr:row>
      <xdr:rowOff>32385</xdr:rowOff>
    </xdr:to>
    <xdr:sp macro="" textlink="">
      <xdr:nvSpPr>
        <xdr:cNvPr id="25" name="Rectangle : coins arrondis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11391900" y="32956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PEINTURE</a:t>
          </a:r>
          <a:endParaRPr lang="fr-FR" sz="1100" b="1"/>
        </a:p>
      </xdr:txBody>
    </xdr:sp>
    <xdr:clientData/>
  </xdr:twoCellAnchor>
  <xdr:twoCellAnchor>
    <xdr:from>
      <xdr:col>12</xdr:col>
      <xdr:colOff>838200</xdr:colOff>
      <xdr:row>1</xdr:row>
      <xdr:rowOff>142875</xdr:rowOff>
    </xdr:from>
    <xdr:to>
      <xdr:col>13</xdr:col>
      <xdr:colOff>638175</xdr:colOff>
      <xdr:row>4</xdr:row>
      <xdr:rowOff>32384</xdr:rowOff>
    </xdr:to>
    <xdr:sp macro="" textlink="">
      <xdr:nvSpPr>
        <xdr:cNvPr id="26" name="Rectangle : coins arrondis 2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10391775" y="333375"/>
          <a:ext cx="914400" cy="461009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PLATERIE</a:t>
          </a:r>
          <a:endParaRPr lang="fr-FR" sz="1100" b="1"/>
        </a:p>
      </xdr:txBody>
    </xdr:sp>
    <xdr:clientData/>
  </xdr:twoCellAnchor>
  <xdr:twoCellAnchor>
    <xdr:from>
      <xdr:col>14</xdr:col>
      <xdr:colOff>891540</xdr:colOff>
      <xdr:row>1</xdr:row>
      <xdr:rowOff>137160</xdr:rowOff>
    </xdr:from>
    <xdr:to>
      <xdr:col>16</xdr:col>
      <xdr:colOff>9525</xdr:colOff>
      <xdr:row>4</xdr:row>
      <xdr:rowOff>28575</xdr:rowOff>
    </xdr:to>
    <xdr:sp macro="" textlink="">
      <xdr:nvSpPr>
        <xdr:cNvPr id="27" name="Rectangle : coins arrondis 2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12519660" y="327660"/>
          <a:ext cx="1228725" cy="462915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483870</xdr:colOff>
      <xdr:row>1</xdr:row>
      <xdr:rowOff>125730</xdr:rowOff>
    </xdr:from>
    <xdr:to>
      <xdr:col>4</xdr:col>
      <xdr:colOff>415612</xdr:colOff>
      <xdr:row>3</xdr:row>
      <xdr:rowOff>55244</xdr:rowOff>
    </xdr:to>
    <xdr:sp macro="" textlink="">
      <xdr:nvSpPr>
        <xdr:cNvPr id="23" name="Rectangle : coins arrondis 2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/>
      </xdr:nvSpPr>
      <xdr:spPr>
        <a:xfrm>
          <a:off x="3608070" y="316230"/>
          <a:ext cx="1105222" cy="485774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TOITURE</a:t>
          </a:r>
          <a:endParaRPr lang="fr-FR" sz="1100" b="1"/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495301</xdr:colOff>
      <xdr:row>1</xdr:row>
      <xdr:rowOff>129539</xdr:rowOff>
    </xdr:from>
    <xdr:to>
      <xdr:col>6</xdr:col>
      <xdr:colOff>19051</xdr:colOff>
      <xdr:row>3</xdr:row>
      <xdr:rowOff>59054</xdr:rowOff>
    </xdr:to>
    <xdr:sp macro="" textlink="">
      <xdr:nvSpPr>
        <xdr:cNvPr id="24" name="Rectangle : coins arrondis 2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/>
      </xdr:nvSpPr>
      <xdr:spPr>
        <a:xfrm>
          <a:off x="4914901" y="312419"/>
          <a:ext cx="1108710" cy="47053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6</xdr:col>
      <xdr:colOff>95250</xdr:colOff>
      <xdr:row>1</xdr:row>
      <xdr:rowOff>121920</xdr:rowOff>
    </xdr:from>
    <xdr:to>
      <xdr:col>7</xdr:col>
      <xdr:colOff>446092</xdr:colOff>
      <xdr:row>3</xdr:row>
      <xdr:rowOff>68581</xdr:rowOff>
    </xdr:to>
    <xdr:sp macro="" textlink="">
      <xdr:nvSpPr>
        <xdr:cNvPr id="25" name="Rectangle : coins arrondis 2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>
          <a:off x="5934075" y="312420"/>
          <a:ext cx="1122367" cy="49911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7</xdr:col>
      <xdr:colOff>527685</xdr:colOff>
      <xdr:row>1</xdr:row>
      <xdr:rowOff>142876</xdr:rowOff>
    </xdr:from>
    <xdr:to>
      <xdr:col>8</xdr:col>
      <xdr:colOff>441960</xdr:colOff>
      <xdr:row>3</xdr:row>
      <xdr:rowOff>66676</xdr:rowOff>
    </xdr:to>
    <xdr:sp macro="" textlink="">
      <xdr:nvSpPr>
        <xdr:cNvPr id="26" name="Rectangle : coins arrondis 2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>
          <a:off x="7138035" y="333376"/>
          <a:ext cx="1047750" cy="4762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CVC</a:t>
          </a:r>
          <a:endParaRPr lang="fr-FR" sz="1100" b="1"/>
        </a:p>
      </xdr:txBody>
    </xdr:sp>
    <xdr:clientData/>
  </xdr:twoCellAnchor>
  <xdr:twoCellAnchor>
    <xdr:from>
      <xdr:col>8</xdr:col>
      <xdr:colOff>527685</xdr:colOff>
      <xdr:row>1</xdr:row>
      <xdr:rowOff>152400</xdr:rowOff>
    </xdr:from>
    <xdr:to>
      <xdr:col>9</xdr:col>
      <xdr:colOff>361950</xdr:colOff>
      <xdr:row>3</xdr:row>
      <xdr:rowOff>72390</xdr:rowOff>
    </xdr:to>
    <xdr:sp macro="" textlink="">
      <xdr:nvSpPr>
        <xdr:cNvPr id="27" name="Rectangle : coins arrondis 2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>
        <a:xfrm>
          <a:off x="8271510" y="342900"/>
          <a:ext cx="967740" cy="47244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ELEC</a:t>
          </a:r>
        </a:p>
      </xdr:txBody>
    </xdr:sp>
    <xdr:clientData/>
  </xdr:twoCellAnchor>
  <xdr:twoCellAnchor>
    <xdr:from>
      <xdr:col>9</xdr:col>
      <xdr:colOff>438150</xdr:colOff>
      <xdr:row>1</xdr:row>
      <xdr:rowOff>161925</xdr:rowOff>
    </xdr:from>
    <xdr:to>
      <xdr:col>10</xdr:col>
      <xdr:colOff>466724</xdr:colOff>
      <xdr:row>3</xdr:row>
      <xdr:rowOff>66675</xdr:rowOff>
    </xdr:to>
    <xdr:sp macro="" textlink="">
      <xdr:nvSpPr>
        <xdr:cNvPr id="28" name="Rectangle : coins arrondis 2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/>
      </xdr:nvSpPr>
      <xdr:spPr>
        <a:xfrm>
          <a:off x="9315450" y="352425"/>
          <a:ext cx="990599" cy="45720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SOLS</a:t>
          </a:r>
          <a:endParaRPr lang="fr-FR" sz="1100" b="1"/>
        </a:p>
      </xdr:txBody>
    </xdr:sp>
    <xdr:clientData/>
  </xdr:twoCellAnchor>
  <xdr:twoCellAnchor>
    <xdr:from>
      <xdr:col>2</xdr:col>
      <xdr:colOff>445770</xdr:colOff>
      <xdr:row>1</xdr:row>
      <xdr:rowOff>127635</xdr:rowOff>
    </xdr:from>
    <xdr:to>
      <xdr:col>3</xdr:col>
      <xdr:colOff>409575</xdr:colOff>
      <xdr:row>3</xdr:row>
      <xdr:rowOff>43815</xdr:rowOff>
    </xdr:to>
    <xdr:sp macro="" textlink="">
      <xdr:nvSpPr>
        <xdr:cNvPr id="29" name="Rectangle : coins arrondis 2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/>
      </xdr:nvSpPr>
      <xdr:spPr>
        <a:xfrm>
          <a:off x="2503170" y="318135"/>
          <a:ext cx="1030605" cy="46863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0</xdr:row>
      <xdr:rowOff>104775</xdr:rowOff>
    </xdr:from>
    <xdr:to>
      <xdr:col>1</xdr:col>
      <xdr:colOff>443865</xdr:colOff>
      <xdr:row>3</xdr:row>
      <xdr:rowOff>28575</xdr:rowOff>
    </xdr:to>
    <xdr:sp macro="" textlink="">
      <xdr:nvSpPr>
        <xdr:cNvPr id="30" name="Rectangle : coins arrondis 2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/>
      </xdr:nvSpPr>
      <xdr:spPr>
        <a:xfrm>
          <a:off x="76200" y="104775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489585</xdr:colOff>
      <xdr:row>1</xdr:row>
      <xdr:rowOff>127635</xdr:rowOff>
    </xdr:from>
    <xdr:to>
      <xdr:col>2</xdr:col>
      <xdr:colOff>346710</xdr:colOff>
      <xdr:row>3</xdr:row>
      <xdr:rowOff>43815</xdr:rowOff>
    </xdr:to>
    <xdr:sp macro="" textlink="">
      <xdr:nvSpPr>
        <xdr:cNvPr id="31" name="Rectangle : coins arrondis 3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/>
      </xdr:nvSpPr>
      <xdr:spPr>
        <a:xfrm>
          <a:off x="1375410" y="318135"/>
          <a:ext cx="1028700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733425</xdr:colOff>
      <xdr:row>1</xdr:row>
      <xdr:rowOff>158115</xdr:rowOff>
    </xdr:from>
    <xdr:to>
      <xdr:col>13</xdr:col>
      <xdr:colOff>154305</xdr:colOff>
      <xdr:row>3</xdr:row>
      <xdr:rowOff>70485</xdr:rowOff>
    </xdr:to>
    <xdr:sp macro="" textlink="">
      <xdr:nvSpPr>
        <xdr:cNvPr id="32" name="Rectangle : coins arrondis 3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/>
      </xdr:nvSpPr>
      <xdr:spPr>
        <a:xfrm>
          <a:off x="11372850" y="34861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PEINTURE</a:t>
          </a:r>
          <a:endParaRPr lang="fr-FR" sz="1100" b="1"/>
        </a:p>
      </xdr:txBody>
    </xdr:sp>
    <xdr:clientData/>
  </xdr:twoCellAnchor>
  <xdr:twoCellAnchor>
    <xdr:from>
      <xdr:col>10</xdr:col>
      <xdr:colOff>533400</xdr:colOff>
      <xdr:row>1</xdr:row>
      <xdr:rowOff>161925</xdr:rowOff>
    </xdr:from>
    <xdr:to>
      <xdr:col>11</xdr:col>
      <xdr:colOff>647700</xdr:colOff>
      <xdr:row>3</xdr:row>
      <xdr:rowOff>70484</xdr:rowOff>
    </xdr:to>
    <xdr:sp macro="" textlink="">
      <xdr:nvSpPr>
        <xdr:cNvPr id="33" name="Rectangle : coins arrondis 3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/>
      </xdr:nvSpPr>
      <xdr:spPr>
        <a:xfrm>
          <a:off x="10372725" y="352425"/>
          <a:ext cx="914400" cy="461009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PLATERIE</a:t>
          </a:r>
          <a:endParaRPr lang="fr-FR" sz="1100" b="1"/>
        </a:p>
      </xdr:txBody>
    </xdr:sp>
    <xdr:clientData/>
  </xdr:twoCellAnchor>
  <xdr:twoCellAnchor>
    <xdr:from>
      <xdr:col>13</xdr:col>
      <xdr:colOff>247650</xdr:colOff>
      <xdr:row>1</xdr:row>
      <xdr:rowOff>161925</xdr:rowOff>
    </xdr:from>
    <xdr:to>
      <xdr:col>14</xdr:col>
      <xdr:colOff>392430</xdr:colOff>
      <xdr:row>3</xdr:row>
      <xdr:rowOff>74295</xdr:rowOff>
    </xdr:to>
    <xdr:sp macro="" textlink="">
      <xdr:nvSpPr>
        <xdr:cNvPr id="34" name="Rectangle : coins arrondis 3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/>
      </xdr:nvSpPr>
      <xdr:spPr>
        <a:xfrm>
          <a:off x="12487275" y="35242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1051560</xdr:colOff>
      <xdr:row>1</xdr:row>
      <xdr:rowOff>104775</xdr:rowOff>
    </xdr:from>
    <xdr:to>
      <xdr:col>5</xdr:col>
      <xdr:colOff>318457</xdr:colOff>
      <xdr:row>4</xdr:row>
      <xdr:rowOff>22860</xdr:rowOff>
    </xdr:to>
    <xdr:sp macro="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/>
      </xdr:nvSpPr>
      <xdr:spPr>
        <a:xfrm>
          <a:off x="3613785" y="295275"/>
          <a:ext cx="1105222" cy="489585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TOITURE</a:t>
          </a:r>
          <a:endParaRPr lang="fr-FR" sz="1100" b="1"/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390526</xdr:colOff>
      <xdr:row>1</xdr:row>
      <xdr:rowOff>85725</xdr:rowOff>
    </xdr:from>
    <xdr:to>
      <xdr:col>6</xdr:col>
      <xdr:colOff>695326</xdr:colOff>
      <xdr:row>4</xdr:row>
      <xdr:rowOff>20955</xdr:rowOff>
    </xdr:to>
    <xdr:sp macro="" textlink="">
      <xdr:nvSpPr>
        <xdr:cNvPr id="25" name="Rectangle : coins arrondis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/>
      </xdr:nvSpPr>
      <xdr:spPr>
        <a:xfrm>
          <a:off x="4791076" y="276225"/>
          <a:ext cx="1066800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7</xdr:col>
      <xdr:colOff>9525</xdr:colOff>
      <xdr:row>1</xdr:row>
      <xdr:rowOff>83820</xdr:rowOff>
    </xdr:from>
    <xdr:to>
      <xdr:col>8</xdr:col>
      <xdr:colOff>46042</xdr:colOff>
      <xdr:row>4</xdr:row>
      <xdr:rowOff>30481</xdr:rowOff>
    </xdr:to>
    <xdr:sp macro="" textlink="">
      <xdr:nvSpPr>
        <xdr:cNvPr id="26" name="Rectangle : coins arrondis 2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/>
      </xdr:nvSpPr>
      <xdr:spPr>
        <a:xfrm>
          <a:off x="6136005" y="266700"/>
          <a:ext cx="1156657" cy="4953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127635</xdr:colOff>
      <xdr:row>1</xdr:row>
      <xdr:rowOff>123826</xdr:rowOff>
    </xdr:from>
    <xdr:to>
      <xdr:col>8</xdr:col>
      <xdr:colOff>1175385</xdr:colOff>
      <xdr:row>4</xdr:row>
      <xdr:rowOff>28576</xdr:rowOff>
    </xdr:to>
    <xdr:sp macro="" textlink="">
      <xdr:nvSpPr>
        <xdr:cNvPr id="27" name="Rectangle : coins arrondis 2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/>
      </xdr:nvSpPr>
      <xdr:spPr>
        <a:xfrm>
          <a:off x="7138035" y="314326"/>
          <a:ext cx="1047750" cy="4762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CVC</a:t>
          </a:r>
          <a:endParaRPr lang="fr-FR" sz="1100" b="1"/>
        </a:p>
      </xdr:txBody>
    </xdr:sp>
    <xdr:clientData/>
  </xdr:twoCellAnchor>
  <xdr:twoCellAnchor>
    <xdr:from>
      <xdr:col>9</xdr:col>
      <xdr:colOff>51435</xdr:colOff>
      <xdr:row>1</xdr:row>
      <xdr:rowOff>133350</xdr:rowOff>
    </xdr:from>
    <xdr:to>
      <xdr:col>10</xdr:col>
      <xdr:colOff>76200</xdr:colOff>
      <xdr:row>4</xdr:row>
      <xdr:rowOff>34290</xdr:rowOff>
    </xdr:to>
    <xdr:sp macro="" textlink="">
      <xdr:nvSpPr>
        <xdr:cNvPr id="28" name="Rectangle : coins arrondis 2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/>
      </xdr:nvSpPr>
      <xdr:spPr>
        <a:xfrm>
          <a:off x="8271510" y="323850"/>
          <a:ext cx="967740" cy="47244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ELEC</a:t>
          </a:r>
        </a:p>
      </xdr:txBody>
    </xdr:sp>
    <xdr:clientData/>
  </xdr:twoCellAnchor>
  <xdr:twoCellAnchor>
    <xdr:from>
      <xdr:col>10</xdr:col>
      <xdr:colOff>152400</xdr:colOff>
      <xdr:row>1</xdr:row>
      <xdr:rowOff>142875</xdr:rowOff>
    </xdr:from>
    <xdr:to>
      <xdr:col>11</xdr:col>
      <xdr:colOff>323849</xdr:colOff>
      <xdr:row>4</xdr:row>
      <xdr:rowOff>28575</xdr:rowOff>
    </xdr:to>
    <xdr:sp macro="" textlink="">
      <xdr:nvSpPr>
        <xdr:cNvPr id="29" name="Rectangle : coins arrondis 2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/>
      </xdr:nvSpPr>
      <xdr:spPr>
        <a:xfrm>
          <a:off x="9315450" y="333375"/>
          <a:ext cx="990599" cy="45720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SOLS</a:t>
          </a:r>
          <a:endParaRPr lang="fr-FR" sz="1100" b="1"/>
        </a:p>
      </xdr:txBody>
    </xdr:sp>
    <xdr:clientData/>
  </xdr:twoCellAnchor>
  <xdr:twoCellAnchor>
    <xdr:from>
      <xdr:col>2</xdr:col>
      <xdr:colOff>702945</xdr:colOff>
      <xdr:row>1</xdr:row>
      <xdr:rowOff>108585</xdr:rowOff>
    </xdr:from>
    <xdr:to>
      <xdr:col>3</xdr:col>
      <xdr:colOff>971550</xdr:colOff>
      <xdr:row>4</xdr:row>
      <xdr:rowOff>5715</xdr:rowOff>
    </xdr:to>
    <xdr:sp macro="" textlink="">
      <xdr:nvSpPr>
        <xdr:cNvPr id="30" name="Rectangle : coins arrondis 2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/>
      </xdr:nvSpPr>
      <xdr:spPr>
        <a:xfrm>
          <a:off x="2503170" y="299085"/>
          <a:ext cx="103060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0</xdr:row>
      <xdr:rowOff>85725</xdr:rowOff>
    </xdr:from>
    <xdr:to>
      <xdr:col>1</xdr:col>
      <xdr:colOff>377190</xdr:colOff>
      <xdr:row>3</xdr:row>
      <xdr:rowOff>180975</xdr:rowOff>
    </xdr:to>
    <xdr:sp macro="" textlink="">
      <xdr:nvSpPr>
        <xdr:cNvPr id="31" name="Rectangle : coins arrondis 3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/>
      </xdr:nvSpPr>
      <xdr:spPr>
        <a:xfrm>
          <a:off x="76200" y="85725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422910</xdr:colOff>
      <xdr:row>1</xdr:row>
      <xdr:rowOff>108585</xdr:rowOff>
    </xdr:from>
    <xdr:to>
      <xdr:col>2</xdr:col>
      <xdr:colOff>603885</xdr:colOff>
      <xdr:row>4</xdr:row>
      <xdr:rowOff>5715</xdr:rowOff>
    </xdr:to>
    <xdr:sp macro="" textlink="">
      <xdr:nvSpPr>
        <xdr:cNvPr id="32" name="Rectangle : coins arrondis 3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/>
      </xdr:nvSpPr>
      <xdr:spPr>
        <a:xfrm>
          <a:off x="1375410" y="299085"/>
          <a:ext cx="1028700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533400</xdr:colOff>
      <xdr:row>1</xdr:row>
      <xdr:rowOff>139065</xdr:rowOff>
    </xdr:from>
    <xdr:to>
      <xdr:col>13</xdr:col>
      <xdr:colOff>468630</xdr:colOff>
      <xdr:row>4</xdr:row>
      <xdr:rowOff>32385</xdr:rowOff>
    </xdr:to>
    <xdr:sp macro="" textlink="">
      <xdr:nvSpPr>
        <xdr:cNvPr id="33" name="Rectangle : coins arrondis 3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/>
      </xdr:nvSpPr>
      <xdr:spPr>
        <a:xfrm>
          <a:off x="11372850" y="32956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PEINTURE</a:t>
          </a:r>
          <a:endParaRPr lang="fr-FR" sz="1100" b="1"/>
        </a:p>
      </xdr:txBody>
    </xdr:sp>
    <xdr:clientData/>
  </xdr:twoCellAnchor>
  <xdr:twoCellAnchor>
    <xdr:from>
      <xdr:col>11</xdr:col>
      <xdr:colOff>390525</xdr:colOff>
      <xdr:row>1</xdr:row>
      <xdr:rowOff>142875</xdr:rowOff>
    </xdr:from>
    <xdr:to>
      <xdr:col>12</xdr:col>
      <xdr:colOff>447675</xdr:colOff>
      <xdr:row>4</xdr:row>
      <xdr:rowOff>32384</xdr:rowOff>
    </xdr:to>
    <xdr:sp macro="" textlink="">
      <xdr:nvSpPr>
        <xdr:cNvPr id="34" name="Rectangle : coins arrondis 3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/>
      </xdr:nvSpPr>
      <xdr:spPr>
        <a:xfrm>
          <a:off x="10372725" y="333375"/>
          <a:ext cx="914400" cy="461009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PLATERIE</a:t>
          </a:r>
          <a:endParaRPr lang="fr-FR" sz="1100" b="1"/>
        </a:p>
      </xdr:txBody>
    </xdr:sp>
    <xdr:clientData/>
  </xdr:twoCellAnchor>
  <xdr:twoCellAnchor>
    <xdr:from>
      <xdr:col>13</xdr:col>
      <xdr:colOff>561975</xdr:colOff>
      <xdr:row>1</xdr:row>
      <xdr:rowOff>142875</xdr:rowOff>
    </xdr:from>
    <xdr:to>
      <xdr:col>15</xdr:col>
      <xdr:colOff>59055</xdr:colOff>
      <xdr:row>4</xdr:row>
      <xdr:rowOff>36195</xdr:rowOff>
    </xdr:to>
    <xdr:sp macro="" textlink="">
      <xdr:nvSpPr>
        <xdr:cNvPr id="35" name="Rectangle : coins arrondis 3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/>
      </xdr:nvSpPr>
      <xdr:spPr>
        <a:xfrm>
          <a:off x="12487275" y="33337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842010</xdr:colOff>
      <xdr:row>1</xdr:row>
      <xdr:rowOff>104775</xdr:rowOff>
    </xdr:from>
    <xdr:to>
      <xdr:col>5</xdr:col>
      <xdr:colOff>137482</xdr:colOff>
      <xdr:row>4</xdr:row>
      <xdr:rowOff>22860</xdr:rowOff>
    </xdr:to>
    <xdr:sp macro="" textlink="">
      <xdr:nvSpPr>
        <xdr:cNvPr id="25" name="Rectangle : coins arrondis 2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/>
      </xdr:nvSpPr>
      <xdr:spPr>
        <a:xfrm>
          <a:off x="3632835" y="295275"/>
          <a:ext cx="1105222" cy="48958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TOITURE</a:t>
          </a:r>
          <a:endParaRPr lang="fr-FR" sz="1100" b="1"/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209551</xdr:colOff>
      <xdr:row>1</xdr:row>
      <xdr:rowOff>85725</xdr:rowOff>
    </xdr:from>
    <xdr:to>
      <xdr:col>6</xdr:col>
      <xdr:colOff>514351</xdr:colOff>
      <xdr:row>4</xdr:row>
      <xdr:rowOff>20955</xdr:rowOff>
    </xdr:to>
    <xdr:sp macro="" textlink="">
      <xdr:nvSpPr>
        <xdr:cNvPr id="26" name="Rectangle : coins arrondis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/>
      </xdr:nvSpPr>
      <xdr:spPr>
        <a:xfrm>
          <a:off x="4810126" y="276225"/>
          <a:ext cx="1066800" cy="50673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6</xdr:col>
      <xdr:colOff>590550</xdr:colOff>
      <xdr:row>1</xdr:row>
      <xdr:rowOff>91440</xdr:rowOff>
    </xdr:from>
    <xdr:to>
      <xdr:col>7</xdr:col>
      <xdr:colOff>950917</xdr:colOff>
      <xdr:row>4</xdr:row>
      <xdr:rowOff>30481</xdr:rowOff>
    </xdr:to>
    <xdr:sp macro="" textlink="">
      <xdr:nvSpPr>
        <xdr:cNvPr id="27" name="Rectangle : coins arrondis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/>
      </xdr:nvSpPr>
      <xdr:spPr>
        <a:xfrm>
          <a:off x="6130290" y="274320"/>
          <a:ext cx="1152847" cy="48768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7</xdr:col>
      <xdr:colOff>1032510</xdr:colOff>
      <xdr:row>1</xdr:row>
      <xdr:rowOff>123826</xdr:rowOff>
    </xdr:from>
    <xdr:to>
      <xdr:col>8</xdr:col>
      <xdr:colOff>1013460</xdr:colOff>
      <xdr:row>4</xdr:row>
      <xdr:rowOff>28576</xdr:rowOff>
    </xdr:to>
    <xdr:sp macro="" textlink="">
      <xdr:nvSpPr>
        <xdr:cNvPr id="28" name="Rectangle : coins arrondis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/>
      </xdr:nvSpPr>
      <xdr:spPr>
        <a:xfrm>
          <a:off x="7157085" y="314326"/>
          <a:ext cx="1047750" cy="4762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CVC</a:t>
          </a:r>
          <a:endParaRPr lang="fr-FR" sz="1100" b="1"/>
        </a:p>
      </xdr:txBody>
    </xdr:sp>
    <xdr:clientData/>
  </xdr:twoCellAnchor>
  <xdr:twoCellAnchor>
    <xdr:from>
      <xdr:col>8</xdr:col>
      <xdr:colOff>1099185</xdr:colOff>
      <xdr:row>1</xdr:row>
      <xdr:rowOff>133350</xdr:rowOff>
    </xdr:from>
    <xdr:to>
      <xdr:col>10</xdr:col>
      <xdr:colOff>76200</xdr:colOff>
      <xdr:row>4</xdr:row>
      <xdr:rowOff>34290</xdr:rowOff>
    </xdr:to>
    <xdr:sp macro="" textlink="">
      <xdr:nvSpPr>
        <xdr:cNvPr id="29" name="Rectangle : coins arrondis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/>
      </xdr:nvSpPr>
      <xdr:spPr>
        <a:xfrm>
          <a:off x="8290560" y="323850"/>
          <a:ext cx="967740" cy="47244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ELEC</a:t>
          </a:r>
        </a:p>
      </xdr:txBody>
    </xdr:sp>
    <xdr:clientData/>
  </xdr:twoCellAnchor>
  <xdr:twoCellAnchor>
    <xdr:from>
      <xdr:col>10</xdr:col>
      <xdr:colOff>152400</xdr:colOff>
      <xdr:row>1</xdr:row>
      <xdr:rowOff>142875</xdr:rowOff>
    </xdr:from>
    <xdr:to>
      <xdr:col>11</xdr:col>
      <xdr:colOff>371474</xdr:colOff>
      <xdr:row>4</xdr:row>
      <xdr:rowOff>28575</xdr:rowOff>
    </xdr:to>
    <xdr:sp macro="" textlink="">
      <xdr:nvSpPr>
        <xdr:cNvPr id="30" name="Rectangle : coins arrondis 2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/>
      </xdr:nvSpPr>
      <xdr:spPr>
        <a:xfrm>
          <a:off x="9334500" y="333375"/>
          <a:ext cx="990599" cy="45720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SOLS</a:t>
          </a:r>
          <a:endParaRPr lang="fr-FR" sz="1100" b="1"/>
        </a:p>
      </xdr:txBody>
    </xdr:sp>
    <xdr:clientData/>
  </xdr:twoCellAnchor>
  <xdr:twoCellAnchor>
    <xdr:from>
      <xdr:col>2</xdr:col>
      <xdr:colOff>493395</xdr:colOff>
      <xdr:row>1</xdr:row>
      <xdr:rowOff>108585</xdr:rowOff>
    </xdr:from>
    <xdr:to>
      <xdr:col>3</xdr:col>
      <xdr:colOff>762000</xdr:colOff>
      <xdr:row>4</xdr:row>
      <xdr:rowOff>5715</xdr:rowOff>
    </xdr:to>
    <xdr:sp macro="" textlink="">
      <xdr:nvSpPr>
        <xdr:cNvPr id="31" name="Rectangle : coins arrondis 3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/>
      </xdr:nvSpPr>
      <xdr:spPr>
        <a:xfrm>
          <a:off x="2522220" y="299085"/>
          <a:ext cx="103060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0</xdr:row>
      <xdr:rowOff>85725</xdr:rowOff>
    </xdr:from>
    <xdr:to>
      <xdr:col>1</xdr:col>
      <xdr:colOff>520065</xdr:colOff>
      <xdr:row>3</xdr:row>
      <xdr:rowOff>180975</xdr:rowOff>
    </xdr:to>
    <xdr:sp macro="" textlink="">
      <xdr:nvSpPr>
        <xdr:cNvPr id="32" name="Rectangle : coins arrondis 3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/>
      </xdr:nvSpPr>
      <xdr:spPr>
        <a:xfrm>
          <a:off x="95250" y="85725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565785</xdr:colOff>
      <xdr:row>1</xdr:row>
      <xdr:rowOff>108585</xdr:rowOff>
    </xdr:from>
    <xdr:to>
      <xdr:col>2</xdr:col>
      <xdr:colOff>394335</xdr:colOff>
      <xdr:row>4</xdr:row>
      <xdr:rowOff>5715</xdr:rowOff>
    </xdr:to>
    <xdr:sp macro="" textlink="">
      <xdr:nvSpPr>
        <xdr:cNvPr id="33" name="Rectangle : coins arrondis 3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/>
      </xdr:nvSpPr>
      <xdr:spPr>
        <a:xfrm>
          <a:off x="1394460" y="299085"/>
          <a:ext cx="1028700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666750</xdr:colOff>
      <xdr:row>1</xdr:row>
      <xdr:rowOff>139065</xdr:rowOff>
    </xdr:from>
    <xdr:to>
      <xdr:col>13</xdr:col>
      <xdr:colOff>754380</xdr:colOff>
      <xdr:row>4</xdr:row>
      <xdr:rowOff>32385</xdr:rowOff>
    </xdr:to>
    <xdr:sp macro="" textlink="">
      <xdr:nvSpPr>
        <xdr:cNvPr id="34" name="Rectangle : coins arrondis 3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/>
      </xdr:nvSpPr>
      <xdr:spPr>
        <a:xfrm>
          <a:off x="11391900" y="32956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PEINTURE</a:t>
          </a:r>
          <a:endParaRPr lang="fr-FR" sz="1100" b="1"/>
        </a:p>
      </xdr:txBody>
    </xdr:sp>
    <xdr:clientData/>
  </xdr:twoCellAnchor>
  <xdr:twoCellAnchor>
    <xdr:from>
      <xdr:col>11</xdr:col>
      <xdr:colOff>438150</xdr:colOff>
      <xdr:row>1</xdr:row>
      <xdr:rowOff>142875</xdr:rowOff>
    </xdr:from>
    <xdr:to>
      <xdr:col>12</xdr:col>
      <xdr:colOff>581025</xdr:colOff>
      <xdr:row>4</xdr:row>
      <xdr:rowOff>32384</xdr:rowOff>
    </xdr:to>
    <xdr:sp macro="" textlink="">
      <xdr:nvSpPr>
        <xdr:cNvPr id="35" name="Rectangle : coins arrondis 3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/>
      </xdr:nvSpPr>
      <xdr:spPr>
        <a:xfrm>
          <a:off x="10391775" y="333375"/>
          <a:ext cx="914400" cy="461009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PLATERIE</a:t>
          </a:r>
          <a:endParaRPr lang="fr-FR" sz="1100" b="1"/>
        </a:p>
      </xdr:txBody>
    </xdr:sp>
    <xdr:clientData/>
  </xdr:twoCellAnchor>
  <xdr:twoCellAnchor>
    <xdr:from>
      <xdr:col>14</xdr:col>
      <xdr:colOff>85725</xdr:colOff>
      <xdr:row>1</xdr:row>
      <xdr:rowOff>142875</xdr:rowOff>
    </xdr:from>
    <xdr:to>
      <xdr:col>15</xdr:col>
      <xdr:colOff>344805</xdr:colOff>
      <xdr:row>4</xdr:row>
      <xdr:rowOff>36195</xdr:rowOff>
    </xdr:to>
    <xdr:sp macro="" textlink="">
      <xdr:nvSpPr>
        <xdr:cNvPr id="36" name="Rectangle : coins arrondis 3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/>
      </xdr:nvSpPr>
      <xdr:spPr>
        <a:xfrm>
          <a:off x="12506325" y="33337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994410</xdr:colOff>
      <xdr:row>1</xdr:row>
      <xdr:rowOff>85725</xdr:rowOff>
    </xdr:from>
    <xdr:to>
      <xdr:col>5</xdr:col>
      <xdr:colOff>242257</xdr:colOff>
      <xdr:row>4</xdr:row>
      <xdr:rowOff>3810</xdr:rowOff>
    </xdr:to>
    <xdr:sp macro="" textlink="">
      <xdr:nvSpPr>
        <xdr:cNvPr id="15" name="Rectangle : coins arrondis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/>
      </xdr:nvSpPr>
      <xdr:spPr>
        <a:xfrm>
          <a:off x="3623310" y="276225"/>
          <a:ext cx="1105222" cy="48958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TOITURE</a:t>
          </a:r>
          <a:endParaRPr lang="fr-FR" sz="1100" b="1"/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314326</xdr:colOff>
      <xdr:row>1</xdr:row>
      <xdr:rowOff>66675</xdr:rowOff>
    </xdr:from>
    <xdr:to>
      <xdr:col>6</xdr:col>
      <xdr:colOff>619126</xdr:colOff>
      <xdr:row>4</xdr:row>
      <xdr:rowOff>1905</xdr:rowOff>
    </xdr:to>
    <xdr:sp macro="" textlink="">
      <xdr:nvSpPr>
        <xdr:cNvPr id="16" name="Rectangle : coins arrondis 1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/>
      </xdr:nvSpPr>
      <xdr:spPr>
        <a:xfrm>
          <a:off x="4800601" y="257175"/>
          <a:ext cx="1066800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6</xdr:col>
      <xdr:colOff>695325</xdr:colOff>
      <xdr:row>1</xdr:row>
      <xdr:rowOff>68580</xdr:rowOff>
    </xdr:from>
    <xdr:to>
      <xdr:col>8</xdr:col>
      <xdr:colOff>17467</xdr:colOff>
      <xdr:row>4</xdr:row>
      <xdr:rowOff>11431</xdr:rowOff>
    </xdr:to>
    <xdr:sp macro="" textlink="">
      <xdr:nvSpPr>
        <xdr:cNvPr id="17" name="Rectangle : coins arrondis 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/>
      </xdr:nvSpPr>
      <xdr:spPr>
        <a:xfrm>
          <a:off x="6128385" y="251460"/>
          <a:ext cx="1181422" cy="491491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99060</xdr:colOff>
      <xdr:row>1</xdr:row>
      <xdr:rowOff>104776</xdr:rowOff>
    </xdr:from>
    <xdr:to>
      <xdr:col>8</xdr:col>
      <xdr:colOff>1146810</xdr:colOff>
      <xdr:row>4</xdr:row>
      <xdr:rowOff>9526</xdr:rowOff>
    </xdr:to>
    <xdr:sp macro="" textlink="">
      <xdr:nvSpPr>
        <xdr:cNvPr id="18" name="Rectangle : coins arrondis 1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/>
      </xdr:nvSpPr>
      <xdr:spPr>
        <a:xfrm>
          <a:off x="7147560" y="295276"/>
          <a:ext cx="1047750" cy="4762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CVC</a:t>
          </a:r>
          <a:endParaRPr lang="fr-FR" sz="1100" b="1"/>
        </a:p>
      </xdr:txBody>
    </xdr:sp>
    <xdr:clientData/>
  </xdr:twoCellAnchor>
  <xdr:twoCellAnchor>
    <xdr:from>
      <xdr:col>9</xdr:col>
      <xdr:colOff>13335</xdr:colOff>
      <xdr:row>1</xdr:row>
      <xdr:rowOff>114300</xdr:rowOff>
    </xdr:from>
    <xdr:to>
      <xdr:col>10</xdr:col>
      <xdr:colOff>219075</xdr:colOff>
      <xdr:row>4</xdr:row>
      <xdr:rowOff>15240</xdr:rowOff>
    </xdr:to>
    <xdr:sp macro="" textlink="">
      <xdr:nvSpPr>
        <xdr:cNvPr id="19" name="Rectangle : coins arrondis 1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/>
      </xdr:nvSpPr>
      <xdr:spPr>
        <a:xfrm>
          <a:off x="8281035" y="304800"/>
          <a:ext cx="967740" cy="47244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ELEC</a:t>
          </a:r>
        </a:p>
      </xdr:txBody>
    </xdr:sp>
    <xdr:clientData/>
  </xdr:twoCellAnchor>
  <xdr:twoCellAnchor>
    <xdr:from>
      <xdr:col>10</xdr:col>
      <xdr:colOff>295275</xdr:colOff>
      <xdr:row>1</xdr:row>
      <xdr:rowOff>123825</xdr:rowOff>
    </xdr:from>
    <xdr:to>
      <xdr:col>11</xdr:col>
      <xdr:colOff>523874</xdr:colOff>
      <xdr:row>4</xdr:row>
      <xdr:rowOff>9525</xdr:rowOff>
    </xdr:to>
    <xdr:sp macro="" textlink="">
      <xdr:nvSpPr>
        <xdr:cNvPr id="30" name="Rectangle : coins arrondis 2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/>
      </xdr:nvSpPr>
      <xdr:spPr>
        <a:xfrm>
          <a:off x="9324975" y="314325"/>
          <a:ext cx="990599" cy="45720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SOLS</a:t>
          </a:r>
          <a:endParaRPr lang="fr-FR" sz="1100" b="1"/>
        </a:p>
      </xdr:txBody>
    </xdr:sp>
    <xdr:clientData/>
  </xdr:twoCellAnchor>
  <xdr:twoCellAnchor>
    <xdr:from>
      <xdr:col>2</xdr:col>
      <xdr:colOff>645795</xdr:colOff>
      <xdr:row>1</xdr:row>
      <xdr:rowOff>89535</xdr:rowOff>
    </xdr:from>
    <xdr:to>
      <xdr:col>3</xdr:col>
      <xdr:colOff>914400</xdr:colOff>
      <xdr:row>3</xdr:row>
      <xdr:rowOff>177165</xdr:rowOff>
    </xdr:to>
    <xdr:sp macro="" textlink="">
      <xdr:nvSpPr>
        <xdr:cNvPr id="31" name="Rectangle : coins arrondis 3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/>
      </xdr:nvSpPr>
      <xdr:spPr>
        <a:xfrm>
          <a:off x="2512695" y="280035"/>
          <a:ext cx="103060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85725</xdr:colOff>
      <xdr:row>0</xdr:row>
      <xdr:rowOff>66675</xdr:rowOff>
    </xdr:from>
    <xdr:to>
      <xdr:col>1</xdr:col>
      <xdr:colOff>234315</xdr:colOff>
      <xdr:row>3</xdr:row>
      <xdr:rowOff>161925</xdr:rowOff>
    </xdr:to>
    <xdr:sp macro="" textlink="">
      <xdr:nvSpPr>
        <xdr:cNvPr id="32" name="Rectangle : coins arrondis 3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/>
      </xdr:nvSpPr>
      <xdr:spPr>
        <a:xfrm>
          <a:off x="85725" y="66675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280035</xdr:colOff>
      <xdr:row>1</xdr:row>
      <xdr:rowOff>89535</xdr:rowOff>
    </xdr:from>
    <xdr:to>
      <xdr:col>2</xdr:col>
      <xdr:colOff>546735</xdr:colOff>
      <xdr:row>3</xdr:row>
      <xdr:rowOff>177165</xdr:rowOff>
    </xdr:to>
    <xdr:sp macro="" textlink="">
      <xdr:nvSpPr>
        <xdr:cNvPr id="33" name="Rectangle : coins arrondis 3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/>
      </xdr:nvSpPr>
      <xdr:spPr>
        <a:xfrm>
          <a:off x="1384935" y="280035"/>
          <a:ext cx="1028700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828675</xdr:colOff>
      <xdr:row>1</xdr:row>
      <xdr:rowOff>120015</xdr:rowOff>
    </xdr:from>
    <xdr:to>
      <xdr:col>14</xdr:col>
      <xdr:colOff>154305</xdr:colOff>
      <xdr:row>4</xdr:row>
      <xdr:rowOff>13335</xdr:rowOff>
    </xdr:to>
    <xdr:sp macro="" textlink="">
      <xdr:nvSpPr>
        <xdr:cNvPr id="34" name="Rectangle : coins arrondis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/>
      </xdr:nvSpPr>
      <xdr:spPr>
        <a:xfrm>
          <a:off x="11382375" y="31051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PEINTURE</a:t>
          </a:r>
          <a:endParaRPr lang="fr-FR" sz="1100" b="1"/>
        </a:p>
      </xdr:txBody>
    </xdr:sp>
    <xdr:clientData/>
  </xdr:twoCellAnchor>
  <xdr:twoCellAnchor>
    <xdr:from>
      <xdr:col>11</xdr:col>
      <xdr:colOff>590550</xdr:colOff>
      <xdr:row>1</xdr:row>
      <xdr:rowOff>123825</xdr:rowOff>
    </xdr:from>
    <xdr:to>
      <xdr:col>12</xdr:col>
      <xdr:colOff>742950</xdr:colOff>
      <xdr:row>4</xdr:row>
      <xdr:rowOff>13334</xdr:rowOff>
    </xdr:to>
    <xdr:sp macro="" textlink="">
      <xdr:nvSpPr>
        <xdr:cNvPr id="35" name="Rectangle : coins arrondis 3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/>
      </xdr:nvSpPr>
      <xdr:spPr>
        <a:xfrm>
          <a:off x="10382250" y="314325"/>
          <a:ext cx="914400" cy="461009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PLATERIE</a:t>
          </a:r>
          <a:endParaRPr lang="fr-FR" sz="1100" b="1"/>
        </a:p>
      </xdr:txBody>
    </xdr:sp>
    <xdr:clientData/>
  </xdr:twoCellAnchor>
  <xdr:twoCellAnchor>
    <xdr:from>
      <xdr:col>14</xdr:col>
      <xdr:colOff>247650</xdr:colOff>
      <xdr:row>1</xdr:row>
      <xdr:rowOff>123825</xdr:rowOff>
    </xdr:from>
    <xdr:to>
      <xdr:col>15</xdr:col>
      <xdr:colOff>506730</xdr:colOff>
      <xdr:row>4</xdr:row>
      <xdr:rowOff>17145</xdr:rowOff>
    </xdr:to>
    <xdr:sp macro="" textlink="">
      <xdr:nvSpPr>
        <xdr:cNvPr id="36" name="Rectangle : coins arrondis 3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/>
      </xdr:nvSpPr>
      <xdr:spPr>
        <a:xfrm>
          <a:off x="12496800" y="31432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270510</xdr:colOff>
      <xdr:row>1</xdr:row>
      <xdr:rowOff>104775</xdr:rowOff>
    </xdr:from>
    <xdr:to>
      <xdr:col>5</xdr:col>
      <xdr:colOff>613732</xdr:colOff>
      <xdr:row>4</xdr:row>
      <xdr:rowOff>22860</xdr:rowOff>
    </xdr:to>
    <xdr:sp macro="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/>
      </xdr:nvSpPr>
      <xdr:spPr>
        <a:xfrm>
          <a:off x="3632835" y="295275"/>
          <a:ext cx="1105222" cy="48958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TOITURE</a:t>
          </a:r>
          <a:endParaRPr lang="fr-FR" sz="1100" b="1"/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685801</xdr:colOff>
      <xdr:row>1</xdr:row>
      <xdr:rowOff>85725</xdr:rowOff>
    </xdr:from>
    <xdr:to>
      <xdr:col>7</xdr:col>
      <xdr:colOff>228601</xdr:colOff>
      <xdr:row>4</xdr:row>
      <xdr:rowOff>20955</xdr:rowOff>
    </xdr:to>
    <xdr:sp macro="" textlink="">
      <xdr:nvSpPr>
        <xdr:cNvPr id="15" name="Rectangle :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/>
      </xdr:nvSpPr>
      <xdr:spPr>
        <a:xfrm>
          <a:off x="4810126" y="276225"/>
          <a:ext cx="1066800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7</xdr:col>
      <xdr:colOff>304800</xdr:colOff>
      <xdr:row>1</xdr:row>
      <xdr:rowOff>99060</xdr:rowOff>
    </xdr:from>
    <xdr:to>
      <xdr:col>8</xdr:col>
      <xdr:colOff>379417</xdr:colOff>
      <xdr:row>4</xdr:row>
      <xdr:rowOff>30481</xdr:rowOff>
    </xdr:to>
    <xdr:sp macro="" textlink="">
      <xdr:nvSpPr>
        <xdr:cNvPr id="16" name="Rectangle : coins arrondis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/>
      </xdr:nvSpPr>
      <xdr:spPr>
        <a:xfrm>
          <a:off x="6164580" y="281940"/>
          <a:ext cx="1149037" cy="48006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461010</xdr:colOff>
      <xdr:row>1</xdr:row>
      <xdr:rowOff>123826</xdr:rowOff>
    </xdr:from>
    <xdr:to>
      <xdr:col>9</xdr:col>
      <xdr:colOff>289560</xdr:colOff>
      <xdr:row>4</xdr:row>
      <xdr:rowOff>28576</xdr:rowOff>
    </xdr:to>
    <xdr:sp macro="" textlink="">
      <xdr:nvSpPr>
        <xdr:cNvPr id="17" name="Rectangle : coins arrondis 1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/>
      </xdr:nvSpPr>
      <xdr:spPr>
        <a:xfrm>
          <a:off x="7157085" y="314326"/>
          <a:ext cx="1047750" cy="47625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CVC</a:t>
          </a:r>
          <a:endParaRPr lang="fr-FR" sz="1100" b="1"/>
        </a:p>
      </xdr:txBody>
    </xdr:sp>
    <xdr:clientData/>
  </xdr:twoCellAnchor>
  <xdr:twoCellAnchor>
    <xdr:from>
      <xdr:col>9</xdr:col>
      <xdr:colOff>375285</xdr:colOff>
      <xdr:row>1</xdr:row>
      <xdr:rowOff>133350</xdr:rowOff>
    </xdr:from>
    <xdr:to>
      <xdr:col>10</xdr:col>
      <xdr:colOff>581025</xdr:colOff>
      <xdr:row>4</xdr:row>
      <xdr:rowOff>34290</xdr:rowOff>
    </xdr:to>
    <xdr:sp macro="" textlink="">
      <xdr:nvSpPr>
        <xdr:cNvPr id="18" name="Rectangle : coins arrondis 1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/>
      </xdr:nvSpPr>
      <xdr:spPr>
        <a:xfrm>
          <a:off x="8290560" y="323850"/>
          <a:ext cx="967740" cy="47244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ELEC</a:t>
          </a:r>
        </a:p>
      </xdr:txBody>
    </xdr:sp>
    <xdr:clientData/>
  </xdr:twoCellAnchor>
  <xdr:twoCellAnchor>
    <xdr:from>
      <xdr:col>10</xdr:col>
      <xdr:colOff>657225</xdr:colOff>
      <xdr:row>1</xdr:row>
      <xdr:rowOff>142875</xdr:rowOff>
    </xdr:from>
    <xdr:to>
      <xdr:col>12</xdr:col>
      <xdr:colOff>123824</xdr:colOff>
      <xdr:row>4</xdr:row>
      <xdr:rowOff>28575</xdr:rowOff>
    </xdr:to>
    <xdr:sp macro="" textlink="">
      <xdr:nvSpPr>
        <xdr:cNvPr id="19" name="Rectangle : coins arrondis 1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/>
      </xdr:nvSpPr>
      <xdr:spPr>
        <a:xfrm>
          <a:off x="9334500" y="333375"/>
          <a:ext cx="990599" cy="45720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SOLS</a:t>
          </a:r>
          <a:endParaRPr lang="fr-FR" sz="1100" b="1"/>
        </a:p>
      </xdr:txBody>
    </xdr:sp>
    <xdr:clientData/>
  </xdr:twoCellAnchor>
  <xdr:twoCellAnchor>
    <xdr:from>
      <xdr:col>3</xdr:col>
      <xdr:colOff>236220</xdr:colOff>
      <xdr:row>1</xdr:row>
      <xdr:rowOff>108585</xdr:rowOff>
    </xdr:from>
    <xdr:to>
      <xdr:col>4</xdr:col>
      <xdr:colOff>190500</xdr:colOff>
      <xdr:row>4</xdr:row>
      <xdr:rowOff>5715</xdr:rowOff>
    </xdr:to>
    <xdr:sp macro="" textlink="">
      <xdr:nvSpPr>
        <xdr:cNvPr id="20" name="Rectangle : coins arrondis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/>
      </xdr:nvSpPr>
      <xdr:spPr>
        <a:xfrm>
          <a:off x="2522220" y="299085"/>
          <a:ext cx="103060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0</xdr:row>
      <xdr:rowOff>85725</xdr:rowOff>
    </xdr:from>
    <xdr:to>
      <xdr:col>1</xdr:col>
      <xdr:colOff>586740</xdr:colOff>
      <xdr:row>3</xdr:row>
      <xdr:rowOff>180975</xdr:rowOff>
    </xdr:to>
    <xdr:sp macro="" textlink="">
      <xdr:nvSpPr>
        <xdr:cNvPr id="21" name="Rectangle : coins arrondis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/>
      </xdr:nvSpPr>
      <xdr:spPr>
        <a:xfrm>
          <a:off x="95250" y="85725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632460</xdr:colOff>
      <xdr:row>1</xdr:row>
      <xdr:rowOff>108585</xdr:rowOff>
    </xdr:from>
    <xdr:to>
      <xdr:col>3</xdr:col>
      <xdr:colOff>137160</xdr:colOff>
      <xdr:row>4</xdr:row>
      <xdr:rowOff>5715</xdr:rowOff>
    </xdr:to>
    <xdr:sp macro="" textlink="">
      <xdr:nvSpPr>
        <xdr:cNvPr id="22" name="Rectangle : coins arrondis 2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/>
      </xdr:nvSpPr>
      <xdr:spPr>
        <a:xfrm>
          <a:off x="1394460" y="299085"/>
          <a:ext cx="1028700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13</xdr:col>
      <xdr:colOff>209550</xdr:colOff>
      <xdr:row>1</xdr:row>
      <xdr:rowOff>139065</xdr:rowOff>
    </xdr:from>
    <xdr:to>
      <xdr:col>14</xdr:col>
      <xdr:colOff>468630</xdr:colOff>
      <xdr:row>4</xdr:row>
      <xdr:rowOff>32385</xdr:rowOff>
    </xdr:to>
    <xdr:sp macro="" textlink="">
      <xdr:nvSpPr>
        <xdr:cNvPr id="23" name="Rectangle : coins arrondis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/>
      </xdr:nvSpPr>
      <xdr:spPr>
        <a:xfrm>
          <a:off x="11391900" y="32956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PEINTURE</a:t>
          </a:r>
          <a:endParaRPr lang="fr-FR" sz="1100" b="1"/>
        </a:p>
      </xdr:txBody>
    </xdr:sp>
    <xdr:clientData/>
  </xdr:twoCellAnchor>
  <xdr:twoCellAnchor>
    <xdr:from>
      <xdr:col>12</xdr:col>
      <xdr:colOff>190500</xdr:colOff>
      <xdr:row>1</xdr:row>
      <xdr:rowOff>142875</xdr:rowOff>
    </xdr:from>
    <xdr:to>
      <xdr:col>13</xdr:col>
      <xdr:colOff>123825</xdr:colOff>
      <xdr:row>4</xdr:row>
      <xdr:rowOff>32384</xdr:rowOff>
    </xdr:to>
    <xdr:sp macro="" textlink="">
      <xdr:nvSpPr>
        <xdr:cNvPr id="24" name="Rectangle : coins arrondis 2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/>
      </xdr:nvSpPr>
      <xdr:spPr>
        <a:xfrm>
          <a:off x="10391775" y="333375"/>
          <a:ext cx="914400" cy="461009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PLATERIE</a:t>
          </a:r>
          <a:endParaRPr lang="fr-FR" sz="1100" b="1"/>
        </a:p>
      </xdr:txBody>
    </xdr:sp>
    <xdr:clientData/>
  </xdr:twoCellAnchor>
  <xdr:twoCellAnchor>
    <xdr:from>
      <xdr:col>14</xdr:col>
      <xdr:colOff>561975</xdr:colOff>
      <xdr:row>1</xdr:row>
      <xdr:rowOff>142875</xdr:rowOff>
    </xdr:from>
    <xdr:to>
      <xdr:col>16</xdr:col>
      <xdr:colOff>59055</xdr:colOff>
      <xdr:row>4</xdr:row>
      <xdr:rowOff>36195</xdr:rowOff>
    </xdr:to>
    <xdr:sp macro="" textlink="">
      <xdr:nvSpPr>
        <xdr:cNvPr id="25" name="Rectangle : coins arrondis 2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/>
      </xdr:nvSpPr>
      <xdr:spPr>
        <a:xfrm>
          <a:off x="12506325" y="33337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156210</xdr:colOff>
      <xdr:row>1</xdr:row>
      <xdr:rowOff>104775</xdr:rowOff>
    </xdr:from>
    <xdr:to>
      <xdr:col>5</xdr:col>
      <xdr:colOff>499432</xdr:colOff>
      <xdr:row>4</xdr:row>
      <xdr:rowOff>22860</xdr:rowOff>
    </xdr:to>
    <xdr:sp macro="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/>
      </xdr:nvSpPr>
      <xdr:spPr>
        <a:xfrm>
          <a:off x="3623310" y="295275"/>
          <a:ext cx="1105222" cy="48958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TOITURE</a:t>
          </a:r>
          <a:endParaRPr lang="fr-FR" sz="1100" b="1"/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571501</xdr:colOff>
      <xdr:row>1</xdr:row>
      <xdr:rowOff>85725</xdr:rowOff>
    </xdr:from>
    <xdr:to>
      <xdr:col>7</xdr:col>
      <xdr:colOff>114301</xdr:colOff>
      <xdr:row>4</xdr:row>
      <xdr:rowOff>20955</xdr:rowOff>
    </xdr:to>
    <xdr:sp macro="" textlink="">
      <xdr:nvSpPr>
        <xdr:cNvPr id="15" name="Rectangle :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/>
      </xdr:nvSpPr>
      <xdr:spPr>
        <a:xfrm>
          <a:off x="4800601" y="276225"/>
          <a:ext cx="1066800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7</xdr:col>
      <xdr:colOff>190500</xdr:colOff>
      <xdr:row>1</xdr:row>
      <xdr:rowOff>99060</xdr:rowOff>
    </xdr:from>
    <xdr:to>
      <xdr:col>8</xdr:col>
      <xdr:colOff>160342</xdr:colOff>
      <xdr:row>4</xdr:row>
      <xdr:rowOff>30481</xdr:rowOff>
    </xdr:to>
    <xdr:sp macro="" textlink="">
      <xdr:nvSpPr>
        <xdr:cNvPr id="16" name="Rectangle : coins arrondis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/>
      </xdr:nvSpPr>
      <xdr:spPr>
        <a:xfrm>
          <a:off x="6149340" y="281940"/>
          <a:ext cx="1158562" cy="48006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241935</xdr:colOff>
      <xdr:row>1</xdr:row>
      <xdr:rowOff>123826</xdr:rowOff>
    </xdr:from>
    <xdr:to>
      <xdr:col>9</xdr:col>
      <xdr:colOff>70485</xdr:colOff>
      <xdr:row>4</xdr:row>
      <xdr:rowOff>28576</xdr:rowOff>
    </xdr:to>
    <xdr:sp macro="" textlink="">
      <xdr:nvSpPr>
        <xdr:cNvPr id="17" name="Rectangle : coins arrondis 1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/>
      </xdr:nvSpPr>
      <xdr:spPr>
        <a:xfrm>
          <a:off x="7147560" y="314326"/>
          <a:ext cx="1047750" cy="4762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CVC</a:t>
          </a:r>
          <a:endParaRPr lang="fr-FR" sz="1100" b="1"/>
        </a:p>
      </xdr:txBody>
    </xdr:sp>
    <xdr:clientData/>
  </xdr:twoCellAnchor>
  <xdr:twoCellAnchor>
    <xdr:from>
      <xdr:col>9</xdr:col>
      <xdr:colOff>156210</xdr:colOff>
      <xdr:row>1</xdr:row>
      <xdr:rowOff>133350</xdr:rowOff>
    </xdr:from>
    <xdr:to>
      <xdr:col>10</xdr:col>
      <xdr:colOff>361950</xdr:colOff>
      <xdr:row>4</xdr:row>
      <xdr:rowOff>34290</xdr:rowOff>
    </xdr:to>
    <xdr:sp macro="" textlink="">
      <xdr:nvSpPr>
        <xdr:cNvPr id="18" name="Rectangle : coins arrondis 1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/>
      </xdr:nvSpPr>
      <xdr:spPr>
        <a:xfrm>
          <a:off x="8281035" y="323850"/>
          <a:ext cx="967740" cy="47244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ELEC</a:t>
          </a:r>
        </a:p>
      </xdr:txBody>
    </xdr:sp>
    <xdr:clientData/>
  </xdr:twoCellAnchor>
  <xdr:twoCellAnchor>
    <xdr:from>
      <xdr:col>10</xdr:col>
      <xdr:colOff>438150</xdr:colOff>
      <xdr:row>1</xdr:row>
      <xdr:rowOff>142875</xdr:rowOff>
    </xdr:from>
    <xdr:to>
      <xdr:col>11</xdr:col>
      <xdr:colOff>666749</xdr:colOff>
      <xdr:row>4</xdr:row>
      <xdr:rowOff>28575</xdr:rowOff>
    </xdr:to>
    <xdr:sp macro="" textlink="">
      <xdr:nvSpPr>
        <xdr:cNvPr id="19" name="Rectangle : coins arrondis 1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/>
      </xdr:nvSpPr>
      <xdr:spPr>
        <a:xfrm>
          <a:off x="9324975" y="333375"/>
          <a:ext cx="990599" cy="45720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SOLS</a:t>
          </a:r>
          <a:endParaRPr lang="fr-FR" sz="1100" b="1"/>
        </a:p>
      </xdr:txBody>
    </xdr:sp>
    <xdr:clientData/>
  </xdr:twoCellAnchor>
  <xdr:twoCellAnchor>
    <xdr:from>
      <xdr:col>3</xdr:col>
      <xdr:colOff>150495</xdr:colOff>
      <xdr:row>1</xdr:row>
      <xdr:rowOff>108585</xdr:rowOff>
    </xdr:from>
    <xdr:to>
      <xdr:col>4</xdr:col>
      <xdr:colOff>76200</xdr:colOff>
      <xdr:row>4</xdr:row>
      <xdr:rowOff>5715</xdr:rowOff>
    </xdr:to>
    <xdr:sp macro="" textlink="">
      <xdr:nvSpPr>
        <xdr:cNvPr id="20" name="Rectangle : coins arrondis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/>
      </xdr:nvSpPr>
      <xdr:spPr>
        <a:xfrm>
          <a:off x="2512695" y="299085"/>
          <a:ext cx="103060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85725</xdr:colOff>
      <xdr:row>0</xdr:row>
      <xdr:rowOff>85725</xdr:rowOff>
    </xdr:from>
    <xdr:to>
      <xdr:col>1</xdr:col>
      <xdr:colOff>501015</xdr:colOff>
      <xdr:row>3</xdr:row>
      <xdr:rowOff>180975</xdr:rowOff>
    </xdr:to>
    <xdr:sp macro="" textlink="">
      <xdr:nvSpPr>
        <xdr:cNvPr id="21" name="Rectangle : coins arrondis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/>
      </xdr:nvSpPr>
      <xdr:spPr>
        <a:xfrm>
          <a:off x="85725" y="85725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546735</xdr:colOff>
      <xdr:row>1</xdr:row>
      <xdr:rowOff>108585</xdr:rowOff>
    </xdr:from>
    <xdr:to>
      <xdr:col>3</xdr:col>
      <xdr:colOff>51435</xdr:colOff>
      <xdr:row>4</xdr:row>
      <xdr:rowOff>5715</xdr:rowOff>
    </xdr:to>
    <xdr:sp macro="" textlink="">
      <xdr:nvSpPr>
        <xdr:cNvPr id="22" name="Rectangle : coins arrondis 2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/>
      </xdr:nvSpPr>
      <xdr:spPr>
        <a:xfrm>
          <a:off x="1384935" y="299085"/>
          <a:ext cx="1028700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13</xdr:col>
      <xdr:colOff>81915</xdr:colOff>
      <xdr:row>1</xdr:row>
      <xdr:rowOff>139065</xdr:rowOff>
    </xdr:from>
    <xdr:to>
      <xdr:col>14</xdr:col>
      <xdr:colOff>274320</xdr:colOff>
      <xdr:row>4</xdr:row>
      <xdr:rowOff>28575</xdr:rowOff>
    </xdr:to>
    <xdr:sp macro="" textlink="">
      <xdr:nvSpPr>
        <xdr:cNvPr id="23" name="Rectangle : coins arrondis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/>
      </xdr:nvSpPr>
      <xdr:spPr>
        <a:xfrm>
          <a:off x="11374755" y="329565"/>
          <a:ext cx="954405" cy="46101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PEINTURE</a:t>
          </a:r>
          <a:endParaRPr lang="fr-FR" sz="1100" b="1"/>
        </a:p>
      </xdr:txBody>
    </xdr:sp>
    <xdr:clientData/>
  </xdr:twoCellAnchor>
  <xdr:twoCellAnchor>
    <xdr:from>
      <xdr:col>11</xdr:col>
      <xdr:colOff>733425</xdr:colOff>
      <xdr:row>1</xdr:row>
      <xdr:rowOff>142875</xdr:rowOff>
    </xdr:from>
    <xdr:to>
      <xdr:col>13</xdr:col>
      <xdr:colOff>0</xdr:colOff>
      <xdr:row>4</xdr:row>
      <xdr:rowOff>32384</xdr:rowOff>
    </xdr:to>
    <xdr:sp macro="" textlink="">
      <xdr:nvSpPr>
        <xdr:cNvPr id="24" name="Rectangle : coins arrondis 2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/>
      </xdr:nvSpPr>
      <xdr:spPr>
        <a:xfrm>
          <a:off x="10382250" y="333375"/>
          <a:ext cx="914400" cy="461009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PLATERIE</a:t>
          </a:r>
          <a:endParaRPr lang="fr-FR" sz="1100" b="1"/>
        </a:p>
      </xdr:txBody>
    </xdr:sp>
    <xdr:clientData/>
  </xdr:twoCellAnchor>
  <xdr:twoCellAnchor>
    <xdr:from>
      <xdr:col>14</xdr:col>
      <xdr:colOff>350520</xdr:colOff>
      <xdr:row>1</xdr:row>
      <xdr:rowOff>125730</xdr:rowOff>
    </xdr:from>
    <xdr:to>
      <xdr:col>15</xdr:col>
      <xdr:colOff>609600</xdr:colOff>
      <xdr:row>4</xdr:row>
      <xdr:rowOff>17145</xdr:rowOff>
    </xdr:to>
    <xdr:sp macro="" textlink="">
      <xdr:nvSpPr>
        <xdr:cNvPr id="25" name="Rectangle : coins arrondis 2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/>
      </xdr:nvSpPr>
      <xdr:spPr>
        <a:xfrm>
          <a:off x="12405360" y="316230"/>
          <a:ext cx="1021080" cy="462915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</xdr:colOff>
      <xdr:row>1</xdr:row>
      <xdr:rowOff>95250</xdr:rowOff>
    </xdr:from>
    <xdr:to>
      <xdr:col>5</xdr:col>
      <xdr:colOff>375607</xdr:colOff>
      <xdr:row>4</xdr:row>
      <xdr:rowOff>13335</xdr:rowOff>
    </xdr:to>
    <xdr:sp macro="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/>
      </xdr:nvSpPr>
      <xdr:spPr>
        <a:xfrm>
          <a:off x="3632835" y="285750"/>
          <a:ext cx="1105222" cy="48958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TOITURE</a:t>
          </a:r>
          <a:endParaRPr lang="fr-FR" sz="1100" b="1"/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447676</xdr:colOff>
      <xdr:row>1</xdr:row>
      <xdr:rowOff>76200</xdr:rowOff>
    </xdr:from>
    <xdr:to>
      <xdr:col>6</xdr:col>
      <xdr:colOff>752476</xdr:colOff>
      <xdr:row>4</xdr:row>
      <xdr:rowOff>11430</xdr:rowOff>
    </xdr:to>
    <xdr:sp macro="" textlink="">
      <xdr:nvSpPr>
        <xdr:cNvPr id="15" name="Rectangle :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/>
      </xdr:nvSpPr>
      <xdr:spPr>
        <a:xfrm>
          <a:off x="4810126" y="266700"/>
          <a:ext cx="1066800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7</xdr:col>
      <xdr:colOff>66675</xdr:colOff>
      <xdr:row>1</xdr:row>
      <xdr:rowOff>83821</xdr:rowOff>
    </xdr:from>
    <xdr:to>
      <xdr:col>8</xdr:col>
      <xdr:colOff>55567</xdr:colOff>
      <xdr:row>4</xdr:row>
      <xdr:rowOff>20957</xdr:rowOff>
    </xdr:to>
    <xdr:sp macro="" textlink="">
      <xdr:nvSpPr>
        <xdr:cNvPr id="16" name="Rectangle : coins arrondis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/>
      </xdr:nvSpPr>
      <xdr:spPr>
        <a:xfrm>
          <a:off x="6162675" y="266701"/>
          <a:ext cx="1154752" cy="485776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137160</xdr:colOff>
      <xdr:row>1</xdr:row>
      <xdr:rowOff>114301</xdr:rowOff>
    </xdr:from>
    <xdr:to>
      <xdr:col>8</xdr:col>
      <xdr:colOff>1184910</xdr:colOff>
      <xdr:row>4</xdr:row>
      <xdr:rowOff>19051</xdr:rowOff>
    </xdr:to>
    <xdr:sp macro="" textlink="">
      <xdr:nvSpPr>
        <xdr:cNvPr id="17" name="Rectangle : coins arrondis 1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/>
      </xdr:nvSpPr>
      <xdr:spPr>
        <a:xfrm>
          <a:off x="7157085" y="304801"/>
          <a:ext cx="1047750" cy="4762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CVC</a:t>
          </a:r>
          <a:endParaRPr lang="fr-FR" sz="1100" b="1"/>
        </a:p>
      </xdr:txBody>
    </xdr:sp>
    <xdr:clientData/>
  </xdr:twoCellAnchor>
  <xdr:twoCellAnchor>
    <xdr:from>
      <xdr:col>9</xdr:col>
      <xdr:colOff>51435</xdr:colOff>
      <xdr:row>1</xdr:row>
      <xdr:rowOff>123825</xdr:rowOff>
    </xdr:from>
    <xdr:to>
      <xdr:col>10</xdr:col>
      <xdr:colOff>257175</xdr:colOff>
      <xdr:row>4</xdr:row>
      <xdr:rowOff>24765</xdr:rowOff>
    </xdr:to>
    <xdr:sp macro="" textlink="">
      <xdr:nvSpPr>
        <xdr:cNvPr id="18" name="Rectangle : coins arrondis 1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/>
      </xdr:nvSpPr>
      <xdr:spPr>
        <a:xfrm>
          <a:off x="8290560" y="314325"/>
          <a:ext cx="967740" cy="47244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ELEC</a:t>
          </a:r>
        </a:p>
      </xdr:txBody>
    </xdr:sp>
    <xdr:clientData/>
  </xdr:twoCellAnchor>
  <xdr:twoCellAnchor>
    <xdr:from>
      <xdr:col>10</xdr:col>
      <xdr:colOff>333375</xdr:colOff>
      <xdr:row>1</xdr:row>
      <xdr:rowOff>133350</xdr:rowOff>
    </xdr:from>
    <xdr:to>
      <xdr:col>11</xdr:col>
      <xdr:colOff>561974</xdr:colOff>
      <xdr:row>4</xdr:row>
      <xdr:rowOff>19050</xdr:rowOff>
    </xdr:to>
    <xdr:sp macro="" textlink="">
      <xdr:nvSpPr>
        <xdr:cNvPr id="19" name="Rectangle : coins arrondis 1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/>
      </xdr:nvSpPr>
      <xdr:spPr>
        <a:xfrm>
          <a:off x="9334500" y="323850"/>
          <a:ext cx="990599" cy="457200"/>
        </a:xfrm>
        <a:prstGeom prst="roundRect">
          <a:avLst>
            <a:gd name="adj" fmla="val 9770"/>
          </a:avLst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SOLS</a:t>
          </a:r>
          <a:endParaRPr lang="fr-FR" sz="1100" b="1"/>
        </a:p>
      </xdr:txBody>
    </xdr:sp>
    <xdr:clientData/>
  </xdr:twoCellAnchor>
  <xdr:twoCellAnchor>
    <xdr:from>
      <xdr:col>3</xdr:col>
      <xdr:colOff>17145</xdr:colOff>
      <xdr:row>1</xdr:row>
      <xdr:rowOff>99060</xdr:rowOff>
    </xdr:from>
    <xdr:to>
      <xdr:col>3</xdr:col>
      <xdr:colOff>1047750</xdr:colOff>
      <xdr:row>3</xdr:row>
      <xdr:rowOff>186690</xdr:rowOff>
    </xdr:to>
    <xdr:sp macro="" textlink="">
      <xdr:nvSpPr>
        <xdr:cNvPr id="20" name="Rectangle : coins arrondis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/>
      </xdr:nvSpPr>
      <xdr:spPr>
        <a:xfrm>
          <a:off x="2522220" y="289560"/>
          <a:ext cx="103060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0</xdr:row>
      <xdr:rowOff>76200</xdr:rowOff>
    </xdr:from>
    <xdr:to>
      <xdr:col>1</xdr:col>
      <xdr:colOff>367665</xdr:colOff>
      <xdr:row>3</xdr:row>
      <xdr:rowOff>171450</xdr:rowOff>
    </xdr:to>
    <xdr:sp macro="" textlink="">
      <xdr:nvSpPr>
        <xdr:cNvPr id="21" name="Rectangle : coins arrondis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/>
      </xdr:nvSpPr>
      <xdr:spPr>
        <a:xfrm>
          <a:off x="95250" y="76200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413385</xdr:colOff>
      <xdr:row>1</xdr:row>
      <xdr:rowOff>99060</xdr:rowOff>
    </xdr:from>
    <xdr:to>
      <xdr:col>2</xdr:col>
      <xdr:colOff>680085</xdr:colOff>
      <xdr:row>3</xdr:row>
      <xdr:rowOff>186690</xdr:rowOff>
    </xdr:to>
    <xdr:sp macro="" textlink="">
      <xdr:nvSpPr>
        <xdr:cNvPr id="22" name="Rectangle : coins arrondis 2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/>
      </xdr:nvSpPr>
      <xdr:spPr>
        <a:xfrm>
          <a:off x="1394460" y="289560"/>
          <a:ext cx="1028700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868680</xdr:colOff>
      <xdr:row>1</xdr:row>
      <xdr:rowOff>118110</xdr:rowOff>
    </xdr:from>
    <xdr:to>
      <xdr:col>14</xdr:col>
      <xdr:colOff>161925</xdr:colOff>
      <xdr:row>4</xdr:row>
      <xdr:rowOff>11430</xdr:rowOff>
    </xdr:to>
    <xdr:sp macro="" textlink="">
      <xdr:nvSpPr>
        <xdr:cNvPr id="23" name="Rectangle : coins arrondis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/>
      </xdr:nvSpPr>
      <xdr:spPr>
        <a:xfrm>
          <a:off x="11399520" y="308610"/>
          <a:ext cx="1015365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PEINTURE</a:t>
          </a:r>
          <a:endParaRPr lang="fr-FR" sz="1100" b="1"/>
        </a:p>
      </xdr:txBody>
    </xdr:sp>
    <xdr:clientData/>
  </xdr:twoCellAnchor>
  <xdr:twoCellAnchor>
    <xdr:from>
      <xdr:col>11</xdr:col>
      <xdr:colOff>628650</xdr:colOff>
      <xdr:row>1</xdr:row>
      <xdr:rowOff>133350</xdr:rowOff>
    </xdr:from>
    <xdr:to>
      <xdr:col>12</xdr:col>
      <xdr:colOff>781050</xdr:colOff>
      <xdr:row>4</xdr:row>
      <xdr:rowOff>22859</xdr:rowOff>
    </xdr:to>
    <xdr:sp macro="" textlink="">
      <xdr:nvSpPr>
        <xdr:cNvPr id="24" name="Rectangle : coins arrondis 2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/>
      </xdr:nvSpPr>
      <xdr:spPr>
        <a:xfrm>
          <a:off x="10391775" y="323850"/>
          <a:ext cx="914400" cy="461009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PLATERIE</a:t>
          </a:r>
          <a:endParaRPr lang="fr-FR" sz="1100" b="1"/>
        </a:p>
      </xdr:txBody>
    </xdr:sp>
    <xdr:clientData/>
  </xdr:twoCellAnchor>
  <xdr:twoCellAnchor>
    <xdr:from>
      <xdr:col>14</xdr:col>
      <xdr:colOff>236220</xdr:colOff>
      <xdr:row>1</xdr:row>
      <xdr:rowOff>114300</xdr:rowOff>
    </xdr:from>
    <xdr:to>
      <xdr:col>15</xdr:col>
      <xdr:colOff>497205</xdr:colOff>
      <xdr:row>4</xdr:row>
      <xdr:rowOff>5715</xdr:rowOff>
    </xdr:to>
    <xdr:sp macro="" textlink="">
      <xdr:nvSpPr>
        <xdr:cNvPr id="25" name="Rectangle : coins arrondis 2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/>
      </xdr:nvSpPr>
      <xdr:spPr>
        <a:xfrm>
          <a:off x="12489180" y="304800"/>
          <a:ext cx="1022985" cy="462915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</xdr:colOff>
      <xdr:row>1</xdr:row>
      <xdr:rowOff>76200</xdr:rowOff>
    </xdr:from>
    <xdr:to>
      <xdr:col>5</xdr:col>
      <xdr:colOff>404182</xdr:colOff>
      <xdr:row>3</xdr:row>
      <xdr:rowOff>184785</xdr:rowOff>
    </xdr:to>
    <xdr:sp macro="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/>
      </xdr:nvSpPr>
      <xdr:spPr>
        <a:xfrm>
          <a:off x="3604260" y="266700"/>
          <a:ext cx="1105222" cy="48958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TOITURE</a:t>
          </a:r>
          <a:endParaRPr lang="fr-FR" sz="1100" b="1"/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476251</xdr:colOff>
      <xdr:row>1</xdr:row>
      <xdr:rowOff>57150</xdr:rowOff>
    </xdr:from>
    <xdr:to>
      <xdr:col>7</xdr:col>
      <xdr:colOff>19051</xdr:colOff>
      <xdr:row>3</xdr:row>
      <xdr:rowOff>182880</xdr:rowOff>
    </xdr:to>
    <xdr:sp macro="" textlink="">
      <xdr:nvSpPr>
        <xdr:cNvPr id="15" name="Rectangle :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/>
      </xdr:nvSpPr>
      <xdr:spPr>
        <a:xfrm>
          <a:off x="4781551" y="247650"/>
          <a:ext cx="1066800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7</xdr:col>
      <xdr:colOff>95250</xdr:colOff>
      <xdr:row>1</xdr:row>
      <xdr:rowOff>68581</xdr:rowOff>
    </xdr:from>
    <xdr:to>
      <xdr:col>8</xdr:col>
      <xdr:colOff>74617</xdr:colOff>
      <xdr:row>4</xdr:row>
      <xdr:rowOff>1907</xdr:rowOff>
    </xdr:to>
    <xdr:sp macro="" textlink="">
      <xdr:nvSpPr>
        <xdr:cNvPr id="16" name="Rectangle : coins arrondis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/>
      </xdr:nvSpPr>
      <xdr:spPr>
        <a:xfrm>
          <a:off x="6137910" y="251461"/>
          <a:ext cx="1152847" cy="481966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156210</xdr:colOff>
      <xdr:row>1</xdr:row>
      <xdr:rowOff>95251</xdr:rowOff>
    </xdr:from>
    <xdr:to>
      <xdr:col>8</xdr:col>
      <xdr:colOff>1203960</xdr:colOff>
      <xdr:row>4</xdr:row>
      <xdr:rowOff>1</xdr:rowOff>
    </xdr:to>
    <xdr:sp macro="" textlink="">
      <xdr:nvSpPr>
        <xdr:cNvPr id="17" name="Rectangle : coins arrondis 1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/>
      </xdr:nvSpPr>
      <xdr:spPr>
        <a:xfrm>
          <a:off x="7128510" y="285751"/>
          <a:ext cx="1047750" cy="4762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CVC</a:t>
          </a:r>
          <a:endParaRPr lang="fr-FR" sz="1100" b="1"/>
        </a:p>
      </xdr:txBody>
    </xdr:sp>
    <xdr:clientData/>
  </xdr:twoCellAnchor>
  <xdr:twoCellAnchor>
    <xdr:from>
      <xdr:col>9</xdr:col>
      <xdr:colOff>70485</xdr:colOff>
      <xdr:row>1</xdr:row>
      <xdr:rowOff>104775</xdr:rowOff>
    </xdr:from>
    <xdr:to>
      <xdr:col>10</xdr:col>
      <xdr:colOff>276225</xdr:colOff>
      <xdr:row>4</xdr:row>
      <xdr:rowOff>5715</xdr:rowOff>
    </xdr:to>
    <xdr:sp macro="" textlink="">
      <xdr:nvSpPr>
        <xdr:cNvPr id="18" name="Rectangle : coins arrondis 1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/>
      </xdr:nvSpPr>
      <xdr:spPr>
        <a:xfrm>
          <a:off x="8261985" y="295275"/>
          <a:ext cx="967740" cy="47244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ELEC</a:t>
          </a:r>
        </a:p>
      </xdr:txBody>
    </xdr:sp>
    <xdr:clientData/>
  </xdr:twoCellAnchor>
  <xdr:twoCellAnchor>
    <xdr:from>
      <xdr:col>10</xdr:col>
      <xdr:colOff>352425</xdr:colOff>
      <xdr:row>1</xdr:row>
      <xdr:rowOff>114300</xdr:rowOff>
    </xdr:from>
    <xdr:to>
      <xdr:col>11</xdr:col>
      <xdr:colOff>581024</xdr:colOff>
      <xdr:row>4</xdr:row>
      <xdr:rowOff>0</xdr:rowOff>
    </xdr:to>
    <xdr:sp macro="" textlink="">
      <xdr:nvSpPr>
        <xdr:cNvPr id="19" name="Rectangle : coins arrondis 1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/>
      </xdr:nvSpPr>
      <xdr:spPr>
        <a:xfrm>
          <a:off x="9305925" y="304800"/>
          <a:ext cx="990599" cy="45720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SOLS</a:t>
          </a:r>
          <a:endParaRPr lang="fr-FR" sz="1100" b="1"/>
        </a:p>
      </xdr:txBody>
    </xdr:sp>
    <xdr:clientData/>
  </xdr:twoCellAnchor>
  <xdr:twoCellAnchor>
    <xdr:from>
      <xdr:col>3</xdr:col>
      <xdr:colOff>102870</xdr:colOff>
      <xdr:row>1</xdr:row>
      <xdr:rowOff>80010</xdr:rowOff>
    </xdr:from>
    <xdr:to>
      <xdr:col>3</xdr:col>
      <xdr:colOff>1133475</xdr:colOff>
      <xdr:row>3</xdr:row>
      <xdr:rowOff>167640</xdr:rowOff>
    </xdr:to>
    <xdr:sp macro="" textlink="">
      <xdr:nvSpPr>
        <xdr:cNvPr id="20" name="Rectangle : coins arrondis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/>
      </xdr:nvSpPr>
      <xdr:spPr>
        <a:xfrm>
          <a:off x="2493645" y="270510"/>
          <a:ext cx="103060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66675</xdr:colOff>
      <xdr:row>0</xdr:row>
      <xdr:rowOff>57150</xdr:rowOff>
    </xdr:from>
    <xdr:to>
      <xdr:col>1</xdr:col>
      <xdr:colOff>453390</xdr:colOff>
      <xdr:row>3</xdr:row>
      <xdr:rowOff>152400</xdr:rowOff>
    </xdr:to>
    <xdr:sp macro="" textlink="">
      <xdr:nvSpPr>
        <xdr:cNvPr id="21" name="Rectangle : coins arrondis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/>
      </xdr:nvSpPr>
      <xdr:spPr>
        <a:xfrm>
          <a:off x="66675" y="57150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499110</xdr:colOff>
      <xdr:row>1</xdr:row>
      <xdr:rowOff>80010</xdr:rowOff>
    </xdr:from>
    <xdr:to>
      <xdr:col>3</xdr:col>
      <xdr:colOff>3810</xdr:colOff>
      <xdr:row>3</xdr:row>
      <xdr:rowOff>167640</xdr:rowOff>
    </xdr:to>
    <xdr:sp macro="" textlink="">
      <xdr:nvSpPr>
        <xdr:cNvPr id="22" name="Rectangle : coins arrondis 2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/>
      </xdr:nvSpPr>
      <xdr:spPr>
        <a:xfrm>
          <a:off x="1365885" y="270510"/>
          <a:ext cx="1028700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866775</xdr:colOff>
      <xdr:row>1</xdr:row>
      <xdr:rowOff>110490</xdr:rowOff>
    </xdr:from>
    <xdr:to>
      <xdr:col>14</xdr:col>
      <xdr:colOff>192405</xdr:colOff>
      <xdr:row>4</xdr:row>
      <xdr:rowOff>3810</xdr:rowOff>
    </xdr:to>
    <xdr:sp macro="" textlink="">
      <xdr:nvSpPr>
        <xdr:cNvPr id="23" name="Rectangle : coins arrondis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/>
      </xdr:nvSpPr>
      <xdr:spPr>
        <a:xfrm>
          <a:off x="11363325" y="300990"/>
          <a:ext cx="102108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PEINTURE</a:t>
          </a:r>
          <a:endParaRPr lang="fr-FR" sz="1100" b="1"/>
        </a:p>
      </xdr:txBody>
    </xdr:sp>
    <xdr:clientData/>
  </xdr:twoCellAnchor>
  <xdr:twoCellAnchor>
    <xdr:from>
      <xdr:col>11</xdr:col>
      <xdr:colOff>647700</xdr:colOff>
      <xdr:row>1</xdr:row>
      <xdr:rowOff>114300</xdr:rowOff>
    </xdr:from>
    <xdr:to>
      <xdr:col>12</xdr:col>
      <xdr:colOff>781050</xdr:colOff>
      <xdr:row>4</xdr:row>
      <xdr:rowOff>3809</xdr:rowOff>
    </xdr:to>
    <xdr:sp macro="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/>
      </xdr:nvSpPr>
      <xdr:spPr>
        <a:xfrm>
          <a:off x="10363200" y="304800"/>
          <a:ext cx="914400" cy="461009"/>
        </a:xfrm>
        <a:prstGeom prst="roundRect">
          <a:avLst>
            <a:gd name="adj" fmla="val 9770"/>
          </a:avLst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PLATERIE</a:t>
          </a:r>
          <a:endParaRPr lang="fr-FR" sz="1100" b="1"/>
        </a:p>
      </xdr:txBody>
    </xdr:sp>
    <xdr:clientData/>
  </xdr:twoCellAnchor>
  <xdr:twoCellAnchor>
    <xdr:from>
      <xdr:col>14</xdr:col>
      <xdr:colOff>285750</xdr:colOff>
      <xdr:row>1</xdr:row>
      <xdr:rowOff>114300</xdr:rowOff>
    </xdr:from>
    <xdr:to>
      <xdr:col>15</xdr:col>
      <xdr:colOff>544830</xdr:colOff>
      <xdr:row>4</xdr:row>
      <xdr:rowOff>7620</xdr:rowOff>
    </xdr:to>
    <xdr:sp macro="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/>
      </xdr:nvSpPr>
      <xdr:spPr>
        <a:xfrm>
          <a:off x="12477750" y="304800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165735</xdr:colOff>
      <xdr:row>1</xdr:row>
      <xdr:rowOff>85725</xdr:rowOff>
    </xdr:from>
    <xdr:to>
      <xdr:col>5</xdr:col>
      <xdr:colOff>508957</xdr:colOff>
      <xdr:row>4</xdr:row>
      <xdr:rowOff>3810</xdr:rowOff>
    </xdr:to>
    <xdr:sp macro="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/>
      </xdr:nvSpPr>
      <xdr:spPr>
        <a:xfrm>
          <a:off x="3623310" y="276225"/>
          <a:ext cx="1105222" cy="48958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TOITURE</a:t>
          </a:r>
          <a:endParaRPr lang="fr-FR" sz="1100" b="1"/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581026</xdr:colOff>
      <xdr:row>1</xdr:row>
      <xdr:rowOff>66675</xdr:rowOff>
    </xdr:from>
    <xdr:to>
      <xdr:col>7</xdr:col>
      <xdr:colOff>123826</xdr:colOff>
      <xdr:row>4</xdr:row>
      <xdr:rowOff>1905</xdr:rowOff>
    </xdr:to>
    <xdr:sp macro="" textlink="">
      <xdr:nvSpPr>
        <xdr:cNvPr id="13" name="Rectangle : coins arrondis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/>
      </xdr:nvSpPr>
      <xdr:spPr>
        <a:xfrm>
          <a:off x="4800601" y="257175"/>
          <a:ext cx="1066800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7</xdr:col>
      <xdr:colOff>200025</xdr:colOff>
      <xdr:row>1</xdr:row>
      <xdr:rowOff>76200</xdr:rowOff>
    </xdr:from>
    <xdr:to>
      <xdr:col>8</xdr:col>
      <xdr:colOff>217492</xdr:colOff>
      <xdr:row>4</xdr:row>
      <xdr:rowOff>11431</xdr:rowOff>
    </xdr:to>
    <xdr:sp macro="" textlink="">
      <xdr:nvSpPr>
        <xdr:cNvPr id="14" name="Rectangle : coins arrondis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/>
      </xdr:nvSpPr>
      <xdr:spPr>
        <a:xfrm>
          <a:off x="6151245" y="259080"/>
          <a:ext cx="1152847" cy="48387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299085</xdr:colOff>
      <xdr:row>1</xdr:row>
      <xdr:rowOff>104776</xdr:rowOff>
    </xdr:from>
    <xdr:to>
      <xdr:col>9</xdr:col>
      <xdr:colOff>127635</xdr:colOff>
      <xdr:row>4</xdr:row>
      <xdr:rowOff>9526</xdr:rowOff>
    </xdr:to>
    <xdr:sp macro="" textlink="">
      <xdr:nvSpPr>
        <xdr:cNvPr id="15" name="Rectangle : coins arrondis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/>
      </xdr:nvSpPr>
      <xdr:spPr>
        <a:xfrm>
          <a:off x="7147560" y="295276"/>
          <a:ext cx="1047750" cy="4762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CVC</a:t>
          </a:r>
          <a:endParaRPr lang="fr-FR" sz="1100" b="1"/>
        </a:p>
      </xdr:txBody>
    </xdr:sp>
    <xdr:clientData/>
  </xdr:twoCellAnchor>
  <xdr:twoCellAnchor>
    <xdr:from>
      <xdr:col>9</xdr:col>
      <xdr:colOff>213360</xdr:colOff>
      <xdr:row>1</xdr:row>
      <xdr:rowOff>114300</xdr:rowOff>
    </xdr:from>
    <xdr:to>
      <xdr:col>10</xdr:col>
      <xdr:colOff>419100</xdr:colOff>
      <xdr:row>4</xdr:row>
      <xdr:rowOff>15240</xdr:rowOff>
    </xdr:to>
    <xdr:sp macro="" textlink="">
      <xdr:nvSpPr>
        <xdr:cNvPr id="16" name="Rectangle : coins arrondis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/>
      </xdr:nvSpPr>
      <xdr:spPr>
        <a:xfrm>
          <a:off x="8281035" y="304800"/>
          <a:ext cx="967740" cy="47244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ELEC</a:t>
          </a:r>
        </a:p>
      </xdr:txBody>
    </xdr:sp>
    <xdr:clientData/>
  </xdr:twoCellAnchor>
  <xdr:twoCellAnchor>
    <xdr:from>
      <xdr:col>10</xdr:col>
      <xdr:colOff>495300</xdr:colOff>
      <xdr:row>1</xdr:row>
      <xdr:rowOff>123825</xdr:rowOff>
    </xdr:from>
    <xdr:to>
      <xdr:col>11</xdr:col>
      <xdr:colOff>723899</xdr:colOff>
      <xdr:row>4</xdr:row>
      <xdr:rowOff>9525</xdr:rowOff>
    </xdr:to>
    <xdr:sp macro="" textlink="">
      <xdr:nvSpPr>
        <xdr:cNvPr id="17" name="Rectangle : coins arrondis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/>
      </xdr:nvSpPr>
      <xdr:spPr>
        <a:xfrm>
          <a:off x="9324975" y="314325"/>
          <a:ext cx="990599" cy="45720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SOLS</a:t>
          </a:r>
          <a:endParaRPr lang="fr-FR" sz="1100" b="1"/>
        </a:p>
      </xdr:txBody>
    </xdr:sp>
    <xdr:clientData/>
  </xdr:twoCellAnchor>
  <xdr:twoCellAnchor>
    <xdr:from>
      <xdr:col>3</xdr:col>
      <xdr:colOff>83820</xdr:colOff>
      <xdr:row>1</xdr:row>
      <xdr:rowOff>89535</xdr:rowOff>
    </xdr:from>
    <xdr:to>
      <xdr:col>4</xdr:col>
      <xdr:colOff>85725</xdr:colOff>
      <xdr:row>3</xdr:row>
      <xdr:rowOff>177165</xdr:rowOff>
    </xdr:to>
    <xdr:sp macro="" textlink="">
      <xdr:nvSpPr>
        <xdr:cNvPr id="18" name="Rectangle : coins arrondis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/>
      </xdr:nvSpPr>
      <xdr:spPr>
        <a:xfrm>
          <a:off x="2512695" y="280035"/>
          <a:ext cx="103060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85725</xdr:colOff>
      <xdr:row>0</xdr:row>
      <xdr:rowOff>66675</xdr:rowOff>
    </xdr:from>
    <xdr:to>
      <xdr:col>1</xdr:col>
      <xdr:colOff>434340</xdr:colOff>
      <xdr:row>3</xdr:row>
      <xdr:rowOff>161925</xdr:rowOff>
    </xdr:to>
    <xdr:sp macro="" textlink="">
      <xdr:nvSpPr>
        <xdr:cNvPr id="19" name="Rectangle : coins arrondis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/>
      </xdr:nvSpPr>
      <xdr:spPr>
        <a:xfrm>
          <a:off x="85725" y="66675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480060</xdr:colOff>
      <xdr:row>1</xdr:row>
      <xdr:rowOff>89535</xdr:rowOff>
    </xdr:from>
    <xdr:to>
      <xdr:col>2</xdr:col>
      <xdr:colOff>746760</xdr:colOff>
      <xdr:row>3</xdr:row>
      <xdr:rowOff>177165</xdr:rowOff>
    </xdr:to>
    <xdr:sp macro="" textlink="">
      <xdr:nvSpPr>
        <xdr:cNvPr id="20" name="Rectangle : coins arrondis 1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/>
      </xdr:nvSpPr>
      <xdr:spPr>
        <a:xfrm>
          <a:off x="1384935" y="280035"/>
          <a:ext cx="1028700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13</xdr:col>
      <xdr:colOff>180975</xdr:colOff>
      <xdr:row>1</xdr:row>
      <xdr:rowOff>120015</xdr:rowOff>
    </xdr:from>
    <xdr:to>
      <xdr:col>14</xdr:col>
      <xdr:colOff>440055</xdr:colOff>
      <xdr:row>4</xdr:row>
      <xdr:rowOff>13335</xdr:rowOff>
    </xdr:to>
    <xdr:sp macro="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/>
      </xdr:nvSpPr>
      <xdr:spPr>
        <a:xfrm>
          <a:off x="11382375" y="310515"/>
          <a:ext cx="1021080" cy="464820"/>
        </a:xfrm>
        <a:prstGeom prst="roundRect">
          <a:avLst>
            <a:gd name="adj" fmla="val 9770"/>
          </a:avLst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PEINTURE</a:t>
          </a:r>
          <a:endParaRPr lang="fr-FR" sz="1100" b="1"/>
        </a:p>
      </xdr:txBody>
    </xdr:sp>
    <xdr:clientData/>
  </xdr:twoCellAnchor>
  <xdr:twoCellAnchor>
    <xdr:from>
      <xdr:col>12</xdr:col>
      <xdr:colOff>28575</xdr:colOff>
      <xdr:row>1</xdr:row>
      <xdr:rowOff>123825</xdr:rowOff>
    </xdr:from>
    <xdr:to>
      <xdr:col>13</xdr:col>
      <xdr:colOff>95250</xdr:colOff>
      <xdr:row>4</xdr:row>
      <xdr:rowOff>13334</xdr:rowOff>
    </xdr:to>
    <xdr:sp macro="" textlink="">
      <xdr:nvSpPr>
        <xdr:cNvPr id="22" name="Rectangle : coins arrondis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/>
      </xdr:nvSpPr>
      <xdr:spPr>
        <a:xfrm>
          <a:off x="10382250" y="314325"/>
          <a:ext cx="914400" cy="461009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PLATERIE</a:t>
          </a:r>
          <a:endParaRPr lang="fr-FR" sz="1100" b="1"/>
        </a:p>
      </xdr:txBody>
    </xdr:sp>
    <xdr:clientData/>
  </xdr:twoCellAnchor>
  <xdr:twoCellAnchor>
    <xdr:from>
      <xdr:col>14</xdr:col>
      <xdr:colOff>533400</xdr:colOff>
      <xdr:row>1</xdr:row>
      <xdr:rowOff>123825</xdr:rowOff>
    </xdr:from>
    <xdr:to>
      <xdr:col>16</xdr:col>
      <xdr:colOff>30480</xdr:colOff>
      <xdr:row>4</xdr:row>
      <xdr:rowOff>17145</xdr:rowOff>
    </xdr:to>
    <xdr:sp macro="" textlink="">
      <xdr:nvSpPr>
        <xdr:cNvPr id="23" name="Rectangle : coins arrondis 2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/>
      </xdr:nvSpPr>
      <xdr:spPr>
        <a:xfrm>
          <a:off x="12496800" y="314325"/>
          <a:ext cx="1021080" cy="464820"/>
        </a:xfrm>
        <a:prstGeom prst="roundRect">
          <a:avLst>
            <a:gd name="adj" fmla="val 9770"/>
          </a:avLst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1089660</xdr:colOff>
      <xdr:row>1</xdr:row>
      <xdr:rowOff>123825</xdr:rowOff>
    </xdr:from>
    <xdr:to>
      <xdr:col>5</xdr:col>
      <xdr:colOff>242257</xdr:colOff>
      <xdr:row>4</xdr:row>
      <xdr:rowOff>41910</xdr:rowOff>
    </xdr:to>
    <xdr:sp macro="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/>
      </xdr:nvSpPr>
      <xdr:spPr>
        <a:xfrm>
          <a:off x="3642360" y="314325"/>
          <a:ext cx="1105222" cy="48958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TOITURE</a:t>
          </a:r>
          <a:endParaRPr lang="fr-FR" sz="1100" b="1"/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314326</xdr:colOff>
      <xdr:row>1</xdr:row>
      <xdr:rowOff>104775</xdr:rowOff>
    </xdr:from>
    <xdr:to>
      <xdr:col>6</xdr:col>
      <xdr:colOff>619126</xdr:colOff>
      <xdr:row>4</xdr:row>
      <xdr:rowOff>40005</xdr:rowOff>
    </xdr:to>
    <xdr:sp macro="" textlink="">
      <xdr:nvSpPr>
        <xdr:cNvPr id="13" name="Rectangle : coins arrondis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/>
      </xdr:nvSpPr>
      <xdr:spPr>
        <a:xfrm>
          <a:off x="4819651" y="295275"/>
          <a:ext cx="1066800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6</xdr:col>
      <xdr:colOff>695325</xdr:colOff>
      <xdr:row>1</xdr:row>
      <xdr:rowOff>106680</xdr:rowOff>
    </xdr:from>
    <xdr:to>
      <xdr:col>7</xdr:col>
      <xdr:colOff>1055692</xdr:colOff>
      <xdr:row>4</xdr:row>
      <xdr:rowOff>49531</xdr:rowOff>
    </xdr:to>
    <xdr:sp macro="" textlink="">
      <xdr:nvSpPr>
        <xdr:cNvPr id="14" name="Rectangle : coins arrondis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/>
      </xdr:nvSpPr>
      <xdr:spPr>
        <a:xfrm>
          <a:off x="6151245" y="289560"/>
          <a:ext cx="1152847" cy="49149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80010</xdr:colOff>
      <xdr:row>1</xdr:row>
      <xdr:rowOff>175259</xdr:rowOff>
    </xdr:from>
    <xdr:to>
      <xdr:col>8</xdr:col>
      <xdr:colOff>1131570</xdr:colOff>
      <xdr:row>4</xdr:row>
      <xdr:rowOff>45720</xdr:rowOff>
    </xdr:to>
    <xdr:sp macro="" textlink="">
      <xdr:nvSpPr>
        <xdr:cNvPr id="15" name="Rectangle : coins arrondis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/>
      </xdr:nvSpPr>
      <xdr:spPr>
        <a:xfrm>
          <a:off x="7166610" y="365759"/>
          <a:ext cx="1051560" cy="44196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CVC</a:t>
          </a:r>
          <a:endParaRPr lang="fr-FR" sz="1100" b="1"/>
        </a:p>
      </xdr:txBody>
    </xdr:sp>
    <xdr:clientData/>
  </xdr:twoCellAnchor>
  <xdr:twoCellAnchor>
    <xdr:from>
      <xdr:col>8</xdr:col>
      <xdr:colOff>1215390</xdr:colOff>
      <xdr:row>1</xdr:row>
      <xdr:rowOff>152400</xdr:rowOff>
    </xdr:from>
    <xdr:to>
      <xdr:col>10</xdr:col>
      <xdr:colOff>198120</xdr:colOff>
      <xdr:row>4</xdr:row>
      <xdr:rowOff>45720</xdr:rowOff>
    </xdr:to>
    <xdr:sp macro="" textlink="">
      <xdr:nvSpPr>
        <xdr:cNvPr id="16" name="Rectangle : coins arrondis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/>
      </xdr:nvSpPr>
      <xdr:spPr>
        <a:xfrm>
          <a:off x="8301990" y="342900"/>
          <a:ext cx="963930" cy="46482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ELEC</a:t>
          </a:r>
        </a:p>
      </xdr:txBody>
    </xdr:sp>
    <xdr:clientData/>
  </xdr:twoCellAnchor>
  <xdr:twoCellAnchor>
    <xdr:from>
      <xdr:col>10</xdr:col>
      <xdr:colOff>274320</xdr:colOff>
      <xdr:row>1</xdr:row>
      <xdr:rowOff>160020</xdr:rowOff>
    </xdr:from>
    <xdr:to>
      <xdr:col>11</xdr:col>
      <xdr:colOff>502919</xdr:colOff>
      <xdr:row>4</xdr:row>
      <xdr:rowOff>45720</xdr:rowOff>
    </xdr:to>
    <xdr:sp macro="" textlink="">
      <xdr:nvSpPr>
        <xdr:cNvPr id="17" name="Rectangle : coins arrondis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/>
      </xdr:nvSpPr>
      <xdr:spPr>
        <a:xfrm>
          <a:off x="9342120" y="350520"/>
          <a:ext cx="990599" cy="45720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SOLS</a:t>
          </a:r>
          <a:endParaRPr lang="fr-FR" sz="1100" b="1"/>
        </a:p>
      </xdr:txBody>
    </xdr:sp>
    <xdr:clientData/>
  </xdr:twoCellAnchor>
  <xdr:twoCellAnchor>
    <xdr:from>
      <xdr:col>2</xdr:col>
      <xdr:colOff>741045</xdr:colOff>
      <xdr:row>1</xdr:row>
      <xdr:rowOff>127635</xdr:rowOff>
    </xdr:from>
    <xdr:to>
      <xdr:col>3</xdr:col>
      <xdr:colOff>1009650</xdr:colOff>
      <xdr:row>4</xdr:row>
      <xdr:rowOff>24765</xdr:rowOff>
    </xdr:to>
    <xdr:sp macro="" textlink="">
      <xdr:nvSpPr>
        <xdr:cNvPr id="18" name="Rectangle : coins arrondis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/>
      </xdr:nvSpPr>
      <xdr:spPr>
        <a:xfrm>
          <a:off x="2531745" y="318135"/>
          <a:ext cx="103060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104775</xdr:colOff>
      <xdr:row>0</xdr:row>
      <xdr:rowOff>104775</xdr:rowOff>
    </xdr:from>
    <xdr:to>
      <xdr:col>1</xdr:col>
      <xdr:colOff>329565</xdr:colOff>
      <xdr:row>4</xdr:row>
      <xdr:rowOff>9525</xdr:rowOff>
    </xdr:to>
    <xdr:sp macro="" textlink="">
      <xdr:nvSpPr>
        <xdr:cNvPr id="19" name="Rectangle : coins arrondis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/>
      </xdr:nvSpPr>
      <xdr:spPr>
        <a:xfrm>
          <a:off x="104775" y="104775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375285</xdr:colOff>
      <xdr:row>1</xdr:row>
      <xdr:rowOff>127635</xdr:rowOff>
    </xdr:from>
    <xdr:to>
      <xdr:col>2</xdr:col>
      <xdr:colOff>641985</xdr:colOff>
      <xdr:row>4</xdr:row>
      <xdr:rowOff>24765</xdr:rowOff>
    </xdr:to>
    <xdr:sp macro="" textlink="">
      <xdr:nvSpPr>
        <xdr:cNvPr id="21" name="Rectangle : coins arrondis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/>
      </xdr:nvSpPr>
      <xdr:spPr>
        <a:xfrm>
          <a:off x="1403985" y="318135"/>
          <a:ext cx="1028700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809625</xdr:colOff>
      <xdr:row>1</xdr:row>
      <xdr:rowOff>158115</xdr:rowOff>
    </xdr:from>
    <xdr:to>
      <xdr:col>14</xdr:col>
      <xdr:colOff>135255</xdr:colOff>
      <xdr:row>4</xdr:row>
      <xdr:rowOff>51435</xdr:rowOff>
    </xdr:to>
    <xdr:sp macro="" textlink="">
      <xdr:nvSpPr>
        <xdr:cNvPr id="20" name="Rectangle : coins arrondis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/>
      </xdr:nvSpPr>
      <xdr:spPr>
        <a:xfrm>
          <a:off x="11401425" y="348615"/>
          <a:ext cx="102108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PEINTURE</a:t>
          </a:r>
          <a:endParaRPr lang="fr-FR" sz="1100" b="1"/>
        </a:p>
      </xdr:txBody>
    </xdr:sp>
    <xdr:clientData/>
  </xdr:twoCellAnchor>
  <xdr:twoCellAnchor>
    <xdr:from>
      <xdr:col>11</xdr:col>
      <xdr:colOff>571500</xdr:colOff>
      <xdr:row>1</xdr:row>
      <xdr:rowOff>161925</xdr:rowOff>
    </xdr:from>
    <xdr:to>
      <xdr:col>12</xdr:col>
      <xdr:colOff>723900</xdr:colOff>
      <xdr:row>4</xdr:row>
      <xdr:rowOff>51434</xdr:rowOff>
    </xdr:to>
    <xdr:sp macro="" textlink="">
      <xdr:nvSpPr>
        <xdr:cNvPr id="22" name="Rectangle : coins arrondis 2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/>
      </xdr:nvSpPr>
      <xdr:spPr>
        <a:xfrm>
          <a:off x="10401300" y="352425"/>
          <a:ext cx="914400" cy="461009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PLATERIE</a:t>
          </a:r>
          <a:endParaRPr lang="fr-FR" sz="1100" b="1"/>
        </a:p>
      </xdr:txBody>
    </xdr:sp>
    <xdr:clientData/>
  </xdr:twoCellAnchor>
  <xdr:twoCellAnchor>
    <xdr:from>
      <xdr:col>14</xdr:col>
      <xdr:colOff>222884</xdr:colOff>
      <xdr:row>1</xdr:row>
      <xdr:rowOff>161925</xdr:rowOff>
    </xdr:from>
    <xdr:to>
      <xdr:col>15</xdr:col>
      <xdr:colOff>548639</xdr:colOff>
      <xdr:row>4</xdr:row>
      <xdr:rowOff>59055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/>
      </xdr:nvSpPr>
      <xdr:spPr>
        <a:xfrm>
          <a:off x="12513944" y="352425"/>
          <a:ext cx="1087755" cy="468630"/>
        </a:xfrm>
        <a:prstGeom prst="roundRect">
          <a:avLst>
            <a:gd name="adj" fmla="val 9770"/>
          </a:avLst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.arnaez-caron" refreshedDate="44326.745180787038" createdVersion="6" refreshedVersion="6" minRefreshableVersion="3" recordCount="80" xr:uid="{4EBFC0AF-9338-4B08-9328-C0CD2380DCD6}">
  <cacheSource type="external" connectionId="6"/>
  <cacheFields count="6">
    <cacheField name="Date OS" numFmtId="0">
      <sharedItems containsSemiMixedTypes="0" containsNonDate="0" containsDate="1" containsString="0" minDate="2018-05-02T00:00:00" maxDate="2019-09-11T00:00:00" count="2">
        <d v="2018-05-02T00:00:00"/>
        <d v="2019-09-10T00:00:00"/>
      </sharedItems>
      <fieldGroup par="5" base="0">
        <rangePr groupBy="months" startDate="2018-05-02T00:00:00" endDate="2019-09-11T00:00:00"/>
        <groupItems count="14">
          <s v="&lt;02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9/2019"/>
        </groupItems>
      </fieldGroup>
    </cacheField>
    <cacheField name="RATIO" numFmtId="0">
      <sharedItems count="48">
        <s v="RATIO SU"/>
        <s v="RATIO SHAB"/>
        <s v="RATIO SDP"/>
        <s v="RATIO LOGEMENT"/>
        <s v="RATIO SU GO"/>
        <s v="RATIO SHAB GO"/>
        <s v="RATIO SDP GO"/>
        <s v="RATIO LOGEMENT GO"/>
        <s v="RATIO SU TOITURE"/>
        <s v="RATIO SHAB TOITURE"/>
        <s v="RATIO SDP TOITURE"/>
        <s v="RATIO LOGEMENT TOITURE"/>
        <s v="RATIO SU MENUISERIES EXT"/>
        <s v="RATIO SHAB MENUISERIES EXT"/>
        <s v="RATIO SDP MENUISERIES EXT"/>
        <s v="RATIO LOGEMENT MENUISERIES EXT"/>
        <s v="RATIO SU CVC"/>
        <s v="RATIO SHAB CVC"/>
        <s v="RATIO SDP CVC"/>
        <s v="RATIO LOGEMENT CVC"/>
        <s v="RATIO SU ELEC"/>
        <s v="RATIO SHAB ELEC"/>
        <s v="RATIO SDP ELEC"/>
        <s v="RATIO LOGEMENT ELEC"/>
        <s v="RATIO SU MENUISERIES INT"/>
        <s v="RATIO SHAB MENUISERIES INT"/>
        <s v="RATIO SDP MENUISERIES INT"/>
        <s v="RATIO LOGEMENT MENUISERIES INT"/>
        <s v="RATIO SU SOLS"/>
        <s v="RATIO SHAB SOLS"/>
        <s v="RATIO SDP SOLS"/>
        <s v="RATIO LOGEMENT SOLS"/>
        <s v="RATIO SU PLATRERIE"/>
        <s v="RATIO SHAB PLATRERIE"/>
        <s v="RATIO SDP PLATRERIE"/>
        <s v="RATIO LOGEMENT PLATRERIE"/>
        <s v="RATIO SU PEINTURE"/>
        <s v="RATIO SHAB PEINTURE"/>
        <s v="RATIO SDP PEINTURE"/>
        <s v="RATIO LOGEMENT PEINTURE"/>
        <s v="TableauTOITURE.RATIO SDP TOITURE" u="1"/>
        <s v="TableauGO.RATIO LOGEMENT GO" u="1"/>
        <s v="TableauTOITURE.RATIO LOGEMENT TOITURE" u="1"/>
        <s v="TableauTOITURE.RATIO SU TOITURE" u="1"/>
        <s v="TableauTOITURE.RATIO SHAB TOITURE" u="1"/>
        <s v="TableauGO.RATIO SU GO" u="1"/>
        <s v="TableauGO.RATIO SDP GO" u="1"/>
        <s v="TableauGO.RATIO SHAB GO" u="1"/>
      </sharedItems>
    </cacheField>
    <cacheField name="Valeur" numFmtId="0">
      <sharedItems containsSemiMixedTypes="0" containsString="0" containsNumber="1" minValue="31.440336461280125" maxValue="105722.65363636363"/>
    </cacheField>
    <cacheField name="LOTS" numFmtId="0">
      <sharedItems containsBlank="1" count="11">
        <s v="BILAN"/>
        <s v="GO"/>
        <s v="TOITURE"/>
        <s v="MENUISERIES EXT"/>
        <s v="CVC"/>
        <s v="ELEC"/>
        <s v="MENUISERIES INT"/>
        <s v="SOLS"/>
        <s v="PLATRERIE"/>
        <s v="PEINTURE"/>
        <m u="1"/>
      </sharedItems>
    </cacheField>
    <cacheField name="Trimestres" numFmtId="0" databaseField="0">
      <fieldGroup base="0">
        <rangePr groupBy="quarters" startDate="2018-05-02T00:00:00" endDate="2019-09-11T00:00:00"/>
        <groupItems count="6">
          <s v="&lt;02/05/2018"/>
          <s v="Trimestre1"/>
          <s v="Trimestre2"/>
          <s v="Trimestre3"/>
          <s v="Trimestre4"/>
          <s v="&gt;11/09/2019"/>
        </groupItems>
      </fieldGroup>
    </cacheField>
    <cacheField name="Années" numFmtId="0" databaseField="0">
      <fieldGroup base="0">
        <rangePr groupBy="years" startDate="2018-05-02T00:00:00" endDate="2019-09-11T00:00:00"/>
        <groupItems count="4">
          <s v="&lt;02/05/2018"/>
          <s v="2018"/>
          <s v="2019"/>
          <s v="&gt;11/09/2019"/>
        </groupItems>
      </fieldGroup>
    </cacheField>
  </cacheFields>
  <extLst>
    <ext xmlns:x14="http://schemas.microsoft.com/office/spreadsheetml/2009/9/main" uri="{725AE2AE-9491-48be-B2B4-4EB974FC3084}">
      <x14:pivotCacheDefinition pivotCacheId="1781405577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.arnaez-caron" refreshedDate="44334.583293055555" createdVersion="6" refreshedVersion="6" minRefreshableVersion="3" recordCount="3" xr:uid="{DFC77360-43E7-42EB-9C90-E55A1678D49E}">
  <cacheSource type="worksheet">
    <worksheetSource ref="H2:H5" sheet="Données"/>
  </cacheSource>
  <cacheFields count="1">
    <cacheField name="Opération" numFmtId="0">
      <sharedItems count="4">
        <s v="Les Fenetras"/>
        <s v="Manouchian"/>
        <s v="TEST"/>
        <s v="Las Fenetras" u="1"/>
      </sharedItems>
    </cacheField>
  </cacheFields>
  <extLst>
    <ext xmlns:x14="http://schemas.microsoft.com/office/spreadsheetml/2009/9/main" uri="{725AE2AE-9491-48be-B2B4-4EB974FC3084}">
      <x14:pivotCacheDefinition pivotCacheId="10274096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0">
  <r>
    <x v="0"/>
    <x v="0"/>
    <n v="1304.7886840338449"/>
    <x v="0"/>
  </r>
  <r>
    <x v="0"/>
    <x v="1"/>
    <n v="1457.7015933879475"/>
    <x v="0"/>
  </r>
  <r>
    <x v="0"/>
    <x v="2"/>
    <n v="1341.0841048549696"/>
    <x v="0"/>
  </r>
  <r>
    <x v="0"/>
    <x v="3"/>
    <n v="86720.31801886794"/>
    <x v="0"/>
  </r>
  <r>
    <x v="0"/>
    <x v="4"/>
    <n v="691.16565295830151"/>
    <x v="1"/>
  </r>
  <r>
    <x v="0"/>
    <x v="5"/>
    <n v="772.16585792079366"/>
    <x v="1"/>
  </r>
  <r>
    <x v="0"/>
    <x v="6"/>
    <n v="710.39186831270922"/>
    <x v="1"/>
  </r>
  <r>
    <x v="0"/>
    <x v="7"/>
    <n v="45937.021037735853"/>
    <x v="1"/>
  </r>
  <r>
    <x v="0"/>
    <x v="8"/>
    <n v="41.318410410654792"/>
    <x v="2"/>
  </r>
  <r>
    <x v="0"/>
    <x v="9"/>
    <n v="46.160664503667896"/>
    <x v="2"/>
  </r>
  <r>
    <x v="0"/>
    <x v="10"/>
    <n v="42.467768242973143"/>
    <x v="2"/>
  </r>
  <r>
    <x v="0"/>
    <x v="11"/>
    <n v="2746.1501886792453"/>
    <x v="2"/>
  </r>
  <r>
    <x v="0"/>
    <x v="12"/>
    <n v="40.16280842402297"/>
    <x v="3"/>
  </r>
  <r>
    <x v="0"/>
    <x v="13"/>
    <n v="44.869633336822034"/>
    <x v="3"/>
  </r>
  <r>
    <x v="0"/>
    <x v="14"/>
    <n v="41.280020774916039"/>
    <x v="3"/>
  </r>
  <r>
    <x v="0"/>
    <x v="15"/>
    <n v="2669.3452830188676"/>
    <x v="3"/>
  </r>
  <r>
    <x v="0"/>
    <x v="16"/>
    <n v="136.7017454709592"/>
    <x v="4"/>
  </r>
  <r>
    <x v="0"/>
    <x v="17"/>
    <n v="152.72231789738757"/>
    <x v="4"/>
  </r>
  <r>
    <x v="0"/>
    <x v="18"/>
    <n v="140.50438986814348"/>
    <x v="4"/>
  </r>
  <r>
    <x v="0"/>
    <x v="19"/>
    <n v="9085.6235849056593"/>
    <x v="4"/>
  </r>
  <r>
    <x v="0"/>
    <x v="20"/>
    <n v="83.755973309070569"/>
    <x v="5"/>
  </r>
  <r>
    <x v="0"/>
    <x v="21"/>
    <n v="93.571639026587121"/>
    <x v="5"/>
  </r>
  <r>
    <x v="0"/>
    <x v="22"/>
    <n v="86.085820536237932"/>
    <x v="5"/>
  </r>
  <r>
    <x v="0"/>
    <x v="23"/>
    <n v="5566.6827358490564"/>
    <x v="5"/>
  </r>
  <r>
    <x v="0"/>
    <x v="24"/>
    <n v="46.353282924703585"/>
    <x v="6"/>
  </r>
  <r>
    <x v="0"/>
    <x v="25"/>
    <n v="51.78559195440576"/>
    <x v="6"/>
  </r>
  <r>
    <x v="0"/>
    <x v="26"/>
    <n v="47.642696245634198"/>
    <x v="6"/>
  </r>
  <r>
    <x v="0"/>
    <x v="27"/>
    <n v="3080.7834905660375"/>
    <x v="6"/>
  </r>
  <r>
    <x v="0"/>
    <x v="28"/>
    <n v="54.499275381861693"/>
    <x v="7"/>
  </r>
  <r>
    <x v="0"/>
    <x v="29"/>
    <n v="60.8862427569671"/>
    <x v="7"/>
  </r>
  <r>
    <x v="0"/>
    <x v="30"/>
    <n v="56.015286486675748"/>
    <x v="7"/>
  </r>
  <r>
    <x v="0"/>
    <x v="31"/>
    <n v="3622.191509433962"/>
    <x v="7"/>
  </r>
  <r>
    <x v="0"/>
    <x v="32"/>
    <n v="49.967869821393343"/>
    <x v="8"/>
  </r>
  <r>
    <x v="0"/>
    <x v="33"/>
    <n v="55.823785374703064"/>
    <x v="8"/>
  </r>
  <r>
    <x v="0"/>
    <x v="34"/>
    <n v="51.357830421830002"/>
    <x v="8"/>
  </r>
  <r>
    <x v="0"/>
    <x v="35"/>
    <n v="3321.0201886792456"/>
    <x v="8"/>
  </r>
  <r>
    <x v="0"/>
    <x v="36"/>
    <n v="31.440336461280125"/>
    <x v="9"/>
  </r>
  <r>
    <x v="0"/>
    <x v="37"/>
    <n v="35.124943308500079"/>
    <x v="9"/>
  </r>
  <r>
    <x v="0"/>
    <x v="38"/>
    <n v="32.314915047516784"/>
    <x v="9"/>
  </r>
  <r>
    <x v="0"/>
    <x v="39"/>
    <n v="2089.6226415094338"/>
    <x v="9"/>
  </r>
  <r>
    <x v="1"/>
    <x v="0"/>
    <n v="1486.6150099708543"/>
    <x v="0"/>
  </r>
  <r>
    <x v="1"/>
    <x v="1"/>
    <n v="1616.149962478112"/>
    <x v="0"/>
  </r>
  <r>
    <x v="1"/>
    <x v="2"/>
    <n v="1449.0134192230057"/>
    <x v="0"/>
  </r>
  <r>
    <x v="1"/>
    <x v="3"/>
    <n v="105722.65363636363"/>
    <x v="0"/>
  </r>
  <r>
    <x v="1"/>
    <x v="4"/>
    <n v="650.26151761517622"/>
    <x v="1"/>
  </r>
  <r>
    <x v="1"/>
    <x v="5"/>
    <n v="706.92150976958783"/>
    <x v="1"/>
  </r>
  <r>
    <x v="1"/>
    <x v="6"/>
    <n v="633.81417428792145"/>
    <x v="1"/>
  </r>
  <r>
    <x v="1"/>
    <x v="7"/>
    <n v="46244.23454545455"/>
    <x v="1"/>
  </r>
  <r>
    <x v="1"/>
    <x v="8"/>
    <n v="49.811448586183978"/>
    <x v="2"/>
  </r>
  <r>
    <x v="1"/>
    <x v="9"/>
    <n v="54.151727396536863"/>
    <x v="2"/>
  </r>
  <r>
    <x v="1"/>
    <x v="10"/>
    <n v="48.55154626330085"/>
    <x v="2"/>
  </r>
  <r>
    <x v="1"/>
    <x v="11"/>
    <n v="3542.409090909091"/>
    <x v="2"/>
  </r>
  <r>
    <x v="1"/>
    <x v="12"/>
    <n v="88.668942066779167"/>
    <x v="3"/>
  </r>
  <r>
    <x v="1"/>
    <x v="13"/>
    <n v="96.395035993218258"/>
    <x v="3"/>
  </r>
  <r>
    <x v="1"/>
    <x v="14"/>
    <n v="86.426200503376606"/>
    <x v="3"/>
  </r>
  <r>
    <x v="1"/>
    <x v="15"/>
    <n v="6305.8127272727279"/>
    <x v="3"/>
  </r>
  <r>
    <x v="1"/>
    <x v="16"/>
    <n v="136.44513473436621"/>
    <x v="4"/>
  </r>
  <r>
    <x v="1"/>
    <x v="17"/>
    <n v="148.33416715306151"/>
    <x v="4"/>
  </r>
  <r>
    <x v="1"/>
    <x v="18"/>
    <n v="132.9939694485285"/>
    <x v="4"/>
  </r>
  <r>
    <x v="1"/>
    <x v="19"/>
    <n v="9703.4818181818191"/>
    <x v="4"/>
  </r>
  <r>
    <x v="1"/>
    <x v="20"/>
    <n v="100.56885002812292"/>
    <x v="5"/>
  </r>
  <r>
    <x v="1"/>
    <x v="21"/>
    <n v="109.33183245782261"/>
    <x v="5"/>
  </r>
  <r>
    <x v="1"/>
    <x v="22"/>
    <n v="98.025118991253208"/>
    <x v="5"/>
  </r>
  <r>
    <x v="1"/>
    <x v="23"/>
    <n v="7152.090909090909"/>
    <x v="5"/>
  </r>
  <r>
    <x v="1"/>
    <x v="24"/>
    <n v="86.793884542619011"/>
    <x v="6"/>
  </r>
  <r>
    <x v="1"/>
    <x v="25"/>
    <n v="94.356596903749391"/>
    <x v="6"/>
  </r>
  <r>
    <x v="1"/>
    <x v="26"/>
    <n v="84.598569612998077"/>
    <x v="6"/>
  </r>
  <r>
    <x v="1"/>
    <x v="27"/>
    <n v="6172.4654545454541"/>
    <x v="6"/>
  </r>
  <r>
    <x v="1"/>
    <x v="28"/>
    <n v="70.556680472465104"/>
    <x v="7"/>
  </r>
  <r>
    <x v="1"/>
    <x v="29"/>
    <n v="76.704577670307671"/>
    <x v="7"/>
  </r>
  <r>
    <x v="1"/>
    <x v="30"/>
    <n v="76.704577670307671"/>
    <x v="7"/>
  </r>
  <r>
    <x v="1"/>
    <x v="31"/>
    <n v="5017.7345454545457"/>
    <x v="7"/>
  </r>
  <r>
    <x v="1"/>
    <x v="32"/>
    <n v="71.329958582604689"/>
    <x v="8"/>
  </r>
  <r>
    <x v="1"/>
    <x v="33"/>
    <n v="77.545234720253475"/>
    <x v="8"/>
  </r>
  <r>
    <x v="1"/>
    <x v="34"/>
    <n v="69.525779361558975"/>
    <x v="8"/>
  </r>
  <r>
    <x v="1"/>
    <x v="35"/>
    <n v="5072.727272727273"/>
    <x v="8"/>
  </r>
  <r>
    <x v="1"/>
    <x v="36"/>
    <n v="38.192360791532444"/>
    <x v="9"/>
  </r>
  <r>
    <x v="1"/>
    <x v="37"/>
    <n v="41.520220128408234"/>
    <x v="9"/>
  </r>
  <r>
    <x v="1"/>
    <x v="38"/>
    <n v="37.226345037254852"/>
    <x v="9"/>
  </r>
  <r>
    <x v="1"/>
    <x v="39"/>
    <n v="2716.1018181818181"/>
    <x v="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</r>
  <r>
    <x v="1"/>
  </r>
  <r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71958D-0CB0-4B02-A05D-05EC691D2E81}" name="TCD_Choix" cacheId="1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rowHeaderCaption="Opération">
  <location ref="J1:J2" firstHeaderRow="1" firstDataRow="1" firstDataCol="1"/>
  <pivotFields count="1">
    <pivotField axis="axisRow" showAll="0">
      <items count="5">
        <item h="1" m="1" x="3"/>
        <item h="1" x="1"/>
        <item x="0"/>
        <item h="1" x="2"/>
        <item t="default"/>
      </items>
    </pivotField>
  </pivotFields>
  <rowFields count="1">
    <field x="0"/>
  </rowFields>
  <rowItems count="1">
    <i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A30C9A-1966-4186-800C-834E0A0D7663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fieldListSortAscending="1">
  <location ref="H18:J22" firstHeaderRow="1" firstDataRow="2" firstDataCol="1" rowPageCount="1" colPageCount="1"/>
  <pivotFields count="6"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>
      <items count="49">
        <item h="1" x="3"/>
        <item h="1" x="2"/>
        <item h="1" x="1"/>
        <item h="1" x="0"/>
        <item h="1" m="1" x="41"/>
        <item h="1" m="1" x="46"/>
        <item h="1" m="1" x="47"/>
        <item h="1" m="1" x="45"/>
        <item h="1" m="1" x="42"/>
        <item h="1" m="1" x="40"/>
        <item h="1" m="1" x="44"/>
        <item h="1" m="1" x="43"/>
        <item h="1" x="4"/>
        <item h="1" x="5"/>
        <item h="1" x="6"/>
        <item h="1" x="7"/>
        <item h="1" x="8"/>
        <item h="1" x="9"/>
        <item h="1" x="10"/>
        <item h="1" x="11"/>
        <item h="1" x="12"/>
        <item x="13"/>
        <item h="1" x="14"/>
        <item h="1" x="15"/>
        <item h="1" x="24"/>
        <item h="1" x="25"/>
        <item h="1" x="26"/>
        <item h="1" x="27"/>
        <item h="1" x="16"/>
        <item h="1" x="17"/>
        <item h="1" x="18"/>
        <item h="1" x="19"/>
        <item h="1" x="20"/>
        <item h="1" x="21"/>
        <item h="1" x="22"/>
        <item h="1" x="23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t="default"/>
      </items>
    </pivotField>
    <pivotField dataField="1" showAll="0"/>
    <pivotField axis="axisPage" multipleItemSelectionAllowed="1" showAll="0">
      <items count="12">
        <item h="1" x="0"/>
        <item h="1" x="1"/>
        <item h="1" x="2"/>
        <item x="3"/>
        <item h="1" x="6"/>
        <item h="1" m="1" x="10"/>
        <item h="1" x="4"/>
        <item h="1" x="5"/>
        <item h="1" x="7"/>
        <item h="1" x="8"/>
        <item h="1" x="9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3">
    <i>
      <x v="1"/>
    </i>
    <i>
      <x v="2"/>
    </i>
    <i t="grand">
      <x/>
    </i>
  </rowItems>
  <colFields count="1">
    <field x="1"/>
  </colFields>
  <colItems count="2">
    <i>
      <x v="21"/>
    </i>
    <i t="grand">
      <x/>
    </i>
  </colItems>
  <pageFields count="1">
    <pageField fld="3" hier="-1"/>
  </pageFields>
  <dataFields count="1">
    <dataField name="Somme de Valeur" fld="2" baseField="0" baseItem="0"/>
  </dataFields>
  <chartFormats count="1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0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7" xr16:uid="{3FAADCB4-3A6F-4EE7-9623-5AF78EF3E46C}" autoFormatId="16" applyNumberFormats="0" applyBorderFormats="0" applyFontFormats="0" applyPatternFormats="0" applyAlignmentFormats="0" applyWidthHeightFormats="0">
  <queryTableRefresh nextId="4">
    <queryTableFields count="1">
      <queryTableField id="3" name="BILAN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4" xr16:uid="{AF84FCE3-6B94-47A6-BA63-558DBA94A92B}" autoFormatId="16" applyNumberFormats="0" applyBorderFormats="0" applyFontFormats="0" applyPatternFormats="0" applyAlignmentFormats="0" applyWidthHeightFormats="0">
  <queryTableRefresh nextId="2">
    <queryTableFields count="1">
      <queryTableField id="1" name="TERRASSEMENT-GO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26" xr16:uid="{0835EA96-658E-4C62-B497-039C23DB29D2}" autoFormatId="16" applyNumberFormats="0" applyBorderFormats="0" applyFontFormats="0" applyPatternFormats="0" applyAlignmentFormats="0" applyWidthHeightFormats="0">
  <queryTableRefresh nextId="2">
    <queryTableFields count="1">
      <queryTableField id="1" name="TOITURE-ETANCHEITE" tableColumnId="1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6" xr16:uid="{7B03020F-6ED9-4366-B976-E23BEB680C23}" autoFormatId="16" applyNumberFormats="0" applyBorderFormats="0" applyFontFormats="0" applyPatternFormats="0" applyAlignmentFormats="0" applyWidthHeightFormats="0">
  <queryTableRefresh nextId="2">
    <queryTableFields count="1">
      <queryTableField id="1" name="MENUISERIES EXT" tableColumnId="1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adjustColumnWidth="0" connectionId="18" xr16:uid="{A52963CA-BA2E-44F1-9450-3C467A10ABA3}" autoFormatId="16" applyNumberFormats="0" applyBorderFormats="0" applyFontFormats="0" applyPatternFormats="0" applyAlignmentFormats="0" applyWidthHeightFormats="0">
  <queryTableRefresh nextId="2">
    <queryTableFields count="1">
      <queryTableField id="1" name="MENUISERIES INT" tableColumnId="1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adjustColumnWidth="0" connectionId="9" xr16:uid="{73105EE7-A867-4B68-B8B7-4BBF22CB73DA}" autoFormatId="16" applyNumberFormats="0" applyBorderFormats="0" applyFontFormats="0" applyPatternFormats="0" applyAlignmentFormats="0" applyWidthHeightFormats="0">
  <queryTableRefresh nextId="2">
    <queryTableFields count="1">
      <queryTableField id="1" name="CVC" tableColumnId="1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adjustColumnWidth="0" connectionId="11" xr16:uid="{AD30F55C-59E0-4D54-AADB-C467306A421D}" autoFormatId="16" applyNumberFormats="0" applyBorderFormats="0" applyFontFormats="0" applyPatternFormats="0" applyAlignmentFormats="0" applyWidthHeightFormats="0">
  <queryTableRefresh nextId="2">
    <queryTableFields count="1">
      <queryTableField id="1" name="ELEC" tableColumnId="1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adjustColumnWidth="0" connectionId="24" xr16:uid="{8116B345-3E8E-47E2-8CFB-A26789CC12F2}" autoFormatId="16" applyNumberFormats="0" applyBorderFormats="0" applyFontFormats="0" applyPatternFormats="0" applyAlignmentFormats="0" applyWidthHeightFormats="0">
  <queryTableRefresh nextId="2">
    <queryTableFields count="1">
      <queryTableField id="1" name="SOLS" tableColumnId="1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9" adjustColumnWidth="0" connectionId="22" xr16:uid="{6E64C074-3F12-4288-BDE4-41E4B628E0CF}" autoFormatId="16" applyNumberFormats="0" applyBorderFormats="0" applyFontFormats="0" applyPatternFormats="0" applyAlignmentFormats="0" applyWidthHeightFormats="0">
  <queryTableRefresh nextId="2">
    <queryTableFields count="1">
      <queryTableField id="1" name="PLATRERIE" tableColumnId="1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0" adjustColumnWidth="0" connectionId="20" xr16:uid="{1AC61197-97F3-4D95-884A-5AF98AA2AA0A}" autoFormatId="16" applyNumberFormats="0" applyBorderFormats="0" applyFontFormats="0" applyPatternFormats="0" applyAlignmentFormats="0" applyWidthHeightFormats="0">
  <queryTableRefresh nextId="2">
    <queryTableFields count="1">
      <queryTableField id="1" name="PEINTURE" tableColumnId="1"/>
    </queryTableFields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1" refreshOnLoad="1" adjustColumnWidth="0" connectionId="5" xr16:uid="{6325B74E-57E5-44DE-A1CB-C18FCAC20635}" autoFormatId="16" applyNumberFormats="0" applyBorderFormats="0" applyFontFormats="0" applyPatternFormats="0" applyAlignmentFormats="0" applyWidthHeightFormats="0">
  <queryTableRefresh nextId="3">
    <queryTableFields count="2">
      <queryTableField id="1" name="INFO" tableColumnId="1"/>
      <queryTableField id="2" name="Données" tableColumnId="2"/>
    </queryTableFields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2" adjustColumnWidth="0" connectionId="4" xr16:uid="{1D370D48-0324-4758-8FF0-9A9ECB59D1B8}" autoFormatId="16" applyNumberFormats="0" applyBorderFormats="0" applyFontFormats="0" applyPatternFormats="0" applyAlignmentFormats="0" applyWidthHeightFormats="0">
  <queryTableRefresh nextId="5">
    <queryTableFields count="4">
      <queryTableField id="1" name="Opération" tableColumnId="1"/>
      <queryTableField id="2" name="Coût objectif CI" tableColumnId="2"/>
      <queryTableField id="3" name="Côut Travaux OS" tableColumnId="3"/>
      <queryTableField id="4" name="Coût Travaux Livraison" tableColumnId="4"/>
    </queryTableFields>
  </queryTableRefresh>
</queryTable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3" adjustColumnWidth="0" connectionId="3" xr16:uid="{9CDA19B2-D431-4874-8251-E39F70595139}" autoFormatId="16" applyNumberFormats="0" applyBorderFormats="0" applyFontFormats="0" applyPatternFormats="0" applyAlignmentFormats="0" applyWidthHeightFormats="0">
  <queryTableRefresh nextId="3">
    <queryTableFields count="2">
      <queryTableField id="1" name="Column1" tableColumnId="1"/>
      <queryTableField id="2" name="Column2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OTS" xr10:uid="{EE9767A6-5F30-4EF8-97DB-F812DE4B05CF}" sourceName="LOTS">
  <pivotTables>
    <pivotTable tabId="16" name="Tableau croisé dynamique1"/>
  </pivotTables>
  <data>
    <tabular pivotCacheId="1781405577" showMissing="0">
      <items count="11">
        <i x="3" s="1"/>
        <i x="0" nd="1"/>
        <i x="4" nd="1"/>
        <i x="5" nd="1"/>
        <i x="1" nd="1"/>
        <i x="6" nd="1"/>
        <i x="9" nd="1"/>
        <i x="8" nd="1"/>
        <i x="7" nd="1"/>
        <i x="2" nd="1"/>
        <i x="10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ATIO1" xr10:uid="{2910AE2B-9301-4054-9FCC-430F4D738504}" sourceName="RATIO">
  <pivotTables>
    <pivotTable tabId="16" name="Tableau croisé dynamique1"/>
  </pivotTables>
  <data>
    <tabular pivotCacheId="1781405577">
      <items count="48">
        <i x="15"/>
        <i x="14"/>
        <i x="13" s="1"/>
        <i x="12"/>
        <i x="3" nd="1"/>
        <i x="19" nd="1"/>
        <i x="23" nd="1"/>
        <i x="7" nd="1"/>
        <i x="27" nd="1"/>
        <i x="39" nd="1"/>
        <i x="35" nd="1"/>
        <i x="31" nd="1"/>
        <i x="11" nd="1"/>
        <i x="2" nd="1"/>
        <i x="18" nd="1"/>
        <i x="22" nd="1"/>
        <i x="6" nd="1"/>
        <i x="26" nd="1"/>
        <i x="38" nd="1"/>
        <i x="34" nd="1"/>
        <i x="30" nd="1"/>
        <i x="10" nd="1"/>
        <i x="1" nd="1"/>
        <i x="17" nd="1"/>
        <i x="21" nd="1"/>
        <i x="5" nd="1"/>
        <i x="25" nd="1"/>
        <i x="37" nd="1"/>
        <i x="33" nd="1"/>
        <i x="29" nd="1"/>
        <i x="9" nd="1"/>
        <i x="0" nd="1"/>
        <i x="16" nd="1"/>
        <i x="20" nd="1"/>
        <i x="4" nd="1"/>
        <i x="24" nd="1"/>
        <i x="36" nd="1"/>
        <i x="32" nd="1"/>
        <i x="28" nd="1"/>
        <i x="8" nd="1"/>
        <i x="41" nd="1"/>
        <i x="46" nd="1"/>
        <i x="47" nd="1"/>
        <i x="45" nd="1"/>
        <i x="42" nd="1"/>
        <i x="40" nd="1"/>
        <i x="44" nd="1"/>
        <i x="4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ion1" xr10:uid="{106C9E3C-9267-496A-A397-187877FA17C5}" sourceName="Opération">
  <pivotTables>
    <pivotTable tabId="12" name="TCD_Choix"/>
  </pivotTables>
  <data>
    <tabular pivotCacheId="1027409648">
      <items count="4">
        <i x="0" s="1"/>
        <i x="1"/>
        <i x="2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OTS" xr10:uid="{23A97AA2-7479-4D9E-ABE8-6B09AAB7D8F8}" cache="Segment_LOTS" caption="LOTS" style="SlicerStyleDark2" rowHeight="234950"/>
  <slicer name="RATIO 1" xr10:uid="{CFBEFDAB-08CD-448A-B1CD-0082D848BC66}" cache="Segment_RATIO1" caption="RATIO" style="SlicerStyleDark2" rowHeight="2349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pération 2" xr10:uid="{CEB14870-DD26-4AF7-8B70-73914012D13E}" cache="Segment_Opération1" caption="Opération" style="SlicerStyleLight2" rowHeight="23495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99AE52F3-487A-4D3E-82DB-539D83CA74DC}" name="FILTRE" displayName="FILTRE" ref="H1:H5" totalsRowShown="0">
  <autoFilter ref="H1:H5" xr:uid="{278F1C5C-E344-49B7-A0F8-9A0533A82625}"/>
  <tableColumns count="1">
    <tableColumn id="1" xr3:uid="{BC13E690-0A4D-41F8-8AC3-CDBF978807DF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7C42EEE6-1E44-4EBB-84AB-4AC0746769EE}" name="TableauBilan_OPE" displayName="TableauBilan_OPE" ref="E8:E12" tableType="queryTable" totalsRowShown="0" headerRowDxfId="387" dataDxfId="385" headerRowBorderDxfId="386">
  <autoFilter ref="E8:E12" xr:uid="{EAA3F74E-41EF-4645-9F04-138453EF0ADD}">
    <filterColumn colId="0" hiddenButton="1"/>
  </autoFilter>
  <tableColumns count="1">
    <tableColumn id="3" xr3:uid="{83ED8C1F-558E-4705-8A0D-C0B3D8427829}" uniqueName="3" name="BILAN" queryTableFieldId="3" dataDxfId="12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764F4C0-AAC3-40D2-A7E7-6971491BFE23}" name="TableauGO_OPE" displayName="TableauGO_OPE" ref="F8:F12" tableType="queryTable" totalsRowShown="0" headerRowDxfId="384" dataDxfId="382" headerRowBorderDxfId="383">
  <autoFilter ref="F8:F12" xr:uid="{9B1D26F5-2961-4FD2-A512-9058797CA9D3}">
    <filterColumn colId="0" hiddenButton="1"/>
  </autoFilter>
  <tableColumns count="1">
    <tableColumn id="1" xr3:uid="{F075B277-B6B0-49B3-A016-389667925F83}" uniqueName="1" name="TERRASSEMENT-GO" queryTableFieldId="1" dataDxfId="2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72EF5FDF-84B9-499F-99BE-5D63334504E3}" name="TableauTOITURE_OPE" displayName="TableauTOITURE_OPE" ref="G8:G12" tableType="queryTable" totalsRowShown="0" headerRowDxfId="381" dataDxfId="379" headerRowBorderDxfId="380">
  <autoFilter ref="G8:G12" xr:uid="{EE009C7E-20EF-4135-A16A-FA6EC6EAD220}">
    <filterColumn colId="0" hiddenButton="1"/>
  </autoFilter>
  <tableColumns count="1">
    <tableColumn id="1" xr3:uid="{F4F5E46A-D257-489B-8549-63C42C377FBE}" uniqueName="1" name="TOITURE-ETANCHEITE" queryTableFieldId="1" dataDxfId="3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CE500F9E-EBBD-410F-BA9A-4F9EFA1F46C3}" name="TableauMENUISERIESEXTERIEURES_OPE" displayName="TableauMENUISERIESEXTERIEURES_OPE" ref="H8:H12" tableType="queryTable" totalsRowShown="0" headerRowDxfId="378" dataDxfId="376" headerRowBorderDxfId="377">
  <autoFilter ref="H8:H12" xr:uid="{72A37A78-E204-46D5-9F67-7CC9846C832A}">
    <filterColumn colId="0" hiddenButton="1"/>
  </autoFilter>
  <tableColumns count="1">
    <tableColumn id="1" xr3:uid="{F45E4A75-ADBA-4E1E-91DA-0E2DDF1B1DB3}" uniqueName="1" name="MENUISERIES EXT" queryTableFieldId="1" dataDxfId="4"/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EE1051F1-353D-451B-9F1C-539C25AB59E0}" name="TableauMENUISERIESINTERIEURES_OPE" displayName="TableauMENUISERIESINTERIEURES_OPE" ref="I8:I12" tableType="queryTable" totalsRowShown="0" headerRowDxfId="375" dataDxfId="373" headerRowBorderDxfId="374">
  <autoFilter ref="I8:I12" xr:uid="{F3A4CC68-1DFB-44EB-A2CB-DAF483150518}">
    <filterColumn colId="0" hiddenButton="1"/>
  </autoFilter>
  <tableColumns count="1">
    <tableColumn id="1" xr3:uid="{67FB76AF-4D7C-46DE-9F57-60A1DC511A4F}" uniqueName="1" name="MENUISERIES INT" queryTableFieldId="1" dataDxfId="1"/>
  </tableColumns>
  <tableStyleInfo name="TableStyleLight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74EA94D4-399E-435E-95C6-2CB45A8E1671}" name="TableauCVC_OPE" displayName="TableauCVC_OPE" ref="J8:J12" tableType="queryTable" totalsRowShown="0" headerRowDxfId="372" dataDxfId="370" headerRowBorderDxfId="371">
  <autoFilter ref="J8:J12" xr:uid="{AC457556-ACC8-416F-84EC-EE469B396DCE}">
    <filterColumn colId="0" hiddenButton="1"/>
  </autoFilter>
  <tableColumns count="1">
    <tableColumn id="1" xr3:uid="{80C38916-398D-499C-BF75-9DE9F63AC471}" uniqueName="1" name="CVC" queryTableFieldId="1" dataDxfId="0"/>
  </tableColumns>
  <tableStyleInfo name="TableStyleLight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EE6C4CD8-B8BC-420F-8A46-96BA37A8B547}" name="TableauELEC_OPE" displayName="TableauELEC_OPE" ref="K8:K12" tableType="queryTable" totalsRowShown="0" headerRowDxfId="369" dataDxfId="367" headerRowBorderDxfId="368">
  <autoFilter ref="K8:K12" xr:uid="{A05C91DE-8D01-443F-9DD8-883A2E2B310E}">
    <filterColumn colId="0" hiddenButton="1"/>
  </autoFilter>
  <tableColumns count="1">
    <tableColumn id="1" xr3:uid="{DBEE92D6-C50B-47C6-8D3B-9933A725F0E3}" uniqueName="1" name="ELEC" queryTableFieldId="1" dataDxfId="11"/>
  </tableColumns>
  <tableStyleInfo name="TableStyleLight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1473C19-4939-4082-9E69-7AEFC266E3C1}" name="TableauSOLS_OPE" displayName="TableauSOLS_OPE" ref="L8:L12" tableType="queryTable" totalsRowShown="0" headerRowDxfId="366" dataDxfId="364" headerRowBorderDxfId="365">
  <autoFilter ref="L8:L12" xr:uid="{62FBD331-C8A7-40A9-AEA4-CE2B8C30DDEF}">
    <filterColumn colId="0" hiddenButton="1"/>
  </autoFilter>
  <tableColumns count="1">
    <tableColumn id="1" xr3:uid="{4DCB78E8-2444-4305-9601-5119D66A67D3}" uniqueName="1" name="SOLS" queryTableFieldId="1" dataDxfId="10"/>
  </tableColumns>
  <tableStyleInfo name="TableStyleLight15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7BA7C242-8BFB-4C18-9BEB-2D36BBC3A0FA}" name="TableauPLATRERIE_OPE" displayName="TableauPLATRERIE_OPE" ref="M8:M12" tableType="queryTable" totalsRowShown="0" headerRowDxfId="363" dataDxfId="361" headerRowBorderDxfId="362">
  <autoFilter ref="M8:M12" xr:uid="{635F7052-F6CE-42FB-A2B9-B9ED49B61CD1}">
    <filterColumn colId="0" hiddenButton="1"/>
  </autoFilter>
  <tableColumns count="1">
    <tableColumn id="1" xr3:uid="{353DE3C3-CAB3-4E8C-A89A-92B8D9C3AE75}" uniqueName="1" name="PLATRERIE" queryTableFieldId="1" dataDxfId="9"/>
  </tableColumns>
  <tableStyleInfo name="TableStyleLight1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AE182E60-577D-4C62-8AC6-5266F2BA358F}" name="TableauPEINTURE_OPE" displayName="TableauPEINTURE_OPE" ref="N8:N12" tableType="queryTable" totalsRowShown="0" headerRowDxfId="360" dataDxfId="358" headerRowBorderDxfId="359">
  <autoFilter ref="N8:N12" xr:uid="{A0CBF5DD-2FD7-48D1-841C-CD85752B0FB0}">
    <filterColumn colId="0" hiddenButton="1"/>
  </autoFilter>
  <tableColumns count="1">
    <tableColumn id="1" xr3:uid="{EC95D8CC-45CE-43F1-8437-5D1D9A919AF2}" uniqueName="1" name="PEINTURE" queryTableFieldId="1" dataDxfId="8"/>
  </tableColumns>
  <tableStyleInfo name="TableStyleLight15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F75244C-1D09-480D-9935-B94085C3CE4E}" name="TableauBilan_Descriptif" displayName="TableauBilan_Descriptif" ref="B14:C26" tableType="queryTable" totalsRowShown="0" dataDxfId="357">
  <autoFilter ref="B14:C26" xr:uid="{A161BC41-6749-43CF-847A-86AB0E343D00}"/>
  <tableColumns count="2">
    <tableColumn id="1" xr3:uid="{3A2102F0-848B-4DD3-885B-255B8AB59591}" uniqueName="1" name="INFO" queryTableFieldId="1" dataDxfId="7"/>
    <tableColumn id="2" xr3:uid="{931D8267-54E1-4597-8B12-879C838EEE9E}" uniqueName="2" name="Données" queryTableFieldId="2" dataDxfId="6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8D850FE-ED6C-49D5-BAFF-F5823417C9D8}" name="TableauBilan_Coût_TOT" displayName="TableauBilan_Coût_TOT" ref="E19:H20" tableType="queryTable" totalsRowShown="0">
  <autoFilter ref="E19:H20" xr:uid="{4CA2B02D-0AA1-4E72-9F5C-ABB31EB1AAB8}"/>
  <tableColumns count="4">
    <tableColumn id="1" xr3:uid="{D8ABD178-FB70-4EE6-AB6C-B15FFED2A9EF}" uniqueName="1" name="Opération" queryTableFieldId="1" dataDxfId="5"/>
    <tableColumn id="2" xr3:uid="{A2B02C7F-7B7F-4B4F-87C6-C67C87AEE76A}" uniqueName="2" name="Coût objectif CI" queryTableFieldId="2"/>
    <tableColumn id="3" xr3:uid="{0700C9A5-B95E-4DFE-B59D-049F8C6FB987}" uniqueName="3" name="Côut Travaux OS" queryTableFieldId="3"/>
    <tableColumn id="4" xr3:uid="{9E2FF836-C5FF-48C1-BE1C-86620D087DF9}" uniqueName="4" name="Coût Travaux Livraison" queryTableFieldId="4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8C7BC752-EF7F-4D85-AF99-874EAC06D516}" name="TableauBilan_2" displayName="TableauBilan_2" ref="J15:K26" tableType="queryTable" totalsRowShown="0">
  <autoFilter ref="J15:K26" xr:uid="{0A1506F8-2029-43B6-BC7B-1CB93AF08F2C}"/>
  <tableColumns count="2">
    <tableColumn id="1" xr3:uid="{BE9F5DB5-BE8B-4E4B-A2E4-74CE22B6FE88}" uniqueName="1" name="Column1" queryTableFieldId="1"/>
    <tableColumn id="2" xr3:uid="{F160E2D5-2F07-4C40-B9D5-5FC9E10EAD06}" uniqueName="2" name="Column2" queryTableFieldId="2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5EB6108-B5C9-4C83-BC37-15B5D2FEC08D}" name="TableauBilan" displayName="TableauBilan" ref="A10:U13" headerRowDxfId="356" dataDxfId="354" headerRowBorderDxfId="355" tableBorderDxfId="353" totalsRowBorderDxfId="352">
  <autoFilter ref="A10:U13" xr:uid="{E2C5ACAC-8652-46EB-A011-4F00A71981F8}"/>
  <tableColumns count="21">
    <tableColumn id="1" xr3:uid="{C0A9F531-F4B8-4938-866E-DFF0E2E460AE}" name="N° de l'opération" totalsRowLabel="Total" dataDxfId="351" totalsRowDxfId="350"/>
    <tableColumn id="2" xr3:uid="{E4F65919-A7A1-4E31-B0AD-0307021F9DA5}" name="Opération" dataDxfId="349" totalsRowDxfId="348"/>
    <tableColumn id="14" xr3:uid="{E769AB04-9295-41DF-8387-DF673887296C}" name="Date OS" dataDxfId="347"/>
    <tableColumn id="16" xr3:uid="{4DAECF12-A59A-44C8-B783-6587359E4BD5}" name="Commune" dataDxfId="346"/>
    <tableColumn id="17" xr3:uid="{FAE31CD7-B5BD-4884-AF0F-667A5D1E8542}" name="Zone" dataDxfId="345"/>
    <tableColumn id="12" xr3:uid="{AB363311-0F76-4305-A2DD-C96E4F9E89F7}" name="Caractéristiques" dataDxfId="344" totalsRowDxfId="343"/>
    <tableColumn id="6" xr3:uid="{0E01FFFC-EB60-4A51-BB0A-DB73BC7F36FF}" name="Type" dataDxfId="342" totalsRowDxfId="341"/>
    <tableColumn id="13" xr3:uid="{E2D06028-E658-47D1-B58A-0F745C48CD77}" name="Chauffage" dataDxfId="340" totalsRowDxfId="339"/>
    <tableColumn id="5" xr3:uid="{7F69E493-7CCD-42B7-8354-AED48F0D6F97}" name="SU" dataDxfId="338" totalsRowDxfId="337"/>
    <tableColumn id="7" xr3:uid="{5742B89C-9998-4A0C-B228-095AA0B7DB24}" name="SHAB" dataDxfId="336" totalsRowDxfId="335"/>
    <tableColumn id="35" xr3:uid="{373615E2-CD41-4E12-8888-C1C8F6BCC86A}" name="SDP" dataDxfId="334" totalsRowDxfId="333"/>
    <tableColumn id="8" xr3:uid="{FC720840-1B2A-4A27-8E8E-0A1C8812C88F}" name="Nombre de bâtiments" dataDxfId="332" totalsRowDxfId="331"/>
    <tableColumn id="36" xr3:uid="{99E41A74-8AA1-4087-B9FC-35BE4990D0FB}" name="Nombre de logements" dataDxfId="330" totalsRowDxfId="329"/>
    <tableColumn id="15" xr3:uid="{D7C565B5-DA34-4C39-8400-3CD704BDE668}" name="Coût objectif CI" dataDxfId="328" totalsRowDxfId="327"/>
    <tableColumn id="11" xr3:uid="{76883977-5591-4067-9392-94464D36C4B2}" name="Prix de revient" dataDxfId="326" totalsRowDxfId="325"/>
    <tableColumn id="3" xr3:uid="{ABBA1D8E-ACF5-46B6-855A-C44ED9B1F1AC}" name="Côut Travaux OS" dataDxfId="324" totalsRowDxfId="323"/>
    <tableColumn id="10" xr3:uid="{5931D9B3-93B4-4753-AB15-3E0ACF7E99E3}" name="Coût Travaux Livraison" dataDxfId="322" totalsRowDxfId="321"/>
    <tableColumn id="21" xr3:uid="{C793D878-1981-4614-87E5-BE275E6FC996}" name="RATIO SU" dataDxfId="320" totalsRowDxfId="319"/>
    <tableColumn id="4" xr3:uid="{1A113123-9D52-4954-802E-14E25CE37803}" name="RATIO SHAB" dataDxfId="318" totalsRowDxfId="317"/>
    <tableColumn id="20" xr3:uid="{00BF16CF-597F-4B6C-B654-387935E06E4C}" name="RATIO SDP" dataDxfId="316" totalsRowDxfId="315"/>
    <tableColumn id="9" xr3:uid="{03AA11C2-87F7-4C04-9507-A28DBAFD00D5}" name="RATIO LOGEMENT" dataDxfId="314" totalsRowDxfId="313"/>
  </tableColumns>
  <tableStyleInfo name="TableStyleLight18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48D964-B666-4457-8FBD-4912044865F0}" name="TableauGO" displayName="TableauGO" ref="A10:N13" headerRowDxfId="312" dataDxfId="310" headerRowBorderDxfId="311" tableBorderDxfId="309" totalsRowBorderDxfId="308">
  <autoFilter ref="A10:N13" xr:uid="{91F8A759-3765-4953-9070-F455C4F7E2B8}"/>
  <tableColumns count="14">
    <tableColumn id="1" xr3:uid="{0AD9F730-00A9-4216-986E-B86267441869}" name="N° de l'opération" totalsRowLabel="Total" dataDxfId="307" totalsRowDxfId="306"/>
    <tableColumn id="2" xr3:uid="{A1E9A4CE-22FF-4487-B4C4-7B75B1511D83}" name="Opération" dataDxfId="305" totalsRowDxfId="304"/>
    <tableColumn id="6" xr3:uid="{CEC4FC0F-DC5A-4A52-A8B6-F0916D7225C8}" name="Colonne1" dataDxfId="303" totalsRowDxfId="302"/>
    <tableColumn id="5" xr3:uid="{95659B00-A279-41AE-8A2F-A0569AD592A8}" name="Bâtiment" dataDxfId="301" totalsRowDxfId="300"/>
    <tableColumn id="7" xr3:uid="{C45CE2B9-77E7-4773-9447-875A6E9CCDA8}" name="SU" dataDxfId="299" totalsRowDxfId="298"/>
    <tableColumn id="35" xr3:uid="{E961AD38-89E4-457A-8787-FBD851070218}" name="SHAB" dataDxfId="297" totalsRowDxfId="296"/>
    <tableColumn id="8" xr3:uid="{9031C5A7-4E20-4F20-B88D-EF1CAD01D9AF}" name="SDP" dataDxfId="295" totalsRowDxfId="294"/>
    <tableColumn id="36" xr3:uid="{2099D7CE-6AF7-43E3-99AB-6D4C2523000B}" name="Nombre de logements" dataDxfId="293" totalsRowDxfId="292"/>
    <tableColumn id="12" xr3:uid="{9B240B74-E234-4AB4-864B-4B1B554D4BA6}" name="Nombre de sous-sols" dataDxfId="291" totalsRowDxfId="290"/>
    <tableColumn id="10" xr3:uid="{6B530FE2-21D0-4F2B-B44C-982F4FA9B892}" name="Coût TOTAL Livraison GO" dataDxfId="289" totalsRowDxfId="288"/>
    <tableColumn id="21" xr3:uid="{16B261C2-318D-4073-B1F8-1C09D55D5E86}" name="RATIO SU GO" dataDxfId="287" totalsRowDxfId="286"/>
    <tableColumn id="4" xr3:uid="{FD70AC7F-7269-416F-A43D-7A8C7A113339}" name="RATIO SHAB GO" dataDxfId="285" totalsRowDxfId="284"/>
    <tableColumn id="20" xr3:uid="{719704D6-37B6-4CF1-B752-8410AC74F0AC}" name="RATIO SDP GO" dataDxfId="283" totalsRowDxfId="282"/>
    <tableColumn id="9" xr3:uid="{B27374A4-7B4E-4447-BFD2-15602CA79FF1}" name="RATIO LOGEMENT GO" dataDxfId="281" totalsRowDxfId="280"/>
  </tableColumns>
  <tableStyleInfo name="TableStyleLight18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0D7122-C70C-4B1D-AE15-A2A66297ACBF}" name="TableauTOITURE" displayName="TableauTOITURE" ref="A10:M13" headerRowDxfId="279" dataDxfId="277" headerRowBorderDxfId="278" tableBorderDxfId="276" totalsRowBorderDxfId="275">
  <autoFilter ref="A10:M13" xr:uid="{FA3153AB-65BC-46A7-AB50-AED3B7828121}"/>
  <tableColumns count="13">
    <tableColumn id="1" xr3:uid="{0CF550E0-1156-4C2C-815B-606CEFDD4E6C}" name="N° de l'opération" totalsRowLabel="Total" dataDxfId="274" totalsRowDxfId="273"/>
    <tableColumn id="2" xr3:uid="{04FB9875-F14B-44B9-A44A-4D747E3C2CC2}" name="Opération" dataDxfId="272" totalsRowDxfId="271"/>
    <tableColumn id="6" xr3:uid="{93916935-E9A3-4ABF-95E7-BF86C49869A7}" name="Type" dataDxfId="270" totalsRowDxfId="269"/>
    <tableColumn id="5" xr3:uid="{C359EB48-6BF9-4A05-9832-1E2D31C986A8}" name="Bâtiment" dataDxfId="268" totalsRowDxfId="267"/>
    <tableColumn id="7" xr3:uid="{BF0B157C-0957-43BA-A487-73A2AE6EBC69}" name="SU" dataDxfId="266" totalsRowDxfId="265"/>
    <tableColumn id="35" xr3:uid="{585EC1D9-6951-44D0-A06C-0C4D91DBAE5E}" name="SHAB" dataDxfId="264" totalsRowDxfId="263"/>
    <tableColumn id="8" xr3:uid="{2615C4C7-3B71-44EE-A798-93974755B223}" name="SDP" dataDxfId="262" totalsRowDxfId="261"/>
    <tableColumn id="36" xr3:uid="{0B2712AC-5140-4778-B961-A44BFC531ED0}" name="Nombre de logements" dataDxfId="260" totalsRowDxfId="259"/>
    <tableColumn id="10" xr3:uid="{C44F190E-E8DC-46B2-B59B-3C8C0E07D546}" name="Coût TOTAL Livraison TOITURE" dataDxfId="258" totalsRowDxfId="257" dataCellStyle="Monétaire"/>
    <tableColumn id="21" xr3:uid="{33BB44DD-9178-4368-BDB3-F5A94A146C64}" name="RATIO SU TOITURE" dataDxfId="256" totalsRowDxfId="255"/>
    <tableColumn id="4" xr3:uid="{2D3DA283-7643-4C17-B7C7-7F967383B5D8}" name="RATIO SHAB TOITURE" dataDxfId="254" totalsRowDxfId="253"/>
    <tableColumn id="20" xr3:uid="{193567DB-B75D-4B2C-A18B-BA5DF4E4A670}" name="RATIO SDP TOITURE" dataDxfId="252" totalsRowDxfId="251"/>
    <tableColumn id="9" xr3:uid="{01E446F4-A37C-45F9-88FE-C77F0EA1BFAD}" name="RATIO LOGEMENT TOITURE" dataDxfId="250" totalsRowDxfId="249"/>
  </tableColumns>
  <tableStyleInfo name="TableStyleLight18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1A8A5C-1321-4746-90EF-88CA0AABBB2E}" name="TableauMENUISERIESEXTERIEURES" displayName="TableauMENUISERIESEXTERIEURES" ref="A10:M13" dataDxfId="247" headerRowBorderDxfId="248" tableBorderDxfId="246" totalsRowBorderDxfId="245">
  <autoFilter ref="A10:M13" xr:uid="{1B87A908-3905-48DA-A4D0-DE027A410859}"/>
  <tableColumns count="13">
    <tableColumn id="1" xr3:uid="{163B46FC-5982-453C-BE70-8DA04E016485}" name="N° de l'opération" totalsRowLabel="Total" dataDxfId="244" totalsRowDxfId="243"/>
    <tableColumn id="2" xr3:uid="{2FC5161A-3708-4B7B-9006-59A5C3757963}" name="Opération" dataDxfId="242" totalsRowDxfId="241"/>
    <tableColumn id="6" xr3:uid="{A78FE6E8-C6AB-4B4C-A2EE-97DF7C0F12EC}" name="Type" dataDxfId="240" totalsRowDxfId="239"/>
    <tableColumn id="5" xr3:uid="{6DDFA8B0-E00A-4578-8EE8-0F2A1D477743}" name="Bâtiment" dataDxfId="238" totalsRowDxfId="237"/>
    <tableColumn id="7" xr3:uid="{64A71968-5E3B-4835-A4D4-09B1B3F62966}" name="SU" dataDxfId="236" totalsRowDxfId="235"/>
    <tableColumn id="35" xr3:uid="{E28862DB-2BA7-40DD-8ADA-68BFC0FB41F6}" name="SHAB" dataDxfId="234" totalsRowDxfId="233"/>
    <tableColumn id="8" xr3:uid="{3748E00D-6FC6-4ED6-A9E1-E2B58065EDEE}" name="SDP" dataDxfId="232" totalsRowDxfId="231"/>
    <tableColumn id="36" xr3:uid="{6EE0C4DA-467D-4C7A-B181-FD3F57F313C1}" name="Nombre de logements" dataDxfId="230" totalsRowDxfId="229"/>
    <tableColumn id="10" xr3:uid="{6A41DFFB-DD7C-45BA-B3A3-636BB953C9EE}" name="Coût TOTAL Livraison MENUISERIES EXT" dataDxfId="228" totalsRowDxfId="227"/>
    <tableColumn id="21" xr3:uid="{14FCB1C4-609C-4D4C-B218-71FEB8A57D02}" name="RATIO SU MENUISERIES EXT" dataDxfId="226" totalsRowDxfId="225"/>
    <tableColumn id="4" xr3:uid="{68ED2851-2E11-473E-906A-A5681404ED98}" name="RATIO SHAB MENUISERIES EXT" dataDxfId="224" totalsRowDxfId="223"/>
    <tableColumn id="20" xr3:uid="{C26A1438-2333-4FFD-9C6F-455B92FDDC76}" name="RATIO SDP MENUISERIES EXT" dataDxfId="222" totalsRowDxfId="221"/>
    <tableColumn id="9" xr3:uid="{7920A791-7D3A-47C6-884E-FE7DDB25AC6E}" name="RATIO LOGEMENT MENUISERIES EXT" dataDxfId="220" totalsRowDxfId="219"/>
  </tableColumns>
  <tableStyleInfo name="TableStyleLight18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FB83B1A-7719-4A00-A69D-187862DD51D7}" name="TableauMENUISERIESINTERIEURES" displayName="TableauMENUISERIESINTERIEURES" ref="A10:M13" dataDxfId="217" headerRowBorderDxfId="218" tableBorderDxfId="216" totalsRowBorderDxfId="215">
  <autoFilter ref="A10:M13" xr:uid="{C4C94FD2-7472-481D-9615-57362EE79F2C}"/>
  <tableColumns count="13">
    <tableColumn id="1" xr3:uid="{477CBD86-009E-4D9C-A359-7115C22819EF}" name="N° de l'opération" totalsRowLabel="Total" dataDxfId="214" totalsRowDxfId="213"/>
    <tableColumn id="2" xr3:uid="{86B11C72-8416-401B-9796-412E49E34EC8}" name="Opération" dataDxfId="212" totalsRowDxfId="211"/>
    <tableColumn id="6" xr3:uid="{E50133F3-BDC8-44DE-83C8-DD4D356C3442}" name="Type" dataDxfId="210" totalsRowDxfId="209"/>
    <tableColumn id="5" xr3:uid="{93F831A7-E2F5-4AD4-B4B8-0BAE9B443227}" name="Bâtiment" dataDxfId="208" totalsRowDxfId="207"/>
    <tableColumn id="7" xr3:uid="{D33E2FA9-2785-43B3-8325-55AFB3A2A2C0}" name="SU" dataDxfId="206" totalsRowDxfId="205"/>
    <tableColumn id="35" xr3:uid="{3C565154-3B0D-4B93-8790-E570F4DE85ED}" name="SHAB" dataDxfId="204" totalsRowDxfId="203"/>
    <tableColumn id="8" xr3:uid="{9C144CAC-0654-4A59-92F0-7F5CEE72085F}" name="SDP" dataDxfId="202" totalsRowDxfId="201"/>
    <tableColumn id="36" xr3:uid="{8C5A1B6B-BE91-4854-891F-B4EF2AE3ECE9}" name="Nombre de logements" dataDxfId="200" totalsRowDxfId="199"/>
    <tableColumn id="10" xr3:uid="{F5DA8212-21E6-4350-8602-60CCE3317B14}" name="Coût TOTAL Livraison MENUISERIES INT" dataDxfId="198" totalsRowDxfId="197"/>
    <tableColumn id="21" xr3:uid="{F9523E7A-4757-4D06-B9AD-DF7CF707008C}" name="RATIO SU MENUISERIES INT" dataDxfId="196" totalsRowDxfId="195"/>
    <tableColumn id="4" xr3:uid="{085A0D4B-C9E1-4431-B82F-03C2C1634337}" name="RATIO SHAB MENUISERIES INT" dataDxfId="194" totalsRowDxfId="193"/>
    <tableColumn id="20" xr3:uid="{63EDAB43-4A19-44E2-B561-84FFB6F651F8}" name="RATIO SDP MENUISERIES INT" dataDxfId="192" totalsRowDxfId="191"/>
    <tableColumn id="9" xr3:uid="{3DFEE5BF-4566-494B-888E-5C35DB2AF9D4}" name="RATIO LOGEMENT MENUISERIES INT" dataDxfId="190" totalsRowDxfId="189"/>
  </tableColumns>
  <tableStyleInfo name="TableStyleLight18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67231CF-D477-46FE-A2B4-E59B753AC44A}" name="TableauCVC" displayName="TableauCVC" ref="A10:M13" headerRowDxfId="188" dataDxfId="186" headerRowBorderDxfId="187" tableBorderDxfId="185" totalsRowBorderDxfId="184">
  <autoFilter ref="A10:M13" xr:uid="{0E2C76C3-2ADB-41CA-B032-954CBA35EE44}"/>
  <tableColumns count="13">
    <tableColumn id="1" xr3:uid="{B8A23DC8-B021-4F04-96DF-76758FDC798F}" name="N° de l'opération" totalsRowLabel="Total" dataDxfId="183" totalsRowDxfId="182"/>
    <tableColumn id="2" xr3:uid="{60EE887E-3887-4148-AE93-A40B3CD7FAD9}" name="Opération" dataDxfId="181" totalsRowDxfId="180"/>
    <tableColumn id="6" xr3:uid="{3B13BBB4-0F49-4393-B807-43156087A7B6}" name="Type" dataDxfId="179" totalsRowDxfId="178"/>
    <tableColumn id="5" xr3:uid="{ADB63620-B924-440B-AE36-0E720E5D5986}" name="Bâtiment" dataDxfId="177" totalsRowDxfId="176"/>
    <tableColumn id="7" xr3:uid="{4A466E6E-CC06-49D8-A4A2-CCA7E1755F7D}" name="SU" dataDxfId="175" totalsRowDxfId="174"/>
    <tableColumn id="35" xr3:uid="{2CE85F08-5BC4-4617-A35C-9E75A5C05126}" name="SHAB" dataDxfId="173" totalsRowDxfId="172"/>
    <tableColumn id="8" xr3:uid="{F4A503E4-4B53-40AE-BE92-491F698D8502}" name="SDP" dataDxfId="171" totalsRowDxfId="170"/>
    <tableColumn id="36" xr3:uid="{A68E73F6-8522-4346-AEDB-9D13C404CB16}" name="Nombre de logements" dataDxfId="169" totalsRowDxfId="168"/>
    <tableColumn id="10" xr3:uid="{C58BB2C7-3414-45B0-A21B-351EAB8E82EC}" name="Coût TOTAL Livraison" dataDxfId="167" totalsRowDxfId="166"/>
    <tableColumn id="21" xr3:uid="{FA01F170-09A8-44FF-A2B8-D90EE2D041B3}" name="RATIO SU" dataDxfId="165" totalsRowDxfId="164"/>
    <tableColumn id="4" xr3:uid="{BA3C9FF0-CAD8-448D-99C2-EF470CC21F27}" name="RATIO SHAB" dataDxfId="163" totalsRowDxfId="162"/>
    <tableColumn id="20" xr3:uid="{B29632F5-81BD-40A1-B227-A39570B4AD8E}" name="RATIO SDP" dataDxfId="161" totalsRowDxfId="160"/>
    <tableColumn id="9" xr3:uid="{C9A15C91-7551-4DB3-B985-EF0EF8A4D4FA}" name="RATIO LOGEMENT" dataDxfId="159" totalsRowDxfId="158"/>
  </tableColumns>
  <tableStyleInfo name="TableStyleLight1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3B0E11E-8237-4B0B-9397-4E5D1E6269F1}" name="TableauELEC" displayName="TableauELEC" ref="A10:M13" headerRowDxfId="157" dataDxfId="155" totalsRowDxfId="153" headerRowBorderDxfId="156" tableBorderDxfId="154" totalsRowBorderDxfId="152">
  <autoFilter ref="A10:M13" xr:uid="{FD774016-3CCA-458A-B7AE-3126C9F1391F}"/>
  <tableColumns count="13">
    <tableColumn id="1" xr3:uid="{DD2DB3DC-CB86-40AE-A58A-DC834B82B945}" name="N° de l'opération" totalsRowLabel="Total" dataDxfId="151" totalsRowDxfId="150"/>
    <tableColumn id="2" xr3:uid="{CB853DB5-756A-4099-B43A-774CB6B3D0E4}" name="Opération" dataDxfId="149" totalsRowDxfId="148"/>
    <tableColumn id="6" xr3:uid="{A935383C-6EC0-42F7-8361-EC9FB002A97E}" name="Type" dataDxfId="147" totalsRowDxfId="146"/>
    <tableColumn id="5" xr3:uid="{0DEAB8EA-3134-465A-B22C-76D8A6C7744C}" name="Bâtiment" dataDxfId="145" totalsRowDxfId="144"/>
    <tableColumn id="7" xr3:uid="{5DAB7A04-08F3-4BDC-A73D-F0C2C0E5E891}" name="SU" dataDxfId="143" totalsRowDxfId="142"/>
    <tableColumn id="35" xr3:uid="{11595BEE-0F5E-470A-8C4F-142629369B6F}" name="SHAB" dataDxfId="141" totalsRowDxfId="140"/>
    <tableColumn id="8" xr3:uid="{3C5F6D6F-60A8-47B5-B42E-902803619F03}" name="SDP" dataDxfId="139" totalsRowDxfId="138"/>
    <tableColumn id="36" xr3:uid="{29E198DA-8527-4EAA-853C-32C3827035E5}" name="Nombre de logements" dataDxfId="137" totalsRowDxfId="136"/>
    <tableColumn id="10" xr3:uid="{DADDBAF1-A135-4A16-87EB-B7C2133D93EB}" name="Coût TOTAL Livraison" dataDxfId="135" totalsRowDxfId="134"/>
    <tableColumn id="21" xr3:uid="{3D341C85-55D6-45A2-AD47-A77053E74216}" name="RATIO SU" dataDxfId="133" totalsRowDxfId="132"/>
    <tableColumn id="4" xr3:uid="{7C653D0F-8AE9-4E4B-AB52-50C4986B91DD}" name="RATIO SHAB" dataDxfId="131" totalsRowDxfId="130"/>
    <tableColumn id="20" xr3:uid="{D33B7BEB-965D-446A-85FA-EE98376270C0}" name="RATIO SDP" dataDxfId="129" totalsRowDxfId="128"/>
    <tableColumn id="9" xr3:uid="{1FF65B10-4F59-4AF3-8C23-FD053AF497F7}" name="RATIO LOGEMENT" dataDxfId="127" totalsRowDxfId="126"/>
  </tableColumns>
  <tableStyleInfo name="TableStyleLight18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089B12A-51EB-4AA5-9F99-EB5E890C172D}" name="TableauSOLS" displayName="TableauSOLS" ref="A10:M14" headerRowDxfId="125" dataDxfId="123" totalsRowDxfId="121" headerRowBorderDxfId="124" tableBorderDxfId="122" totalsRowBorderDxfId="120">
  <autoFilter ref="A10:M14" xr:uid="{7E7C2635-5A97-437E-A4B0-F3D4F797D34B}"/>
  <tableColumns count="13">
    <tableColumn id="1" xr3:uid="{1F66B1B6-57D9-4224-8F3E-0E1BCDDB1BCE}" name="N° de l'opération" totalsRowLabel="Total" dataDxfId="119" totalsRowDxfId="118"/>
    <tableColumn id="2" xr3:uid="{38D8F1D2-DB08-45EC-8F28-7DB7A8D70335}" name="Opération" dataDxfId="117" totalsRowDxfId="116"/>
    <tableColumn id="6" xr3:uid="{30B58893-93AE-4DA8-A534-41E19128D3FC}" name="Type" dataDxfId="115" totalsRowDxfId="114"/>
    <tableColumn id="5" xr3:uid="{6857CF32-1B46-44AE-ADFD-AF38DF9F9777}" name="Bâtiment" dataDxfId="113" totalsRowDxfId="112"/>
    <tableColumn id="7" xr3:uid="{AD5B1B2F-50DE-4F7E-A77C-3C2814B38F04}" name="SU" dataDxfId="111" totalsRowDxfId="110"/>
    <tableColumn id="35" xr3:uid="{0070EF61-63D4-45A4-AC9D-45DCF11ADC84}" name="SHAB" dataDxfId="109" totalsRowDxfId="108"/>
    <tableColumn id="8" xr3:uid="{0B19C6F4-A97B-48E0-BCB7-1CED76A26388}" name="SDP" dataDxfId="107" totalsRowDxfId="106"/>
    <tableColumn id="36" xr3:uid="{2C36215D-71A9-42A3-A7B0-41E4DE901652}" name="Nombre de logements" dataDxfId="105" totalsRowDxfId="104"/>
    <tableColumn id="10" xr3:uid="{633F23C8-AD03-4E59-856A-A32CDD62972F}" name="Coût TOTAL Livraison" dataDxfId="103" totalsRowDxfId="102"/>
    <tableColumn id="21" xr3:uid="{428E6436-99CA-464A-9CE2-DBCCCC11BA92}" name="RATIO SU" dataDxfId="101" totalsRowDxfId="100"/>
    <tableColumn id="4" xr3:uid="{788C4E36-8EB4-4233-95EF-3C1557E81F3F}" name="RATIO SHAB" dataDxfId="99" totalsRowDxfId="98"/>
    <tableColumn id="20" xr3:uid="{A8D337DB-3771-4AC1-B6B7-C1813F016868}" name="RATIO SDP" dataDxfId="97" totalsRowDxfId="96"/>
    <tableColumn id="9" xr3:uid="{12B2784B-B148-48B5-A003-BA8C1917F355}" name="RATIO LOGEMENT" dataDxfId="95" totalsRowDxfId="94"/>
  </tableColumns>
  <tableStyleInfo name="TableStyleLight18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E5E507E-5A1E-4D30-AD6A-FC383AA360BC}" name="TableauPLATRERIE" displayName="TableauPLATRERIE" ref="A10:M13" headerRowDxfId="93" dataDxfId="91" totalsRowDxfId="89" headerRowBorderDxfId="92" tableBorderDxfId="90" totalsRowBorderDxfId="88">
  <autoFilter ref="A10:M13" xr:uid="{91B1C34D-CCAF-428A-9996-AEB3BF408F45}"/>
  <tableColumns count="13">
    <tableColumn id="1" xr3:uid="{CE0A7534-0159-4AA0-AC79-1CC4847A4B16}" name="N° de l'opération" totalsRowLabel="Total" dataDxfId="87" totalsRowDxfId="86"/>
    <tableColumn id="2" xr3:uid="{EACF01CC-6C37-4F8E-8E39-DE318CDCA4E9}" name="Opération" dataDxfId="85" totalsRowDxfId="84"/>
    <tableColumn id="6" xr3:uid="{EFE4399F-E295-4336-8980-4D87027A6519}" name="Type" dataDxfId="83" totalsRowDxfId="82"/>
    <tableColumn id="5" xr3:uid="{47ABD71A-266E-4CB7-91AE-9604DB024452}" name="Bâtiment" dataDxfId="81" totalsRowDxfId="80"/>
    <tableColumn id="7" xr3:uid="{F535C7E3-FC95-462F-8FB1-569E7AFE3815}" name="SU" dataDxfId="79" totalsRowDxfId="78"/>
    <tableColumn id="35" xr3:uid="{EC5B44D4-DA81-4F15-B0A5-C799ECF844E6}" name="SHAB" dataDxfId="77" totalsRowDxfId="76"/>
    <tableColumn id="8" xr3:uid="{5B0F71C5-1B22-4244-A996-FE871D1063AE}" name="SDP" dataDxfId="75" totalsRowDxfId="74"/>
    <tableColumn id="36" xr3:uid="{B6AC6E78-6C67-4D8B-BBFF-4D696C32FFCC}" name="Nombre de logements" dataDxfId="73" totalsRowDxfId="72"/>
    <tableColumn id="10" xr3:uid="{E5204FAB-F245-4451-927A-335E8BBF32BB}" name="Coût TOTAL Livraison" dataDxfId="71" totalsRowDxfId="70"/>
    <tableColumn id="21" xr3:uid="{584D1900-5368-47BC-B28C-3B8E80F165B8}" name="RATIO SU" dataDxfId="69" totalsRowDxfId="68"/>
    <tableColumn id="4" xr3:uid="{8405C461-3E6B-467C-82FC-F2B89935737F}" name="RATIO SHAB" dataDxfId="67" totalsRowDxfId="66"/>
    <tableColumn id="20" xr3:uid="{5FF770FC-8642-4642-90CD-E4616EE82EFC}" name="RATIO SDP" dataDxfId="65" totalsRowDxfId="64"/>
    <tableColumn id="9" xr3:uid="{B525F19C-58A7-4D5E-8B99-F80F5B44A8D5}" name="RATIO LOGEMENT" dataDxfId="63" totalsRowDxfId="62"/>
  </tableColumns>
  <tableStyleInfo name="TableStyleLight18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BEC086E-E814-4E65-940F-7984A061CDEA}" name="TableauPEINTURE" displayName="TableauPEINTURE" ref="A10:M13" headerRowDxfId="61" dataDxfId="59" totalsRowDxfId="57" headerRowBorderDxfId="60" tableBorderDxfId="58" totalsRowBorderDxfId="56">
  <autoFilter ref="A10:M13" xr:uid="{2C575C1B-27D4-46F8-9BF2-947812F37624}"/>
  <tableColumns count="13">
    <tableColumn id="1" xr3:uid="{C09645C1-3ACA-4CF2-AE41-432CD8FE61C4}" name="N° de l'opération" totalsRowLabel="Total" dataDxfId="55"/>
    <tableColumn id="2" xr3:uid="{DC1A146F-3793-451F-A823-9E6DFA221A37}" name="Opération" dataDxfId="54"/>
    <tableColumn id="6" xr3:uid="{E7323E7E-59C8-4541-B9F8-4492B91B324D}" name="Type" dataDxfId="53"/>
    <tableColumn id="5" xr3:uid="{26C61ACA-3A29-4025-B797-AF65ABB4B12E}" name="Bâtiment" dataDxfId="52"/>
    <tableColumn id="7" xr3:uid="{AC06C7BB-15E4-4DB5-9CB7-CF3F19B99389}" name="SU" dataDxfId="51"/>
    <tableColumn id="35" xr3:uid="{DD9C3361-863A-41EC-BB92-3DD0304B5CF0}" name="SHAB" dataDxfId="50"/>
    <tableColumn id="8" xr3:uid="{1E9E5F57-EFD2-40E2-A503-8B5E24547DEE}" name="SDP" dataDxfId="49"/>
    <tableColumn id="36" xr3:uid="{39F2CC68-95E0-4222-A249-6C0FA6170EAC}" name="Nombre de logements" dataDxfId="48"/>
    <tableColumn id="10" xr3:uid="{07DA7FC6-5D39-4B2D-A02B-4A0B2398CE04}" name="Coût TOTAL Livraison" dataDxfId="47"/>
    <tableColumn id="21" xr3:uid="{678D299D-C006-4643-B119-A56D9C53BE76}" name="RATIO SU" dataDxfId="46"/>
    <tableColumn id="4" xr3:uid="{9921D706-A288-4BD0-811A-DF74918963CB}" name="RATIO SHAB" dataDxfId="45"/>
    <tableColumn id="20" xr3:uid="{49D6BE2A-DF75-4DDA-B575-9FA4B56B81D3}" name="RATIO SDP" dataDxfId="44"/>
    <tableColumn id="9" xr3:uid="{4E0B5F0B-7712-49DD-A1D5-943A59E8C40D}" name="RATIO LOGEMENT" dataDxfId="43"/>
  </tableColumns>
  <tableStyleInfo name="TableStyleLight18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FE0C28-8159-4306-B330-3C50F6779E40}" name="TableauESPACESVERTS" displayName="TableauESPACESVERTS" ref="A10:M11" dataDxfId="41" headerRowBorderDxfId="42" tableBorderDxfId="40" totalsRowBorderDxfId="39">
  <autoFilter ref="A10:M11" xr:uid="{711CB3F4-EF72-4A6A-B625-C1CF181EED46}"/>
  <tableColumns count="13">
    <tableColumn id="1" xr3:uid="{963DE20F-497D-4D22-AC50-2BD5674DFBCC}" name="N° de l'opération" totalsRowLabel="Total" dataDxfId="38" totalsRowDxfId="37"/>
    <tableColumn id="2" xr3:uid="{86F803BD-7B93-4AA1-9E92-9BCB0FDAD99B}" name="Opération" dataDxfId="36" totalsRowDxfId="35"/>
    <tableColumn id="6" xr3:uid="{3383B6F3-935F-448A-951F-2E9DFE94182B}" name="Type" dataDxfId="34" totalsRowDxfId="33"/>
    <tableColumn id="5" xr3:uid="{F327D95D-2CD1-4EFA-840B-819FF4A53B81}" name="Bâtiment" dataDxfId="32" totalsRowDxfId="31"/>
    <tableColumn id="7" xr3:uid="{7F8E3DC8-EE2B-419D-920A-9F92BD8DEAFD}" name="SU" dataDxfId="30" totalsRowDxfId="29"/>
    <tableColumn id="35" xr3:uid="{021F2D3A-DE88-4A21-BEB7-AC84BB065D56}" name="SHAB" dataDxfId="28" totalsRowDxfId="27"/>
    <tableColumn id="8" xr3:uid="{09A42575-17F9-4F4F-82AF-02DF7F08C558}" name="SDP" dataDxfId="26" totalsRowDxfId="25"/>
    <tableColumn id="36" xr3:uid="{A210B1B3-41B8-4FEC-9813-19E5951831B5}" name="Nombre de logements" dataDxfId="24" totalsRowDxfId="23"/>
    <tableColumn id="10" xr3:uid="{BB9596E4-C771-4CBA-B40D-707DCBC119C5}" name="Coût TOTAL Livraison" dataDxfId="22" totalsRowDxfId="21"/>
    <tableColumn id="21" xr3:uid="{C1BEEAB4-A742-4994-9238-9C4FAEA6BA6D}" name="RATIO SU" dataDxfId="20" totalsRowDxfId="19">
      <calculatedColumnFormula>TableauESPACESVERTS[Coût TOTAL Livraison]/TableauESPACESVERTS[SU]</calculatedColumnFormula>
    </tableColumn>
    <tableColumn id="4" xr3:uid="{6FE1F44C-C9B8-427A-9E65-619BDE9273F8}" name="RATIO SHAB" dataDxfId="18" totalsRowDxfId="17">
      <calculatedColumnFormula>TableauESPACESVERTS[Coût TOTAL Livraison]/TableauESPACESVERTS[SHAB]</calculatedColumnFormula>
    </tableColumn>
    <tableColumn id="20" xr3:uid="{D63E111B-834A-4EC8-A73E-B6BC27EA34FF}" name="RATIO SDP" dataDxfId="16" totalsRowDxfId="15">
      <calculatedColumnFormula>TableauESPACESVERTS[Coût TOTAL Livraison]/TableauESPACESVERTS[SDP]</calculatedColumnFormula>
    </tableColumn>
    <tableColumn id="9" xr3:uid="{181C3E2B-D971-4CF0-A89C-1BC553F8EF8C}" name="RATIO LOGEMENT" dataDxfId="14" totalsRowDxfId="13">
      <calculatedColumnFormula>TableauESPACESVERTS[Coût TOTAL Livraison]/TableauESPACESVERTS[Nombre de logements]</calculatedColumnFormula>
    </tableColumn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13" Type="http://schemas.openxmlformats.org/officeDocument/2006/relationships/table" Target="../tables/table10.xml"/><Relationship Id="rId18" Type="http://schemas.microsoft.com/office/2007/relationships/slicer" Target="../slicers/slicer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12" Type="http://schemas.openxmlformats.org/officeDocument/2006/relationships/table" Target="../tables/table9.xml"/><Relationship Id="rId17" Type="http://schemas.openxmlformats.org/officeDocument/2006/relationships/table" Target="../tables/table14.xml"/><Relationship Id="rId2" Type="http://schemas.openxmlformats.org/officeDocument/2006/relationships/drawing" Target="../drawings/drawing2.xml"/><Relationship Id="rId16" Type="http://schemas.openxmlformats.org/officeDocument/2006/relationships/table" Target="../tables/table1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table" Target="../tables/table2.xml"/><Relationship Id="rId15" Type="http://schemas.openxmlformats.org/officeDocument/2006/relationships/table" Target="../tables/table12.xml"/><Relationship Id="rId10" Type="http://schemas.openxmlformats.org/officeDocument/2006/relationships/table" Target="../tables/table7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6.xml"/><Relationship Id="rId14" Type="http://schemas.openxmlformats.org/officeDocument/2006/relationships/table" Target="../tables/table1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5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3F4C9-9BF8-48E2-A688-BBC98AB4D076}">
  <sheetPr codeName="Feuil12"/>
  <dimension ref="A1:J17"/>
  <sheetViews>
    <sheetView workbookViewId="0">
      <selection activeCell="A16" sqref="A16:K17"/>
    </sheetView>
  </sheetViews>
  <sheetFormatPr baseColWidth="10" defaultRowHeight="15" x14ac:dyDescent="0.25"/>
  <cols>
    <col min="1" max="1" width="12.28515625" bestFit="1" customWidth="1"/>
    <col min="2" max="2" width="25.5703125" bestFit="1" customWidth="1"/>
    <col min="3" max="3" width="27.5703125" bestFit="1" customWidth="1"/>
    <col min="4" max="4" width="24.140625" bestFit="1" customWidth="1"/>
    <col min="5" max="5" width="23.5703125" bestFit="1" customWidth="1"/>
    <col min="6" max="7" width="11.85546875" bestFit="1" customWidth="1"/>
    <col min="8" max="8" width="12.140625" bestFit="1" customWidth="1"/>
    <col min="9" max="9" width="17" bestFit="1" customWidth="1"/>
    <col min="10" max="10" width="12.28515625" bestFit="1" customWidth="1"/>
    <col min="11" max="11" width="14.7109375" bestFit="1" customWidth="1"/>
    <col min="12" max="12" width="21" bestFit="1" customWidth="1"/>
  </cols>
  <sheetData>
    <row r="1" spans="1:10" x14ac:dyDescent="0.25">
      <c r="A1" s="72" t="s">
        <v>77</v>
      </c>
      <c r="F1" s="72" t="s">
        <v>76</v>
      </c>
      <c r="H1" t="s">
        <v>70</v>
      </c>
      <c r="J1" s="20" t="s">
        <v>1</v>
      </c>
    </row>
    <row r="2" spans="1:10" x14ac:dyDescent="0.25">
      <c r="A2" t="s">
        <v>75</v>
      </c>
      <c r="F2" t="s">
        <v>8</v>
      </c>
      <c r="H2" t="s">
        <v>1</v>
      </c>
      <c r="J2" s="60" t="s">
        <v>66</v>
      </c>
    </row>
    <row r="3" spans="1:10" x14ac:dyDescent="0.25">
      <c r="A3" t="s">
        <v>25</v>
      </c>
      <c r="F3" t="s">
        <v>9</v>
      </c>
      <c r="H3" t="s">
        <v>66</v>
      </c>
    </row>
    <row r="4" spans="1:10" x14ac:dyDescent="0.25">
      <c r="A4" t="s">
        <v>12</v>
      </c>
      <c r="F4" t="s">
        <v>10</v>
      </c>
      <c r="H4" t="s">
        <v>62</v>
      </c>
    </row>
    <row r="5" spans="1:10" x14ac:dyDescent="0.25">
      <c r="A5" t="s">
        <v>15</v>
      </c>
      <c r="F5" t="s">
        <v>20</v>
      </c>
      <c r="H5" t="s">
        <v>82</v>
      </c>
    </row>
    <row r="6" spans="1:10" x14ac:dyDescent="0.25">
      <c r="A6" t="s">
        <v>14</v>
      </c>
    </row>
    <row r="7" spans="1:10" x14ac:dyDescent="0.25">
      <c r="A7" t="s">
        <v>31</v>
      </c>
    </row>
    <row r="8" spans="1:10" x14ac:dyDescent="0.25">
      <c r="A8" t="s">
        <v>26</v>
      </c>
    </row>
    <row r="9" spans="1:10" x14ac:dyDescent="0.25">
      <c r="A9" t="s">
        <v>27</v>
      </c>
    </row>
    <row r="10" spans="1:10" x14ac:dyDescent="0.25">
      <c r="A10" t="s">
        <v>28</v>
      </c>
    </row>
    <row r="11" spans="1:10" x14ac:dyDescent="0.25">
      <c r="A11" t="s">
        <v>29</v>
      </c>
    </row>
    <row r="12" spans="1:10" x14ac:dyDescent="0.25">
      <c r="A12" t="s">
        <v>28</v>
      </c>
    </row>
    <row r="13" spans="1:10" x14ac:dyDescent="0.25">
      <c r="A13" t="s">
        <v>59</v>
      </c>
    </row>
    <row r="17" spans="1:1" x14ac:dyDescent="0.25">
      <c r="A17" s="23"/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E13A8-D86B-4B7E-9117-663724A352A8}">
  <sheetPr codeName="Feuil16"/>
  <dimension ref="A6:J27"/>
  <sheetViews>
    <sheetView showGridLines="0" showRowColHeaders="0" workbookViewId="0"/>
  </sheetViews>
  <sheetFormatPr baseColWidth="10" defaultRowHeight="15" x14ac:dyDescent="0.25"/>
  <cols>
    <col min="1" max="1" width="4.85546875" customWidth="1"/>
    <col min="2" max="2" width="19.5703125" bestFit="1" customWidth="1"/>
    <col min="3" max="3" width="22.28515625" bestFit="1" customWidth="1"/>
    <col min="4" max="4" width="12" bestFit="1" customWidth="1"/>
    <col min="5" max="5" width="24.28515625" bestFit="1" customWidth="1"/>
    <col min="6" max="7" width="12" bestFit="1" customWidth="1"/>
    <col min="8" max="8" width="21" bestFit="1" customWidth="1"/>
    <col min="9" max="9" width="28" bestFit="1" customWidth="1"/>
    <col min="10" max="10" width="12.5703125" bestFit="1" customWidth="1"/>
    <col min="11" max="11" width="15" bestFit="1" customWidth="1"/>
    <col min="12" max="12" width="21.85546875" bestFit="1" customWidth="1"/>
    <col min="13" max="13" width="12.5703125" bestFit="1" customWidth="1"/>
    <col min="14" max="14" width="31.7109375" bestFit="1" customWidth="1"/>
    <col min="15" max="15" width="12" bestFit="1" customWidth="1"/>
    <col min="16" max="16" width="25.5703125" bestFit="1" customWidth="1"/>
    <col min="17" max="17" width="23.28515625" bestFit="1" customWidth="1"/>
  </cols>
  <sheetData>
    <row r="6" spans="1:9" ht="15" customHeight="1" x14ac:dyDescent="0.25"/>
    <row r="7" spans="1:9" ht="15" customHeight="1" x14ac:dyDescent="0.25"/>
    <row r="8" spans="1:9" ht="15" customHeight="1" x14ac:dyDescent="0.25">
      <c r="A8" s="19"/>
    </row>
    <row r="16" spans="1:9" x14ac:dyDescent="0.25">
      <c r="H16" s="20" t="s">
        <v>77</v>
      </c>
      <c r="I16" t="s">
        <v>55</v>
      </c>
    </row>
    <row r="18" spans="8:10" x14ac:dyDescent="0.25">
      <c r="H18" s="20" t="s">
        <v>78</v>
      </c>
      <c r="I18" s="20" t="s">
        <v>54</v>
      </c>
    </row>
    <row r="19" spans="8:10" x14ac:dyDescent="0.25">
      <c r="H19" s="20" t="s">
        <v>61</v>
      </c>
      <c r="I19" t="s">
        <v>45</v>
      </c>
      <c r="J19" t="s">
        <v>53</v>
      </c>
    </row>
    <row r="20" spans="8:10" x14ac:dyDescent="0.25">
      <c r="H20" s="60" t="s">
        <v>97</v>
      </c>
      <c r="I20" s="23">
        <v>44.869633336822034</v>
      </c>
      <c r="J20" s="23">
        <v>44.869633336822034</v>
      </c>
    </row>
    <row r="21" spans="8:10" x14ac:dyDescent="0.25">
      <c r="H21" s="60" t="s">
        <v>98</v>
      </c>
      <c r="I21" s="23">
        <v>96.395035993218258</v>
      </c>
      <c r="J21" s="23">
        <v>96.395035993218258</v>
      </c>
    </row>
    <row r="22" spans="8:10" x14ac:dyDescent="0.25">
      <c r="H22" s="60" t="s">
        <v>53</v>
      </c>
      <c r="I22" s="23">
        <v>141.26466933004031</v>
      </c>
      <c r="J22" s="23">
        <v>141.26466933004031</v>
      </c>
    </row>
    <row r="27" spans="8:10" hidden="1" x14ac:dyDescent="0.25"/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6A238-940C-4F8B-AA30-296AB493F7A6}">
  <sheetPr codeName="Feuil11"/>
  <dimension ref="B3:Z50"/>
  <sheetViews>
    <sheetView showGridLines="0" showRowColHeaders="0" tabSelected="1" zoomScaleNormal="100" workbookViewId="0"/>
  </sheetViews>
  <sheetFormatPr baseColWidth="10" defaultRowHeight="15" x14ac:dyDescent="0.25"/>
  <cols>
    <col min="1" max="1" width="7" customWidth="1"/>
    <col min="2" max="2" width="22.7109375" customWidth="1"/>
    <col min="3" max="3" width="19.85546875" customWidth="1"/>
    <col min="4" max="4" width="17.28515625" customWidth="1"/>
    <col min="5" max="5" width="11.140625" customWidth="1"/>
    <col min="6" max="6" width="20.140625" customWidth="1"/>
    <col min="7" max="7" width="20.7109375" customWidth="1"/>
    <col min="8" max="8" width="19.140625" customWidth="1"/>
    <col min="9" max="9" width="17.28515625" customWidth="1"/>
    <col min="10" max="10" width="12.7109375" customWidth="1"/>
    <col min="11" max="11" width="11.85546875" bestFit="1" customWidth="1"/>
    <col min="12" max="12" width="11.5703125" customWidth="1"/>
    <col min="13" max="14" width="14.28515625" customWidth="1"/>
    <col min="15" max="15" width="25.85546875" bestFit="1" customWidth="1"/>
    <col min="16" max="17" width="14.140625" bestFit="1" customWidth="1"/>
    <col min="18" max="18" width="14.42578125" bestFit="1" customWidth="1"/>
    <col min="19" max="19" width="19.28515625" bestFit="1" customWidth="1"/>
    <col min="20" max="20" width="18.85546875" bestFit="1" customWidth="1"/>
    <col min="21" max="21" width="17" bestFit="1" customWidth="1"/>
    <col min="22" max="22" width="11.7109375" customWidth="1"/>
    <col min="23" max="23" width="12.5703125" customWidth="1"/>
    <col min="24" max="24" width="12.140625" customWidth="1"/>
    <col min="26" max="26" width="11.5703125" customWidth="1"/>
    <col min="31" max="31" width="11.5703125" customWidth="1"/>
  </cols>
  <sheetData>
    <row r="3" spans="2:25" ht="10.9" customHeight="1" x14ac:dyDescent="0.25"/>
    <row r="4" spans="2:25" ht="15" customHeight="1" x14ac:dyDescent="0.25"/>
    <row r="5" spans="2:25" ht="24" customHeight="1" x14ac:dyDescent="0.25"/>
    <row r="6" spans="2:25" ht="19.899999999999999" customHeight="1" x14ac:dyDescent="0.25"/>
    <row r="7" spans="2:25" ht="20.100000000000001" customHeight="1" thickBot="1" x14ac:dyDescent="0.3"/>
    <row r="8" spans="2:25" ht="25.15" customHeight="1" thickBot="1" x14ac:dyDescent="0.3">
      <c r="E8" s="75" t="s">
        <v>79</v>
      </c>
      <c r="F8" s="75" t="s">
        <v>25</v>
      </c>
      <c r="G8" s="75" t="s">
        <v>58</v>
      </c>
      <c r="H8" s="75" t="s">
        <v>55</v>
      </c>
      <c r="I8" s="75" t="s">
        <v>68</v>
      </c>
      <c r="J8" s="75" t="s">
        <v>31</v>
      </c>
      <c r="K8" s="75" t="s">
        <v>26</v>
      </c>
      <c r="L8" s="75" t="s">
        <v>27</v>
      </c>
      <c r="M8" s="75" t="s">
        <v>29</v>
      </c>
      <c r="N8" s="75" t="s">
        <v>28</v>
      </c>
    </row>
    <row r="9" spans="2:25" ht="19.899999999999999" customHeight="1" thickBot="1" x14ac:dyDescent="0.3">
      <c r="D9" s="78" t="s">
        <v>8</v>
      </c>
      <c r="E9" s="76">
        <v>1304.7886840338449</v>
      </c>
      <c r="F9" s="74">
        <v>691.16565295830151</v>
      </c>
      <c r="G9" s="74">
        <v>41.318410410654792</v>
      </c>
      <c r="H9" s="73">
        <v>40.16280842402297</v>
      </c>
      <c r="I9" s="73">
        <v>46.353282924703585</v>
      </c>
      <c r="J9" s="73">
        <v>136.7017454709592</v>
      </c>
      <c r="K9" s="73">
        <v>83.755973309070569</v>
      </c>
      <c r="L9" s="73">
        <v>54.499275381861693</v>
      </c>
      <c r="M9" s="73">
        <v>49.967869821393343</v>
      </c>
      <c r="N9" s="73">
        <v>31.440336461280125</v>
      </c>
    </row>
    <row r="10" spans="2:25" ht="19.899999999999999" customHeight="1" thickBot="1" x14ac:dyDescent="0.3">
      <c r="D10" s="79" t="s">
        <v>9</v>
      </c>
      <c r="E10" s="77">
        <v>1457.7015933879475</v>
      </c>
      <c r="F10" s="59">
        <v>772.16585792079366</v>
      </c>
      <c r="G10" s="59">
        <v>46.160664503667896</v>
      </c>
      <c r="H10" s="73">
        <v>44.869633336822034</v>
      </c>
      <c r="I10" s="73">
        <v>51.78559195440576</v>
      </c>
      <c r="J10" s="73">
        <v>152.72231789738757</v>
      </c>
      <c r="K10" s="73">
        <v>93.571639026587121</v>
      </c>
      <c r="L10" s="73">
        <v>60.8862427569671</v>
      </c>
      <c r="M10" s="73">
        <v>55.823785374703064</v>
      </c>
      <c r="N10" s="73">
        <v>35.124943308500079</v>
      </c>
    </row>
    <row r="11" spans="2:25" ht="19.899999999999999" customHeight="1" thickBot="1" x14ac:dyDescent="0.3">
      <c r="D11" s="78" t="s">
        <v>10</v>
      </c>
      <c r="E11" s="77">
        <v>1341.0841048549696</v>
      </c>
      <c r="F11" s="59">
        <v>710.39186831270922</v>
      </c>
      <c r="G11" s="59">
        <v>42.467768242973143</v>
      </c>
      <c r="H11" s="73">
        <v>41.280020774916039</v>
      </c>
      <c r="I11" s="73">
        <v>47.642696245634198</v>
      </c>
      <c r="J11" s="73">
        <v>140.50438986814348</v>
      </c>
      <c r="K11" s="73">
        <v>86.085820536237932</v>
      </c>
      <c r="L11" s="73">
        <v>56.015286486675748</v>
      </c>
      <c r="M11" s="73">
        <v>51.357830421830002</v>
      </c>
      <c r="N11" s="73">
        <v>32.314915047516784</v>
      </c>
    </row>
    <row r="12" spans="2:25" ht="19.899999999999999" customHeight="1" thickBot="1" x14ac:dyDescent="0.3">
      <c r="D12" s="80" t="s">
        <v>11</v>
      </c>
      <c r="E12" s="77">
        <v>86720.31801886794</v>
      </c>
      <c r="F12" s="59">
        <v>45937.021037735853</v>
      </c>
      <c r="G12" s="59">
        <v>2746.1501886792453</v>
      </c>
      <c r="H12" s="73">
        <v>2669.3452830188676</v>
      </c>
      <c r="I12" s="73">
        <v>3080.7834905660375</v>
      </c>
      <c r="J12" s="73">
        <v>9085.6235849056593</v>
      </c>
      <c r="K12" s="73">
        <v>5566.6827358490564</v>
      </c>
      <c r="L12" s="73">
        <v>3622.191509433962</v>
      </c>
      <c r="M12" s="73">
        <v>3321.0201886792456</v>
      </c>
      <c r="N12" s="73">
        <v>2089.6226415094338</v>
      </c>
    </row>
    <row r="13" spans="2:25" ht="37.5" customHeight="1" thickBot="1" x14ac:dyDescent="0.3">
      <c r="E13" s="67"/>
      <c r="F13" s="67"/>
      <c r="G13" s="20"/>
      <c r="H13" s="20"/>
      <c r="I13" s="20"/>
      <c r="J13" s="20"/>
      <c r="K13" s="20"/>
      <c r="L13" s="67"/>
      <c r="M13" s="67"/>
      <c r="N13" s="67"/>
      <c r="O13" s="67"/>
    </row>
    <row r="14" spans="2:25" ht="15.75" hidden="1" thickBot="1" x14ac:dyDescent="0.3">
      <c r="B14" t="s">
        <v>80</v>
      </c>
      <c r="C14" t="s">
        <v>81</v>
      </c>
      <c r="D14" s="66"/>
      <c r="E14" s="66"/>
      <c r="F14" s="66"/>
      <c r="G14" s="61"/>
      <c r="H14" s="61"/>
      <c r="I14" s="61"/>
      <c r="J14" s="61"/>
      <c r="K14" s="61"/>
      <c r="L14" s="66"/>
      <c r="M14" s="66"/>
      <c r="N14" s="66"/>
      <c r="O14" s="66"/>
      <c r="P14" s="68"/>
      <c r="Q14" s="68"/>
      <c r="R14" s="68"/>
      <c r="S14" s="68"/>
      <c r="T14" s="68"/>
      <c r="U14" s="68"/>
      <c r="V14" s="68"/>
      <c r="W14" s="68"/>
      <c r="X14" s="68"/>
    </row>
    <row r="15" spans="2:25" s="18" customFormat="1" ht="21.95" customHeight="1" thickBot="1" x14ac:dyDescent="0.3">
      <c r="B15" s="78" t="s">
        <v>56</v>
      </c>
      <c r="C15" s="81">
        <v>12954574.720000001</v>
      </c>
      <c r="D15" s="67"/>
      <c r="I15"/>
      <c r="J15" t="s">
        <v>99</v>
      </c>
      <c r="K15" t="s">
        <v>100</v>
      </c>
      <c r="L15"/>
      <c r="M15"/>
      <c r="N15"/>
      <c r="O15"/>
      <c r="P15" s="67"/>
      <c r="Q15" s="67"/>
      <c r="R15" s="67"/>
      <c r="S15" s="67"/>
      <c r="T15" s="67"/>
      <c r="U15" s="67"/>
      <c r="V15" s="67"/>
      <c r="W15" s="67"/>
      <c r="X15" s="67"/>
      <c r="Y15" s="69"/>
    </row>
    <row r="16" spans="2:25" s="18" customFormat="1" ht="21.95" customHeight="1" thickBot="1" x14ac:dyDescent="0.3">
      <c r="B16" s="78" t="s">
        <v>32</v>
      </c>
      <c r="C16" s="82" t="s">
        <v>86</v>
      </c>
      <c r="D16" s="67"/>
      <c r="F16"/>
      <c r="G16"/>
      <c r="H16"/>
      <c r="I16"/>
      <c r="J16" t="s">
        <v>1</v>
      </c>
      <c r="K16" t="s">
        <v>66</v>
      </c>
      <c r="L16"/>
      <c r="M16"/>
      <c r="N16"/>
      <c r="O16"/>
      <c r="P16" s="67"/>
      <c r="Q16" s="67"/>
      <c r="R16" s="67"/>
      <c r="S16" s="67"/>
      <c r="T16" s="67"/>
      <c r="U16" s="67"/>
      <c r="V16" s="67"/>
      <c r="W16" s="67"/>
      <c r="X16" s="67"/>
      <c r="Y16" s="69"/>
    </row>
    <row r="17" spans="2:25" s="18" customFormat="1" ht="21.95" customHeight="1" thickBot="1" x14ac:dyDescent="0.3">
      <c r="B17" s="78" t="s">
        <v>71</v>
      </c>
      <c r="C17" s="83" t="s">
        <v>73</v>
      </c>
      <c r="D17" s="67"/>
      <c r="E17" s="20"/>
      <c r="F17"/>
      <c r="G17"/>
      <c r="H17"/>
      <c r="I17"/>
      <c r="J17" t="s">
        <v>87</v>
      </c>
      <c r="K17">
        <v>4869324.2300000004</v>
      </c>
      <c r="L17"/>
      <c r="M17"/>
      <c r="N17"/>
      <c r="O17"/>
      <c r="P17" s="67"/>
      <c r="Q17" s="67"/>
      <c r="R17" s="67"/>
      <c r="S17" s="67"/>
      <c r="T17" s="67"/>
      <c r="U17" s="67"/>
      <c r="V17" s="67"/>
      <c r="W17" s="67"/>
      <c r="X17" s="67"/>
      <c r="Y17" s="69"/>
    </row>
    <row r="18" spans="2:25" ht="21.95" customHeight="1" thickBot="1" x14ac:dyDescent="0.3">
      <c r="B18" s="78" t="s">
        <v>24</v>
      </c>
      <c r="C18" s="82" t="s">
        <v>67</v>
      </c>
      <c r="D18" s="66"/>
      <c r="E18" s="61"/>
      <c r="J18" t="s">
        <v>88</v>
      </c>
      <c r="K18">
        <v>291091.92</v>
      </c>
      <c r="L18" s="73"/>
      <c r="M18" s="73"/>
      <c r="N18" s="73"/>
      <c r="O18" s="73"/>
      <c r="P18" s="62"/>
      <c r="Q18" s="62"/>
      <c r="R18" s="62"/>
      <c r="S18" s="62"/>
      <c r="T18" s="62"/>
      <c r="U18" s="62"/>
      <c r="V18" s="62"/>
      <c r="W18" s="62"/>
      <c r="X18" s="62"/>
    </row>
    <row r="19" spans="2:25" ht="21.95" customHeight="1" thickBot="1" x14ac:dyDescent="0.3">
      <c r="B19" s="78" t="s">
        <v>7</v>
      </c>
      <c r="C19" s="82">
        <v>106</v>
      </c>
      <c r="E19" t="s">
        <v>1</v>
      </c>
      <c r="F19" t="s">
        <v>57</v>
      </c>
      <c r="G19" t="s">
        <v>18</v>
      </c>
      <c r="H19" t="s">
        <v>19</v>
      </c>
      <c r="I19" s="20"/>
      <c r="J19" t="s">
        <v>89</v>
      </c>
      <c r="K19">
        <v>282950.59999999998</v>
      </c>
      <c r="V19" s="62"/>
      <c r="W19" s="62"/>
      <c r="X19" s="62"/>
    </row>
    <row r="20" spans="2:25" ht="21.95" customHeight="1" thickBot="1" x14ac:dyDescent="0.3">
      <c r="B20" s="78" t="s">
        <v>23</v>
      </c>
      <c r="C20" s="82">
        <v>4</v>
      </c>
      <c r="E20" s="23" t="s">
        <v>66</v>
      </c>
      <c r="F20">
        <v>8597090.6799999997</v>
      </c>
      <c r="G20">
        <v>9488771.8800000008</v>
      </c>
      <c r="H20">
        <v>9192353.7100000009</v>
      </c>
      <c r="J20" t="s">
        <v>90</v>
      </c>
      <c r="K20">
        <v>326563.05</v>
      </c>
      <c r="P20" s="62"/>
      <c r="Q20" s="62"/>
      <c r="R20" s="62"/>
      <c r="S20" s="62"/>
      <c r="T20" s="62"/>
      <c r="U20" s="62"/>
      <c r="V20" s="62"/>
      <c r="W20" s="62"/>
      <c r="X20" s="62"/>
    </row>
    <row r="21" spans="2:25" ht="21.95" customHeight="1" thickBot="1" x14ac:dyDescent="0.3">
      <c r="B21" s="78" t="s">
        <v>4</v>
      </c>
      <c r="C21" s="82">
        <v>7045.09</v>
      </c>
      <c r="D21" s="20"/>
      <c r="E21" s="23"/>
      <c r="J21" t="s">
        <v>91</v>
      </c>
      <c r="K21">
        <v>963076.1</v>
      </c>
      <c r="P21" s="20"/>
      <c r="Q21" s="20"/>
      <c r="R21" s="20"/>
      <c r="S21" s="20"/>
      <c r="T21" s="20"/>
      <c r="U21" s="20"/>
      <c r="V21" s="20"/>
      <c r="W21" s="20"/>
      <c r="X21" s="20"/>
    </row>
    <row r="22" spans="2:25" s="22" customFormat="1" ht="21.95" customHeight="1" thickBot="1" x14ac:dyDescent="0.3">
      <c r="B22" s="78" t="s">
        <v>5</v>
      </c>
      <c r="C22" s="85">
        <v>6306.06</v>
      </c>
      <c r="D22" s="61"/>
      <c r="E22"/>
      <c r="F22"/>
      <c r="G22"/>
      <c r="H22"/>
      <c r="I22"/>
      <c r="J22" t="s">
        <v>92</v>
      </c>
      <c r="K22">
        <v>590068.37</v>
      </c>
      <c r="L22"/>
      <c r="M22"/>
      <c r="N22"/>
      <c r="O22"/>
      <c r="P22"/>
      <c r="Q22"/>
      <c r="R22"/>
      <c r="S22"/>
      <c r="T22"/>
      <c r="U22"/>
      <c r="V22" s="61"/>
      <c r="W22" s="61"/>
      <c r="X22" s="61"/>
      <c r="Y22" s="61"/>
    </row>
    <row r="23" spans="2:25" s="22" customFormat="1" ht="21.95" customHeight="1" thickBot="1" x14ac:dyDescent="0.3">
      <c r="B23" s="84" t="s">
        <v>6</v>
      </c>
      <c r="C23" s="82">
        <v>6854.42</v>
      </c>
      <c r="D23" s="61"/>
      <c r="F23"/>
      <c r="G23"/>
      <c r="H23"/>
      <c r="I23"/>
      <c r="J23" t="s">
        <v>93</v>
      </c>
      <c r="K23">
        <v>383952.3</v>
      </c>
      <c r="L23"/>
      <c r="M23"/>
      <c r="N23"/>
      <c r="O23"/>
      <c r="P23"/>
      <c r="Q23"/>
      <c r="R23"/>
      <c r="S23"/>
      <c r="T23"/>
      <c r="U23"/>
      <c r="V23" s="61"/>
      <c r="W23" s="61"/>
      <c r="X23" s="61"/>
      <c r="Y23" s="61"/>
    </row>
    <row r="24" spans="2:25" ht="21.95" customHeight="1" thickBot="1" x14ac:dyDescent="0.3">
      <c r="B24" s="78" t="s">
        <v>57</v>
      </c>
      <c r="C24" s="81">
        <v>8597090.6799999997</v>
      </c>
      <c r="J24" t="s">
        <v>94</v>
      </c>
      <c r="K24">
        <v>352028.14</v>
      </c>
    </row>
    <row r="25" spans="2:25" ht="21.95" customHeight="1" thickBot="1" x14ac:dyDescent="0.3">
      <c r="B25" s="78" t="s">
        <v>18</v>
      </c>
      <c r="C25" s="81">
        <v>9488771.8800000008</v>
      </c>
      <c r="J25" t="s">
        <v>95</v>
      </c>
      <c r="K25">
        <v>221500</v>
      </c>
    </row>
    <row r="26" spans="2:25" ht="21.95" customHeight="1" thickBot="1" x14ac:dyDescent="0.3">
      <c r="B26" s="78" t="s">
        <v>19</v>
      </c>
      <c r="C26" s="81">
        <v>9192353.7100000009</v>
      </c>
      <c r="J26" t="s">
        <v>96</v>
      </c>
      <c r="K26">
        <v>911799.00000000186</v>
      </c>
    </row>
    <row r="28" spans="2:25" ht="19.899999999999999" customHeight="1" x14ac:dyDescent="0.25">
      <c r="D28" s="20"/>
      <c r="R28" s="20"/>
      <c r="S28" s="20"/>
      <c r="T28" s="20"/>
      <c r="U28" s="20"/>
      <c r="V28" s="20"/>
      <c r="W28" s="20"/>
      <c r="X28" s="20"/>
      <c r="Y28" s="20"/>
    </row>
    <row r="29" spans="2:25" ht="19.899999999999999" customHeight="1" x14ac:dyDescent="0.25">
      <c r="I29" s="20"/>
      <c r="J29" s="20"/>
      <c r="K29" s="20"/>
    </row>
    <row r="30" spans="2:25" ht="19.899999999999999" customHeight="1" x14ac:dyDescent="0.25">
      <c r="I30" s="20"/>
      <c r="J30" s="20"/>
      <c r="K30" s="20"/>
    </row>
    <row r="31" spans="2:25" x14ac:dyDescent="0.25">
      <c r="W31" s="20"/>
      <c r="X31" s="20"/>
      <c r="Y31" s="20"/>
    </row>
    <row r="32" spans="2:25" x14ac:dyDescent="0.25">
      <c r="S32" s="20"/>
      <c r="W32" s="20"/>
      <c r="X32" s="20"/>
      <c r="Y32" s="20"/>
    </row>
    <row r="33" spans="4:26" ht="19.899999999999999" customHeight="1" x14ac:dyDescent="0.25">
      <c r="S33" s="20"/>
      <c r="W33" s="20"/>
      <c r="X33" s="20"/>
      <c r="Y33" s="20"/>
    </row>
    <row r="34" spans="4:26" ht="15.6" customHeight="1" x14ac:dyDescent="0.25"/>
    <row r="35" spans="4:26" x14ac:dyDescent="0.25">
      <c r="D35" s="20"/>
      <c r="H35" s="20"/>
      <c r="I35" s="20"/>
      <c r="J35" s="20"/>
      <c r="K35" s="20"/>
      <c r="P35" s="20"/>
      <c r="Q35" s="20"/>
      <c r="R35" s="20"/>
      <c r="S35" s="20"/>
      <c r="W35" s="20"/>
      <c r="X35" s="20"/>
      <c r="Y35" s="20"/>
    </row>
    <row r="36" spans="4:26" x14ac:dyDescent="0.25">
      <c r="D36" s="20"/>
      <c r="P36" s="20"/>
      <c r="Q36" s="20"/>
      <c r="R36" s="20"/>
      <c r="S36" s="20"/>
      <c r="W36" s="20"/>
      <c r="X36" s="20"/>
      <c r="Y36" s="20"/>
    </row>
    <row r="38" spans="4:26" x14ac:dyDescent="0.25">
      <c r="O38" s="20"/>
    </row>
    <row r="39" spans="4:26" ht="19.149999999999999" customHeight="1" x14ac:dyDescent="0.25"/>
    <row r="40" spans="4:26" ht="19.149999999999999" customHeight="1" x14ac:dyDescent="0.25"/>
    <row r="41" spans="4:26" ht="17.45" customHeight="1" x14ac:dyDescent="0.25">
      <c r="D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4" spans="4:26" x14ac:dyDescent="0.25">
      <c r="G44" s="20"/>
      <c r="H44" s="20"/>
      <c r="I44" s="20"/>
      <c r="J44" s="20"/>
      <c r="K44" s="20"/>
    </row>
    <row r="47" spans="4:26" x14ac:dyDescent="0.25">
      <c r="E47" s="20"/>
      <c r="F47" s="20"/>
      <c r="L47" s="20"/>
      <c r="M47" s="20"/>
      <c r="N47" s="20"/>
      <c r="O47" s="20"/>
    </row>
    <row r="50" spans="4:26" x14ac:dyDescent="0.25">
      <c r="D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OuvrirUserform">
                <anchor moveWithCells="1" sizeWithCells="1">
                  <from>
                    <xdr:col>8</xdr:col>
                    <xdr:colOff>438150</xdr:colOff>
                    <xdr:row>0</xdr:row>
                    <xdr:rowOff>152400</xdr:rowOff>
                  </from>
                  <to>
                    <xdr:col>10</xdr:col>
                    <xdr:colOff>85725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3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  <extLst>
    <ext xmlns:x14="http://schemas.microsoft.com/office/spreadsheetml/2009/9/main" uri="{A8765BA9-456A-4dab-B4F3-ACF838C121DE}">
      <x14:slicerList>
        <x14:slicer r:id="rId18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70E21-669F-4F82-AE16-A325BC14448A}">
  <sheetPr codeName="Feuil8"/>
  <dimension ref="B4:P33"/>
  <sheetViews>
    <sheetView showGridLines="0" showRowColHeaders="0" workbookViewId="0"/>
  </sheetViews>
  <sheetFormatPr baseColWidth="10" defaultRowHeight="15" x14ac:dyDescent="0.25"/>
  <cols>
    <col min="2" max="2" width="7.7109375" customWidth="1"/>
    <col min="4" max="4" width="11.5703125" customWidth="1"/>
    <col min="7" max="7" width="11.5703125" customWidth="1"/>
  </cols>
  <sheetData>
    <row r="4" spans="2:16" ht="36" x14ac:dyDescent="0.25">
      <c r="B4" s="9"/>
      <c r="C4" s="9"/>
      <c r="D4" s="9"/>
      <c r="G4" s="93" t="s">
        <v>69</v>
      </c>
      <c r="H4" s="93"/>
      <c r="I4" s="93"/>
      <c r="J4" s="93"/>
      <c r="K4" s="93"/>
      <c r="L4" s="93"/>
      <c r="M4" s="93"/>
      <c r="N4" s="93"/>
      <c r="O4" s="93"/>
      <c r="P4" s="93"/>
    </row>
    <row r="5" spans="2:16" x14ac:dyDescent="0.25">
      <c r="B5" s="9"/>
      <c r="C5" s="9"/>
      <c r="D5" s="9"/>
    </row>
    <row r="6" spans="2:16" x14ac:dyDescent="0.25">
      <c r="B6" s="9"/>
      <c r="C6" s="9"/>
      <c r="D6" s="9"/>
    </row>
    <row r="7" spans="2:16" x14ac:dyDescent="0.25">
      <c r="B7" s="9"/>
      <c r="C7" s="9"/>
      <c r="D7" s="9"/>
    </row>
    <row r="8" spans="2:16" x14ac:dyDescent="0.25">
      <c r="B8" s="9"/>
      <c r="C8" s="9"/>
      <c r="D8" s="9"/>
    </row>
    <row r="9" spans="2:16" x14ac:dyDescent="0.25">
      <c r="B9" s="9"/>
      <c r="C9" s="9"/>
      <c r="D9" s="9"/>
    </row>
    <row r="10" spans="2:16" x14ac:dyDescent="0.25">
      <c r="B10" s="9"/>
      <c r="C10" s="9"/>
      <c r="D10" s="9"/>
    </row>
    <row r="11" spans="2:16" ht="19.899999999999999" customHeight="1" x14ac:dyDescent="0.25">
      <c r="B11" s="9"/>
      <c r="C11" s="9"/>
      <c r="D11" s="9"/>
    </row>
    <row r="12" spans="2:16" x14ac:dyDescent="0.25">
      <c r="B12" s="9"/>
      <c r="C12" s="9"/>
      <c r="D12" s="9"/>
    </row>
    <row r="13" spans="2:16" x14ac:dyDescent="0.25">
      <c r="B13" s="9"/>
      <c r="C13" s="9"/>
      <c r="D13" s="9"/>
    </row>
    <row r="14" spans="2:16" x14ac:dyDescent="0.25">
      <c r="B14" s="9"/>
      <c r="C14" s="9"/>
      <c r="D14" s="9"/>
    </row>
    <row r="15" spans="2:16" x14ac:dyDescent="0.25">
      <c r="B15" s="9"/>
      <c r="C15" s="9"/>
      <c r="D15" s="9"/>
    </row>
    <row r="16" spans="2:16" ht="14.45" customHeight="1" x14ac:dyDescent="0.35">
      <c r="B16" s="9"/>
      <c r="C16" s="9"/>
      <c r="D16" s="9"/>
      <c r="G16" s="1"/>
    </row>
    <row r="17" spans="2:4" x14ac:dyDescent="0.25">
      <c r="B17" s="9"/>
      <c r="C17" s="9"/>
      <c r="D17" s="9"/>
    </row>
    <row r="18" spans="2:4" x14ac:dyDescent="0.25">
      <c r="B18" s="9"/>
      <c r="C18" s="9"/>
      <c r="D18" s="9"/>
    </row>
    <row r="19" spans="2:4" x14ac:dyDescent="0.25">
      <c r="B19" s="9"/>
      <c r="C19" s="9"/>
      <c r="D19" s="9"/>
    </row>
    <row r="20" spans="2:4" x14ac:dyDescent="0.25">
      <c r="B20" s="9"/>
      <c r="C20" s="9"/>
      <c r="D20" s="9"/>
    </row>
    <row r="21" spans="2:4" x14ac:dyDescent="0.25">
      <c r="B21" s="9"/>
      <c r="C21" s="9"/>
      <c r="D21" s="9"/>
    </row>
    <row r="22" spans="2:4" x14ac:dyDescent="0.25">
      <c r="B22" s="9"/>
      <c r="C22" s="9"/>
      <c r="D22" s="9"/>
    </row>
    <row r="23" spans="2:4" x14ac:dyDescent="0.25">
      <c r="B23" s="9"/>
      <c r="C23" s="9"/>
      <c r="D23" s="9"/>
    </row>
    <row r="24" spans="2:4" x14ac:dyDescent="0.25">
      <c r="B24" s="9"/>
      <c r="C24" s="9"/>
      <c r="D24" s="9"/>
    </row>
    <row r="25" spans="2:4" x14ac:dyDescent="0.25">
      <c r="B25" s="9"/>
      <c r="C25" s="9"/>
      <c r="D25" s="9"/>
    </row>
    <row r="26" spans="2:4" x14ac:dyDescent="0.25">
      <c r="B26" s="9"/>
      <c r="C26" s="9"/>
      <c r="D26" s="9"/>
    </row>
    <row r="27" spans="2:4" x14ac:dyDescent="0.25">
      <c r="B27" s="9"/>
      <c r="C27" s="9"/>
      <c r="D27" s="9"/>
    </row>
    <row r="28" spans="2:4" x14ac:dyDescent="0.25">
      <c r="B28" s="9"/>
      <c r="C28" s="9"/>
      <c r="D28" s="9"/>
    </row>
    <row r="29" spans="2:4" x14ac:dyDescent="0.25">
      <c r="B29" s="9"/>
      <c r="C29" s="9"/>
      <c r="D29" s="9"/>
    </row>
    <row r="30" spans="2:4" x14ac:dyDescent="0.25">
      <c r="B30" s="9"/>
      <c r="C30" s="9"/>
      <c r="D30" s="9"/>
    </row>
    <row r="31" spans="2:4" x14ac:dyDescent="0.25">
      <c r="B31" s="9"/>
      <c r="C31" s="9"/>
      <c r="D31" s="9"/>
    </row>
    <row r="32" spans="2:4" x14ac:dyDescent="0.25">
      <c r="B32" s="9"/>
      <c r="C32" s="9"/>
      <c r="D32" s="9"/>
    </row>
    <row r="33" spans="2:4" x14ac:dyDescent="0.25">
      <c r="B33" s="9"/>
      <c r="C33" s="9"/>
      <c r="D33" s="9"/>
    </row>
  </sheetData>
  <mergeCells count="1">
    <mergeCell ref="G4:P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05E82-3FEE-4019-8487-471800403803}">
  <sheetPr codeName="Feuil9"/>
  <dimension ref="A8:U13"/>
  <sheetViews>
    <sheetView showGridLines="0" showRowColHeaders="0" zoomScaleNormal="100" workbookViewId="0"/>
  </sheetViews>
  <sheetFormatPr baseColWidth="10" defaultRowHeight="15" x14ac:dyDescent="0.25"/>
  <cols>
    <col min="1" max="1" width="16.7109375" customWidth="1"/>
    <col min="2" max="2" width="18.140625" customWidth="1"/>
    <col min="6" max="6" width="12" customWidth="1"/>
    <col min="7" max="7" width="10" customWidth="1"/>
    <col min="8" max="8" width="10.140625" customWidth="1"/>
    <col min="9" max="9" width="8.28515625" customWidth="1"/>
    <col min="10" max="10" width="9.42578125" customWidth="1"/>
    <col min="11" max="11" width="8.5703125" customWidth="1"/>
    <col min="12" max="12" width="15.7109375" customWidth="1"/>
    <col min="13" max="13" width="16.7109375" customWidth="1"/>
    <col min="14" max="14" width="14.140625" customWidth="1"/>
    <col min="15" max="15" width="15.7109375" customWidth="1"/>
    <col min="16" max="16" width="15.85546875" style="23" customWidth="1"/>
    <col min="17" max="17" width="16" style="23" customWidth="1"/>
    <col min="18" max="18" width="9.85546875" style="23" customWidth="1"/>
    <col min="19" max="19" width="10" style="23" customWidth="1"/>
    <col min="20" max="20" width="10.140625" style="23" customWidth="1"/>
    <col min="21" max="21" width="12.140625" style="23" customWidth="1"/>
  </cols>
  <sheetData>
    <row r="8" spans="1:21" ht="31.5" customHeight="1" x14ac:dyDescent="0.25">
      <c r="P8" s="94" t="s">
        <v>17</v>
      </c>
      <c r="Q8" s="95"/>
      <c r="R8" s="95"/>
      <c r="S8" s="95"/>
      <c r="T8" s="95"/>
      <c r="U8" s="96"/>
    </row>
    <row r="9" spans="1:21" ht="17.25" customHeight="1" x14ac:dyDescent="0.25">
      <c r="A9" s="14" t="s">
        <v>0</v>
      </c>
      <c r="B9" s="12" t="s">
        <v>1</v>
      </c>
      <c r="C9" s="21" t="s">
        <v>32</v>
      </c>
      <c r="D9" s="16" t="s">
        <v>71</v>
      </c>
      <c r="E9" s="16" t="s">
        <v>24</v>
      </c>
      <c r="F9" s="12" t="s">
        <v>22</v>
      </c>
      <c r="G9" s="5" t="s">
        <v>2</v>
      </c>
      <c r="H9" s="16" t="s">
        <v>72</v>
      </c>
      <c r="I9" s="15" t="s">
        <v>4</v>
      </c>
      <c r="J9" s="13" t="s">
        <v>5</v>
      </c>
      <c r="K9" s="11" t="s">
        <v>6</v>
      </c>
      <c r="L9" s="11" t="s">
        <v>23</v>
      </c>
      <c r="M9" s="34" t="s">
        <v>7</v>
      </c>
      <c r="N9" s="7" t="s">
        <v>57</v>
      </c>
      <c r="O9" s="7" t="s">
        <v>56</v>
      </c>
      <c r="P9" s="35" t="s">
        <v>18</v>
      </c>
      <c r="Q9" s="30" t="s">
        <v>19</v>
      </c>
      <c r="R9" s="30" t="s">
        <v>8</v>
      </c>
      <c r="S9" s="31" t="s">
        <v>9</v>
      </c>
      <c r="T9" s="32" t="s">
        <v>10</v>
      </c>
      <c r="U9" s="33" t="s">
        <v>11</v>
      </c>
    </row>
    <row r="10" spans="1:21" ht="15" hidden="1" customHeight="1" x14ac:dyDescent="0.25">
      <c r="A10" s="37" t="s">
        <v>0</v>
      </c>
      <c r="B10" s="38" t="s">
        <v>1</v>
      </c>
      <c r="C10" s="49" t="s">
        <v>32</v>
      </c>
      <c r="D10" s="52" t="s">
        <v>71</v>
      </c>
      <c r="E10" s="52" t="s">
        <v>24</v>
      </c>
      <c r="F10" s="50" t="s">
        <v>22</v>
      </c>
      <c r="G10" s="51" t="s">
        <v>2</v>
      </c>
      <c r="H10" s="52" t="s">
        <v>72</v>
      </c>
      <c r="I10" s="53" t="s">
        <v>4</v>
      </c>
      <c r="J10" s="54" t="s">
        <v>5</v>
      </c>
      <c r="K10" s="55" t="s">
        <v>6</v>
      </c>
      <c r="L10" s="55" t="s">
        <v>23</v>
      </c>
      <c r="M10" s="39" t="s">
        <v>7</v>
      </c>
      <c r="N10" s="42" t="s">
        <v>57</v>
      </c>
      <c r="O10" s="42" t="s">
        <v>56</v>
      </c>
      <c r="P10" s="56" t="s">
        <v>18</v>
      </c>
      <c r="Q10" s="56" t="s">
        <v>19</v>
      </c>
      <c r="R10" s="56" t="s">
        <v>8</v>
      </c>
      <c r="S10" s="46" t="s">
        <v>9</v>
      </c>
      <c r="T10" s="57" t="s">
        <v>10</v>
      </c>
      <c r="U10" s="58" t="s">
        <v>11</v>
      </c>
    </row>
    <row r="11" spans="1:21" ht="19.899999999999999" customHeight="1" x14ac:dyDescent="0.25">
      <c r="A11" s="86">
        <v>2</v>
      </c>
      <c r="B11" s="86" t="s">
        <v>82</v>
      </c>
      <c r="C11" s="90">
        <v>42147</v>
      </c>
      <c r="D11" s="87" t="s">
        <v>84</v>
      </c>
      <c r="E11" s="87" t="s">
        <v>65</v>
      </c>
      <c r="F11" s="86" t="s">
        <v>85</v>
      </c>
      <c r="G11" s="87" t="s">
        <v>83</v>
      </c>
      <c r="H11" s="87" t="s">
        <v>63</v>
      </c>
      <c r="I11" s="87">
        <v>100</v>
      </c>
      <c r="J11" s="87">
        <v>100</v>
      </c>
      <c r="K11" s="87">
        <v>100</v>
      </c>
      <c r="L11" s="87">
        <v>2</v>
      </c>
      <c r="M11" s="87">
        <v>23</v>
      </c>
      <c r="N11" s="87"/>
      <c r="O11" s="87"/>
      <c r="P11" s="91"/>
      <c r="Q11" s="91"/>
      <c r="R11" s="91">
        <v>0</v>
      </c>
      <c r="S11" s="89">
        <v>0</v>
      </c>
      <c r="T11" s="92">
        <v>0</v>
      </c>
      <c r="U11" s="91">
        <v>0</v>
      </c>
    </row>
    <row r="12" spans="1:21" ht="20.100000000000001" customHeight="1" x14ac:dyDescent="0.25">
      <c r="A12" s="25">
        <v>458</v>
      </c>
      <c r="B12" s="25" t="s">
        <v>66</v>
      </c>
      <c r="C12" s="63">
        <v>43222</v>
      </c>
      <c r="D12" s="70" t="s">
        <v>73</v>
      </c>
      <c r="E12" s="25" t="s">
        <v>67</v>
      </c>
      <c r="F12" s="25" t="s">
        <v>64</v>
      </c>
      <c r="G12" s="25" t="s">
        <v>63</v>
      </c>
      <c r="H12" s="25"/>
      <c r="I12" s="25">
        <v>7045.09</v>
      </c>
      <c r="J12" s="25">
        <v>6306.06</v>
      </c>
      <c r="K12" s="25">
        <v>6854.42</v>
      </c>
      <c r="L12" s="25">
        <v>4</v>
      </c>
      <c r="M12" s="25">
        <v>106</v>
      </c>
      <c r="N12" s="64">
        <v>8597090.6799999997</v>
      </c>
      <c r="O12" s="64">
        <v>12954574.720000001</v>
      </c>
      <c r="P12" s="64">
        <v>9488771.8800000008</v>
      </c>
      <c r="Q12" s="64">
        <v>9192353.7100000009</v>
      </c>
      <c r="R12" s="25">
        <f>TableauBilan[[#This Row],[Coût Travaux Livraison]]/TableauBilan[[#This Row],[SU]]</f>
        <v>1304.7886840338449</v>
      </c>
      <c r="S12" s="25">
        <f>TableauBilan[[#This Row],[Coût Travaux Livraison]]/TableauBilan[[#This Row],[SHAB]]</f>
        <v>1457.7015933879475</v>
      </c>
      <c r="T12" s="25">
        <f>TableauBilan[[#This Row],[Coût Travaux Livraison]]/TableauBilan[[#This Row],[SDP]]</f>
        <v>1341.0841048549696</v>
      </c>
      <c r="U12" s="25">
        <f>TableauBilan[[#This Row],[Coût Travaux Livraison]]/TableauBilan[[#This Row],[Nombre de logements]]</f>
        <v>86720.31801886794</v>
      </c>
    </row>
    <row r="13" spans="1:21" s="36" customFormat="1" ht="20.100000000000001" customHeight="1" x14ac:dyDescent="0.2">
      <c r="A13" s="25">
        <v>358</v>
      </c>
      <c r="B13" s="25" t="s">
        <v>62</v>
      </c>
      <c r="C13" s="63">
        <v>43718</v>
      </c>
      <c r="D13" s="70" t="s">
        <v>74</v>
      </c>
      <c r="E13" s="25" t="s">
        <v>65</v>
      </c>
      <c r="F13" s="25" t="s">
        <v>64</v>
      </c>
      <c r="G13" s="25" t="s">
        <v>63</v>
      </c>
      <c r="H13" s="25"/>
      <c r="I13" s="25">
        <v>782.28</v>
      </c>
      <c r="J13" s="25">
        <v>719.58</v>
      </c>
      <c r="K13" s="25">
        <v>802.58</v>
      </c>
      <c r="L13" s="25">
        <v>1</v>
      </c>
      <c r="M13" s="25">
        <v>11</v>
      </c>
      <c r="N13" s="64">
        <v>1142854.74</v>
      </c>
      <c r="O13" s="64">
        <v>1718996</v>
      </c>
      <c r="P13" s="64">
        <v>1142879.01</v>
      </c>
      <c r="Q13" s="64">
        <v>1162949.19</v>
      </c>
      <c r="R13" s="25">
        <f>TableauBilan[[#This Row],[Coût Travaux Livraison]]/TableauBilan[[#This Row],[SU]]</f>
        <v>1486.6150099708543</v>
      </c>
      <c r="S13" s="25">
        <f>TableauBilan[[#This Row],[Coût Travaux Livraison]]/TableauBilan[[#This Row],[SHAB]]</f>
        <v>1616.149962478112</v>
      </c>
      <c r="T13" s="25">
        <f>TableauBilan[[#This Row],[Coût Travaux Livraison]]/TableauBilan[[#This Row],[SDP]]</f>
        <v>1449.0134192230057</v>
      </c>
      <c r="U13" s="25">
        <f>TableauBilan[[#This Row],[Coût Travaux Livraison]]/TableauBilan[[#This Row],[Nombre de logements]]</f>
        <v>105722.65363636363</v>
      </c>
    </row>
  </sheetData>
  <mergeCells count="1">
    <mergeCell ref="P8:U8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DFB8-1A51-41F8-B03E-105B0D5AE29F}">
  <sheetPr codeName="Feuil1"/>
  <dimension ref="A2:N13"/>
  <sheetViews>
    <sheetView showGridLines="0" showRowColHeaders="0" workbookViewId="0"/>
  </sheetViews>
  <sheetFormatPr baseColWidth="10" defaultRowHeight="15" x14ac:dyDescent="0.25"/>
  <cols>
    <col min="1" max="1" width="13.28515625" customWidth="1"/>
    <col min="2" max="2" width="17.5703125" customWidth="1"/>
    <col min="3" max="3" width="16" customWidth="1"/>
    <col min="4" max="4" width="17.5703125" customWidth="1"/>
    <col min="5" max="7" width="11.5703125" bestFit="1" customWidth="1"/>
    <col min="8" max="9" width="17" customWidth="1"/>
    <col min="10" max="10" width="14.42578125" customWidth="1"/>
    <col min="11" max="13" width="12" bestFit="1" customWidth="1"/>
    <col min="14" max="14" width="13.140625" customWidth="1"/>
  </cols>
  <sheetData>
    <row r="2" spans="1:14" ht="28.5" customHeight="1" x14ac:dyDescent="0.35">
      <c r="D2" s="2"/>
      <c r="E2" s="3"/>
      <c r="F2" s="3"/>
      <c r="G2" s="1"/>
    </row>
    <row r="4" spans="1:14" ht="21" x14ac:dyDescent="0.35">
      <c r="E4" s="1"/>
      <c r="F4" s="1"/>
      <c r="G4" s="1"/>
      <c r="L4" s="1"/>
    </row>
    <row r="8" spans="1:14" ht="32.25" customHeight="1" x14ac:dyDescent="0.25">
      <c r="J8" s="97" t="s">
        <v>25</v>
      </c>
      <c r="K8" s="98"/>
      <c r="L8" s="98"/>
      <c r="M8" s="98"/>
      <c r="N8" s="99"/>
    </row>
    <row r="9" spans="1:14" ht="23.25" customHeight="1" x14ac:dyDescent="0.25">
      <c r="A9" s="4" t="s">
        <v>0</v>
      </c>
      <c r="B9" s="5" t="s">
        <v>1</v>
      </c>
      <c r="C9" s="5" t="s">
        <v>2</v>
      </c>
      <c r="D9" s="5" t="s">
        <v>23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21</v>
      </c>
      <c r="J9" s="5" t="s">
        <v>13</v>
      </c>
      <c r="K9" s="5" t="s">
        <v>8</v>
      </c>
      <c r="L9" s="8" t="s">
        <v>9</v>
      </c>
      <c r="M9" s="6" t="s">
        <v>10</v>
      </c>
      <c r="N9" s="7" t="s">
        <v>11</v>
      </c>
    </row>
    <row r="10" spans="1:14" ht="12.6" hidden="1" customHeight="1" x14ac:dyDescent="0.25">
      <c r="A10" s="37" t="s">
        <v>0</v>
      </c>
      <c r="B10" s="38" t="s">
        <v>1</v>
      </c>
      <c r="C10" s="38" t="s">
        <v>70</v>
      </c>
      <c r="D10" s="39" t="s">
        <v>3</v>
      </c>
      <c r="E10" s="39" t="s">
        <v>4</v>
      </c>
      <c r="F10" s="39" t="s">
        <v>5</v>
      </c>
      <c r="G10" s="39" t="s">
        <v>6</v>
      </c>
      <c r="H10" s="39" t="s">
        <v>7</v>
      </c>
      <c r="I10" s="39" t="s">
        <v>21</v>
      </c>
      <c r="J10" s="39" t="s">
        <v>38</v>
      </c>
      <c r="K10" s="39" t="s">
        <v>39</v>
      </c>
      <c r="L10" s="40" t="s">
        <v>40</v>
      </c>
      <c r="M10" s="41" t="s">
        <v>41</v>
      </c>
      <c r="N10" s="42" t="s">
        <v>42</v>
      </c>
    </row>
    <row r="11" spans="1:14" ht="19.899999999999999" customHeight="1" x14ac:dyDescent="0.25">
      <c r="A11" s="86">
        <v>2</v>
      </c>
      <c r="B11" s="86" t="s">
        <v>82</v>
      </c>
      <c r="C11" s="86" t="s">
        <v>83</v>
      </c>
      <c r="D11" s="87">
        <v>2</v>
      </c>
      <c r="E11" s="87">
        <v>100</v>
      </c>
      <c r="F11" s="87">
        <v>100</v>
      </c>
      <c r="G11" s="87">
        <v>100</v>
      </c>
      <c r="H11" s="87">
        <v>23</v>
      </c>
      <c r="I11" s="87">
        <v>0</v>
      </c>
      <c r="J11" s="87">
        <v>430000</v>
      </c>
      <c r="K11" s="87">
        <v>4300</v>
      </c>
      <c r="L11" s="17">
        <v>4300</v>
      </c>
      <c r="M11" s="88">
        <v>4300</v>
      </c>
      <c r="N11" s="87">
        <v>18695.652173913044</v>
      </c>
    </row>
    <row r="12" spans="1:14" ht="20.100000000000001" customHeight="1" x14ac:dyDescent="0.25">
      <c r="A12" s="17">
        <v>458</v>
      </c>
      <c r="B12" s="17" t="s">
        <v>66</v>
      </c>
      <c r="C12" s="17" t="s">
        <v>63</v>
      </c>
      <c r="D12" s="17">
        <v>4</v>
      </c>
      <c r="E12" s="17">
        <v>7045.09</v>
      </c>
      <c r="F12" s="17">
        <v>6306.06</v>
      </c>
      <c r="G12" s="25">
        <v>6854.42</v>
      </c>
      <c r="H12" s="17">
        <v>106</v>
      </c>
      <c r="I12" s="17">
        <v>2</v>
      </c>
      <c r="J12" s="64">
        <v>4869324.2300000004</v>
      </c>
      <c r="K12" s="25">
        <f>TableauGO[[#This Row],[Coût TOTAL Livraison GO]]/TableauGO[[#This Row],[SU]]</f>
        <v>691.16565295830151</v>
      </c>
      <c r="L12" s="25">
        <f>TableauGO[[#This Row],[Coût TOTAL Livraison GO]]/TableauGO[[#This Row],[SHAB]]</f>
        <v>772.16585792079366</v>
      </c>
      <c r="M12" s="25">
        <f>TableauGO[[#This Row],[Coût TOTAL Livraison GO]]/TableauGO[[#This Row],[SDP]]</f>
        <v>710.39186831270922</v>
      </c>
      <c r="N12" s="25">
        <f>TableauGO[[#This Row],[Coût TOTAL Livraison GO]]/TableauGO[[#This Row],[Nombre de logements]]</f>
        <v>45937.021037735853</v>
      </c>
    </row>
    <row r="13" spans="1:14" ht="20.100000000000001" customHeight="1" x14ac:dyDescent="0.25">
      <c r="A13" s="17">
        <v>358</v>
      </c>
      <c r="B13" s="17" t="s">
        <v>62</v>
      </c>
      <c r="C13" s="17" t="s">
        <v>63</v>
      </c>
      <c r="D13" s="17">
        <v>1</v>
      </c>
      <c r="E13" s="17">
        <v>782.28</v>
      </c>
      <c r="F13" s="17">
        <v>719.58</v>
      </c>
      <c r="G13" s="25">
        <v>802.58</v>
      </c>
      <c r="H13" s="17">
        <v>11</v>
      </c>
      <c r="I13" s="17">
        <v>0</v>
      </c>
      <c r="J13" s="64">
        <v>508686.58</v>
      </c>
      <c r="K13" s="25">
        <v>650.26151761517622</v>
      </c>
      <c r="L13" s="25">
        <v>706.92150976958783</v>
      </c>
      <c r="M13" s="25">
        <f>TableauGO[[#This Row],[Coût TOTAL Livraison GO]]/TableauGO[[#This Row],[SDP]]</f>
        <v>633.81417428792145</v>
      </c>
      <c r="N13" s="25">
        <v>46244.23454545455</v>
      </c>
    </row>
  </sheetData>
  <mergeCells count="1">
    <mergeCell ref="J8:N8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31CCE-1776-44F5-8D1E-0078309F3E1B}">
  <sheetPr codeName="Feuil3"/>
  <dimension ref="A6:M24"/>
  <sheetViews>
    <sheetView showGridLines="0" showRowColHeaders="0" workbookViewId="0"/>
  </sheetViews>
  <sheetFormatPr baseColWidth="10" defaultRowHeight="15" x14ac:dyDescent="0.25"/>
  <cols>
    <col min="1" max="1" width="14.28515625" customWidth="1"/>
    <col min="2" max="2" width="12.7109375" customWidth="1"/>
    <col min="4" max="4" width="16.140625" customWidth="1"/>
    <col min="8" max="8" width="16.28515625" customWidth="1"/>
    <col min="9" max="9" width="18.140625" customWidth="1"/>
    <col min="10" max="10" width="14.140625" customWidth="1"/>
    <col min="11" max="11" width="12.28515625" customWidth="1"/>
    <col min="12" max="12" width="12.85546875" customWidth="1"/>
    <col min="13" max="13" width="16.28515625" customWidth="1"/>
  </cols>
  <sheetData>
    <row r="6" spans="1:13" x14ac:dyDescent="0.25">
      <c r="I6" s="24"/>
    </row>
    <row r="8" spans="1:13" ht="36" customHeight="1" x14ac:dyDescent="0.25">
      <c r="I8" s="97" t="s">
        <v>58</v>
      </c>
      <c r="J8" s="98"/>
      <c r="K8" s="98"/>
      <c r="L8" s="98"/>
      <c r="M8" s="99"/>
    </row>
    <row r="9" spans="1:13" ht="21" customHeight="1" x14ac:dyDescent="0.25">
      <c r="A9" s="4" t="s">
        <v>0</v>
      </c>
      <c r="B9" s="5" t="s">
        <v>1</v>
      </c>
      <c r="C9" s="5" t="s">
        <v>2</v>
      </c>
      <c r="D9" s="5" t="s">
        <v>23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13</v>
      </c>
      <c r="J9" s="5" t="s">
        <v>8</v>
      </c>
      <c r="K9" s="8" t="s">
        <v>9</v>
      </c>
      <c r="L9" s="6" t="s">
        <v>10</v>
      </c>
      <c r="M9" s="7" t="s">
        <v>11</v>
      </c>
    </row>
    <row r="10" spans="1:13" s="18" customFormat="1" ht="25.5" hidden="1" customHeight="1" x14ac:dyDescent="0.25">
      <c r="A10" s="43" t="s">
        <v>0</v>
      </c>
      <c r="B10" s="40" t="s">
        <v>1</v>
      </c>
      <c r="C10" s="40" t="s">
        <v>2</v>
      </c>
      <c r="D10" s="40" t="s">
        <v>3</v>
      </c>
      <c r="E10" s="40" t="s">
        <v>4</v>
      </c>
      <c r="F10" s="40" t="s">
        <v>5</v>
      </c>
      <c r="G10" s="40" t="s">
        <v>6</v>
      </c>
      <c r="H10" s="40" t="s">
        <v>7</v>
      </c>
      <c r="I10" s="40" t="s">
        <v>33</v>
      </c>
      <c r="J10" s="40" t="s">
        <v>34</v>
      </c>
      <c r="K10" s="40" t="s">
        <v>35</v>
      </c>
      <c r="L10" s="44" t="s">
        <v>36</v>
      </c>
      <c r="M10" s="45" t="s">
        <v>37</v>
      </c>
    </row>
    <row r="11" spans="1:13" s="18" customFormat="1" ht="19.899999999999999" customHeight="1" x14ac:dyDescent="0.25">
      <c r="A11" s="17">
        <v>2</v>
      </c>
      <c r="B11" s="17" t="s">
        <v>82</v>
      </c>
      <c r="C11" s="17" t="s">
        <v>83</v>
      </c>
      <c r="D11" s="17">
        <v>2</v>
      </c>
      <c r="E11" s="17">
        <v>100</v>
      </c>
      <c r="F11" s="17">
        <v>100</v>
      </c>
      <c r="G11" s="17">
        <v>100</v>
      </c>
      <c r="H11" s="17">
        <v>23</v>
      </c>
      <c r="I11" s="17">
        <v>45000</v>
      </c>
      <c r="J11" s="17">
        <v>450</v>
      </c>
      <c r="K11" s="17">
        <v>450</v>
      </c>
      <c r="L11" s="17">
        <v>450</v>
      </c>
      <c r="M11" s="17">
        <v>1956.5217391304348</v>
      </c>
    </row>
    <row r="12" spans="1:13" s="18" customFormat="1" ht="20.100000000000001" customHeight="1" x14ac:dyDescent="0.25">
      <c r="A12" s="17">
        <v>458</v>
      </c>
      <c r="B12" s="17" t="s">
        <v>66</v>
      </c>
      <c r="C12" s="17" t="s">
        <v>63</v>
      </c>
      <c r="D12" s="17">
        <v>4</v>
      </c>
      <c r="E12" s="17">
        <v>7045.09</v>
      </c>
      <c r="F12" s="17">
        <v>6306.06</v>
      </c>
      <c r="G12" s="25">
        <v>6854.42</v>
      </c>
      <c r="H12" s="17">
        <v>106</v>
      </c>
      <c r="I12" s="65">
        <v>291091.92</v>
      </c>
      <c r="J12" s="25">
        <f>TableauTOITURE[[#This Row],[Coût TOTAL Livraison TOITURE]]/TableauTOITURE[[#This Row],[SU]]</f>
        <v>41.318410410654792</v>
      </c>
      <c r="K12" s="25">
        <f>TableauTOITURE[[#This Row],[Coût TOTAL Livraison TOITURE]]/TableauTOITURE[[#This Row],[SHAB]]</f>
        <v>46.160664503667896</v>
      </c>
      <c r="L12" s="25">
        <f>TableauTOITURE[[#This Row],[Coût TOTAL Livraison TOITURE]]/TableauTOITURE[[#This Row],[SDP]]</f>
        <v>42.467768242973143</v>
      </c>
      <c r="M12" s="25">
        <f>TableauTOITURE[[#This Row],[Coût TOTAL Livraison TOITURE]]/TableauTOITURE[[#This Row],[Nombre de logements]]</f>
        <v>2746.1501886792453</v>
      </c>
    </row>
    <row r="13" spans="1:13" s="18" customFormat="1" ht="20.100000000000001" customHeight="1" x14ac:dyDescent="0.25">
      <c r="A13" s="17">
        <v>358</v>
      </c>
      <c r="B13" s="17" t="s">
        <v>62</v>
      </c>
      <c r="C13" s="17" t="s">
        <v>63</v>
      </c>
      <c r="D13" s="17">
        <v>1</v>
      </c>
      <c r="E13" s="17">
        <v>782.28</v>
      </c>
      <c r="F13" s="17">
        <v>719.58</v>
      </c>
      <c r="G13" s="25">
        <v>802.58</v>
      </c>
      <c r="H13" s="17">
        <v>11</v>
      </c>
      <c r="I13" s="65">
        <v>38966.5</v>
      </c>
      <c r="J13" s="25">
        <v>49.811448586183978</v>
      </c>
      <c r="K13" s="25">
        <v>54.151727396536863</v>
      </c>
      <c r="L13" s="25">
        <f>TableauTOITURE[[#This Row],[Coût TOTAL Livraison TOITURE]]/TableauTOITURE[[#This Row],[SDP]]</f>
        <v>48.55154626330085</v>
      </c>
      <c r="M13" s="25">
        <v>3542.409090909091</v>
      </c>
    </row>
    <row r="24" spans="3:3" x14ac:dyDescent="0.25">
      <c r="C24" s="10"/>
    </row>
  </sheetData>
  <mergeCells count="1">
    <mergeCell ref="I8:M8"/>
  </mergeCell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D8022-0EE9-4F57-8645-6204DD80A4A5}">
  <sheetPr codeName="Feuil4"/>
  <dimension ref="A1:M16"/>
  <sheetViews>
    <sheetView showGridLines="0" showRowColHeaders="0" workbookViewId="0"/>
  </sheetViews>
  <sheetFormatPr baseColWidth="10" defaultRowHeight="15" x14ac:dyDescent="0.25"/>
  <cols>
    <col min="1" max="1" width="12.42578125" customWidth="1"/>
    <col min="2" max="2" width="18" customWidth="1"/>
    <col min="4" max="4" width="15.7109375" customWidth="1"/>
    <col min="8" max="8" width="16" customWidth="1"/>
    <col min="9" max="9" width="18.28515625" style="23" customWidth="1"/>
    <col min="10" max="12" width="11.5703125" style="23"/>
    <col min="13" max="13" width="14" style="23" customWidth="1"/>
  </cols>
  <sheetData>
    <row r="1" spans="1:13" x14ac:dyDescent="0.25">
      <c r="A1" s="24"/>
    </row>
    <row r="8" spans="1:13" ht="36" customHeight="1" x14ac:dyDescent="0.25">
      <c r="I8" s="94" t="s">
        <v>15</v>
      </c>
      <c r="J8" s="95"/>
      <c r="K8" s="95"/>
      <c r="L8" s="95"/>
      <c r="M8" s="96"/>
    </row>
    <row r="9" spans="1:13" ht="20.25" customHeight="1" x14ac:dyDescent="0.25">
      <c r="A9" s="4" t="s">
        <v>0</v>
      </c>
      <c r="B9" s="5" t="s">
        <v>1</v>
      </c>
      <c r="C9" s="5" t="s">
        <v>2</v>
      </c>
      <c r="D9" s="5" t="s">
        <v>23</v>
      </c>
      <c r="E9" s="5" t="s">
        <v>4</v>
      </c>
      <c r="F9" s="5" t="s">
        <v>5</v>
      </c>
      <c r="G9" s="5" t="s">
        <v>6</v>
      </c>
      <c r="H9" s="5" t="s">
        <v>7</v>
      </c>
      <c r="I9" s="26" t="s">
        <v>13</v>
      </c>
      <c r="J9" s="26" t="s">
        <v>8</v>
      </c>
      <c r="K9" s="27" t="s">
        <v>9</v>
      </c>
      <c r="L9" s="28" t="s">
        <v>10</v>
      </c>
      <c r="M9" s="29" t="s">
        <v>11</v>
      </c>
    </row>
    <row r="10" spans="1:13" ht="20.25" hidden="1" customHeight="1" x14ac:dyDescent="0.25">
      <c r="A10" s="43" t="s">
        <v>0</v>
      </c>
      <c r="B10" s="40" t="s">
        <v>1</v>
      </c>
      <c r="C10" s="40" t="s">
        <v>2</v>
      </c>
      <c r="D10" s="40" t="s">
        <v>3</v>
      </c>
      <c r="E10" s="40" t="s">
        <v>4</v>
      </c>
      <c r="F10" s="40" t="s">
        <v>5</v>
      </c>
      <c r="G10" s="40" t="s">
        <v>6</v>
      </c>
      <c r="H10" s="40" t="s">
        <v>7</v>
      </c>
      <c r="I10" s="46" t="s">
        <v>43</v>
      </c>
      <c r="J10" s="46" t="s">
        <v>44</v>
      </c>
      <c r="K10" s="46" t="s">
        <v>45</v>
      </c>
      <c r="L10" s="47" t="s">
        <v>46</v>
      </c>
      <c r="M10" s="48" t="s">
        <v>47</v>
      </c>
    </row>
    <row r="11" spans="1:13" ht="19.899999999999999" customHeight="1" x14ac:dyDescent="0.25">
      <c r="A11" s="17">
        <v>2</v>
      </c>
      <c r="B11" s="17" t="s">
        <v>82</v>
      </c>
      <c r="C11" s="17" t="s">
        <v>83</v>
      </c>
      <c r="D11" s="17">
        <v>2</v>
      </c>
      <c r="E11" s="17">
        <v>100</v>
      </c>
      <c r="F11" s="17">
        <v>100</v>
      </c>
      <c r="G11" s="17">
        <v>100</v>
      </c>
      <c r="H11" s="17">
        <v>23</v>
      </c>
      <c r="I11" s="89">
        <v>70000</v>
      </c>
      <c r="J11" s="89">
        <v>700</v>
      </c>
      <c r="K11" s="89">
        <v>700</v>
      </c>
      <c r="L11" s="89">
        <v>700</v>
      </c>
      <c r="M11" s="89">
        <v>3043.478260869565</v>
      </c>
    </row>
    <row r="12" spans="1:13" ht="20.100000000000001" customHeight="1" x14ac:dyDescent="0.25">
      <c r="A12" s="17">
        <v>458</v>
      </c>
      <c r="B12" s="17" t="s">
        <v>66</v>
      </c>
      <c r="C12" s="17" t="s">
        <v>63</v>
      </c>
      <c r="D12" s="17">
        <v>4</v>
      </c>
      <c r="E12" s="17">
        <v>7045.09</v>
      </c>
      <c r="F12" s="17">
        <v>6306.06</v>
      </c>
      <c r="G12" s="25">
        <v>6854.42</v>
      </c>
      <c r="H12" s="17">
        <v>106</v>
      </c>
      <c r="I12" s="64">
        <v>282950.59999999998</v>
      </c>
      <c r="J12" s="25">
        <f>TableauMENUISERIESEXTERIEURES[[#This Row],[Coût TOTAL Livraison MENUISERIES EXT]]/TableauMENUISERIESEXTERIEURES[[#This Row],[SU]]</f>
        <v>40.16280842402297</v>
      </c>
      <c r="K12" s="25">
        <f>TableauMENUISERIESEXTERIEURES[[#This Row],[Coût TOTAL Livraison MENUISERIES EXT]]/TableauMENUISERIESEXTERIEURES[[#This Row],[SHAB]]</f>
        <v>44.869633336822034</v>
      </c>
      <c r="L12" s="25">
        <f>TableauMENUISERIESEXTERIEURES[[#This Row],[Coût TOTAL Livraison MENUISERIES EXT]]/TableauMENUISERIESEXTERIEURES[[#This Row],[SDP]]</f>
        <v>41.280020774916039</v>
      </c>
      <c r="M12" s="25">
        <f>TableauMENUISERIESEXTERIEURES[[#This Row],[Coût TOTAL Livraison MENUISERIES EXT]]/TableauMENUISERIESEXTERIEURES[[#This Row],[Nombre de logements]]</f>
        <v>2669.3452830188676</v>
      </c>
    </row>
    <row r="13" spans="1:13" ht="20.100000000000001" customHeight="1" x14ac:dyDescent="0.25">
      <c r="A13" s="17">
        <v>358</v>
      </c>
      <c r="B13" s="17" t="s">
        <v>62</v>
      </c>
      <c r="C13" s="17" t="s">
        <v>63</v>
      </c>
      <c r="D13" s="17">
        <v>1</v>
      </c>
      <c r="E13" s="17">
        <v>782.28</v>
      </c>
      <c r="F13" s="17">
        <v>719.58</v>
      </c>
      <c r="G13" s="25">
        <v>802.58</v>
      </c>
      <c r="H13" s="17">
        <v>11</v>
      </c>
      <c r="I13" s="64">
        <v>69363.94</v>
      </c>
      <c r="J13" s="25">
        <v>88.668942066779167</v>
      </c>
      <c r="K13" s="25">
        <v>96.395035993218258</v>
      </c>
      <c r="L13" s="25">
        <f>TableauMENUISERIESEXTERIEURES[[#This Row],[Coût TOTAL Livraison MENUISERIES EXT]]/TableauMENUISERIESEXTERIEURES[[#This Row],[SDP]]</f>
        <v>86.426200503376606</v>
      </c>
      <c r="M13" s="25">
        <v>6305.8127272727279</v>
      </c>
    </row>
    <row r="16" spans="1:13" x14ac:dyDescent="0.25">
      <c r="D16" s="10"/>
    </row>
  </sheetData>
  <mergeCells count="1">
    <mergeCell ref="I8:M8"/>
  </mergeCell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DF2FC-2DA5-4CB2-9372-62BCFF7CC164}">
  <sheetPr codeName="Feuil5"/>
  <dimension ref="A8:M13"/>
  <sheetViews>
    <sheetView showGridLines="0" showRowColHeaders="0" workbookViewId="0"/>
  </sheetViews>
  <sheetFormatPr baseColWidth="10" defaultRowHeight="15" x14ac:dyDescent="0.25"/>
  <cols>
    <col min="1" max="1" width="16.5703125" customWidth="1"/>
    <col min="4" max="4" width="16.42578125" customWidth="1"/>
    <col min="8" max="8" width="15.5703125" customWidth="1"/>
    <col min="9" max="9" width="18.28515625" customWidth="1"/>
    <col min="13" max="13" width="14" customWidth="1"/>
  </cols>
  <sheetData>
    <row r="8" spans="1:13" ht="36.6" customHeight="1" x14ac:dyDescent="0.25">
      <c r="I8" s="97" t="s">
        <v>14</v>
      </c>
      <c r="J8" s="98"/>
      <c r="K8" s="98"/>
      <c r="L8" s="98"/>
      <c r="M8" s="99"/>
    </row>
    <row r="9" spans="1:13" ht="21" customHeight="1" x14ac:dyDescent="0.25">
      <c r="A9" s="4" t="s">
        <v>0</v>
      </c>
      <c r="B9" s="5" t="s">
        <v>1</v>
      </c>
      <c r="C9" s="5" t="s">
        <v>2</v>
      </c>
      <c r="D9" s="5" t="s">
        <v>23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13</v>
      </c>
      <c r="J9" s="5" t="s">
        <v>8</v>
      </c>
      <c r="K9" s="8" t="s">
        <v>9</v>
      </c>
      <c r="L9" s="6" t="s">
        <v>10</v>
      </c>
      <c r="M9" s="7" t="s">
        <v>11</v>
      </c>
    </row>
    <row r="10" spans="1:13" ht="18.75" hidden="1" customHeight="1" x14ac:dyDescent="0.25">
      <c r="A10" s="43" t="s">
        <v>0</v>
      </c>
      <c r="B10" s="40" t="s">
        <v>1</v>
      </c>
      <c r="C10" s="40" t="s">
        <v>2</v>
      </c>
      <c r="D10" s="40" t="s">
        <v>3</v>
      </c>
      <c r="E10" s="40" t="s">
        <v>4</v>
      </c>
      <c r="F10" s="40" t="s">
        <v>5</v>
      </c>
      <c r="G10" s="40" t="s">
        <v>6</v>
      </c>
      <c r="H10" s="40" t="s">
        <v>7</v>
      </c>
      <c r="I10" s="40" t="s">
        <v>48</v>
      </c>
      <c r="J10" s="40" t="s">
        <v>49</v>
      </c>
      <c r="K10" s="40" t="s">
        <v>50</v>
      </c>
      <c r="L10" s="44" t="s">
        <v>51</v>
      </c>
      <c r="M10" s="45" t="s">
        <v>52</v>
      </c>
    </row>
    <row r="11" spans="1:13" ht="19.899999999999999" customHeight="1" x14ac:dyDescent="0.25">
      <c r="A11" s="17">
        <v>2</v>
      </c>
      <c r="B11" s="17" t="s">
        <v>82</v>
      </c>
      <c r="C11" s="17" t="s">
        <v>83</v>
      </c>
      <c r="D11" s="17">
        <v>2</v>
      </c>
      <c r="E11" s="17">
        <v>100</v>
      </c>
      <c r="F11" s="17">
        <v>100</v>
      </c>
      <c r="G11" s="17">
        <v>100</v>
      </c>
      <c r="H11" s="17">
        <v>23</v>
      </c>
      <c r="I11" s="17">
        <v>87000</v>
      </c>
      <c r="J11" s="17">
        <v>870</v>
      </c>
      <c r="K11" s="17">
        <v>870</v>
      </c>
      <c r="L11" s="17">
        <v>870</v>
      </c>
      <c r="M11" s="17">
        <v>3782.608695652174</v>
      </c>
    </row>
    <row r="12" spans="1:13" ht="20.100000000000001" customHeight="1" x14ac:dyDescent="0.25">
      <c r="A12" s="25">
        <v>458</v>
      </c>
      <c r="B12" s="25" t="s">
        <v>66</v>
      </c>
      <c r="C12" s="17" t="s">
        <v>63</v>
      </c>
      <c r="D12" s="25">
        <v>4</v>
      </c>
      <c r="E12" s="25">
        <v>7045.09</v>
      </c>
      <c r="F12" s="25">
        <v>6306.06</v>
      </c>
      <c r="G12" s="25">
        <v>6854.42</v>
      </c>
      <c r="H12" s="25">
        <v>106</v>
      </c>
      <c r="I12" s="64">
        <v>326563.05</v>
      </c>
      <c r="J12" s="25">
        <f>TableauMENUISERIESINTERIEURES[[#This Row],[Coût TOTAL Livraison MENUISERIES INT]]/TableauMENUISERIESINTERIEURES[[#This Row],[SU]]</f>
        <v>46.353282924703585</v>
      </c>
      <c r="K12" s="25">
        <f>TableauMENUISERIESINTERIEURES[[#This Row],[Coût TOTAL Livraison MENUISERIES INT]]/TableauMENUISERIESINTERIEURES[[#This Row],[SHAB]]</f>
        <v>51.78559195440576</v>
      </c>
      <c r="L12" s="25">
        <f>TableauMENUISERIESINTERIEURES[[#This Row],[Coût TOTAL Livraison MENUISERIES INT]]/TableauMENUISERIESINTERIEURES[[#This Row],[SDP]]</f>
        <v>47.642696245634198</v>
      </c>
      <c r="M12" s="25">
        <f>TableauMENUISERIESINTERIEURES[[#This Row],[Coût TOTAL Livraison MENUISERIES INT]]/TableauMENUISERIESINTERIEURES[[#This Row],[Nombre de logements]]</f>
        <v>3080.7834905660375</v>
      </c>
    </row>
    <row r="13" spans="1:13" ht="20.100000000000001" customHeight="1" x14ac:dyDescent="0.25">
      <c r="A13" s="25">
        <v>358</v>
      </c>
      <c r="B13" s="25" t="s">
        <v>62</v>
      </c>
      <c r="C13" s="17" t="s">
        <v>63</v>
      </c>
      <c r="D13" s="25">
        <v>1</v>
      </c>
      <c r="E13" s="25">
        <v>782.28</v>
      </c>
      <c r="F13" s="25">
        <v>719.58</v>
      </c>
      <c r="G13" s="25">
        <v>802.58</v>
      </c>
      <c r="H13" s="25">
        <v>11</v>
      </c>
      <c r="I13" s="64">
        <v>67897.119999999995</v>
      </c>
      <c r="J13" s="25">
        <v>86.793884542619011</v>
      </c>
      <c r="K13" s="25">
        <v>94.356596903749391</v>
      </c>
      <c r="L13" s="25">
        <f>TableauMENUISERIESINTERIEURES[[#This Row],[Coût TOTAL Livraison MENUISERIES INT]]/TableauMENUISERIESINTERIEURES[[#This Row],[SDP]]</f>
        <v>84.598569612998077</v>
      </c>
      <c r="M13" s="25">
        <v>6172.4654545454541</v>
      </c>
    </row>
  </sheetData>
  <mergeCells count="1">
    <mergeCell ref="I8:M8"/>
  </mergeCell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E0811-E132-4C15-ADAD-C17A9BE328E9}">
  <sheetPr codeName="Feuil6"/>
  <dimension ref="A8:M18"/>
  <sheetViews>
    <sheetView showGridLines="0" showRowColHeaders="0" workbookViewId="0"/>
  </sheetViews>
  <sheetFormatPr baseColWidth="10" defaultRowHeight="15" x14ac:dyDescent="0.25"/>
  <cols>
    <col min="4" max="4" width="16.140625" customWidth="1"/>
    <col min="8" max="8" width="15.7109375" customWidth="1"/>
    <col min="9" max="9" width="18.28515625" customWidth="1"/>
    <col min="13" max="13" width="14.7109375" customWidth="1"/>
  </cols>
  <sheetData>
    <row r="8" spans="1:13" ht="37.15" customHeight="1" x14ac:dyDescent="0.25">
      <c r="I8" s="97" t="s">
        <v>31</v>
      </c>
      <c r="J8" s="98"/>
      <c r="K8" s="98"/>
      <c r="L8" s="98"/>
      <c r="M8" s="99"/>
    </row>
    <row r="9" spans="1:13" ht="20.25" customHeight="1" x14ac:dyDescent="0.25">
      <c r="A9" s="4" t="s">
        <v>0</v>
      </c>
      <c r="B9" s="5" t="s">
        <v>1</v>
      </c>
      <c r="C9" s="5" t="s">
        <v>2</v>
      </c>
      <c r="D9" s="5" t="s">
        <v>23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13</v>
      </c>
      <c r="J9" s="5" t="s">
        <v>8</v>
      </c>
      <c r="K9" s="8" t="s">
        <v>9</v>
      </c>
      <c r="L9" s="6" t="s">
        <v>10</v>
      </c>
      <c r="M9" s="7" t="s">
        <v>11</v>
      </c>
    </row>
    <row r="10" spans="1:13" s="18" customFormat="1" ht="18" hidden="1" customHeight="1" x14ac:dyDescent="0.25">
      <c r="A10" s="43" t="s">
        <v>0</v>
      </c>
      <c r="B10" s="40" t="s">
        <v>1</v>
      </c>
      <c r="C10" s="40" t="s">
        <v>2</v>
      </c>
      <c r="D10" s="40" t="s">
        <v>3</v>
      </c>
      <c r="E10" s="40" t="s">
        <v>4</v>
      </c>
      <c r="F10" s="40" t="s">
        <v>5</v>
      </c>
      <c r="G10" s="40" t="s">
        <v>6</v>
      </c>
      <c r="H10" s="40" t="s">
        <v>7</v>
      </c>
      <c r="I10" s="40" t="s">
        <v>13</v>
      </c>
      <c r="J10" s="40" t="s">
        <v>8</v>
      </c>
      <c r="K10" s="40" t="s">
        <v>9</v>
      </c>
      <c r="L10" s="44" t="s">
        <v>10</v>
      </c>
      <c r="M10" s="45" t="s">
        <v>11</v>
      </c>
    </row>
    <row r="11" spans="1:13" s="18" customFormat="1" ht="19.899999999999999" customHeight="1" x14ac:dyDescent="0.25">
      <c r="A11" s="17">
        <v>2</v>
      </c>
      <c r="B11" s="17" t="s">
        <v>82</v>
      </c>
      <c r="C11" s="17" t="s">
        <v>83</v>
      </c>
      <c r="D11" s="17">
        <v>2</v>
      </c>
      <c r="E11" s="17">
        <v>100</v>
      </c>
      <c r="F11" s="17">
        <v>100</v>
      </c>
      <c r="G11" s="17">
        <v>100</v>
      </c>
      <c r="H11" s="17">
        <v>23</v>
      </c>
      <c r="I11" s="17">
        <v>93000</v>
      </c>
      <c r="J11" s="17">
        <v>930</v>
      </c>
      <c r="K11" s="17">
        <v>930</v>
      </c>
      <c r="L11" s="17">
        <v>930</v>
      </c>
      <c r="M11" s="17">
        <v>4043.478260869565</v>
      </c>
    </row>
    <row r="12" spans="1:13" s="18" customFormat="1" ht="20.100000000000001" customHeight="1" x14ac:dyDescent="0.25">
      <c r="A12" s="25">
        <v>458</v>
      </c>
      <c r="B12" s="25" t="s">
        <v>66</v>
      </c>
      <c r="C12" s="17" t="s">
        <v>63</v>
      </c>
      <c r="D12" s="25">
        <v>4</v>
      </c>
      <c r="E12" s="25">
        <v>7045.09</v>
      </c>
      <c r="F12" s="25">
        <v>6306.06</v>
      </c>
      <c r="G12" s="25">
        <v>6854.42</v>
      </c>
      <c r="H12" s="25">
        <v>106</v>
      </c>
      <c r="I12" s="64">
        <v>963076.1</v>
      </c>
      <c r="J12" s="25">
        <f>TableauCVC[[#This Row],[Coût TOTAL Livraison]]/TableauCVC[[#This Row],[SU]]</f>
        <v>136.7017454709592</v>
      </c>
      <c r="K12" s="25">
        <f>TableauCVC[[#This Row],[Coût TOTAL Livraison]]/TableauCVC[[#This Row],[SHAB]]</f>
        <v>152.72231789738757</v>
      </c>
      <c r="L12" s="25">
        <f>TableauCVC[[#This Row],[Coût TOTAL Livraison]]/TableauCVC[[#This Row],[SDP]]</f>
        <v>140.50438986814348</v>
      </c>
      <c r="M12" s="25">
        <f>TableauCVC[[#This Row],[Coût TOTAL Livraison]]/TableauCVC[[#This Row],[Nombre de logements]]</f>
        <v>9085.6235849056593</v>
      </c>
    </row>
    <row r="13" spans="1:13" s="18" customFormat="1" ht="20.100000000000001" customHeight="1" x14ac:dyDescent="0.25">
      <c r="A13" s="25">
        <v>358</v>
      </c>
      <c r="B13" s="25" t="s">
        <v>62</v>
      </c>
      <c r="C13" s="17" t="s">
        <v>63</v>
      </c>
      <c r="D13" s="25">
        <v>1</v>
      </c>
      <c r="E13" s="25">
        <v>782.28</v>
      </c>
      <c r="F13" s="25">
        <v>719.58</v>
      </c>
      <c r="G13" s="25">
        <v>802.58</v>
      </c>
      <c r="H13" s="25">
        <v>11</v>
      </c>
      <c r="I13" s="64">
        <v>106738.3</v>
      </c>
      <c r="J13" s="25">
        <v>136.44513473436621</v>
      </c>
      <c r="K13" s="25">
        <v>148.33416715306151</v>
      </c>
      <c r="L13" s="25">
        <f>TableauCVC[[#This Row],[Coût TOTAL Livraison]]/TableauCVC[[#This Row],[SDP]]</f>
        <v>132.9939694485285</v>
      </c>
      <c r="M13" s="25">
        <v>9703.4818181818191</v>
      </c>
    </row>
    <row r="18" spans="13:13" x14ac:dyDescent="0.25">
      <c r="M18" t="s">
        <v>60</v>
      </c>
    </row>
  </sheetData>
  <mergeCells count="1">
    <mergeCell ref="I8:M8"/>
  </mergeCell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9117D-156F-4297-8190-056539D4EF09}">
  <sheetPr codeName="Feuil7"/>
  <dimension ref="A8:M13"/>
  <sheetViews>
    <sheetView showGridLines="0" showRowColHeaders="0" workbookViewId="0"/>
  </sheetViews>
  <sheetFormatPr baseColWidth="10" defaultRowHeight="15" x14ac:dyDescent="0.25"/>
  <cols>
    <col min="1" max="1" width="12.5703125" customWidth="1"/>
    <col min="4" max="4" width="16.5703125" customWidth="1"/>
    <col min="8" max="8" width="17.28515625" customWidth="1"/>
    <col min="9" max="9" width="18.28515625" customWidth="1"/>
    <col min="13" max="13" width="13.28515625" customWidth="1"/>
  </cols>
  <sheetData>
    <row r="8" spans="1:13" ht="36" customHeight="1" x14ac:dyDescent="0.25">
      <c r="I8" s="97" t="s">
        <v>16</v>
      </c>
      <c r="J8" s="98"/>
      <c r="K8" s="98"/>
      <c r="L8" s="98"/>
      <c r="M8" s="98"/>
    </row>
    <row r="9" spans="1:13" ht="18.75" customHeight="1" x14ac:dyDescent="0.25">
      <c r="A9" s="4" t="s">
        <v>0</v>
      </c>
      <c r="B9" s="5" t="s">
        <v>1</v>
      </c>
      <c r="C9" s="5" t="s">
        <v>2</v>
      </c>
      <c r="D9" s="5" t="s">
        <v>23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13</v>
      </c>
      <c r="J9" s="5" t="s">
        <v>8</v>
      </c>
      <c r="K9" s="8" t="s">
        <v>9</v>
      </c>
      <c r="L9" s="6" t="s">
        <v>10</v>
      </c>
      <c r="M9" s="7" t="s">
        <v>11</v>
      </c>
    </row>
    <row r="10" spans="1:13" s="18" customFormat="1" ht="16.5" hidden="1" customHeight="1" x14ac:dyDescent="0.25">
      <c r="A10" s="43" t="s">
        <v>0</v>
      </c>
      <c r="B10" s="40" t="s">
        <v>1</v>
      </c>
      <c r="C10" s="40" t="s">
        <v>2</v>
      </c>
      <c r="D10" s="40" t="s">
        <v>3</v>
      </c>
      <c r="E10" s="40" t="s">
        <v>4</v>
      </c>
      <c r="F10" s="40" t="s">
        <v>5</v>
      </c>
      <c r="G10" s="40" t="s">
        <v>6</v>
      </c>
      <c r="H10" s="40" t="s">
        <v>7</v>
      </c>
      <c r="I10" s="40" t="s">
        <v>13</v>
      </c>
      <c r="J10" s="40" t="s">
        <v>8</v>
      </c>
      <c r="K10" s="40" t="s">
        <v>9</v>
      </c>
      <c r="L10" s="44" t="s">
        <v>10</v>
      </c>
      <c r="M10" s="45" t="s">
        <v>11</v>
      </c>
    </row>
    <row r="11" spans="1:13" s="18" customFormat="1" ht="19.899999999999999" customHeight="1" x14ac:dyDescent="0.25">
      <c r="A11" s="17">
        <v>2</v>
      </c>
      <c r="B11" s="17" t="s">
        <v>82</v>
      </c>
      <c r="C11" s="17" t="s">
        <v>83</v>
      </c>
      <c r="D11" s="17">
        <v>2</v>
      </c>
      <c r="E11" s="17">
        <v>100</v>
      </c>
      <c r="F11" s="17">
        <v>100</v>
      </c>
      <c r="G11" s="17">
        <v>100</v>
      </c>
      <c r="H11" s="17">
        <v>23</v>
      </c>
      <c r="I11" s="17">
        <v>60000</v>
      </c>
      <c r="J11" s="17">
        <v>600</v>
      </c>
      <c r="K11" s="17">
        <v>600</v>
      </c>
      <c r="L11" s="17">
        <v>600</v>
      </c>
      <c r="M11" s="17">
        <v>2608.695652173913</v>
      </c>
    </row>
    <row r="12" spans="1:13" s="18" customFormat="1" ht="20.100000000000001" customHeight="1" x14ac:dyDescent="0.25">
      <c r="A12" s="25">
        <v>458</v>
      </c>
      <c r="B12" s="25" t="s">
        <v>66</v>
      </c>
      <c r="C12" s="17" t="s">
        <v>63</v>
      </c>
      <c r="D12" s="25">
        <v>4</v>
      </c>
      <c r="E12" s="25">
        <v>7045.09</v>
      </c>
      <c r="F12" s="25">
        <v>6306.06</v>
      </c>
      <c r="G12" s="25">
        <v>6854.42</v>
      </c>
      <c r="H12" s="25">
        <v>106</v>
      </c>
      <c r="I12" s="64">
        <v>590068.37</v>
      </c>
      <c r="J12" s="25">
        <f>TableauELEC[[#This Row],[Coût TOTAL Livraison]]/TableauELEC[[#This Row],[SU]]</f>
        <v>83.755973309070569</v>
      </c>
      <c r="K12" s="25">
        <f>TableauELEC[[#This Row],[Coût TOTAL Livraison]]/TableauELEC[[#This Row],[SHAB]]</f>
        <v>93.571639026587121</v>
      </c>
      <c r="L12" s="25">
        <f>TableauELEC[[#This Row],[Coût TOTAL Livraison]]/TableauELEC[[#This Row],[SDP]]</f>
        <v>86.085820536237932</v>
      </c>
      <c r="M12" s="25">
        <f>TableauELEC[[#This Row],[Coût TOTAL Livraison]]/TableauELEC[[#This Row],[Nombre de logements]]</f>
        <v>5566.6827358490564</v>
      </c>
    </row>
    <row r="13" spans="1:13" s="18" customFormat="1" ht="20.100000000000001" customHeight="1" x14ac:dyDescent="0.25">
      <c r="A13" s="25">
        <v>358</v>
      </c>
      <c r="B13" s="25" t="s">
        <v>62</v>
      </c>
      <c r="C13" s="17" t="s">
        <v>63</v>
      </c>
      <c r="D13" s="25">
        <v>1</v>
      </c>
      <c r="E13" s="25">
        <v>782.28</v>
      </c>
      <c r="F13" s="25">
        <v>719.58</v>
      </c>
      <c r="G13" s="25">
        <v>802.58</v>
      </c>
      <c r="H13" s="25">
        <v>11</v>
      </c>
      <c r="I13" s="64">
        <v>78673</v>
      </c>
      <c r="J13" s="25">
        <v>100.56885002812292</v>
      </c>
      <c r="K13" s="25">
        <v>109.33183245782261</v>
      </c>
      <c r="L13" s="25">
        <f>TableauELEC[[#This Row],[Coût TOTAL Livraison]]/TableauELEC[[#This Row],[SDP]]</f>
        <v>98.025118991253208</v>
      </c>
      <c r="M13" s="25">
        <v>7152.090909090909</v>
      </c>
    </row>
  </sheetData>
  <mergeCells count="1">
    <mergeCell ref="I8:M8"/>
  </mergeCell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23E26-6887-47F5-937E-5B36DF4299A7}">
  <sheetPr codeName="Feuil13"/>
  <dimension ref="A1:M14"/>
  <sheetViews>
    <sheetView showGridLines="0" showRowColHeaders="0" workbookViewId="0"/>
  </sheetViews>
  <sheetFormatPr baseColWidth="10" defaultRowHeight="15" x14ac:dyDescent="0.25"/>
  <cols>
    <col min="1" max="1" width="14.7109375" customWidth="1"/>
    <col min="4" max="4" width="16.42578125" customWidth="1"/>
    <col min="8" max="8" width="17" customWidth="1"/>
    <col min="9" max="9" width="18.28515625" customWidth="1"/>
    <col min="13" max="13" width="14.42578125" customWidth="1"/>
  </cols>
  <sheetData>
    <row r="1" spans="1:13" x14ac:dyDescent="0.25">
      <c r="A1" s="71">
        <f>I14/G14</f>
        <v>68.772060106157639</v>
      </c>
    </row>
    <row r="8" spans="1:13" ht="36.75" customHeight="1" x14ac:dyDescent="0.25">
      <c r="I8" s="97" t="s">
        <v>30</v>
      </c>
      <c r="J8" s="98"/>
      <c r="K8" s="98"/>
      <c r="L8" s="98"/>
      <c r="M8" s="99"/>
    </row>
    <row r="9" spans="1:13" ht="19.5" customHeight="1" x14ac:dyDescent="0.25">
      <c r="A9" s="4" t="s">
        <v>0</v>
      </c>
      <c r="B9" s="5" t="s">
        <v>1</v>
      </c>
      <c r="C9" s="5" t="s">
        <v>2</v>
      </c>
      <c r="D9" s="5" t="s">
        <v>23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13</v>
      </c>
      <c r="J9" s="5" t="s">
        <v>8</v>
      </c>
      <c r="K9" s="8" t="s">
        <v>9</v>
      </c>
      <c r="L9" s="6" t="s">
        <v>10</v>
      </c>
      <c r="M9" s="7" t="s">
        <v>11</v>
      </c>
    </row>
    <row r="10" spans="1:13" s="18" customFormat="1" ht="12.75" hidden="1" customHeight="1" x14ac:dyDescent="0.25">
      <c r="A10" s="43" t="s">
        <v>0</v>
      </c>
      <c r="B10" s="40" t="s">
        <v>1</v>
      </c>
      <c r="C10" s="40" t="s">
        <v>2</v>
      </c>
      <c r="D10" s="40" t="s">
        <v>3</v>
      </c>
      <c r="E10" s="40" t="s">
        <v>4</v>
      </c>
      <c r="F10" s="40" t="s">
        <v>5</v>
      </c>
      <c r="G10" s="40" t="s">
        <v>6</v>
      </c>
      <c r="H10" s="40" t="s">
        <v>7</v>
      </c>
      <c r="I10" s="40" t="s">
        <v>13</v>
      </c>
      <c r="J10" s="40" t="s">
        <v>8</v>
      </c>
      <c r="K10" s="40" t="s">
        <v>9</v>
      </c>
      <c r="L10" s="44" t="s">
        <v>10</v>
      </c>
      <c r="M10" s="45" t="s">
        <v>11</v>
      </c>
    </row>
    <row r="11" spans="1:13" s="18" customFormat="1" ht="19.899999999999999" customHeight="1" x14ac:dyDescent="0.25">
      <c r="A11" s="17">
        <v>2</v>
      </c>
      <c r="B11" s="17" t="s">
        <v>82</v>
      </c>
      <c r="C11" s="17" t="s">
        <v>83</v>
      </c>
      <c r="D11" s="17">
        <v>2</v>
      </c>
      <c r="E11" s="17">
        <v>100</v>
      </c>
      <c r="F11" s="17">
        <v>100</v>
      </c>
      <c r="G11" s="17">
        <v>100</v>
      </c>
      <c r="H11" s="17">
        <v>23</v>
      </c>
      <c r="I11" s="17">
        <v>110000</v>
      </c>
      <c r="J11" s="17">
        <v>1100</v>
      </c>
      <c r="K11" s="17">
        <v>1100</v>
      </c>
      <c r="L11" s="17">
        <v>1100</v>
      </c>
      <c r="M11" s="17">
        <v>4782.608695652174</v>
      </c>
    </row>
    <row r="12" spans="1:13" s="18" customFormat="1" ht="19.899999999999999" customHeight="1" x14ac:dyDescent="0.25">
      <c r="A12" s="17">
        <v>2</v>
      </c>
      <c r="B12" s="17" t="s">
        <v>82</v>
      </c>
      <c r="C12" s="17" t="s">
        <v>83</v>
      </c>
      <c r="D12" s="17">
        <v>2</v>
      </c>
      <c r="E12" s="17">
        <v>100</v>
      </c>
      <c r="F12" s="17">
        <v>100</v>
      </c>
      <c r="G12" s="17">
        <v>100</v>
      </c>
      <c r="H12" s="17">
        <v>23</v>
      </c>
      <c r="I12" s="17"/>
      <c r="J12" s="17">
        <v>0</v>
      </c>
      <c r="K12" s="17">
        <v>0</v>
      </c>
      <c r="L12" s="17">
        <v>0</v>
      </c>
      <c r="M12" s="17">
        <v>0</v>
      </c>
    </row>
    <row r="13" spans="1:13" s="18" customFormat="1" ht="20.100000000000001" customHeight="1" x14ac:dyDescent="0.25">
      <c r="A13" s="25">
        <v>458</v>
      </c>
      <c r="B13" s="25" t="s">
        <v>66</v>
      </c>
      <c r="C13" s="17" t="s">
        <v>63</v>
      </c>
      <c r="D13" s="25">
        <v>4</v>
      </c>
      <c r="E13" s="25">
        <v>7045.09</v>
      </c>
      <c r="F13" s="25">
        <v>6306.06</v>
      </c>
      <c r="G13" s="25">
        <v>6854.42</v>
      </c>
      <c r="H13" s="25">
        <v>106</v>
      </c>
      <c r="I13" s="64">
        <v>383952.3</v>
      </c>
      <c r="J13" s="25">
        <f>TableauSOLS[[#This Row],[Coût TOTAL Livraison]]/TableauSOLS[[#This Row],[SU]]</f>
        <v>54.499275381861693</v>
      </c>
      <c r="K13" s="25">
        <f>TableauSOLS[[#This Row],[Coût TOTAL Livraison]]/TableauSOLS[[#This Row],[SHAB]]</f>
        <v>60.8862427569671</v>
      </c>
      <c r="L13" s="25">
        <f>TableauSOLS[[#This Row],[Coût TOTAL Livraison]]/TableauSOLS[[#This Row],[SDP]]</f>
        <v>56.015286486675748</v>
      </c>
      <c r="M13" s="25">
        <f>TableauSOLS[[#This Row],[Coût TOTAL Livraison]]/TableauSOLS[[#This Row],[Nombre de logements]]</f>
        <v>3622.191509433962</v>
      </c>
    </row>
    <row r="14" spans="1:13" s="18" customFormat="1" ht="20.100000000000001" customHeight="1" x14ac:dyDescent="0.25">
      <c r="A14" s="25">
        <v>358</v>
      </c>
      <c r="B14" s="25" t="s">
        <v>62</v>
      </c>
      <c r="C14" s="17" t="s">
        <v>63</v>
      </c>
      <c r="D14" s="25">
        <v>1</v>
      </c>
      <c r="E14" s="25">
        <v>782.28</v>
      </c>
      <c r="F14" s="25">
        <v>719.58</v>
      </c>
      <c r="G14" s="25">
        <v>802.58</v>
      </c>
      <c r="H14" s="25">
        <v>11</v>
      </c>
      <c r="I14" s="64">
        <v>55195.08</v>
      </c>
      <c r="J14" s="25">
        <v>70.556680472465104</v>
      </c>
      <c r="K14" s="25">
        <v>76.704577670307671</v>
      </c>
      <c r="L14" s="25">
        <v>76.704577670307671</v>
      </c>
      <c r="M14" s="25">
        <v>5017.7345454545457</v>
      </c>
    </row>
  </sheetData>
  <mergeCells count="1">
    <mergeCell ref="I8:M8"/>
  </mergeCells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EE5DC-8A48-4DE1-8210-61BD345491DF}">
  <sheetPr codeName="Feuil14"/>
  <dimension ref="A8:M13"/>
  <sheetViews>
    <sheetView showGridLines="0" showRowColHeaders="0" workbookViewId="0"/>
  </sheetViews>
  <sheetFormatPr baseColWidth="10" defaultRowHeight="15" x14ac:dyDescent="0.25"/>
  <cols>
    <col min="1" max="1" width="13" customWidth="1"/>
    <col min="4" max="4" width="17.28515625" customWidth="1"/>
    <col min="8" max="8" width="17.140625" customWidth="1"/>
    <col min="9" max="9" width="18.28515625" customWidth="1"/>
    <col min="12" max="12" width="11.7109375" customWidth="1"/>
    <col min="13" max="13" width="14" customWidth="1"/>
  </cols>
  <sheetData>
    <row r="8" spans="1:13" ht="36.950000000000003" customHeight="1" x14ac:dyDescent="0.25">
      <c r="I8" s="97" t="s">
        <v>29</v>
      </c>
      <c r="J8" s="98"/>
      <c r="K8" s="98"/>
      <c r="L8" s="98"/>
      <c r="M8" s="99"/>
    </row>
    <row r="9" spans="1:13" ht="20.25" customHeight="1" x14ac:dyDescent="0.25">
      <c r="A9" s="4" t="s">
        <v>0</v>
      </c>
      <c r="B9" s="5" t="s">
        <v>1</v>
      </c>
      <c r="C9" s="5" t="s">
        <v>2</v>
      </c>
      <c r="D9" s="5" t="s">
        <v>23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13</v>
      </c>
      <c r="J9" s="5" t="s">
        <v>8</v>
      </c>
      <c r="K9" s="8" t="s">
        <v>9</v>
      </c>
      <c r="L9" s="6" t="s">
        <v>10</v>
      </c>
      <c r="M9" s="7" t="s">
        <v>11</v>
      </c>
    </row>
    <row r="10" spans="1:13" s="18" customFormat="1" ht="15.75" hidden="1" customHeight="1" x14ac:dyDescent="0.25">
      <c r="A10" s="43" t="s">
        <v>0</v>
      </c>
      <c r="B10" s="40" t="s">
        <v>1</v>
      </c>
      <c r="C10" s="40" t="s">
        <v>2</v>
      </c>
      <c r="D10" s="40" t="s">
        <v>3</v>
      </c>
      <c r="E10" s="40" t="s">
        <v>4</v>
      </c>
      <c r="F10" s="40" t="s">
        <v>5</v>
      </c>
      <c r="G10" s="40" t="s">
        <v>6</v>
      </c>
      <c r="H10" s="40" t="s">
        <v>7</v>
      </c>
      <c r="I10" s="40" t="s">
        <v>13</v>
      </c>
      <c r="J10" s="40" t="s">
        <v>8</v>
      </c>
      <c r="K10" s="40" t="s">
        <v>9</v>
      </c>
      <c r="L10" s="44" t="s">
        <v>10</v>
      </c>
      <c r="M10" s="45" t="s">
        <v>11</v>
      </c>
    </row>
    <row r="11" spans="1:13" s="18" customFormat="1" ht="19.899999999999999" customHeight="1" x14ac:dyDescent="0.25">
      <c r="A11" s="17">
        <v>2</v>
      </c>
      <c r="B11" s="17" t="s">
        <v>82</v>
      </c>
      <c r="C11" s="17" t="s">
        <v>83</v>
      </c>
      <c r="D11" s="17">
        <v>2</v>
      </c>
      <c r="E11" s="17">
        <v>100</v>
      </c>
      <c r="F11" s="17">
        <v>100</v>
      </c>
      <c r="G11" s="17">
        <v>100</v>
      </c>
      <c r="H11" s="17">
        <v>23</v>
      </c>
      <c r="I11" s="17">
        <v>132000</v>
      </c>
      <c r="J11" s="17">
        <v>1320</v>
      </c>
      <c r="K11" s="17">
        <v>1320</v>
      </c>
      <c r="L11" s="17">
        <v>1320</v>
      </c>
      <c r="M11" s="17">
        <v>5739.130434782609</v>
      </c>
    </row>
    <row r="12" spans="1:13" s="18" customFormat="1" ht="20.100000000000001" customHeight="1" x14ac:dyDescent="0.25">
      <c r="A12" s="25">
        <v>458</v>
      </c>
      <c r="B12" s="25" t="s">
        <v>66</v>
      </c>
      <c r="C12" s="17" t="s">
        <v>63</v>
      </c>
      <c r="D12" s="25">
        <v>4</v>
      </c>
      <c r="E12" s="25">
        <v>7045.09</v>
      </c>
      <c r="F12" s="25">
        <v>6306.06</v>
      </c>
      <c r="G12" s="25">
        <v>6854.42</v>
      </c>
      <c r="H12" s="25">
        <v>106</v>
      </c>
      <c r="I12" s="64">
        <v>352028.14</v>
      </c>
      <c r="J12" s="25">
        <f>TableauPLATRERIE[[#This Row],[Coût TOTAL Livraison]]/TableauPLATRERIE[[#This Row],[SU]]</f>
        <v>49.967869821393343</v>
      </c>
      <c r="K12" s="25">
        <f>TableauPLATRERIE[[#This Row],[Coût TOTAL Livraison]]/TableauPLATRERIE[[#This Row],[SHAB]]</f>
        <v>55.823785374703064</v>
      </c>
      <c r="L12" s="25">
        <f>TableauPLATRERIE[[#This Row],[Coût TOTAL Livraison]]/TableauPLATRERIE[[#This Row],[SDP]]</f>
        <v>51.357830421830002</v>
      </c>
      <c r="M12" s="25">
        <f>TableauPLATRERIE[[#This Row],[Coût TOTAL Livraison]]/TableauPLATRERIE[[#This Row],[Nombre de logements]]</f>
        <v>3321.0201886792456</v>
      </c>
    </row>
    <row r="13" spans="1:13" s="18" customFormat="1" ht="20.100000000000001" customHeight="1" x14ac:dyDescent="0.25">
      <c r="A13" s="25">
        <v>358</v>
      </c>
      <c r="B13" s="25" t="s">
        <v>62</v>
      </c>
      <c r="C13" s="17" t="s">
        <v>63</v>
      </c>
      <c r="D13" s="25">
        <v>1</v>
      </c>
      <c r="E13" s="25">
        <v>782.28</v>
      </c>
      <c r="F13" s="25">
        <v>719.58</v>
      </c>
      <c r="G13" s="25">
        <v>802.58</v>
      </c>
      <c r="H13" s="25">
        <v>11</v>
      </c>
      <c r="I13" s="64">
        <v>55800</v>
      </c>
      <c r="J13" s="25">
        <v>71.329958582604689</v>
      </c>
      <c r="K13" s="25">
        <v>77.545234720253475</v>
      </c>
      <c r="L13" s="25">
        <f>TableauPLATRERIE[[#This Row],[Coût TOTAL Livraison]]/TableauPLATRERIE[[#This Row],[SDP]]</f>
        <v>69.525779361558975</v>
      </c>
      <c r="M13" s="25">
        <v>5072.727272727273</v>
      </c>
    </row>
  </sheetData>
  <mergeCells count="1">
    <mergeCell ref="I8:M8"/>
  </mergeCells>
  <pageMargins left="0.7" right="0.7" top="0.75" bottom="0.75" header="0.3" footer="0.3"/>
  <drawing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6E11F-C208-48A2-BC15-B7AB3016197B}">
  <sheetPr codeName="Feuil15"/>
  <dimension ref="A8:M13"/>
  <sheetViews>
    <sheetView showGridLines="0" showRowColHeaders="0" workbookViewId="0"/>
  </sheetViews>
  <sheetFormatPr baseColWidth="10" defaultRowHeight="15" x14ac:dyDescent="0.25"/>
  <cols>
    <col min="1" max="1" width="13.5703125" customWidth="1"/>
    <col min="4" max="4" width="15.42578125" customWidth="1"/>
    <col min="8" max="8" width="16.5703125" customWidth="1"/>
    <col min="9" max="9" width="18.28515625" customWidth="1"/>
    <col min="13" max="13" width="12.7109375" customWidth="1"/>
  </cols>
  <sheetData>
    <row r="8" spans="1:13" ht="36.950000000000003" customHeight="1" x14ac:dyDescent="0.25">
      <c r="I8" s="97" t="s">
        <v>28</v>
      </c>
      <c r="J8" s="98"/>
      <c r="K8" s="98"/>
      <c r="L8" s="98"/>
      <c r="M8" s="99"/>
    </row>
    <row r="9" spans="1:13" ht="21" customHeight="1" x14ac:dyDescent="0.25">
      <c r="A9" s="4" t="s">
        <v>0</v>
      </c>
      <c r="B9" s="5" t="s">
        <v>1</v>
      </c>
      <c r="C9" s="5" t="s">
        <v>2</v>
      </c>
      <c r="D9" s="5" t="s">
        <v>23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13</v>
      </c>
      <c r="J9" s="5" t="s">
        <v>8</v>
      </c>
      <c r="K9" s="8" t="s">
        <v>9</v>
      </c>
      <c r="L9" s="6" t="s">
        <v>10</v>
      </c>
      <c r="M9" s="7" t="s">
        <v>11</v>
      </c>
    </row>
    <row r="10" spans="1:13" ht="12" hidden="1" customHeight="1" x14ac:dyDescent="0.25">
      <c r="A10" s="43" t="s">
        <v>0</v>
      </c>
      <c r="B10" s="40" t="s">
        <v>1</v>
      </c>
      <c r="C10" s="40" t="s">
        <v>2</v>
      </c>
      <c r="D10" s="40" t="s">
        <v>3</v>
      </c>
      <c r="E10" s="40" t="s">
        <v>4</v>
      </c>
      <c r="F10" s="40" t="s">
        <v>5</v>
      </c>
      <c r="G10" s="40" t="s">
        <v>6</v>
      </c>
      <c r="H10" s="40" t="s">
        <v>7</v>
      </c>
      <c r="I10" s="40" t="s">
        <v>13</v>
      </c>
      <c r="J10" s="40" t="s">
        <v>8</v>
      </c>
      <c r="K10" s="40" t="s">
        <v>9</v>
      </c>
      <c r="L10" s="44" t="s">
        <v>10</v>
      </c>
      <c r="M10" s="45" t="s">
        <v>11</v>
      </c>
    </row>
    <row r="11" spans="1:13" ht="19.899999999999999" customHeight="1" x14ac:dyDescent="0.25">
      <c r="A11" s="17">
        <v>2</v>
      </c>
      <c r="B11" s="17" t="s">
        <v>82</v>
      </c>
      <c r="C11" s="17" t="s">
        <v>83</v>
      </c>
      <c r="D11" s="17">
        <v>2</v>
      </c>
      <c r="E11" s="17">
        <v>100</v>
      </c>
      <c r="F11" s="17">
        <v>100</v>
      </c>
      <c r="G11" s="17">
        <v>100</v>
      </c>
      <c r="H11" s="17">
        <v>23</v>
      </c>
      <c r="I11" s="17">
        <v>36000</v>
      </c>
      <c r="J11" s="17">
        <v>360</v>
      </c>
      <c r="K11" s="17">
        <v>360</v>
      </c>
      <c r="L11" s="17">
        <v>360</v>
      </c>
      <c r="M11" s="17">
        <v>1565.2173913043478</v>
      </c>
    </row>
    <row r="12" spans="1:13" ht="20.100000000000001" customHeight="1" x14ac:dyDescent="0.25">
      <c r="A12" s="25">
        <v>458</v>
      </c>
      <c r="B12" s="25" t="s">
        <v>66</v>
      </c>
      <c r="C12" s="17" t="s">
        <v>63</v>
      </c>
      <c r="D12" s="25">
        <v>4</v>
      </c>
      <c r="E12" s="25">
        <v>7045.09</v>
      </c>
      <c r="F12" s="25">
        <v>6306.06</v>
      </c>
      <c r="G12" s="25">
        <v>6854.42</v>
      </c>
      <c r="H12" s="25">
        <v>106</v>
      </c>
      <c r="I12" s="64">
        <v>221500</v>
      </c>
      <c r="J12" s="25">
        <v>31.440336461280125</v>
      </c>
      <c r="K12" s="25">
        <v>35.124943308500079</v>
      </c>
      <c r="L12" s="25">
        <f>TableauPEINTURE[[#This Row],[Coût TOTAL Livraison]]/TableauPEINTURE[[#This Row],[SDP]]</f>
        <v>32.314915047516784</v>
      </c>
      <c r="M12" s="25">
        <v>2089.6226415094338</v>
      </c>
    </row>
    <row r="13" spans="1:13" ht="20.100000000000001" customHeight="1" x14ac:dyDescent="0.25">
      <c r="A13" s="25">
        <v>358</v>
      </c>
      <c r="B13" s="25" t="s">
        <v>62</v>
      </c>
      <c r="C13" s="17" t="s">
        <v>63</v>
      </c>
      <c r="D13" s="25">
        <v>1</v>
      </c>
      <c r="E13" s="25">
        <v>782.28</v>
      </c>
      <c r="F13" s="25">
        <v>719.58</v>
      </c>
      <c r="G13" s="25">
        <v>802.58</v>
      </c>
      <c r="H13" s="25">
        <v>11</v>
      </c>
      <c r="I13" s="64">
        <v>29877.119999999999</v>
      </c>
      <c r="J13" s="25">
        <v>38.192360791532444</v>
      </c>
      <c r="K13" s="25">
        <v>41.520220128408234</v>
      </c>
      <c r="L13" s="25">
        <f>TableauPEINTURE[[#This Row],[Coût TOTAL Livraison]]/TableauPEINTURE[[#This Row],[SDP]]</f>
        <v>37.226345037254852</v>
      </c>
      <c r="M13" s="25">
        <v>2716.1018181818181</v>
      </c>
    </row>
  </sheetData>
  <mergeCells count="1">
    <mergeCell ref="I8:M8"/>
  </mergeCells>
  <pageMargins left="0.7" right="0.7" top="0.75" bottom="0.75" header="0.3" footer="0.3"/>
  <drawing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53909-0EDF-4EBE-80F1-50872D9F2293}">
  <sheetPr codeName="Feuil2"/>
  <dimension ref="A8:M11"/>
  <sheetViews>
    <sheetView showGridLines="0" showRowColHeaders="0" workbookViewId="0"/>
  </sheetViews>
  <sheetFormatPr baseColWidth="10" defaultRowHeight="15" x14ac:dyDescent="0.25"/>
  <cols>
    <col min="1" max="1" width="15.42578125" customWidth="1"/>
    <col min="4" max="4" width="17.85546875" customWidth="1"/>
    <col min="8" max="8" width="15.85546875" customWidth="1"/>
    <col min="9" max="9" width="18.28515625" customWidth="1"/>
    <col min="13" max="13" width="14" customWidth="1"/>
  </cols>
  <sheetData>
    <row r="8" spans="1:13" ht="36.6" customHeight="1" x14ac:dyDescent="0.25">
      <c r="I8" s="97" t="s">
        <v>59</v>
      </c>
      <c r="J8" s="98"/>
      <c r="K8" s="98"/>
      <c r="L8" s="98"/>
      <c r="M8" s="99"/>
    </row>
    <row r="9" spans="1:13" ht="21" customHeight="1" x14ac:dyDescent="0.25">
      <c r="A9" s="4" t="s">
        <v>0</v>
      </c>
      <c r="B9" s="5" t="s">
        <v>1</v>
      </c>
      <c r="C9" s="5" t="s">
        <v>2</v>
      </c>
      <c r="D9" s="5" t="s">
        <v>23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13</v>
      </c>
      <c r="J9" s="5" t="s">
        <v>8</v>
      </c>
      <c r="K9" s="8" t="s">
        <v>9</v>
      </c>
      <c r="L9" s="6" t="s">
        <v>10</v>
      </c>
      <c r="M9" s="7" t="s">
        <v>11</v>
      </c>
    </row>
    <row r="10" spans="1:13" ht="15.6" hidden="1" customHeight="1" x14ac:dyDescent="0.25">
      <c r="A10" s="4" t="s">
        <v>0</v>
      </c>
      <c r="B10" s="5" t="s">
        <v>1</v>
      </c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  <c r="H10" s="5" t="s">
        <v>7</v>
      </c>
      <c r="I10" s="5" t="s">
        <v>13</v>
      </c>
      <c r="J10" s="5" t="s">
        <v>8</v>
      </c>
      <c r="K10" s="8" t="s">
        <v>9</v>
      </c>
      <c r="L10" s="6" t="s">
        <v>10</v>
      </c>
      <c r="M10" s="7" t="s">
        <v>11</v>
      </c>
    </row>
    <row r="11" spans="1:13" s="18" customFormat="1" ht="20.25" customHeight="1" x14ac:dyDescent="0.25">
      <c r="A11" s="25">
        <v>458</v>
      </c>
      <c r="B11" s="25" t="s">
        <v>66</v>
      </c>
      <c r="C11" s="25" t="s">
        <v>63</v>
      </c>
      <c r="D11" s="25">
        <v>4</v>
      </c>
      <c r="E11" s="25">
        <v>7045.09</v>
      </c>
      <c r="F11" s="25">
        <v>6306.06</v>
      </c>
      <c r="G11" s="25">
        <v>6854.42</v>
      </c>
      <c r="H11" s="25">
        <v>106</v>
      </c>
      <c r="I11" s="64">
        <v>28869.1</v>
      </c>
      <c r="J11" s="25">
        <f>TableauESPACESVERTS[Coût TOTAL Livraison]/TableauESPACESVERTS[SU]</f>
        <v>4.0977617035410479</v>
      </c>
      <c r="K11" s="25">
        <f>TableauESPACESVERTS[Coût TOTAL Livraison]/TableauESPACESVERTS[SHAB]</f>
        <v>4.5779932319070857</v>
      </c>
      <c r="L11" s="25">
        <f>TableauESPACESVERTS[Coût TOTAL Livraison]/TableauESPACESVERTS[SDP]</f>
        <v>4.2117494988635071</v>
      </c>
      <c r="M11" s="25">
        <f>TableauESPACESVERTS[Coût TOTAL Livraison]/TableauESPACESVERTS[Nombre de logements]</f>
        <v>272.34999999999997</v>
      </c>
    </row>
  </sheetData>
  <mergeCells count="1">
    <mergeCell ref="I8:M8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D88288-CE50-4246-A32F-04D385FDE1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5</vt:i4>
      </vt:variant>
    </vt:vector>
  </HeadingPairs>
  <TitlesOfParts>
    <vt:vector size="20" baseType="lpstr">
      <vt:lpstr>Données</vt:lpstr>
      <vt:lpstr>Tableau de bord BILAN</vt:lpstr>
      <vt:lpstr>Tableau de bord OPE</vt:lpstr>
      <vt:lpstr>MENU</vt:lpstr>
      <vt:lpstr>SYNTHESE</vt:lpstr>
      <vt:lpstr>TERRASSEMENT-GO</vt:lpstr>
      <vt:lpstr>TOITURE</vt:lpstr>
      <vt:lpstr>MENUISERIES EXTERIEURES</vt:lpstr>
      <vt:lpstr>MENUISERIES INTERIEURES</vt:lpstr>
      <vt:lpstr>CVC</vt:lpstr>
      <vt:lpstr>ELEC</vt:lpstr>
      <vt:lpstr>SOLS</vt:lpstr>
      <vt:lpstr>PLATRERIE</vt:lpstr>
      <vt:lpstr>PEINTURE</vt:lpstr>
      <vt:lpstr>ESPACES VERTS</vt:lpstr>
      <vt:lpstr>Bilan</vt:lpstr>
      <vt:lpstr>ChoixTableau</vt:lpstr>
      <vt:lpstr>ListeChoixBilan</vt:lpstr>
      <vt:lpstr>ListeOpéGO</vt:lpstr>
      <vt:lpstr>ListeRATIO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c.arnaez-caron</dc:creator>
  <cp:lastModifiedBy>c.arnaez-caron</cp:lastModifiedBy>
  <dcterms:created xsi:type="dcterms:W3CDTF">2021-03-10T15:08:09Z</dcterms:created>
  <dcterms:modified xsi:type="dcterms:W3CDTF">2021-05-18T13:11:18Z</dcterms:modified>
</cp:coreProperties>
</file>