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omptoir\Macro\"/>
    </mc:Choice>
  </mc:AlternateContent>
  <xr:revisionPtr revIDLastSave="0" documentId="13_ncr:1_{A5A48747-B6A3-49F5-B4DD-7CA5B5DEDD7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EXPORT_PDF" sheetId="4" r:id="rId1"/>
    <sheet name="Données_SB_Femelle" sheetId="2" state="hidden" r:id="rId2"/>
    <sheet name="Données_SB_Mâle" sheetId="5" state="hidden" r:id="rId3"/>
    <sheet name="SB1" sheetId="28" r:id="rId4"/>
    <sheet name="SB2" sheetId="29" r:id="rId5"/>
    <sheet name="Calcul_Densité+Dose" sheetId="1" state="hidden" r:id="rId6"/>
  </sheets>
  <definedNames>
    <definedName name="_2x2">'Calcul_Densité+Dose'!$B$7:$S$15</definedName>
    <definedName name="_4x3">'Calcul_Densité+Dose'!$B$18:$S$27</definedName>
    <definedName name="_6x2">'Calcul_Densité+Dose'!$B$50:$S$58</definedName>
    <definedName name="_6x3">'Calcul_Densité+Dose'!$B$40:$S$49</definedName>
    <definedName name="_xlnm._FilterDatabase" localSheetId="1" hidden="1">Données_SB_Femelle!$A$1:$Q$75</definedName>
    <definedName name="_xlnm._FilterDatabase" localSheetId="2" hidden="1">Données_SB_Mâle!$A$1:$Q$75</definedName>
    <definedName name="_xlnm._FilterDatabase" localSheetId="3" hidden="1">'SB1'!$A$2:$BK$80</definedName>
    <definedName name="_xlnm._FilterDatabase" localSheetId="4" hidden="1">'SB2'!$A$2:$BM$80</definedName>
    <definedName name="Agris" localSheetId="3">Données_SB_Femelle!$A$88:$A$140</definedName>
    <definedName name="Agris" localSheetId="4">Données_SB_Femelle!$A$88:$A$140</definedName>
    <definedName name="Agris">Données_SB_Femelle!$A$88:$A$140</definedName>
    <definedName name="choix" localSheetId="3">Données_SB_Femelle!$C$78:$C$79</definedName>
    <definedName name="choix" localSheetId="4">Données_SB_Femelle!$C$78:$C$79</definedName>
    <definedName name="choix">Données_SB_Femelle!$C$78:$C$79</definedName>
    <definedName name="DensitéFemelle">Données_SB_Femelle!$M$36:$M$63</definedName>
    <definedName name="DensitéMâle">Données_SB_Mâle!$M$2:$M$28</definedName>
    <definedName name="Dispositif" localSheetId="3">Données_SB_Femelle!$A$78:$A$82</definedName>
    <definedName name="Dispositif" localSheetId="4">Données_SB_Femelle!$A$78:$A$82</definedName>
    <definedName name="Dispositif">Données_SB_Femelle!$A$78:$A$82</definedName>
    <definedName name="Femelle" localSheetId="3">Données_SB_Femelle!$A$29:$A$75</definedName>
    <definedName name="Femelle" localSheetId="4">Données_SB_Femelle!$A$29:$A$75</definedName>
    <definedName name="Femelle">Données_SB_Femelle!$A$29:$A$75</definedName>
    <definedName name="FG_Mâle">Données_SB_Mâle!$K$2:$K$28</definedName>
    <definedName name="FGFemelle">Données_SB_Femelle!$K$36:$K$63</definedName>
    <definedName name="LibFemelle">Données_SB_Femelle!$C$36:$C$75</definedName>
    <definedName name="LibMâle">Données_SB_Mâle!$C$2:$C$28</definedName>
    <definedName name="Mâle" localSheetId="3">Données_SB_Mâle!$A$2:$A$28</definedName>
    <definedName name="Mâle" localSheetId="4">Données_SB_Mâle!$A$2:$A$28</definedName>
    <definedName name="Mâle">Données_SB_Mâle!$A$2:$A$28</definedName>
    <definedName name="MGV_par_kg_Femelle">Données_SB_Femelle!$N$36:$N$75</definedName>
    <definedName name="MGV_par_kg_Mâle" localSheetId="2">Données_SB_Mâle!$N$7:$N$28</definedName>
    <definedName name="part">Données_SB_Femelle!$B$78:$B$79</definedName>
    <definedName name="part2" localSheetId="2">Données_SB_Mâle!$B$81:$B$82</definedName>
    <definedName name="_xlnm.Print_Area" localSheetId="0">EXPORT_PDF!$A$1:$J$49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29" l="1"/>
  <c r="E3" i="29"/>
  <c r="AM4" i="29"/>
  <c r="AM5" i="29"/>
  <c r="AM6" i="29"/>
  <c r="AM7" i="29"/>
  <c r="AM8" i="29"/>
  <c r="AM9" i="29"/>
  <c r="AM10" i="29"/>
  <c r="AM11" i="29"/>
  <c r="AM12" i="29"/>
  <c r="AM13" i="29"/>
  <c r="AM14" i="29"/>
  <c r="AM15" i="29"/>
  <c r="AM16" i="29"/>
  <c r="AM17" i="29"/>
  <c r="AM18" i="29"/>
  <c r="AM19" i="29"/>
  <c r="AM20" i="29"/>
  <c r="AM21" i="29"/>
  <c r="AM22" i="29"/>
  <c r="AM23" i="29"/>
  <c r="AM24" i="29"/>
  <c r="AM25" i="29"/>
  <c r="AM26" i="29"/>
  <c r="AM27" i="29"/>
  <c r="AM28" i="29"/>
  <c r="AM29" i="29"/>
  <c r="AM30" i="29"/>
  <c r="AM31" i="29"/>
  <c r="AM32" i="29"/>
  <c r="AM33" i="29"/>
  <c r="AM34" i="29"/>
  <c r="AM35" i="29"/>
  <c r="AM36" i="29"/>
  <c r="AM37" i="29"/>
  <c r="AM38" i="29"/>
  <c r="AM39" i="29"/>
  <c r="AM40" i="29"/>
  <c r="AM41" i="29"/>
  <c r="AM42" i="29"/>
  <c r="AM43" i="29"/>
  <c r="AM44" i="29"/>
  <c r="AM45" i="29"/>
  <c r="AM46" i="29"/>
  <c r="AM47" i="29"/>
  <c r="AM48" i="29"/>
  <c r="AM49" i="29"/>
  <c r="AM50" i="29"/>
  <c r="AM51" i="29"/>
  <c r="AM52" i="29"/>
  <c r="AM53" i="29"/>
  <c r="AM54" i="29"/>
  <c r="AM55" i="29"/>
  <c r="AM56" i="29"/>
  <c r="AM57" i="29"/>
  <c r="AM58" i="29"/>
  <c r="AM59" i="29"/>
  <c r="AM60" i="29"/>
  <c r="AM61" i="29"/>
  <c r="AM62" i="29"/>
  <c r="AM63" i="29"/>
  <c r="AM64" i="29"/>
  <c r="AM65" i="29"/>
  <c r="AM66" i="29"/>
  <c r="AM67" i="29"/>
  <c r="AM68" i="29"/>
  <c r="AM69" i="29"/>
  <c r="AM70" i="29"/>
  <c r="AM71" i="29"/>
  <c r="AM72" i="29"/>
  <c r="AM73" i="29"/>
  <c r="AM74" i="29"/>
  <c r="AM75" i="29"/>
  <c r="AM76" i="29"/>
  <c r="AM77" i="29"/>
  <c r="AM78" i="29"/>
  <c r="AM79" i="29"/>
  <c r="AM80" i="29"/>
  <c r="AK4" i="29"/>
  <c r="AK5" i="29"/>
  <c r="AK6" i="29"/>
  <c r="AK7" i="29"/>
  <c r="AK8" i="29"/>
  <c r="AK9" i="29"/>
  <c r="AK10" i="29"/>
  <c r="AK11" i="29"/>
  <c r="AK12" i="29"/>
  <c r="AK13" i="29"/>
  <c r="AK14" i="29"/>
  <c r="AK15" i="29"/>
  <c r="AK16" i="29"/>
  <c r="AN16" i="29" s="1"/>
  <c r="AK17" i="29"/>
  <c r="AK18" i="29"/>
  <c r="AK19" i="29"/>
  <c r="AK20" i="29"/>
  <c r="AK21" i="29"/>
  <c r="AK22" i="29"/>
  <c r="AK23" i="29"/>
  <c r="AK24" i="29"/>
  <c r="AK25" i="29"/>
  <c r="AK26" i="29"/>
  <c r="AK27" i="29"/>
  <c r="AK28" i="29"/>
  <c r="AK29" i="29"/>
  <c r="AK30" i="29"/>
  <c r="AK31" i="29"/>
  <c r="AK32" i="29"/>
  <c r="AN32" i="29" s="1"/>
  <c r="AK33" i="29"/>
  <c r="AK34" i="29"/>
  <c r="AK35" i="29"/>
  <c r="AK36" i="29"/>
  <c r="AK37" i="29"/>
  <c r="AK38" i="29"/>
  <c r="AK39" i="29"/>
  <c r="AK40" i="29"/>
  <c r="AK41" i="29"/>
  <c r="AK42" i="29"/>
  <c r="AK43" i="29"/>
  <c r="AK44" i="29"/>
  <c r="AK45" i="29"/>
  <c r="AK46" i="29"/>
  <c r="AK47" i="29"/>
  <c r="AK48" i="29"/>
  <c r="AN48" i="29" s="1"/>
  <c r="AK49" i="29"/>
  <c r="AK50" i="29"/>
  <c r="AK51" i="29"/>
  <c r="AK52" i="29"/>
  <c r="AK53" i="29"/>
  <c r="AK54" i="29"/>
  <c r="AK55" i="29"/>
  <c r="AK56" i="29"/>
  <c r="AK57" i="29"/>
  <c r="AK58" i="29"/>
  <c r="AK59" i="29"/>
  <c r="AK60" i="29"/>
  <c r="AK61" i="29"/>
  <c r="AK62" i="29"/>
  <c r="AK63" i="29"/>
  <c r="AK64" i="29"/>
  <c r="AN64" i="29" s="1"/>
  <c r="AK65" i="29"/>
  <c r="AK66" i="29"/>
  <c r="AK67" i="29"/>
  <c r="AK68" i="29"/>
  <c r="AK69" i="29"/>
  <c r="AK70" i="29"/>
  <c r="AK71" i="29"/>
  <c r="AK72" i="29"/>
  <c r="AK73" i="29"/>
  <c r="AK74" i="29"/>
  <c r="AK75" i="29"/>
  <c r="AK76" i="29"/>
  <c r="AK77" i="29"/>
  <c r="AK78" i="29"/>
  <c r="AK79" i="29"/>
  <c r="AK80" i="29"/>
  <c r="AN80" i="29" s="1"/>
  <c r="AM3" i="29"/>
  <c r="AK3" i="29"/>
  <c r="AI3" i="29"/>
  <c r="AH3" i="29"/>
  <c r="AL3" i="29"/>
  <c r="AJ3" i="29"/>
  <c r="AQ4" i="29"/>
  <c r="AQ5" i="29"/>
  <c r="AQ6" i="29"/>
  <c r="AQ7" i="29"/>
  <c r="AQ8" i="29"/>
  <c r="AQ9" i="29"/>
  <c r="AQ10" i="29"/>
  <c r="AQ11" i="29"/>
  <c r="AQ12" i="29"/>
  <c r="AQ13" i="29"/>
  <c r="AQ14" i="29"/>
  <c r="AQ15" i="29"/>
  <c r="AQ16" i="29"/>
  <c r="AQ17" i="29"/>
  <c r="AQ18" i="29"/>
  <c r="AQ19" i="29"/>
  <c r="AN20" i="29"/>
  <c r="AQ20" i="29"/>
  <c r="AQ21" i="29"/>
  <c r="AQ22" i="29"/>
  <c r="AQ23" i="29"/>
  <c r="AN24" i="29"/>
  <c r="AQ24" i="29"/>
  <c r="AQ25" i="29"/>
  <c r="AQ26" i="29"/>
  <c r="AQ27" i="29"/>
  <c r="AN28" i="29"/>
  <c r="AQ28" i="29"/>
  <c r="AQ29" i="29"/>
  <c r="AQ30" i="29"/>
  <c r="AQ31" i="29"/>
  <c r="AQ32" i="29"/>
  <c r="AQ33" i="29"/>
  <c r="AQ34" i="29"/>
  <c r="AQ35" i="29"/>
  <c r="AN36" i="29"/>
  <c r="AQ36" i="29"/>
  <c r="AQ37" i="29"/>
  <c r="AQ38" i="29"/>
  <c r="AQ39" i="29"/>
  <c r="AN40" i="29"/>
  <c r="AQ40" i="29"/>
  <c r="AQ41" i="29"/>
  <c r="AQ42" i="29"/>
  <c r="AQ43" i="29"/>
  <c r="AN44" i="29"/>
  <c r="AQ44" i="29"/>
  <c r="AQ45" i="29"/>
  <c r="AQ46" i="29"/>
  <c r="AQ47" i="29"/>
  <c r="AQ48" i="29"/>
  <c r="AQ49" i="29"/>
  <c r="AQ50" i="29"/>
  <c r="AQ51" i="29"/>
  <c r="AN52" i="29"/>
  <c r="AQ52" i="29"/>
  <c r="AQ53" i="29"/>
  <c r="AQ54" i="29"/>
  <c r="AQ55" i="29"/>
  <c r="AN56" i="29"/>
  <c r="AQ56" i="29"/>
  <c r="AQ57" i="29"/>
  <c r="AQ58" i="29"/>
  <c r="AQ59" i="29"/>
  <c r="AN60" i="29"/>
  <c r="AQ60" i="29"/>
  <c r="AQ61" i="29"/>
  <c r="AQ62" i="29"/>
  <c r="AQ63" i="29"/>
  <c r="AQ64" i="29"/>
  <c r="AQ65" i="29"/>
  <c r="AQ66" i="29"/>
  <c r="AQ67" i="29"/>
  <c r="AN68" i="29"/>
  <c r="AQ68" i="29"/>
  <c r="AQ69" i="29"/>
  <c r="AQ70" i="29"/>
  <c r="AQ71" i="29"/>
  <c r="AN72" i="29"/>
  <c r="AQ72" i="29"/>
  <c r="AQ73" i="29"/>
  <c r="AQ74" i="29"/>
  <c r="AQ75" i="29"/>
  <c r="AN76" i="29"/>
  <c r="AQ76" i="29"/>
  <c r="AQ77" i="29"/>
  <c r="AQ78" i="29"/>
  <c r="AQ79" i="29"/>
  <c r="AQ80" i="29"/>
  <c r="AF6" i="29"/>
  <c r="AG6" i="29" s="1"/>
  <c r="AF7" i="29"/>
  <c r="AG7" i="29" s="1"/>
  <c r="AF14" i="29"/>
  <c r="AG14" i="29" s="1"/>
  <c r="AF15" i="29"/>
  <c r="AG15" i="29" s="1"/>
  <c r="AF18" i="29"/>
  <c r="AG18" i="29" s="1"/>
  <c r="AF19" i="29"/>
  <c r="AG19" i="29" s="1"/>
  <c r="AF22" i="29"/>
  <c r="AG22" i="29" s="1"/>
  <c r="AF23" i="29"/>
  <c r="AG23" i="29" s="1"/>
  <c r="AF26" i="29"/>
  <c r="AG26" i="29" s="1"/>
  <c r="AF27" i="29"/>
  <c r="AG27" i="29" s="1"/>
  <c r="AF30" i="29"/>
  <c r="AG30" i="29" s="1"/>
  <c r="AF31" i="29"/>
  <c r="AG31" i="29" s="1"/>
  <c r="AF34" i="29"/>
  <c r="AG34" i="29" s="1"/>
  <c r="AF35" i="29"/>
  <c r="AG35" i="29" s="1"/>
  <c r="AF38" i="29"/>
  <c r="AG38" i="29" s="1"/>
  <c r="AF39" i="29"/>
  <c r="AG39" i="29" s="1"/>
  <c r="AF42" i="29"/>
  <c r="AG42" i="29" s="1"/>
  <c r="AF43" i="29"/>
  <c r="AG43" i="29" s="1"/>
  <c r="AF47" i="29"/>
  <c r="AG47" i="29" s="1"/>
  <c r="AF50" i="29"/>
  <c r="AG50" i="29" s="1"/>
  <c r="AF51" i="29"/>
  <c r="AG51" i="29" s="1"/>
  <c r="AF55" i="29"/>
  <c r="AG55" i="29" s="1"/>
  <c r="AF59" i="29"/>
  <c r="AG59" i="29" s="1"/>
  <c r="AF63" i="29"/>
  <c r="AG63" i="29" s="1"/>
  <c r="AF67" i="29"/>
  <c r="AG67" i="29" s="1"/>
  <c r="AF71" i="29"/>
  <c r="AG71" i="29" s="1"/>
  <c r="AF74" i="29"/>
  <c r="AG74" i="29" s="1"/>
  <c r="AF78" i="29"/>
  <c r="AG78" i="29" s="1"/>
  <c r="AF4" i="29"/>
  <c r="AG4" i="29" s="1"/>
  <c r="AF5" i="29"/>
  <c r="AG5" i="29"/>
  <c r="AF8" i="29"/>
  <c r="AG8" i="29" s="1"/>
  <c r="AF9" i="29"/>
  <c r="AG9" i="29"/>
  <c r="AF10" i="29"/>
  <c r="AG10" i="29" s="1"/>
  <c r="AF11" i="29"/>
  <c r="AG11" i="29" s="1"/>
  <c r="AF12" i="29"/>
  <c r="AG12" i="29" s="1"/>
  <c r="AF13" i="29"/>
  <c r="AG13" i="29"/>
  <c r="AF16" i="29"/>
  <c r="AG16" i="29" s="1"/>
  <c r="AF17" i="29"/>
  <c r="AG17" i="29"/>
  <c r="AF20" i="29"/>
  <c r="AG20" i="29" s="1"/>
  <c r="AF21" i="29"/>
  <c r="AG21" i="29"/>
  <c r="AF24" i="29"/>
  <c r="AG24" i="29" s="1"/>
  <c r="AF25" i="29"/>
  <c r="AG25" i="29"/>
  <c r="AF28" i="29"/>
  <c r="AG28" i="29" s="1"/>
  <c r="AF29" i="29"/>
  <c r="AG29" i="29"/>
  <c r="AF32" i="29"/>
  <c r="AG32" i="29" s="1"/>
  <c r="AF33" i="29"/>
  <c r="AG33" i="29"/>
  <c r="AF36" i="29"/>
  <c r="AG36" i="29" s="1"/>
  <c r="AF37" i="29"/>
  <c r="AG37" i="29"/>
  <c r="AF40" i="29"/>
  <c r="AG40" i="29" s="1"/>
  <c r="AF41" i="29"/>
  <c r="AG41" i="29"/>
  <c r="AF44" i="29"/>
  <c r="AG44" i="29" s="1"/>
  <c r="AF45" i="29"/>
  <c r="AG45" i="29"/>
  <c r="AF46" i="29"/>
  <c r="AG46" i="29" s="1"/>
  <c r="AF48" i="29"/>
  <c r="AG48" i="29" s="1"/>
  <c r="AF49" i="29"/>
  <c r="AG49" i="29" s="1"/>
  <c r="AF52" i="29"/>
  <c r="AG52" i="29" s="1"/>
  <c r="AF53" i="29"/>
  <c r="AG53" i="29"/>
  <c r="AF54" i="29"/>
  <c r="AG54" i="29" s="1"/>
  <c r="AF56" i="29"/>
  <c r="AG56" i="29" s="1"/>
  <c r="AF57" i="29"/>
  <c r="AG57" i="29"/>
  <c r="AF58" i="29"/>
  <c r="AG58" i="29" s="1"/>
  <c r="AF60" i="29"/>
  <c r="AG60" i="29" s="1"/>
  <c r="AF61" i="29"/>
  <c r="AG61" i="29"/>
  <c r="AF62" i="29"/>
  <c r="AG62" i="29" s="1"/>
  <c r="AF64" i="29"/>
  <c r="AG64" i="29" s="1"/>
  <c r="AF65" i="29"/>
  <c r="AG65" i="29"/>
  <c r="AF66" i="29"/>
  <c r="AG66" i="29" s="1"/>
  <c r="AF68" i="29"/>
  <c r="AG68" i="29" s="1"/>
  <c r="AF69" i="29"/>
  <c r="AG69" i="29"/>
  <c r="AF70" i="29"/>
  <c r="AG70" i="29" s="1"/>
  <c r="AF72" i="29"/>
  <c r="AG72" i="29" s="1"/>
  <c r="AF73" i="29"/>
  <c r="AG73" i="29" s="1"/>
  <c r="AF75" i="29"/>
  <c r="AG75" i="29" s="1"/>
  <c r="AF76" i="29"/>
  <c r="AG76" i="29"/>
  <c r="AF77" i="29"/>
  <c r="AG77" i="29" s="1"/>
  <c r="AF79" i="29"/>
  <c r="AG79" i="29" s="1"/>
  <c r="AF80" i="29"/>
  <c r="AG80" i="29"/>
  <c r="AD7" i="29"/>
  <c r="AD11" i="29"/>
  <c r="AD15" i="29"/>
  <c r="AD19" i="29"/>
  <c r="AD23" i="29"/>
  <c r="AD27" i="29"/>
  <c r="AD31" i="29"/>
  <c r="AD35" i="29"/>
  <c r="AD39" i="29"/>
  <c r="AD43" i="29"/>
  <c r="AD47" i="29"/>
  <c r="AD51" i="29"/>
  <c r="AD55" i="29"/>
  <c r="AD59" i="29"/>
  <c r="AD63" i="29"/>
  <c r="AD67" i="29"/>
  <c r="AD71" i="29"/>
  <c r="AD75" i="29"/>
  <c r="AD79" i="29"/>
  <c r="AD4" i="29"/>
  <c r="AD5" i="29"/>
  <c r="AD6" i="29"/>
  <c r="AD8" i="29"/>
  <c r="AD9" i="29"/>
  <c r="AD10" i="29"/>
  <c r="AD12" i="29"/>
  <c r="AD13" i="29"/>
  <c r="AD14" i="29"/>
  <c r="AD16" i="29"/>
  <c r="AD17" i="29"/>
  <c r="AD18" i="29"/>
  <c r="AD20" i="29"/>
  <c r="AD21" i="29"/>
  <c r="AD22" i="29"/>
  <c r="AD24" i="29"/>
  <c r="AD25" i="29"/>
  <c r="AD26" i="29"/>
  <c r="AD28" i="29"/>
  <c r="AD29" i="29"/>
  <c r="AD30" i="29"/>
  <c r="AD32" i="29"/>
  <c r="AD33" i="29"/>
  <c r="AD34" i="29"/>
  <c r="AD36" i="29"/>
  <c r="AD37" i="29"/>
  <c r="AD38" i="29"/>
  <c r="AD40" i="29"/>
  <c r="AD41" i="29"/>
  <c r="AD42" i="29"/>
  <c r="AD44" i="29"/>
  <c r="AD45" i="29"/>
  <c r="AD46" i="29"/>
  <c r="AD48" i="29"/>
  <c r="AD49" i="29"/>
  <c r="AD50" i="29"/>
  <c r="AD52" i="29"/>
  <c r="AD53" i="29"/>
  <c r="AD54" i="29"/>
  <c r="AD56" i="29"/>
  <c r="AD57" i="29"/>
  <c r="AD58" i="29"/>
  <c r="AD60" i="29"/>
  <c r="AD61" i="29"/>
  <c r="AD62" i="29"/>
  <c r="AD64" i="29"/>
  <c r="AD65" i="29"/>
  <c r="AD66" i="29"/>
  <c r="AD68" i="29"/>
  <c r="AD69" i="29"/>
  <c r="AD70" i="29"/>
  <c r="AD72" i="29"/>
  <c r="AD73" i="29"/>
  <c r="AD74" i="29"/>
  <c r="AD76" i="29"/>
  <c r="AD77" i="29"/>
  <c r="AD78" i="29"/>
  <c r="AD80" i="29"/>
  <c r="AB5" i="29"/>
  <c r="AB6" i="29"/>
  <c r="AB7" i="29"/>
  <c r="AB8" i="29"/>
  <c r="AB9" i="29"/>
  <c r="AB10" i="29"/>
  <c r="AB11" i="29"/>
  <c r="AB12" i="29"/>
  <c r="AB13" i="29"/>
  <c r="AB14" i="29"/>
  <c r="AB15" i="29"/>
  <c r="AB16" i="29"/>
  <c r="AB17" i="29"/>
  <c r="AB18" i="29"/>
  <c r="AB19" i="29"/>
  <c r="AB20" i="29"/>
  <c r="AB21" i="29"/>
  <c r="AB22" i="29"/>
  <c r="AB23" i="29"/>
  <c r="AB24" i="29"/>
  <c r="AB25" i="29"/>
  <c r="AB26" i="29"/>
  <c r="AB27" i="29"/>
  <c r="AB28" i="29"/>
  <c r="AB29" i="29"/>
  <c r="AB30" i="29"/>
  <c r="AB31" i="29"/>
  <c r="AB32" i="29"/>
  <c r="AB33" i="29"/>
  <c r="AB34" i="29"/>
  <c r="AB35" i="29"/>
  <c r="AB36" i="29"/>
  <c r="AB37" i="29"/>
  <c r="AB38" i="29"/>
  <c r="AB39" i="29"/>
  <c r="AB40" i="29"/>
  <c r="AB41" i="29"/>
  <c r="AB42" i="29"/>
  <c r="AB43" i="29"/>
  <c r="AB44" i="29"/>
  <c r="AB45" i="29"/>
  <c r="AB46" i="29"/>
  <c r="AB47" i="29"/>
  <c r="AB48" i="29"/>
  <c r="AB49" i="29"/>
  <c r="AB50" i="29"/>
  <c r="AB51" i="29"/>
  <c r="AB52" i="29"/>
  <c r="AB53" i="29"/>
  <c r="AB54" i="29"/>
  <c r="AB55" i="29"/>
  <c r="AB56" i="29"/>
  <c r="AB57" i="29"/>
  <c r="AB58" i="29"/>
  <c r="AB59" i="29"/>
  <c r="AB60" i="29"/>
  <c r="AB61" i="29"/>
  <c r="AB62" i="29"/>
  <c r="AB63" i="29"/>
  <c r="AB64" i="29"/>
  <c r="AB65" i="29"/>
  <c r="AB66" i="29"/>
  <c r="AB67" i="29"/>
  <c r="AB68" i="29"/>
  <c r="AB69" i="29"/>
  <c r="AB70" i="29"/>
  <c r="AB71" i="29"/>
  <c r="AB72" i="29"/>
  <c r="AB73" i="29"/>
  <c r="AB74" i="29"/>
  <c r="AB75" i="29"/>
  <c r="AB76" i="29"/>
  <c r="AB77" i="29"/>
  <c r="AB78" i="29"/>
  <c r="AB79" i="29"/>
  <c r="AB80" i="29"/>
  <c r="AB4" i="29"/>
  <c r="Z80" i="29"/>
  <c r="Z4" i="29"/>
  <c r="Z5" i="29"/>
  <c r="Z6" i="29"/>
  <c r="Z7" i="29"/>
  <c r="Z8" i="29"/>
  <c r="Z9" i="29"/>
  <c r="Z10" i="29"/>
  <c r="Z11" i="29"/>
  <c r="Z12" i="29"/>
  <c r="Z13" i="29"/>
  <c r="Z14" i="29"/>
  <c r="Z15" i="29"/>
  <c r="Z16" i="29"/>
  <c r="Z17" i="29"/>
  <c r="Z18" i="29"/>
  <c r="Z19" i="29"/>
  <c r="Z20" i="29"/>
  <c r="Z21" i="29"/>
  <c r="Z22" i="29"/>
  <c r="Z23" i="29"/>
  <c r="Z24" i="29"/>
  <c r="Z25" i="29"/>
  <c r="Z26" i="29"/>
  <c r="Z27" i="29"/>
  <c r="Z28" i="29"/>
  <c r="Z29" i="29"/>
  <c r="Z30" i="29"/>
  <c r="Z31" i="29"/>
  <c r="Z32" i="29"/>
  <c r="Z33" i="29"/>
  <c r="Z34" i="29"/>
  <c r="Z35" i="29"/>
  <c r="Z36" i="29"/>
  <c r="Z37" i="29"/>
  <c r="Z38" i="29"/>
  <c r="Z39" i="29"/>
  <c r="Z40" i="29"/>
  <c r="Z41" i="29"/>
  <c r="Z42" i="29"/>
  <c r="Z43" i="29"/>
  <c r="Z44" i="29"/>
  <c r="Z45" i="29"/>
  <c r="Z46" i="29"/>
  <c r="Z47" i="29"/>
  <c r="Z48" i="29"/>
  <c r="Z49" i="29"/>
  <c r="Z50" i="29"/>
  <c r="Z51" i="29"/>
  <c r="Z52" i="29"/>
  <c r="Z53" i="29"/>
  <c r="Z54" i="29"/>
  <c r="Z55" i="29"/>
  <c r="Z56" i="29"/>
  <c r="Z57" i="29"/>
  <c r="Z58" i="29"/>
  <c r="Z59" i="29"/>
  <c r="Z60" i="29"/>
  <c r="Z61" i="29"/>
  <c r="Z62" i="29"/>
  <c r="Z63" i="29"/>
  <c r="Z64" i="29"/>
  <c r="Z65" i="29"/>
  <c r="Z66" i="29"/>
  <c r="Z67" i="29"/>
  <c r="Z68" i="29"/>
  <c r="Z69" i="29"/>
  <c r="Z70" i="29"/>
  <c r="Z71" i="29"/>
  <c r="Z72" i="29"/>
  <c r="Z73" i="29"/>
  <c r="Z74" i="29"/>
  <c r="Z75" i="29"/>
  <c r="Z76" i="29"/>
  <c r="Z77" i="29"/>
  <c r="Z78" i="29"/>
  <c r="Z79" i="29"/>
  <c r="AQ3" i="29"/>
  <c r="AE3" i="29"/>
  <c r="AC3" i="29"/>
  <c r="AA3" i="29"/>
  <c r="BA27" i="1"/>
  <c r="AH27" i="1"/>
  <c r="C33" i="4"/>
  <c r="AN3" i="29" l="1"/>
  <c r="AN12" i="29"/>
  <c r="AN8" i="29"/>
  <c r="AN4" i="29"/>
  <c r="AN77" i="29"/>
  <c r="AN73" i="29"/>
  <c r="AN69" i="29"/>
  <c r="AN65" i="29"/>
  <c r="AN61" i="29"/>
  <c r="AN57" i="29"/>
  <c r="AN53" i="29"/>
  <c r="AN49" i="29"/>
  <c r="AN45" i="29"/>
  <c r="AN41" i="29"/>
  <c r="AN37" i="29"/>
  <c r="AN33" i="29"/>
  <c r="AN29" i="29"/>
  <c r="AN25" i="29"/>
  <c r="AN21" i="29"/>
  <c r="AN17" i="29"/>
  <c r="AN13" i="29"/>
  <c r="AN9" i="29"/>
  <c r="AN5" i="29"/>
  <c r="AN78" i="29"/>
  <c r="AN74" i="29"/>
  <c r="AN70" i="29"/>
  <c r="AN66" i="29"/>
  <c r="AN62" i="29"/>
  <c r="AN58" i="29"/>
  <c r="AN54" i="29"/>
  <c r="AN50" i="29"/>
  <c r="AN46" i="29"/>
  <c r="AN42" i="29"/>
  <c r="AN38" i="29"/>
  <c r="AN34" i="29"/>
  <c r="AN30" i="29"/>
  <c r="AN26" i="29"/>
  <c r="AN22" i="29"/>
  <c r="AN18" i="29"/>
  <c r="AN14" i="29"/>
  <c r="AN10" i="29"/>
  <c r="AN6" i="29"/>
  <c r="AN79" i="29"/>
  <c r="AN75" i="29"/>
  <c r="AN71" i="29"/>
  <c r="AN67" i="29"/>
  <c r="AN63" i="29"/>
  <c r="AN59" i="29"/>
  <c r="AN55" i="29"/>
  <c r="AN51" i="29"/>
  <c r="AN47" i="29"/>
  <c r="AN43" i="29"/>
  <c r="AN39" i="29"/>
  <c r="AN35" i="29"/>
  <c r="AN31" i="29"/>
  <c r="AN27" i="29"/>
  <c r="AN23" i="29"/>
  <c r="AN19" i="29"/>
  <c r="AN15" i="29"/>
  <c r="AN11" i="29"/>
  <c r="AN7" i="29"/>
  <c r="W3" i="28" l="1"/>
  <c r="W4" i="28"/>
  <c r="W5" i="28"/>
  <c r="W6" i="28"/>
  <c r="W7" i="28"/>
  <c r="W8" i="28"/>
  <c r="W9" i="28"/>
  <c r="W10" i="28"/>
  <c r="W11" i="28"/>
  <c r="W12" i="28"/>
  <c r="W13" i="28"/>
  <c r="W14" i="28"/>
  <c r="W15" i="28"/>
  <c r="W16" i="28"/>
  <c r="W17" i="28"/>
  <c r="W18" i="28"/>
  <c r="W19" i="28"/>
  <c r="W20" i="28"/>
  <c r="W21" i="28"/>
  <c r="W22" i="28"/>
  <c r="W23" i="28"/>
  <c r="W24" i="28"/>
  <c r="W25" i="28"/>
  <c r="W26" i="28"/>
  <c r="W27" i="28"/>
  <c r="W28" i="28"/>
  <c r="W29" i="28"/>
  <c r="W30" i="28"/>
  <c r="W31" i="28"/>
  <c r="W32" i="28"/>
  <c r="W33" i="28"/>
  <c r="W34" i="28"/>
  <c r="W35" i="28"/>
  <c r="W36" i="28"/>
  <c r="W37" i="28"/>
  <c r="W38" i="28"/>
  <c r="W39" i="28"/>
  <c r="W40" i="28"/>
  <c r="W41" i="28"/>
  <c r="W42" i="28"/>
  <c r="W43" i="28"/>
  <c r="W44" i="28"/>
  <c r="W45" i="28"/>
  <c r="W46" i="28"/>
  <c r="W47" i="28"/>
  <c r="W48" i="28"/>
  <c r="W49" i="28"/>
  <c r="W50" i="28"/>
  <c r="W51" i="28"/>
  <c r="W52" i="28"/>
  <c r="W53" i="28"/>
  <c r="W54" i="28"/>
  <c r="W55" i="28"/>
  <c r="W56" i="28"/>
  <c r="W57" i="28"/>
  <c r="W58" i="28"/>
  <c r="W59" i="28"/>
  <c r="W60" i="28"/>
  <c r="W61" i="28"/>
  <c r="W62" i="28"/>
  <c r="W63" i="28"/>
  <c r="W64" i="28"/>
  <c r="W65" i="28"/>
  <c r="W66" i="28"/>
  <c r="W67" i="28"/>
  <c r="W68" i="28"/>
  <c r="W69" i="28"/>
  <c r="W70" i="28"/>
  <c r="W71" i="28"/>
  <c r="W72" i="28"/>
  <c r="W73" i="28"/>
  <c r="W74" i="28"/>
  <c r="W75" i="28"/>
  <c r="W76" i="28"/>
  <c r="W77" i="28"/>
  <c r="W78" i="28"/>
  <c r="W79" i="28"/>
  <c r="W80" i="28"/>
  <c r="W57" i="29"/>
  <c r="BM80" i="29"/>
  <c r="BI80" i="29"/>
  <c r="BF80" i="29"/>
  <c r="BA80" i="29"/>
  <c r="V80" i="29"/>
  <c r="M80" i="29"/>
  <c r="L80" i="29"/>
  <c r="J80" i="29"/>
  <c r="I80" i="29"/>
  <c r="BM79" i="29"/>
  <c r="BI79" i="29"/>
  <c r="BF79" i="29"/>
  <c r="BA79" i="29"/>
  <c r="V79" i="29"/>
  <c r="W79" i="29" s="1"/>
  <c r="M79" i="29"/>
  <c r="L79" i="29"/>
  <c r="J79" i="29"/>
  <c r="I79" i="29"/>
  <c r="BM78" i="29"/>
  <c r="BI78" i="29"/>
  <c r="BF78" i="29"/>
  <c r="BA78" i="29"/>
  <c r="V78" i="29"/>
  <c r="X78" i="29" s="1"/>
  <c r="M78" i="29"/>
  <c r="L78" i="29"/>
  <c r="J78" i="29"/>
  <c r="I78" i="29"/>
  <c r="BM77" i="29"/>
  <c r="BI77" i="29"/>
  <c r="BF77" i="29"/>
  <c r="BA77" i="29"/>
  <c r="V77" i="29"/>
  <c r="M77" i="29"/>
  <c r="L77" i="29"/>
  <c r="J77" i="29"/>
  <c r="I77" i="29"/>
  <c r="BM76" i="29"/>
  <c r="BI76" i="29"/>
  <c r="BF76" i="29"/>
  <c r="BA76" i="29"/>
  <c r="V76" i="29"/>
  <c r="W76" i="29" s="1"/>
  <c r="M76" i="29"/>
  <c r="L76" i="29"/>
  <c r="J76" i="29"/>
  <c r="I76" i="29"/>
  <c r="BM75" i="29"/>
  <c r="BI75" i="29"/>
  <c r="BF75" i="29"/>
  <c r="BA75" i="29"/>
  <c r="V75" i="29"/>
  <c r="W75" i="29" s="1"/>
  <c r="M75" i="29"/>
  <c r="L75" i="29"/>
  <c r="J75" i="29"/>
  <c r="I75" i="29"/>
  <c r="BM74" i="29"/>
  <c r="BI74" i="29"/>
  <c r="BF74" i="29"/>
  <c r="BA74" i="29"/>
  <c r="V74" i="29"/>
  <c r="M74" i="29"/>
  <c r="L74" i="29"/>
  <c r="J74" i="29"/>
  <c r="I74" i="29"/>
  <c r="BM73" i="29"/>
  <c r="BI73" i="29"/>
  <c r="BF73" i="29"/>
  <c r="BA73" i="29"/>
  <c r="BB73" i="29" s="1"/>
  <c r="V73" i="29"/>
  <c r="X73" i="29" s="1"/>
  <c r="M73" i="29"/>
  <c r="L73" i="29"/>
  <c r="J73" i="29"/>
  <c r="I73" i="29"/>
  <c r="BM72" i="29"/>
  <c r="BI72" i="29"/>
  <c r="BF72" i="29"/>
  <c r="BA72" i="29"/>
  <c r="V72" i="29"/>
  <c r="M72" i="29"/>
  <c r="L72" i="29"/>
  <c r="J72" i="29"/>
  <c r="I72" i="29"/>
  <c r="BM71" i="29"/>
  <c r="BI71" i="29"/>
  <c r="BF71" i="29"/>
  <c r="BA71" i="29"/>
  <c r="BB71" i="29" s="1"/>
  <c r="V71" i="29"/>
  <c r="X71" i="29" s="1"/>
  <c r="M71" i="29"/>
  <c r="L71" i="29"/>
  <c r="J71" i="29"/>
  <c r="I71" i="29"/>
  <c r="BM70" i="29"/>
  <c r="BI70" i="29"/>
  <c r="BF70" i="29"/>
  <c r="BA70" i="29"/>
  <c r="BB70" i="29" s="1"/>
  <c r="V70" i="29"/>
  <c r="X70" i="29" s="1"/>
  <c r="M70" i="29"/>
  <c r="L70" i="29"/>
  <c r="J70" i="29"/>
  <c r="I70" i="29"/>
  <c r="BM69" i="29"/>
  <c r="BI69" i="29"/>
  <c r="BF69" i="29"/>
  <c r="BA69" i="29"/>
  <c r="V69" i="29"/>
  <c r="W69" i="29" s="1"/>
  <c r="M69" i="29"/>
  <c r="L69" i="29"/>
  <c r="J69" i="29"/>
  <c r="I69" i="29"/>
  <c r="BM68" i="29"/>
  <c r="BI68" i="29"/>
  <c r="BF68" i="29"/>
  <c r="BA68" i="29"/>
  <c r="BB68" i="29" s="1"/>
  <c r="X68" i="29"/>
  <c r="V68" i="29"/>
  <c r="W68" i="29" s="1"/>
  <c r="M68" i="29"/>
  <c r="L68" i="29"/>
  <c r="J68" i="29"/>
  <c r="U68" i="29" s="1"/>
  <c r="I68" i="29"/>
  <c r="BM67" i="29"/>
  <c r="BI67" i="29"/>
  <c r="BF67" i="29"/>
  <c r="BA67" i="29"/>
  <c r="V67" i="29"/>
  <c r="W67" i="29" s="1"/>
  <c r="M67" i="29"/>
  <c r="L67" i="29"/>
  <c r="J67" i="29"/>
  <c r="I67" i="29"/>
  <c r="BM66" i="29"/>
  <c r="BI66" i="29"/>
  <c r="BF66" i="29"/>
  <c r="BA66" i="29"/>
  <c r="BB66" i="29" s="1"/>
  <c r="V66" i="29"/>
  <c r="M66" i="29"/>
  <c r="L66" i="29"/>
  <c r="J66" i="29"/>
  <c r="I66" i="29"/>
  <c r="BM65" i="29"/>
  <c r="BI65" i="29"/>
  <c r="BF65" i="29"/>
  <c r="BA65" i="29"/>
  <c r="V65" i="29"/>
  <c r="M65" i="29"/>
  <c r="L65" i="29"/>
  <c r="J65" i="29"/>
  <c r="U65" i="29" s="1"/>
  <c r="I65" i="29"/>
  <c r="BM64" i="29"/>
  <c r="BI64" i="29"/>
  <c r="BF64" i="29"/>
  <c r="BA64" i="29"/>
  <c r="BB64" i="29" s="1"/>
  <c r="V64" i="29"/>
  <c r="W64" i="29" s="1"/>
  <c r="M64" i="29"/>
  <c r="L64" i="29"/>
  <c r="J64" i="29"/>
  <c r="I64" i="29"/>
  <c r="BM63" i="29"/>
  <c r="BI63" i="29"/>
  <c r="BF63" i="29"/>
  <c r="BA63" i="29"/>
  <c r="V63" i="29"/>
  <c r="M63" i="29"/>
  <c r="L63" i="29"/>
  <c r="J63" i="29"/>
  <c r="I63" i="29"/>
  <c r="BM62" i="29"/>
  <c r="BI62" i="29"/>
  <c r="BF62" i="29"/>
  <c r="BA62" i="29"/>
  <c r="V62" i="29"/>
  <c r="X62" i="29" s="1"/>
  <c r="M62" i="29"/>
  <c r="L62" i="29"/>
  <c r="J62" i="29"/>
  <c r="I62" i="29"/>
  <c r="BM61" i="29"/>
  <c r="BI61" i="29"/>
  <c r="BF61" i="29"/>
  <c r="BA61" i="29"/>
  <c r="V61" i="29"/>
  <c r="X61" i="29" s="1"/>
  <c r="M61" i="29"/>
  <c r="L61" i="29"/>
  <c r="J61" i="29"/>
  <c r="I61" i="29"/>
  <c r="BM60" i="29"/>
  <c r="BI60" i="29"/>
  <c r="BF60" i="29"/>
  <c r="BB60" i="29"/>
  <c r="BA60" i="29"/>
  <c r="V60" i="29"/>
  <c r="W60" i="29" s="1"/>
  <c r="M60" i="29"/>
  <c r="U60" i="29" s="1"/>
  <c r="L60" i="29"/>
  <c r="J60" i="29"/>
  <c r="I60" i="29"/>
  <c r="BM59" i="29"/>
  <c r="BI59" i="29"/>
  <c r="BF59" i="29"/>
  <c r="BA59" i="29"/>
  <c r="BB59" i="29" s="1"/>
  <c r="V59" i="29"/>
  <c r="W59" i="29" s="1"/>
  <c r="M59" i="29"/>
  <c r="L59" i="29"/>
  <c r="J59" i="29"/>
  <c r="I59" i="29"/>
  <c r="BM58" i="29"/>
  <c r="BI58" i="29"/>
  <c r="BF58" i="29"/>
  <c r="BA58" i="29"/>
  <c r="V58" i="29"/>
  <c r="M58" i="29"/>
  <c r="L58" i="29"/>
  <c r="J58" i="29"/>
  <c r="I58" i="29"/>
  <c r="BM57" i="29"/>
  <c r="BI57" i="29"/>
  <c r="BF57" i="29"/>
  <c r="BA57" i="29"/>
  <c r="V57" i="29"/>
  <c r="X57" i="29" s="1"/>
  <c r="M57" i="29"/>
  <c r="L57" i="29"/>
  <c r="J57" i="29"/>
  <c r="I57" i="29"/>
  <c r="BM56" i="29"/>
  <c r="BI56" i="29"/>
  <c r="BF56" i="29"/>
  <c r="BA56" i="29"/>
  <c r="V56" i="29"/>
  <c r="W56" i="29" s="1"/>
  <c r="M56" i="29"/>
  <c r="U56" i="29" s="1"/>
  <c r="L56" i="29"/>
  <c r="J56" i="29"/>
  <c r="I56" i="29"/>
  <c r="BM55" i="29"/>
  <c r="BI55" i="29"/>
  <c r="BF55" i="29"/>
  <c r="BA55" i="29"/>
  <c r="BB55" i="29" s="1"/>
  <c r="V55" i="29"/>
  <c r="W55" i="29" s="1"/>
  <c r="M55" i="29"/>
  <c r="L55" i="29"/>
  <c r="J55" i="29"/>
  <c r="I55" i="29"/>
  <c r="BM54" i="29"/>
  <c r="BI54" i="29"/>
  <c r="BF54" i="29"/>
  <c r="BA54" i="29"/>
  <c r="V54" i="29"/>
  <c r="W54" i="29" s="1"/>
  <c r="M54" i="29"/>
  <c r="L54" i="29"/>
  <c r="J54" i="29"/>
  <c r="I54" i="29"/>
  <c r="BM53" i="29"/>
  <c r="BI53" i="29"/>
  <c r="BF53" i="29"/>
  <c r="BA53" i="29"/>
  <c r="V53" i="29"/>
  <c r="X53" i="29" s="1"/>
  <c r="M53" i="29"/>
  <c r="L53" i="29"/>
  <c r="J53" i="29"/>
  <c r="I53" i="29"/>
  <c r="BM52" i="29"/>
  <c r="BI52" i="29"/>
  <c r="BF52" i="29"/>
  <c r="BA52" i="29"/>
  <c r="V52" i="29"/>
  <c r="W52" i="29" s="1"/>
  <c r="M52" i="29"/>
  <c r="L52" i="29"/>
  <c r="J52" i="29"/>
  <c r="I52" i="29"/>
  <c r="BM51" i="29"/>
  <c r="BI51" i="29"/>
  <c r="BF51" i="29"/>
  <c r="BA51" i="29"/>
  <c r="BB51" i="29" s="1"/>
  <c r="V51" i="29"/>
  <c r="M51" i="29"/>
  <c r="L51" i="29"/>
  <c r="J51" i="29"/>
  <c r="I51" i="29"/>
  <c r="BM50" i="29"/>
  <c r="BI50" i="29"/>
  <c r="BF50" i="29"/>
  <c r="BA50" i="29"/>
  <c r="V50" i="29"/>
  <c r="M50" i="29"/>
  <c r="L50" i="29"/>
  <c r="J50" i="29"/>
  <c r="I50" i="29"/>
  <c r="BM49" i="29"/>
  <c r="BI49" i="29"/>
  <c r="BF49" i="29"/>
  <c r="BA49" i="29"/>
  <c r="V49" i="29"/>
  <c r="X49" i="29" s="1"/>
  <c r="M49" i="29"/>
  <c r="L49" i="29"/>
  <c r="J49" i="29"/>
  <c r="I49" i="29"/>
  <c r="BM48" i="29"/>
  <c r="BI48" i="29"/>
  <c r="BF48" i="29"/>
  <c r="BA48" i="29"/>
  <c r="BB48" i="29" s="1"/>
  <c r="V48" i="29"/>
  <c r="W48" i="29" s="1"/>
  <c r="M48" i="29"/>
  <c r="L48" i="29"/>
  <c r="J48" i="29"/>
  <c r="U48" i="29" s="1"/>
  <c r="I48" i="29"/>
  <c r="BM47" i="29"/>
  <c r="BI47" i="29"/>
  <c r="BF47" i="29"/>
  <c r="BA47" i="29"/>
  <c r="V47" i="29"/>
  <c r="M47" i="29"/>
  <c r="L47" i="29"/>
  <c r="J47" i="29"/>
  <c r="I47" i="29"/>
  <c r="BM46" i="29"/>
  <c r="BI46" i="29"/>
  <c r="BF46" i="29"/>
  <c r="BA46" i="29"/>
  <c r="V46" i="29"/>
  <c r="M46" i="29"/>
  <c r="L46" i="29"/>
  <c r="J46" i="29"/>
  <c r="I46" i="29"/>
  <c r="BM45" i="29"/>
  <c r="BI45" i="29"/>
  <c r="BF45" i="29"/>
  <c r="BA45" i="29"/>
  <c r="V45" i="29"/>
  <c r="X45" i="29" s="1"/>
  <c r="M45" i="29"/>
  <c r="L45" i="29"/>
  <c r="J45" i="29"/>
  <c r="I45" i="29"/>
  <c r="BM44" i="29"/>
  <c r="BI44" i="29"/>
  <c r="BF44" i="29"/>
  <c r="BA44" i="29"/>
  <c r="X44" i="29"/>
  <c r="V44" i="29"/>
  <c r="W44" i="29" s="1"/>
  <c r="M44" i="29"/>
  <c r="L44" i="29"/>
  <c r="J44" i="29"/>
  <c r="U44" i="29" s="1"/>
  <c r="I44" i="29"/>
  <c r="BM43" i="29"/>
  <c r="BI43" i="29"/>
  <c r="BF43" i="29"/>
  <c r="BA43" i="29"/>
  <c r="V43" i="29"/>
  <c r="M43" i="29"/>
  <c r="L43" i="29"/>
  <c r="J43" i="29"/>
  <c r="I43" i="29"/>
  <c r="BM42" i="29"/>
  <c r="BI42" i="29"/>
  <c r="BF42" i="29"/>
  <c r="BA42" i="29"/>
  <c r="V42" i="29"/>
  <c r="W42" i="29" s="1"/>
  <c r="M42" i="29"/>
  <c r="L42" i="29"/>
  <c r="J42" i="29"/>
  <c r="I42" i="29"/>
  <c r="BM41" i="29"/>
  <c r="BI41" i="29"/>
  <c r="BF41" i="29"/>
  <c r="BA41" i="29"/>
  <c r="V41" i="29"/>
  <c r="X41" i="29" s="1"/>
  <c r="M41" i="29"/>
  <c r="L41" i="29"/>
  <c r="J41" i="29"/>
  <c r="I41" i="29"/>
  <c r="BM40" i="29"/>
  <c r="BI40" i="29"/>
  <c r="BF40" i="29"/>
  <c r="BA40" i="29"/>
  <c r="V40" i="29"/>
  <c r="M40" i="29"/>
  <c r="L40" i="29"/>
  <c r="J40" i="29"/>
  <c r="I40" i="29"/>
  <c r="BM39" i="29"/>
  <c r="BI39" i="29"/>
  <c r="BF39" i="29"/>
  <c r="BA39" i="29"/>
  <c r="V39" i="29"/>
  <c r="W39" i="29" s="1"/>
  <c r="M39" i="29"/>
  <c r="L39" i="29"/>
  <c r="J39" i="29"/>
  <c r="I39" i="29"/>
  <c r="BM38" i="29"/>
  <c r="BI38" i="29"/>
  <c r="BF38" i="29"/>
  <c r="BA38" i="29"/>
  <c r="V38" i="29"/>
  <c r="W38" i="29" s="1"/>
  <c r="M38" i="29"/>
  <c r="L38" i="29"/>
  <c r="J38" i="29"/>
  <c r="I38" i="29"/>
  <c r="BM37" i="29"/>
  <c r="BI37" i="29"/>
  <c r="BF37" i="29"/>
  <c r="BA37" i="29"/>
  <c r="V37" i="29"/>
  <c r="W37" i="29" s="1"/>
  <c r="M37" i="29"/>
  <c r="L37" i="29"/>
  <c r="J37" i="29"/>
  <c r="I37" i="29"/>
  <c r="BM36" i="29"/>
  <c r="BI36" i="29"/>
  <c r="BF36" i="29"/>
  <c r="BA36" i="29"/>
  <c r="V36" i="29"/>
  <c r="W36" i="29" s="1"/>
  <c r="M36" i="29"/>
  <c r="L36" i="29"/>
  <c r="J36" i="29"/>
  <c r="I36" i="29"/>
  <c r="BM35" i="29"/>
  <c r="BI35" i="29"/>
  <c r="BF35" i="29"/>
  <c r="BA35" i="29"/>
  <c r="V35" i="29"/>
  <c r="W35" i="29" s="1"/>
  <c r="M35" i="29"/>
  <c r="L35" i="29"/>
  <c r="J35" i="29"/>
  <c r="I35" i="29"/>
  <c r="BM34" i="29"/>
  <c r="BI34" i="29"/>
  <c r="BF34" i="29"/>
  <c r="BA34" i="29"/>
  <c r="V34" i="29"/>
  <c r="W34" i="29" s="1"/>
  <c r="M34" i="29"/>
  <c r="L34" i="29"/>
  <c r="J34" i="29"/>
  <c r="I34" i="29"/>
  <c r="BM33" i="29"/>
  <c r="BI33" i="29"/>
  <c r="BF33" i="29"/>
  <c r="BA33" i="29"/>
  <c r="BB33" i="29" s="1"/>
  <c r="V33" i="29"/>
  <c r="W33" i="29" s="1"/>
  <c r="M33" i="29"/>
  <c r="L33" i="29"/>
  <c r="J33" i="29"/>
  <c r="I33" i="29"/>
  <c r="BM32" i="29"/>
  <c r="BI32" i="29"/>
  <c r="BF32" i="29"/>
  <c r="BA32" i="29"/>
  <c r="V32" i="29"/>
  <c r="W32" i="29" s="1"/>
  <c r="M32" i="29"/>
  <c r="L32" i="29"/>
  <c r="J32" i="29"/>
  <c r="I32" i="29"/>
  <c r="BM31" i="29"/>
  <c r="BI31" i="29"/>
  <c r="BF31" i="29"/>
  <c r="BA31" i="29"/>
  <c r="V31" i="29"/>
  <c r="W31" i="29" s="1"/>
  <c r="M31" i="29"/>
  <c r="L31" i="29"/>
  <c r="J31" i="29"/>
  <c r="I31" i="29"/>
  <c r="BM30" i="29"/>
  <c r="BI30" i="29"/>
  <c r="BF30" i="29"/>
  <c r="BA30" i="29"/>
  <c r="V30" i="29"/>
  <c r="W30" i="29" s="1"/>
  <c r="M30" i="29"/>
  <c r="L30" i="29"/>
  <c r="J30" i="29"/>
  <c r="I30" i="29"/>
  <c r="BM29" i="29"/>
  <c r="BI29" i="29"/>
  <c r="BF29" i="29"/>
  <c r="BA29" i="29"/>
  <c r="V29" i="29"/>
  <c r="W29" i="29" s="1"/>
  <c r="M29" i="29"/>
  <c r="L29" i="29"/>
  <c r="J29" i="29"/>
  <c r="I29" i="29"/>
  <c r="BM28" i="29"/>
  <c r="BI28" i="29"/>
  <c r="BF28" i="29"/>
  <c r="BA28" i="29"/>
  <c r="V28" i="29"/>
  <c r="W28" i="29" s="1"/>
  <c r="M28" i="29"/>
  <c r="L28" i="29"/>
  <c r="J28" i="29"/>
  <c r="I28" i="29"/>
  <c r="BM27" i="29"/>
  <c r="BI27" i="29"/>
  <c r="BF27" i="29"/>
  <c r="BA27" i="29"/>
  <c r="V27" i="29"/>
  <c r="W27" i="29" s="1"/>
  <c r="M27" i="29"/>
  <c r="L27" i="29"/>
  <c r="J27" i="29"/>
  <c r="I27" i="29"/>
  <c r="BM26" i="29"/>
  <c r="BI26" i="29"/>
  <c r="BF26" i="29"/>
  <c r="BA26" i="29"/>
  <c r="BB26" i="29" s="1"/>
  <c r="V26" i="29"/>
  <c r="W26" i="29" s="1"/>
  <c r="M26" i="29"/>
  <c r="L26" i="29"/>
  <c r="J26" i="29"/>
  <c r="I26" i="29"/>
  <c r="BM25" i="29"/>
  <c r="BI25" i="29"/>
  <c r="BF25" i="29"/>
  <c r="BA25" i="29"/>
  <c r="V25" i="29"/>
  <c r="W25" i="29" s="1"/>
  <c r="M25" i="29"/>
  <c r="L25" i="29"/>
  <c r="J25" i="29"/>
  <c r="I25" i="29"/>
  <c r="BM24" i="29"/>
  <c r="BI24" i="29"/>
  <c r="BF24" i="29"/>
  <c r="BA24" i="29"/>
  <c r="BB24" i="29" s="1"/>
  <c r="V24" i="29"/>
  <c r="W24" i="29" s="1"/>
  <c r="M24" i="29"/>
  <c r="L24" i="29"/>
  <c r="J24" i="29"/>
  <c r="I24" i="29"/>
  <c r="BM23" i="29"/>
  <c r="BI23" i="29"/>
  <c r="BF23" i="29"/>
  <c r="BA23" i="29"/>
  <c r="V23" i="29"/>
  <c r="W23" i="29" s="1"/>
  <c r="M23" i="29"/>
  <c r="L23" i="29"/>
  <c r="J23" i="29"/>
  <c r="I23" i="29"/>
  <c r="BM22" i="29"/>
  <c r="BI22" i="29"/>
  <c r="BF22" i="29"/>
  <c r="BA22" i="29"/>
  <c r="BB22" i="29" s="1"/>
  <c r="V22" i="29"/>
  <c r="W22" i="29" s="1"/>
  <c r="M22" i="29"/>
  <c r="L22" i="29"/>
  <c r="J22" i="29"/>
  <c r="I22" i="29"/>
  <c r="BM21" i="29"/>
  <c r="BI21" i="29"/>
  <c r="BF21" i="29"/>
  <c r="BA21" i="29"/>
  <c r="V21" i="29"/>
  <c r="W21" i="29" s="1"/>
  <c r="M21" i="29"/>
  <c r="L21" i="29"/>
  <c r="J21" i="29"/>
  <c r="I21" i="29"/>
  <c r="BM20" i="29"/>
  <c r="BI20" i="29"/>
  <c r="BF20" i="29"/>
  <c r="BA20" i="29"/>
  <c r="BB20" i="29" s="1"/>
  <c r="V20" i="29"/>
  <c r="W20" i="29" s="1"/>
  <c r="M20" i="29"/>
  <c r="L20" i="29"/>
  <c r="J20" i="29"/>
  <c r="I20" i="29"/>
  <c r="BM19" i="29"/>
  <c r="BI19" i="29"/>
  <c r="BF19" i="29"/>
  <c r="BA19" i="29"/>
  <c r="V19" i="29"/>
  <c r="W19" i="29" s="1"/>
  <c r="M19" i="29"/>
  <c r="L19" i="29"/>
  <c r="J19" i="29"/>
  <c r="I19" i="29"/>
  <c r="BM18" i="29"/>
  <c r="BI18" i="29"/>
  <c r="BF18" i="29"/>
  <c r="BA18" i="29"/>
  <c r="BB18" i="29" s="1"/>
  <c r="V18" i="29"/>
  <c r="W18" i="29" s="1"/>
  <c r="M18" i="29"/>
  <c r="L18" i="29"/>
  <c r="J18" i="29"/>
  <c r="I18" i="29"/>
  <c r="BM17" i="29"/>
  <c r="BI17" i="29"/>
  <c r="BF17" i="29"/>
  <c r="BA17" i="29"/>
  <c r="V17" i="29"/>
  <c r="W17" i="29" s="1"/>
  <c r="M17" i="29"/>
  <c r="L17" i="29"/>
  <c r="J17" i="29"/>
  <c r="I17" i="29"/>
  <c r="BM16" i="29"/>
  <c r="BI16" i="29"/>
  <c r="BF16" i="29"/>
  <c r="BA16" i="29"/>
  <c r="V16" i="29"/>
  <c r="W16" i="29" s="1"/>
  <c r="M16" i="29"/>
  <c r="L16" i="29"/>
  <c r="J16" i="29"/>
  <c r="I16" i="29"/>
  <c r="BM15" i="29"/>
  <c r="BI15" i="29"/>
  <c r="BF15" i="29"/>
  <c r="BA15" i="29"/>
  <c r="V15" i="29"/>
  <c r="W15" i="29" s="1"/>
  <c r="M15" i="29"/>
  <c r="L15" i="29"/>
  <c r="J15" i="29"/>
  <c r="I15" i="29"/>
  <c r="BM14" i="29"/>
  <c r="BI14" i="29"/>
  <c r="BF14" i="29"/>
  <c r="BA14" i="29"/>
  <c r="V14" i="29"/>
  <c r="W14" i="29" s="1"/>
  <c r="M14" i="29"/>
  <c r="L14" i="29"/>
  <c r="J14" i="29"/>
  <c r="I14" i="29"/>
  <c r="BM13" i="29"/>
  <c r="BI13" i="29"/>
  <c r="BF13" i="29"/>
  <c r="BA13" i="29"/>
  <c r="V13" i="29"/>
  <c r="W13" i="29" s="1"/>
  <c r="M13" i="29"/>
  <c r="L13" i="29"/>
  <c r="J13" i="29"/>
  <c r="I13" i="29"/>
  <c r="BM12" i="29"/>
  <c r="BI12" i="29"/>
  <c r="BF12" i="29"/>
  <c r="BA12" i="29"/>
  <c r="V12" i="29"/>
  <c r="X12" i="29" s="1"/>
  <c r="M12" i="29"/>
  <c r="L12" i="29"/>
  <c r="J12" i="29"/>
  <c r="I12" i="29"/>
  <c r="BM11" i="29"/>
  <c r="BI11" i="29"/>
  <c r="BF11" i="29"/>
  <c r="BA11" i="29"/>
  <c r="V11" i="29"/>
  <c r="M11" i="29"/>
  <c r="L11" i="29"/>
  <c r="J11" i="29"/>
  <c r="I11" i="29"/>
  <c r="BM10" i="29"/>
  <c r="BI10" i="29"/>
  <c r="BF10" i="29"/>
  <c r="BA10" i="29"/>
  <c r="BB10" i="29" s="1"/>
  <c r="V10" i="29"/>
  <c r="X10" i="29" s="1"/>
  <c r="M10" i="29"/>
  <c r="L10" i="29"/>
  <c r="J10" i="29"/>
  <c r="I10" i="29"/>
  <c r="BM9" i="29"/>
  <c r="BI9" i="29"/>
  <c r="BF9" i="29"/>
  <c r="BA9" i="29"/>
  <c r="V9" i="29"/>
  <c r="X9" i="29" s="1"/>
  <c r="M9" i="29"/>
  <c r="L9" i="29"/>
  <c r="J9" i="29"/>
  <c r="I9" i="29"/>
  <c r="BM8" i="29"/>
  <c r="BI8" i="29"/>
  <c r="BF8" i="29"/>
  <c r="BA8" i="29"/>
  <c r="V8" i="29"/>
  <c r="W8" i="29" s="1"/>
  <c r="M8" i="29"/>
  <c r="L8" i="29"/>
  <c r="J8" i="29"/>
  <c r="I8" i="29"/>
  <c r="BM7" i="29"/>
  <c r="BI7" i="29"/>
  <c r="BF7" i="29"/>
  <c r="BA7" i="29"/>
  <c r="BB7" i="29" s="1"/>
  <c r="V7" i="29"/>
  <c r="W7" i="29" s="1"/>
  <c r="M7" i="29"/>
  <c r="L7" i="29"/>
  <c r="J7" i="29"/>
  <c r="I7" i="29"/>
  <c r="BM6" i="29"/>
  <c r="BI6" i="29"/>
  <c r="BF6" i="29"/>
  <c r="BA6" i="29"/>
  <c r="V6" i="29"/>
  <c r="W6" i="29" s="1"/>
  <c r="M6" i="29"/>
  <c r="L6" i="29"/>
  <c r="J6" i="29"/>
  <c r="I6" i="29"/>
  <c r="BM5" i="29"/>
  <c r="BI5" i="29"/>
  <c r="BF5" i="29"/>
  <c r="BA5" i="29"/>
  <c r="BB5" i="29" s="1"/>
  <c r="V5" i="29"/>
  <c r="W5" i="29" s="1"/>
  <c r="M5" i="29"/>
  <c r="L5" i="29"/>
  <c r="J5" i="29"/>
  <c r="I5" i="29"/>
  <c r="BM4" i="29"/>
  <c r="BI4" i="29"/>
  <c r="BF4" i="29"/>
  <c r="BA4" i="29"/>
  <c r="V4" i="29"/>
  <c r="W4" i="29" s="1"/>
  <c r="M4" i="29"/>
  <c r="L4" i="29"/>
  <c r="J4" i="29"/>
  <c r="I4" i="29"/>
  <c r="BM3" i="29"/>
  <c r="BH3" i="29"/>
  <c r="BF3" i="29"/>
  <c r="V3" i="29"/>
  <c r="W3" i="29" s="1"/>
  <c r="D3" i="29"/>
  <c r="C3" i="29"/>
  <c r="B3" i="29"/>
  <c r="AC3" i="28"/>
  <c r="BK80" i="28"/>
  <c r="BG80" i="28"/>
  <c r="BD80" i="28"/>
  <c r="AY80" i="28"/>
  <c r="AZ80" i="28" s="1"/>
  <c r="AJ80" i="28"/>
  <c r="X80" i="28"/>
  <c r="V80" i="28"/>
  <c r="T80" i="28"/>
  <c r="M80" i="28"/>
  <c r="L80" i="28"/>
  <c r="J80" i="28"/>
  <c r="U80" i="28" s="1"/>
  <c r="I80" i="28"/>
  <c r="BK79" i="28"/>
  <c r="BG79" i="28"/>
  <c r="BD79" i="28"/>
  <c r="AY79" i="28"/>
  <c r="AZ79" i="28" s="1"/>
  <c r="AJ79" i="28"/>
  <c r="X79" i="28"/>
  <c r="V79" i="28"/>
  <c r="T79" i="28"/>
  <c r="M79" i="28"/>
  <c r="L79" i="28"/>
  <c r="J79" i="28"/>
  <c r="U79" i="28" s="1"/>
  <c r="I79" i="28"/>
  <c r="BK78" i="28"/>
  <c r="BG78" i="28"/>
  <c r="BD78" i="28"/>
  <c r="AY78" i="28"/>
  <c r="AZ78" i="28" s="1"/>
  <c r="AJ78" i="28"/>
  <c r="X78" i="28"/>
  <c r="V78" i="28"/>
  <c r="T78" i="28"/>
  <c r="M78" i="28"/>
  <c r="L78" i="28"/>
  <c r="J78" i="28"/>
  <c r="U78" i="28" s="1"/>
  <c r="I78" i="28"/>
  <c r="BK77" i="28"/>
  <c r="BG77" i="28"/>
  <c r="BD77" i="28"/>
  <c r="AY77" i="28"/>
  <c r="AZ77" i="28" s="1"/>
  <c r="AJ77" i="28"/>
  <c r="X77" i="28"/>
  <c r="V77" i="28"/>
  <c r="T77" i="28"/>
  <c r="M77" i="28"/>
  <c r="L77" i="28"/>
  <c r="J77" i="28"/>
  <c r="U77" i="28" s="1"/>
  <c r="I77" i="28"/>
  <c r="BK76" i="28"/>
  <c r="BG76" i="28"/>
  <c r="BD76" i="28"/>
  <c r="AY76" i="28"/>
  <c r="AZ76" i="28" s="1"/>
  <c r="AJ76" i="28"/>
  <c r="X76" i="28"/>
  <c r="V76" i="28"/>
  <c r="T76" i="28"/>
  <c r="M76" i="28"/>
  <c r="L76" i="28"/>
  <c r="J76" i="28"/>
  <c r="U76" i="28" s="1"/>
  <c r="I76" i="28"/>
  <c r="BK75" i="28"/>
  <c r="BG75" i="28"/>
  <c r="BD75" i="28"/>
  <c r="AY75" i="28"/>
  <c r="AZ75" i="28" s="1"/>
  <c r="AJ75" i="28"/>
  <c r="X75" i="28"/>
  <c r="V75" i="28"/>
  <c r="T75" i="28"/>
  <c r="M75" i="28"/>
  <c r="L75" i="28"/>
  <c r="J75" i="28"/>
  <c r="U75" i="28" s="1"/>
  <c r="I75" i="28"/>
  <c r="BK74" i="28"/>
  <c r="BG74" i="28"/>
  <c r="BD74" i="28"/>
  <c r="AY74" i="28"/>
  <c r="AZ74" i="28" s="1"/>
  <c r="AJ74" i="28"/>
  <c r="X74" i="28"/>
  <c r="V74" i="28"/>
  <c r="T74" i="28"/>
  <c r="M74" i="28"/>
  <c r="L74" i="28"/>
  <c r="J74" i="28"/>
  <c r="U74" i="28" s="1"/>
  <c r="I74" i="28"/>
  <c r="BK73" i="28"/>
  <c r="BG73" i="28"/>
  <c r="BD73" i="28"/>
  <c r="AY73" i="28"/>
  <c r="AZ73" i="28" s="1"/>
  <c r="AJ73" i="28"/>
  <c r="X73" i="28"/>
  <c r="V73" i="28"/>
  <c r="T73" i="28"/>
  <c r="M73" i="28"/>
  <c r="L73" i="28"/>
  <c r="J73" i="28"/>
  <c r="U73" i="28" s="1"/>
  <c r="I73" i="28"/>
  <c r="BK72" i="28"/>
  <c r="BG72" i="28"/>
  <c r="BD72" i="28"/>
  <c r="AY72" i="28"/>
  <c r="AZ72" i="28" s="1"/>
  <c r="AJ72" i="28"/>
  <c r="X72" i="28"/>
  <c r="V72" i="28"/>
  <c r="T72" i="28"/>
  <c r="M72" i="28"/>
  <c r="L72" i="28"/>
  <c r="J72" i="28"/>
  <c r="U72" i="28" s="1"/>
  <c r="I72" i="28"/>
  <c r="BK71" i="28"/>
  <c r="BG71" i="28"/>
  <c r="BD71" i="28"/>
  <c r="AY71" i="28"/>
  <c r="AZ71" i="28" s="1"/>
  <c r="AJ71" i="28"/>
  <c r="X71" i="28"/>
  <c r="V71" i="28"/>
  <c r="T71" i="28"/>
  <c r="M71" i="28"/>
  <c r="L71" i="28"/>
  <c r="J71" i="28"/>
  <c r="I71" i="28"/>
  <c r="BK70" i="28"/>
  <c r="BG70" i="28"/>
  <c r="BD70" i="28"/>
  <c r="AY70" i="28"/>
  <c r="AZ70" i="28" s="1"/>
  <c r="AJ70" i="28"/>
  <c r="V70" i="28"/>
  <c r="U70" i="28"/>
  <c r="T70" i="28"/>
  <c r="M70" i="28"/>
  <c r="L70" i="28"/>
  <c r="J70" i="28"/>
  <c r="I70" i="28"/>
  <c r="BK69" i="28"/>
  <c r="AL69" i="28" s="1"/>
  <c r="BG69" i="28"/>
  <c r="AT69" i="28" s="1"/>
  <c r="Z69" i="28" s="1"/>
  <c r="BD69" i="28"/>
  <c r="BA69" i="28"/>
  <c r="AY69" i="28"/>
  <c r="AZ69" i="28" s="1"/>
  <c r="AR69" i="28"/>
  <c r="AJ69" i="28"/>
  <c r="AB69" i="28"/>
  <c r="V69" i="28"/>
  <c r="M69" i="28"/>
  <c r="L69" i="28"/>
  <c r="T69" i="28" s="1"/>
  <c r="J69" i="28"/>
  <c r="U69" i="28" s="1"/>
  <c r="I69" i="28"/>
  <c r="BK68" i="28"/>
  <c r="BG68" i="28"/>
  <c r="AR68" i="28" s="1"/>
  <c r="BD68" i="28"/>
  <c r="AY68" i="28"/>
  <c r="AZ68" i="28" s="1"/>
  <c r="AT68" i="28"/>
  <c r="AJ68" i="28"/>
  <c r="X68" i="28"/>
  <c r="V68" i="28"/>
  <c r="T68" i="28"/>
  <c r="M68" i="28"/>
  <c r="L68" i="28"/>
  <c r="J68" i="28"/>
  <c r="U68" i="28" s="1"/>
  <c r="AG68" i="28" s="1"/>
  <c r="I68" i="28"/>
  <c r="BK67" i="28"/>
  <c r="BG67" i="28"/>
  <c r="AR67" i="28" s="1"/>
  <c r="BD67" i="28"/>
  <c r="AY67" i="28"/>
  <c r="AZ67" i="28" s="1"/>
  <c r="AT67" i="28"/>
  <c r="AJ67" i="28"/>
  <c r="X67" i="28"/>
  <c r="V67" i="28"/>
  <c r="M67" i="28"/>
  <c r="L67" i="28"/>
  <c r="J67" i="28"/>
  <c r="U67" i="28" s="1"/>
  <c r="I67" i="28"/>
  <c r="T67" i="28" s="1"/>
  <c r="BK66" i="28"/>
  <c r="BG66" i="28"/>
  <c r="AR66" i="28" s="1"/>
  <c r="BD66" i="28"/>
  <c r="AY66" i="28"/>
  <c r="AZ66" i="28" s="1"/>
  <c r="AT66" i="28"/>
  <c r="AJ66" i="28"/>
  <c r="X66" i="28"/>
  <c r="V66" i="28"/>
  <c r="T66" i="28"/>
  <c r="M66" i="28"/>
  <c r="L66" i="28"/>
  <c r="J66" i="28"/>
  <c r="U66" i="28" s="1"/>
  <c r="AG66" i="28" s="1"/>
  <c r="I66" i="28"/>
  <c r="BK65" i="28"/>
  <c r="BG65" i="28"/>
  <c r="AR65" i="28" s="1"/>
  <c r="BD65" i="28"/>
  <c r="AY65" i="28"/>
  <c r="AZ65" i="28" s="1"/>
  <c r="AT65" i="28"/>
  <c r="AJ65" i="28"/>
  <c r="X65" i="28"/>
  <c r="V65" i="28"/>
  <c r="M65" i="28"/>
  <c r="L65" i="28"/>
  <c r="J65" i="28"/>
  <c r="U65" i="28" s="1"/>
  <c r="I65" i="28"/>
  <c r="T65" i="28" s="1"/>
  <c r="BK64" i="28"/>
  <c r="BG64" i="28"/>
  <c r="AR64" i="28" s="1"/>
  <c r="BD64" i="28"/>
  <c r="AY64" i="28"/>
  <c r="AZ64" i="28" s="1"/>
  <c r="AT64" i="28"/>
  <c r="AJ64" i="28"/>
  <c r="X64" i="28"/>
  <c r="V64" i="28"/>
  <c r="T64" i="28"/>
  <c r="M64" i="28"/>
  <c r="L64" i="28"/>
  <c r="J64" i="28"/>
  <c r="U64" i="28" s="1"/>
  <c r="AG64" i="28" s="1"/>
  <c r="I64" i="28"/>
  <c r="BK63" i="28"/>
  <c r="BG63" i="28"/>
  <c r="AR63" i="28" s="1"/>
  <c r="BD63" i="28"/>
  <c r="AY63" i="28"/>
  <c r="AZ63" i="28" s="1"/>
  <c r="AJ63" i="28"/>
  <c r="X63" i="28"/>
  <c r="V63" i="28"/>
  <c r="U63" i="28"/>
  <c r="M63" i="28"/>
  <c r="L63" i="28"/>
  <c r="J63" i="28"/>
  <c r="I63" i="28"/>
  <c r="BK62" i="28"/>
  <c r="BG62" i="28"/>
  <c r="AR62" i="28" s="1"/>
  <c r="BD62" i="28"/>
  <c r="AY62" i="28"/>
  <c r="AZ62" i="28" s="1"/>
  <c r="AT62" i="28"/>
  <c r="AJ62" i="28"/>
  <c r="X62" i="28"/>
  <c r="V62" i="28"/>
  <c r="M62" i="28"/>
  <c r="L62" i="28"/>
  <c r="J62" i="28"/>
  <c r="U62" i="28" s="1"/>
  <c r="I62" i="28"/>
  <c r="T62" i="28" s="1"/>
  <c r="BK61" i="28"/>
  <c r="BG61" i="28"/>
  <c r="BD61" i="28"/>
  <c r="AZ61" i="28"/>
  <c r="AY61" i="28"/>
  <c r="AT61" i="28"/>
  <c r="AR61" i="28"/>
  <c r="AJ61" i="28"/>
  <c r="Z61" i="28"/>
  <c r="X61" i="28"/>
  <c r="V61" i="28"/>
  <c r="M61" i="28"/>
  <c r="L61" i="28"/>
  <c r="J61" i="28"/>
  <c r="U61" i="28" s="1"/>
  <c r="I61" i="28"/>
  <c r="BK60" i="28"/>
  <c r="BG60" i="28"/>
  <c r="BD60" i="28"/>
  <c r="AY60" i="28"/>
  <c r="AZ60" i="28" s="1"/>
  <c r="AJ60" i="28"/>
  <c r="X60" i="28"/>
  <c r="V60" i="28"/>
  <c r="T60" i="28"/>
  <c r="M60" i="28"/>
  <c r="L60" i="28"/>
  <c r="J60" i="28"/>
  <c r="U60" i="28" s="1"/>
  <c r="I60" i="28"/>
  <c r="BK59" i="28"/>
  <c r="BG59" i="28"/>
  <c r="BD59" i="28"/>
  <c r="AZ59" i="28"/>
  <c r="AY59" i="28"/>
  <c r="AT59" i="28"/>
  <c r="AR59" i="28"/>
  <c r="AJ59" i="28"/>
  <c r="Z59" i="28"/>
  <c r="X59" i="28"/>
  <c r="V59" i="28"/>
  <c r="M59" i="28"/>
  <c r="L59" i="28"/>
  <c r="J59" i="28"/>
  <c r="U59" i="28" s="1"/>
  <c r="I59" i="28"/>
  <c r="T59" i="28" s="1"/>
  <c r="BK58" i="28"/>
  <c r="BG58" i="28"/>
  <c r="BD58" i="28"/>
  <c r="AY58" i="28"/>
  <c r="AZ58" i="28" s="1"/>
  <c r="AJ58" i="28"/>
  <c r="X58" i="28"/>
  <c r="V58" i="28"/>
  <c r="T58" i="28"/>
  <c r="M58" i="28"/>
  <c r="L58" i="28"/>
  <c r="J58" i="28"/>
  <c r="U58" i="28" s="1"/>
  <c r="I58" i="28"/>
  <c r="BK57" i="28"/>
  <c r="BG57" i="28"/>
  <c r="BD57" i="28"/>
  <c r="AZ57" i="28"/>
  <c r="AY57" i="28"/>
  <c r="AT57" i="28"/>
  <c r="AR57" i="28"/>
  <c r="AJ57" i="28"/>
  <c r="V57" i="28"/>
  <c r="M57" i="28"/>
  <c r="U57" i="28" s="1"/>
  <c r="L57" i="28"/>
  <c r="J57" i="28"/>
  <c r="I57" i="28"/>
  <c r="T57" i="28" s="1"/>
  <c r="BK56" i="28"/>
  <c r="AL56" i="28" s="1"/>
  <c r="BG56" i="28"/>
  <c r="BD56" i="28"/>
  <c r="AZ56" i="28"/>
  <c r="AY56" i="28"/>
  <c r="AT56" i="28"/>
  <c r="Z56" i="28" s="1"/>
  <c r="AR56" i="28"/>
  <c r="AJ56" i="28"/>
  <c r="AG56" i="28"/>
  <c r="V56" i="28"/>
  <c r="M56" i="28"/>
  <c r="U56" i="28" s="1"/>
  <c r="L56" i="28"/>
  <c r="J56" i="28"/>
  <c r="I56" i="28"/>
  <c r="T56" i="28" s="1"/>
  <c r="BK55" i="28"/>
  <c r="AL55" i="28" s="1"/>
  <c r="AM55" i="28" s="1"/>
  <c r="BG55" i="28"/>
  <c r="BD55" i="28"/>
  <c r="BA55" i="28"/>
  <c r="AZ55" i="28"/>
  <c r="AY55" i="28"/>
  <c r="AT55" i="28"/>
  <c r="Z55" i="28" s="1"/>
  <c r="AR55" i="28"/>
  <c r="AJ55" i="28"/>
  <c r="AB55" i="28"/>
  <c r="V55" i="28"/>
  <c r="X55" i="28" s="1"/>
  <c r="M55" i="28"/>
  <c r="U55" i="28" s="1"/>
  <c r="AG55" i="28" s="1"/>
  <c r="L55" i="28"/>
  <c r="J55" i="28"/>
  <c r="I55" i="28"/>
  <c r="T55" i="28" s="1"/>
  <c r="BK54" i="28"/>
  <c r="BG54" i="28"/>
  <c r="BD54" i="28"/>
  <c r="BA54" i="28"/>
  <c r="AZ54" i="28"/>
  <c r="AY54" i="28"/>
  <c r="AT54" i="28"/>
  <c r="Z54" i="28" s="1"/>
  <c r="AR54" i="28"/>
  <c r="AL54" i="28"/>
  <c r="AJ54" i="28"/>
  <c r="AB54" i="28"/>
  <c r="V54" i="28"/>
  <c r="X54" i="28" s="1"/>
  <c r="M54" i="28"/>
  <c r="U54" i="28" s="1"/>
  <c r="AG54" i="28" s="1"/>
  <c r="L54" i="28"/>
  <c r="J54" i="28"/>
  <c r="I54" i="28"/>
  <c r="T54" i="28" s="1"/>
  <c r="BK53" i="28"/>
  <c r="BG53" i="28"/>
  <c r="BD53" i="28"/>
  <c r="AZ53" i="28"/>
  <c r="AY53" i="28"/>
  <c r="AT53" i="28"/>
  <c r="AR53" i="28"/>
  <c r="AL53" i="28"/>
  <c r="AJ53" i="28"/>
  <c r="V53" i="28"/>
  <c r="M53" i="28"/>
  <c r="U53" i="28" s="1"/>
  <c r="AG53" i="28" s="1"/>
  <c r="L53" i="28"/>
  <c r="J53" i="28"/>
  <c r="I53" i="28"/>
  <c r="T53" i="28" s="1"/>
  <c r="BK52" i="28"/>
  <c r="AL52" i="28" s="1"/>
  <c r="BG52" i="28"/>
  <c r="BD52" i="28"/>
  <c r="AZ52" i="28"/>
  <c r="AY52" i="28"/>
  <c r="AT52" i="28"/>
  <c r="Z52" i="28" s="1"/>
  <c r="AR52" i="28"/>
  <c r="AJ52" i="28"/>
  <c r="V52" i="28"/>
  <c r="M52" i="28"/>
  <c r="U52" i="28" s="1"/>
  <c r="L52" i="28"/>
  <c r="J52" i="28"/>
  <c r="I52" i="28"/>
  <c r="T52" i="28" s="1"/>
  <c r="BK51" i="28"/>
  <c r="AL51" i="28" s="1"/>
  <c r="AM51" i="28" s="1"/>
  <c r="BG51" i="28"/>
  <c r="BD51" i="28"/>
  <c r="BA51" i="28"/>
  <c r="AZ51" i="28"/>
  <c r="AY51" i="28"/>
  <c r="AT51" i="28"/>
  <c r="AR51" i="28"/>
  <c r="AJ51" i="28"/>
  <c r="AB51" i="28"/>
  <c r="Z51" i="28"/>
  <c r="V51" i="28"/>
  <c r="X51" i="28" s="1"/>
  <c r="U51" i="28"/>
  <c r="AG51" i="28" s="1"/>
  <c r="M51" i="28"/>
  <c r="L51" i="28"/>
  <c r="J51" i="28"/>
  <c r="I51" i="28"/>
  <c r="T51" i="28" s="1"/>
  <c r="BK50" i="28"/>
  <c r="BG50" i="28"/>
  <c r="BD50" i="28"/>
  <c r="AZ50" i="28"/>
  <c r="AY50" i="28"/>
  <c r="AT50" i="28"/>
  <c r="AR50" i="28"/>
  <c r="AL50" i="28"/>
  <c r="AJ50" i="28"/>
  <c r="Z50" i="28"/>
  <c r="V50" i="28"/>
  <c r="X50" i="28" s="1"/>
  <c r="M50" i="28"/>
  <c r="U50" i="28" s="1"/>
  <c r="L50" i="28"/>
  <c r="J50" i="28"/>
  <c r="I50" i="28"/>
  <c r="BK49" i="28"/>
  <c r="AL49" i="28" s="1"/>
  <c r="AM49" i="28" s="1"/>
  <c r="BG49" i="28"/>
  <c r="BD49" i="28"/>
  <c r="BA49" i="28"/>
  <c r="AZ49" i="28"/>
  <c r="AY49" i="28"/>
  <c r="AT49" i="28"/>
  <c r="AR49" i="28"/>
  <c r="AK49" i="28"/>
  <c r="AJ49" i="28"/>
  <c r="AB49" i="28"/>
  <c r="AO49" i="28" s="1"/>
  <c r="Z49" i="28"/>
  <c r="V49" i="28"/>
  <c r="X49" i="28" s="1"/>
  <c r="U49" i="28"/>
  <c r="AG49" i="28" s="1"/>
  <c r="M49" i="28"/>
  <c r="L49" i="28"/>
  <c r="J49" i="28"/>
  <c r="I49" i="28"/>
  <c r="BK48" i="28"/>
  <c r="BG48" i="28"/>
  <c r="BD48" i="28"/>
  <c r="AZ48" i="28"/>
  <c r="AY48" i="28"/>
  <c r="AT48" i="28"/>
  <c r="BA48" i="28" s="1"/>
  <c r="AR48" i="28"/>
  <c r="AL48" i="28"/>
  <c r="AJ48" i="28"/>
  <c r="AB48" i="28"/>
  <c r="Z48" i="28"/>
  <c r="V48" i="28"/>
  <c r="U48" i="28"/>
  <c r="M48" i="28"/>
  <c r="L48" i="28"/>
  <c r="J48" i="28"/>
  <c r="I48" i="28"/>
  <c r="T48" i="28" s="1"/>
  <c r="BK47" i="28"/>
  <c r="BG47" i="28"/>
  <c r="BD47" i="28"/>
  <c r="AZ47" i="28"/>
  <c r="AY47" i="28"/>
  <c r="AT47" i="28"/>
  <c r="BA47" i="28" s="1"/>
  <c r="AR47" i="28"/>
  <c r="AJ47" i="28"/>
  <c r="Z47" i="28"/>
  <c r="V47" i="28"/>
  <c r="X47" i="28" s="1"/>
  <c r="M47" i="28"/>
  <c r="U47" i="28" s="1"/>
  <c r="L47" i="28"/>
  <c r="J47" i="28"/>
  <c r="I47" i="28"/>
  <c r="T47" i="28" s="1"/>
  <c r="BK46" i="28"/>
  <c r="AL46" i="28" s="1"/>
  <c r="AM46" i="28" s="1"/>
  <c r="BG46" i="28"/>
  <c r="BD46" i="28"/>
  <c r="BA46" i="28"/>
  <c r="AZ46" i="28"/>
  <c r="AY46" i="28"/>
  <c r="AT46" i="28"/>
  <c r="AB46" i="28" s="1"/>
  <c r="AO46" i="28" s="1"/>
  <c r="AR46" i="28"/>
  <c r="AK46" i="28"/>
  <c r="AJ46" i="28"/>
  <c r="Z46" i="28"/>
  <c r="X46" i="28"/>
  <c r="V46" i="28"/>
  <c r="T46" i="28"/>
  <c r="M46" i="28"/>
  <c r="L46" i="28"/>
  <c r="J46" i="28"/>
  <c r="U46" i="28" s="1"/>
  <c r="I46" i="28"/>
  <c r="BK45" i="28"/>
  <c r="BG45" i="28"/>
  <c r="AT45" i="28" s="1"/>
  <c r="BD45" i="28"/>
  <c r="AY45" i="28"/>
  <c r="AZ45" i="28" s="1"/>
  <c r="AJ45" i="28"/>
  <c r="X45" i="28"/>
  <c r="V45" i="28"/>
  <c r="T45" i="28"/>
  <c r="M45" i="28"/>
  <c r="L45" i="28"/>
  <c r="J45" i="28"/>
  <c r="U45" i="28" s="1"/>
  <c r="I45" i="28"/>
  <c r="BK44" i="28"/>
  <c r="BG44" i="28"/>
  <c r="BD44" i="28"/>
  <c r="AY44" i="28"/>
  <c r="AZ44" i="28" s="1"/>
  <c r="AJ44" i="28"/>
  <c r="X44" i="28"/>
  <c r="V44" i="28"/>
  <c r="M44" i="28"/>
  <c r="L44" i="28"/>
  <c r="T44" i="28" s="1"/>
  <c r="J44" i="28"/>
  <c r="U44" i="28" s="1"/>
  <c r="I44" i="28"/>
  <c r="BK43" i="28"/>
  <c r="BG43" i="28"/>
  <c r="AT43" i="28" s="1"/>
  <c r="BD43" i="28"/>
  <c r="AY43" i="28"/>
  <c r="AZ43" i="28" s="1"/>
  <c r="AJ43" i="28"/>
  <c r="X43" i="28"/>
  <c r="V43" i="28"/>
  <c r="M43" i="28"/>
  <c r="L43" i="28"/>
  <c r="T43" i="28" s="1"/>
  <c r="J43" i="28"/>
  <c r="U43" i="28" s="1"/>
  <c r="I43" i="28"/>
  <c r="BK42" i="28"/>
  <c r="BG42" i="28"/>
  <c r="AT42" i="28" s="1"/>
  <c r="BD42" i="28"/>
  <c r="AY42" i="28"/>
  <c r="AZ42" i="28" s="1"/>
  <c r="AR42" i="28"/>
  <c r="AJ42" i="28"/>
  <c r="X42" i="28"/>
  <c r="V42" i="28"/>
  <c r="T42" i="28"/>
  <c r="M42" i="28"/>
  <c r="L42" i="28"/>
  <c r="J42" i="28"/>
  <c r="U42" i="28" s="1"/>
  <c r="I42" i="28"/>
  <c r="BK41" i="28"/>
  <c r="BG41" i="28"/>
  <c r="AT41" i="28" s="1"/>
  <c r="BD41" i="28"/>
  <c r="AY41" i="28"/>
  <c r="AZ41" i="28" s="1"/>
  <c r="AJ41" i="28"/>
  <c r="X41" i="28"/>
  <c r="V41" i="28"/>
  <c r="T41" i="28"/>
  <c r="M41" i="28"/>
  <c r="L41" i="28"/>
  <c r="J41" i="28"/>
  <c r="U41" i="28" s="1"/>
  <c r="I41" i="28"/>
  <c r="BK40" i="28"/>
  <c r="BG40" i="28"/>
  <c r="BD40" i="28"/>
  <c r="AY40" i="28"/>
  <c r="AZ40" i="28" s="1"/>
  <c r="AJ40" i="28"/>
  <c r="X40" i="28"/>
  <c r="V40" i="28"/>
  <c r="T40" i="28"/>
  <c r="M40" i="28"/>
  <c r="L40" i="28"/>
  <c r="J40" i="28"/>
  <c r="U40" i="28" s="1"/>
  <c r="I40" i="28"/>
  <c r="BK39" i="28"/>
  <c r="BG39" i="28"/>
  <c r="AT39" i="28" s="1"/>
  <c r="BD39" i="28"/>
  <c r="AY39" i="28"/>
  <c r="AZ39" i="28" s="1"/>
  <c r="AJ39" i="28"/>
  <c r="X39" i="28"/>
  <c r="V39" i="28"/>
  <c r="M39" i="28"/>
  <c r="L39" i="28"/>
  <c r="T39" i="28" s="1"/>
  <c r="J39" i="28"/>
  <c r="U39" i="28" s="1"/>
  <c r="I39" i="28"/>
  <c r="BK38" i="28"/>
  <c r="BG38" i="28"/>
  <c r="AT38" i="28" s="1"/>
  <c r="BD38" i="28"/>
  <c r="AY38" i="28"/>
  <c r="AZ38" i="28" s="1"/>
  <c r="AR38" i="28"/>
  <c r="AJ38" i="28"/>
  <c r="X38" i="28"/>
  <c r="V38" i="28"/>
  <c r="T38" i="28"/>
  <c r="M38" i="28"/>
  <c r="L38" i="28"/>
  <c r="J38" i="28"/>
  <c r="U38" i="28" s="1"/>
  <c r="I38" i="28"/>
  <c r="BK37" i="28"/>
  <c r="BG37" i="28"/>
  <c r="AT37" i="28" s="1"/>
  <c r="BD37" i="28"/>
  <c r="AY37" i="28"/>
  <c r="AZ37" i="28" s="1"/>
  <c r="AJ37" i="28"/>
  <c r="X37" i="28"/>
  <c r="V37" i="28"/>
  <c r="T37" i="28"/>
  <c r="M37" i="28"/>
  <c r="L37" i="28"/>
  <c r="J37" i="28"/>
  <c r="U37" i="28" s="1"/>
  <c r="I37" i="28"/>
  <c r="BK36" i="28"/>
  <c r="BG36" i="28"/>
  <c r="BD36" i="28"/>
  <c r="AY36" i="28"/>
  <c r="AZ36" i="28" s="1"/>
  <c r="AJ36" i="28"/>
  <c r="X36" i="28"/>
  <c r="V36" i="28"/>
  <c r="T36" i="28"/>
  <c r="M36" i="28"/>
  <c r="L36" i="28"/>
  <c r="J36" i="28"/>
  <c r="U36" i="28" s="1"/>
  <c r="I36" i="28"/>
  <c r="BK35" i="28"/>
  <c r="BG35" i="28"/>
  <c r="AT35" i="28" s="1"/>
  <c r="BD35" i="28"/>
  <c r="AY35" i="28"/>
  <c r="AZ35" i="28" s="1"/>
  <c r="AR35" i="28"/>
  <c r="AJ35" i="28"/>
  <c r="X35" i="28"/>
  <c r="V35" i="28"/>
  <c r="M35" i="28"/>
  <c r="L35" i="28"/>
  <c r="T35" i="28" s="1"/>
  <c r="J35" i="28"/>
  <c r="U35" i="28" s="1"/>
  <c r="I35" i="28"/>
  <c r="BK34" i="28"/>
  <c r="BG34" i="28"/>
  <c r="AT34" i="28" s="1"/>
  <c r="BD34" i="28"/>
  <c r="AY34" i="28"/>
  <c r="AZ34" i="28" s="1"/>
  <c r="AR34" i="28"/>
  <c r="AJ34" i="28"/>
  <c r="X34" i="28"/>
  <c r="V34" i="28"/>
  <c r="T34" i="28"/>
  <c r="M34" i="28"/>
  <c r="L34" i="28"/>
  <c r="J34" i="28"/>
  <c r="U34" i="28" s="1"/>
  <c r="I34" i="28"/>
  <c r="BK33" i="28"/>
  <c r="BG33" i="28"/>
  <c r="AT33" i="28" s="1"/>
  <c r="BD33" i="28"/>
  <c r="AY33" i="28"/>
  <c r="AZ33" i="28" s="1"/>
  <c r="AJ33" i="28"/>
  <c r="X33" i="28"/>
  <c r="V33" i="28"/>
  <c r="T33" i="28"/>
  <c r="M33" i="28"/>
  <c r="L33" i="28"/>
  <c r="J33" i="28"/>
  <c r="U33" i="28" s="1"/>
  <c r="I33" i="28"/>
  <c r="BK32" i="28"/>
  <c r="BG32" i="28"/>
  <c r="BD32" i="28"/>
  <c r="AY32" i="28"/>
  <c r="AZ32" i="28" s="1"/>
  <c r="AJ32" i="28"/>
  <c r="X32" i="28"/>
  <c r="V32" i="28"/>
  <c r="M32" i="28"/>
  <c r="L32" i="28"/>
  <c r="T32" i="28" s="1"/>
  <c r="J32" i="28"/>
  <c r="U32" i="28" s="1"/>
  <c r="I32" i="28"/>
  <c r="BK31" i="28"/>
  <c r="BG31" i="28"/>
  <c r="AT31" i="28" s="1"/>
  <c r="BD31" i="28"/>
  <c r="AY31" i="28"/>
  <c r="AZ31" i="28" s="1"/>
  <c r="AR31" i="28"/>
  <c r="AJ31" i="28"/>
  <c r="X31" i="28"/>
  <c r="V31" i="28"/>
  <c r="M31" i="28"/>
  <c r="L31" i="28"/>
  <c r="T31" i="28" s="1"/>
  <c r="J31" i="28"/>
  <c r="U31" i="28" s="1"/>
  <c r="I31" i="28"/>
  <c r="BK30" i="28"/>
  <c r="BG30" i="28"/>
  <c r="AT30" i="28" s="1"/>
  <c r="BD30" i="28"/>
  <c r="AY30" i="28"/>
  <c r="AZ30" i="28" s="1"/>
  <c r="AR30" i="28"/>
  <c r="AJ30" i="28"/>
  <c r="X30" i="28"/>
  <c r="V30" i="28"/>
  <c r="M30" i="28"/>
  <c r="L30" i="28"/>
  <c r="T30" i="28" s="1"/>
  <c r="J30" i="28"/>
  <c r="U30" i="28" s="1"/>
  <c r="I30" i="28"/>
  <c r="BK29" i="28"/>
  <c r="BG29" i="28"/>
  <c r="AT29" i="28" s="1"/>
  <c r="BD29" i="28"/>
  <c r="AY29" i="28"/>
  <c r="AZ29" i="28" s="1"/>
  <c r="AJ29" i="28"/>
  <c r="X29" i="28"/>
  <c r="V29" i="28"/>
  <c r="M29" i="28"/>
  <c r="U29" i="28" s="1"/>
  <c r="L29" i="28"/>
  <c r="T29" i="28" s="1"/>
  <c r="J29" i="28"/>
  <c r="I29" i="28"/>
  <c r="BK28" i="28"/>
  <c r="BG28" i="28"/>
  <c r="AT28" i="28" s="1"/>
  <c r="BD28" i="28"/>
  <c r="BA28" i="28"/>
  <c r="AY28" i="28"/>
  <c r="AZ28" i="28" s="1"/>
  <c r="AR28" i="28"/>
  <c r="AL28" i="28"/>
  <c r="AM28" i="28" s="1"/>
  <c r="AJ28" i="28"/>
  <c r="AB28" i="28"/>
  <c r="Z28" i="28"/>
  <c r="V28" i="28"/>
  <c r="X28" i="28" s="1"/>
  <c r="U28" i="28"/>
  <c r="AG28" i="28" s="1"/>
  <c r="M28" i="28"/>
  <c r="L28" i="28"/>
  <c r="J28" i="28"/>
  <c r="I28" i="28"/>
  <c r="T28" i="28" s="1"/>
  <c r="BK27" i="28"/>
  <c r="BG27" i="28"/>
  <c r="BD27" i="28"/>
  <c r="AZ27" i="28"/>
  <c r="AY27" i="28"/>
  <c r="AT27" i="28"/>
  <c r="AB27" i="28" s="1"/>
  <c r="AO27" i="28" s="1"/>
  <c r="AR27" i="28"/>
  <c r="AJ27" i="28"/>
  <c r="Z27" i="28"/>
  <c r="V27" i="28"/>
  <c r="X27" i="28" s="1"/>
  <c r="M27" i="28"/>
  <c r="U27" i="28" s="1"/>
  <c r="AG27" i="28" s="1"/>
  <c r="L27" i="28"/>
  <c r="J27" i="28"/>
  <c r="I27" i="28"/>
  <c r="BK26" i="28"/>
  <c r="AL26" i="28" s="1"/>
  <c r="BG26" i="28"/>
  <c r="BD26" i="28"/>
  <c r="BA26" i="28"/>
  <c r="AZ26" i="28"/>
  <c r="AY26" i="28"/>
  <c r="AT26" i="28"/>
  <c r="AB26" i="28" s="1"/>
  <c r="AO26" i="28" s="1"/>
  <c r="AR26" i="28"/>
  <c r="AJ26" i="28"/>
  <c r="Z26" i="28"/>
  <c r="V26" i="28"/>
  <c r="X26" i="28" s="1"/>
  <c r="M26" i="28"/>
  <c r="U26" i="28" s="1"/>
  <c r="L26" i="28"/>
  <c r="J26" i="28"/>
  <c r="I26" i="28"/>
  <c r="BK25" i="28"/>
  <c r="AL25" i="28" s="1"/>
  <c r="AM25" i="28" s="1"/>
  <c r="BG25" i="28"/>
  <c r="BD25" i="28"/>
  <c r="BA25" i="28"/>
  <c r="AZ25" i="28"/>
  <c r="AY25" i="28"/>
  <c r="AT25" i="28"/>
  <c r="AR25" i="28"/>
  <c r="AJ25" i="28"/>
  <c r="AB25" i="28"/>
  <c r="Z25" i="28"/>
  <c r="V25" i="28"/>
  <c r="U25" i="28"/>
  <c r="M25" i="28"/>
  <c r="L25" i="28"/>
  <c r="J25" i="28"/>
  <c r="I25" i="28"/>
  <c r="T25" i="28" s="1"/>
  <c r="BK24" i="28"/>
  <c r="BG24" i="28"/>
  <c r="BD24" i="28"/>
  <c r="AZ24" i="28"/>
  <c r="AY24" i="28"/>
  <c r="AT24" i="28"/>
  <c r="BA24" i="28" s="1"/>
  <c r="AR24" i="28"/>
  <c r="AJ24" i="28"/>
  <c r="Z24" i="28"/>
  <c r="V24" i="28"/>
  <c r="X24" i="28" s="1"/>
  <c r="M24" i="28"/>
  <c r="U24" i="28" s="1"/>
  <c r="L24" i="28"/>
  <c r="J24" i="28"/>
  <c r="I24" i="28"/>
  <c r="T24" i="28" s="1"/>
  <c r="BK23" i="28"/>
  <c r="AL23" i="28" s="1"/>
  <c r="AM23" i="28" s="1"/>
  <c r="BG23" i="28"/>
  <c r="BD23" i="28"/>
  <c r="BA23" i="28"/>
  <c r="AZ23" i="28"/>
  <c r="AY23" i="28"/>
  <c r="AT23" i="28"/>
  <c r="AB23" i="28" s="1"/>
  <c r="AO23" i="28" s="1"/>
  <c r="AS23" i="28"/>
  <c r="AD23" i="28" s="1"/>
  <c r="P23" i="28" s="1"/>
  <c r="Q23" i="28" s="1"/>
  <c r="O23" i="28" s="1"/>
  <c r="AR23" i="28"/>
  <c r="AJ23" i="28"/>
  <c r="Z23" i="28"/>
  <c r="V23" i="28"/>
  <c r="X23" i="28" s="1"/>
  <c r="M23" i="28"/>
  <c r="U23" i="28" s="1"/>
  <c r="AG23" i="28" s="1"/>
  <c r="L23" i="28"/>
  <c r="J23" i="28"/>
  <c r="I23" i="28"/>
  <c r="BK22" i="28"/>
  <c r="AL22" i="28" s="1"/>
  <c r="AM22" i="28" s="1"/>
  <c r="BG22" i="28"/>
  <c r="BD22" i="28"/>
  <c r="BA22" i="28"/>
  <c r="AZ22" i="28"/>
  <c r="AY22" i="28"/>
  <c r="AT22" i="28"/>
  <c r="AB22" i="28" s="1"/>
  <c r="AO22" i="28" s="1"/>
  <c r="AS22" i="28"/>
  <c r="AD22" i="28" s="1"/>
  <c r="P22" i="28" s="1"/>
  <c r="Q22" i="28" s="1"/>
  <c r="O22" i="28" s="1"/>
  <c r="AR22" i="28"/>
  <c r="AJ22" i="28"/>
  <c r="Z22" i="28"/>
  <c r="V22" i="28"/>
  <c r="X22" i="28" s="1"/>
  <c r="M22" i="28"/>
  <c r="U22" i="28" s="1"/>
  <c r="L22" i="28"/>
  <c r="J22" i="28"/>
  <c r="I22" i="28"/>
  <c r="BK21" i="28"/>
  <c r="AL21" i="28" s="1"/>
  <c r="BG21" i="28"/>
  <c r="BD21" i="28"/>
  <c r="BA21" i="28"/>
  <c r="AZ21" i="28"/>
  <c r="AY21" i="28"/>
  <c r="AT21" i="28"/>
  <c r="AR21" i="28"/>
  <c r="AJ21" i="28"/>
  <c r="AB21" i="28"/>
  <c r="Z21" i="28"/>
  <c r="V21" i="28"/>
  <c r="U21" i="28"/>
  <c r="M21" i="28"/>
  <c r="L21" i="28"/>
  <c r="J21" i="28"/>
  <c r="I21" i="28"/>
  <c r="T21" i="28" s="1"/>
  <c r="BK20" i="28"/>
  <c r="BG20" i="28"/>
  <c r="BD20" i="28"/>
  <c r="AZ20" i="28"/>
  <c r="AY20" i="28"/>
  <c r="AT20" i="28"/>
  <c r="BA20" i="28" s="1"/>
  <c r="AR20" i="28"/>
  <c r="AJ20" i="28"/>
  <c r="V20" i="28"/>
  <c r="X20" i="28" s="1"/>
  <c r="M20" i="28"/>
  <c r="U20" i="28" s="1"/>
  <c r="L20" i="28"/>
  <c r="J20" i="28"/>
  <c r="I20" i="28"/>
  <c r="T20" i="28" s="1"/>
  <c r="BK19" i="28"/>
  <c r="AL19" i="28" s="1"/>
  <c r="AM19" i="28" s="1"/>
  <c r="BG19" i="28"/>
  <c r="BD19" i="28"/>
  <c r="BA19" i="28"/>
  <c r="AZ19" i="28"/>
  <c r="AY19" i="28"/>
  <c r="AT19" i="28"/>
  <c r="AB19" i="28" s="1"/>
  <c r="AO19" i="28" s="1"/>
  <c r="AS19" i="28"/>
  <c r="AD19" i="28" s="1"/>
  <c r="P19" i="28" s="1"/>
  <c r="Q19" i="28" s="1"/>
  <c r="O19" i="28" s="1"/>
  <c r="AR19" i="28"/>
  <c r="AK19" i="28"/>
  <c r="AJ19" i="28"/>
  <c r="AG19" i="28"/>
  <c r="Z19" i="28"/>
  <c r="V19" i="28"/>
  <c r="X19" i="28" s="1"/>
  <c r="M19" i="28"/>
  <c r="U19" i="28" s="1"/>
  <c r="S19" i="28" s="1"/>
  <c r="L19" i="28"/>
  <c r="J19" i="28"/>
  <c r="I19" i="28"/>
  <c r="BK18" i="28"/>
  <c r="AL18" i="28" s="1"/>
  <c r="AM18" i="28" s="1"/>
  <c r="BG18" i="28"/>
  <c r="BD18" i="28"/>
  <c r="BA18" i="28"/>
  <c r="AZ18" i="28"/>
  <c r="AY18" i="28"/>
  <c r="AT18" i="28"/>
  <c r="AB18" i="28" s="1"/>
  <c r="AO18" i="28" s="1"/>
  <c r="AS18" i="28"/>
  <c r="AR18" i="28"/>
  <c r="AK18" i="28"/>
  <c r="AJ18" i="28"/>
  <c r="AD18" i="28"/>
  <c r="P18" i="28" s="1"/>
  <c r="Q18" i="28" s="1"/>
  <c r="Z18" i="28"/>
  <c r="V18" i="28"/>
  <c r="X18" i="28" s="1"/>
  <c r="M18" i="28"/>
  <c r="U18" i="28" s="1"/>
  <c r="L18" i="28"/>
  <c r="J18" i="28"/>
  <c r="I18" i="28"/>
  <c r="BK17" i="28"/>
  <c r="AL17" i="28" s="1"/>
  <c r="BG17" i="28"/>
  <c r="BD17" i="28"/>
  <c r="BA17" i="28"/>
  <c r="AZ17" i="28"/>
  <c r="AY17" i="28"/>
  <c r="AT17" i="28"/>
  <c r="AR17" i="28"/>
  <c r="AJ17" i="28"/>
  <c r="AB17" i="28"/>
  <c r="Z17" i="28"/>
  <c r="V17" i="28"/>
  <c r="U17" i="28"/>
  <c r="M17" i="28"/>
  <c r="L17" i="28"/>
  <c r="J17" i="28"/>
  <c r="I17" i="28"/>
  <c r="T17" i="28" s="1"/>
  <c r="BK16" i="28"/>
  <c r="BG16" i="28"/>
  <c r="BD16" i="28"/>
  <c r="AZ16" i="28"/>
  <c r="AY16" i="28"/>
  <c r="AT16" i="28"/>
  <c r="BA16" i="28" s="1"/>
  <c r="AR16" i="28"/>
  <c r="AM16" i="28"/>
  <c r="AL16" i="28"/>
  <c r="AJ16" i="28"/>
  <c r="AB16" i="28"/>
  <c r="Z16" i="28"/>
  <c r="V16" i="28"/>
  <c r="X16" i="28" s="1"/>
  <c r="U16" i="28"/>
  <c r="M16" i="28"/>
  <c r="L16" i="28"/>
  <c r="J16" i="28"/>
  <c r="I16" i="28"/>
  <c r="T16" i="28" s="1"/>
  <c r="BK15" i="28"/>
  <c r="BG15" i="28"/>
  <c r="BD15" i="28"/>
  <c r="AZ15" i="28"/>
  <c r="AY15" i="28"/>
  <c r="AT15" i="28"/>
  <c r="AB15" i="28" s="1"/>
  <c r="AO15" i="28" s="1"/>
  <c r="AR15" i="28"/>
  <c r="AL15" i="28"/>
  <c r="AM15" i="28" s="1"/>
  <c r="AK15" i="28"/>
  <c r="AJ15" i="28"/>
  <c r="AG15" i="28"/>
  <c r="Z15" i="28"/>
  <c r="V15" i="28"/>
  <c r="X15" i="28" s="1"/>
  <c r="M15" i="28"/>
  <c r="U15" i="28" s="1"/>
  <c r="L15" i="28"/>
  <c r="J15" i="28"/>
  <c r="I15" i="28"/>
  <c r="BK14" i="28"/>
  <c r="AL14" i="28" s="1"/>
  <c r="BG14" i="28"/>
  <c r="BD14" i="28"/>
  <c r="BA14" i="28"/>
  <c r="AZ14" i="28"/>
  <c r="AY14" i="28"/>
  <c r="AT14" i="28"/>
  <c r="AB14" i="28" s="1"/>
  <c r="AO14" i="28" s="1"/>
  <c r="AR14" i="28"/>
  <c r="AK14" i="28"/>
  <c r="AJ14" i="28"/>
  <c r="Z14" i="28"/>
  <c r="V14" i="28"/>
  <c r="X14" i="28" s="1"/>
  <c r="M14" i="28"/>
  <c r="U14" i="28" s="1"/>
  <c r="L14" i="28"/>
  <c r="J14" i="28"/>
  <c r="I14" i="28"/>
  <c r="BK13" i="28"/>
  <c r="AL13" i="28" s="1"/>
  <c r="AM13" i="28" s="1"/>
  <c r="BG13" i="28"/>
  <c r="BD13" i="28"/>
  <c r="BA13" i="28"/>
  <c r="AZ13" i="28"/>
  <c r="AY13" i="28"/>
  <c r="AT13" i="28"/>
  <c r="AR13" i="28"/>
  <c r="AJ13" i="28"/>
  <c r="AB13" i="28"/>
  <c r="Z13" i="28"/>
  <c r="V13" i="28"/>
  <c r="U13" i="28"/>
  <c r="M13" i="28"/>
  <c r="L13" i="28"/>
  <c r="J13" i="28"/>
  <c r="I13" i="28"/>
  <c r="BK12" i="28"/>
  <c r="BG12" i="28"/>
  <c r="AT12" i="28" s="1"/>
  <c r="BD12" i="28"/>
  <c r="AZ12" i="28"/>
  <c r="AY12" i="28"/>
  <c r="AR12" i="28"/>
  <c r="AJ12" i="28"/>
  <c r="Z12" i="28"/>
  <c r="X12" i="28"/>
  <c r="V12" i="28"/>
  <c r="U12" i="28"/>
  <c r="M12" i="28"/>
  <c r="L12" i="28"/>
  <c r="T12" i="28" s="1"/>
  <c r="J12" i="28"/>
  <c r="I12" i="28"/>
  <c r="BK11" i="28"/>
  <c r="BG11" i="28"/>
  <c r="AT11" i="28" s="1"/>
  <c r="BD11" i="28"/>
  <c r="AY11" i="28"/>
  <c r="AZ11" i="28" s="1"/>
  <c r="AR11" i="28"/>
  <c r="AJ11" i="28"/>
  <c r="Z11" i="28"/>
  <c r="X11" i="28"/>
  <c r="V11" i="28"/>
  <c r="M11" i="28"/>
  <c r="L11" i="28"/>
  <c r="T11" i="28" s="1"/>
  <c r="J11" i="28"/>
  <c r="U11" i="28" s="1"/>
  <c r="I11" i="28"/>
  <c r="BK10" i="28"/>
  <c r="BG10" i="28"/>
  <c r="AT10" i="28" s="1"/>
  <c r="Z10" i="28" s="1"/>
  <c r="BD10" i="28"/>
  <c r="AY10" i="28"/>
  <c r="AZ10" i="28" s="1"/>
  <c r="AR10" i="28"/>
  <c r="AJ10" i="28"/>
  <c r="X10" i="28"/>
  <c r="V10" i="28"/>
  <c r="M10" i="28"/>
  <c r="L10" i="28"/>
  <c r="T10" i="28" s="1"/>
  <c r="J10" i="28"/>
  <c r="U10" i="28" s="1"/>
  <c r="I10" i="28"/>
  <c r="BK9" i="28"/>
  <c r="BG9" i="28"/>
  <c r="AT9" i="28" s="1"/>
  <c r="BD9" i="28"/>
  <c r="AZ9" i="28"/>
  <c r="AY9" i="28"/>
  <c r="AR9" i="28"/>
  <c r="AJ9" i="28"/>
  <c r="X9" i="28"/>
  <c r="V9" i="28"/>
  <c r="U9" i="28"/>
  <c r="M9" i="28"/>
  <c r="L9" i="28"/>
  <c r="T9" i="28" s="1"/>
  <c r="J9" i="28"/>
  <c r="I9" i="28"/>
  <c r="BK8" i="28"/>
  <c r="BG8" i="28"/>
  <c r="AT8" i="28" s="1"/>
  <c r="BD8" i="28"/>
  <c r="AZ8" i="28"/>
  <c r="AY8" i="28"/>
  <c r="AR8" i="28"/>
  <c r="AJ8" i="28"/>
  <c r="Z8" i="28"/>
  <c r="X8" i="28"/>
  <c r="V8" i="28"/>
  <c r="U8" i="28"/>
  <c r="M8" i="28"/>
  <c r="L8" i="28"/>
  <c r="T8" i="28" s="1"/>
  <c r="J8" i="28"/>
  <c r="I8" i="28"/>
  <c r="BK7" i="28"/>
  <c r="BG7" i="28"/>
  <c r="AT7" i="28" s="1"/>
  <c r="BD7" i="28"/>
  <c r="AY7" i="28"/>
  <c r="AZ7" i="28" s="1"/>
  <c r="AR7" i="28"/>
  <c r="AJ7" i="28"/>
  <c r="Z7" i="28"/>
  <c r="X7" i="28"/>
  <c r="V7" i="28"/>
  <c r="M7" i="28"/>
  <c r="L7" i="28"/>
  <c r="T7" i="28" s="1"/>
  <c r="J7" i="28"/>
  <c r="U7" i="28" s="1"/>
  <c r="I7" i="28"/>
  <c r="BK6" i="28"/>
  <c r="BG6" i="28"/>
  <c r="AT6" i="28" s="1"/>
  <c r="Z6" i="28" s="1"/>
  <c r="BD6" i="28"/>
  <c r="AY6" i="28"/>
  <c r="AZ6" i="28" s="1"/>
  <c r="AR6" i="28"/>
  <c r="AJ6" i="28"/>
  <c r="X6" i="28"/>
  <c r="V6" i="28"/>
  <c r="M6" i="28"/>
  <c r="L6" i="28"/>
  <c r="T6" i="28" s="1"/>
  <c r="J6" i="28"/>
  <c r="U6" i="28" s="1"/>
  <c r="I6" i="28"/>
  <c r="BK5" i="28"/>
  <c r="BG5" i="28"/>
  <c r="AT5" i="28" s="1"/>
  <c r="BD5" i="28"/>
  <c r="AZ5" i="28"/>
  <c r="AY5" i="28"/>
  <c r="AR5" i="28"/>
  <c r="AJ5" i="28"/>
  <c r="X5" i="28"/>
  <c r="V5" i="28"/>
  <c r="U5" i="28"/>
  <c r="M5" i="28"/>
  <c r="L5" i="28"/>
  <c r="T5" i="28" s="1"/>
  <c r="J5" i="28"/>
  <c r="I5" i="28"/>
  <c r="BK4" i="28"/>
  <c r="BG4" i="28"/>
  <c r="AT4" i="28" s="1"/>
  <c r="BD4" i="28"/>
  <c r="AZ4" i="28"/>
  <c r="AY4" i="28"/>
  <c r="AR4" i="28"/>
  <c r="AK4" i="28"/>
  <c r="AJ4" i="28"/>
  <c r="AB4" i="28"/>
  <c r="AO4" i="28" s="1"/>
  <c r="Z4" i="28"/>
  <c r="V4" i="28"/>
  <c r="X4" i="28" s="1"/>
  <c r="U4" i="28"/>
  <c r="AG4" i="28" s="1"/>
  <c r="M4" i="28"/>
  <c r="L4" i="28"/>
  <c r="J4" i="28"/>
  <c r="I4" i="28"/>
  <c r="T4" i="28" s="1"/>
  <c r="BK3" i="28"/>
  <c r="BF3" i="28"/>
  <c r="BD3" i="28"/>
  <c r="AY3" i="28"/>
  <c r="AJ3" i="28"/>
  <c r="X3" i="28"/>
  <c r="V3" i="28"/>
  <c r="D3" i="28"/>
  <c r="C3" i="28"/>
  <c r="B3" i="28"/>
  <c r="U50" i="29" l="1"/>
  <c r="T5" i="29"/>
  <c r="U55" i="29"/>
  <c r="W9" i="29"/>
  <c r="BB6" i="29"/>
  <c r="BB9" i="29"/>
  <c r="BB13" i="29"/>
  <c r="BB17" i="29"/>
  <c r="BB25" i="29"/>
  <c r="BB29" i="29"/>
  <c r="BB37" i="29"/>
  <c r="BB41" i="29"/>
  <c r="BB50" i="29"/>
  <c r="BB57" i="29"/>
  <c r="T58" i="29"/>
  <c r="T61" i="29"/>
  <c r="T72" i="29"/>
  <c r="BB75" i="29"/>
  <c r="T79" i="29"/>
  <c r="BB30" i="29"/>
  <c r="BB38" i="29"/>
  <c r="X42" i="29"/>
  <c r="BB44" i="29"/>
  <c r="X48" i="29"/>
  <c r="BB61" i="29"/>
  <c r="BB65" i="29"/>
  <c r="BB72" i="29"/>
  <c r="X76" i="29"/>
  <c r="BB79" i="29"/>
  <c r="T80" i="29"/>
  <c r="U7" i="29"/>
  <c r="U8" i="29"/>
  <c r="BB8" i="29"/>
  <c r="BB12" i="29"/>
  <c r="BB16" i="29"/>
  <c r="T21" i="29"/>
  <c r="U24" i="29"/>
  <c r="T25" i="29"/>
  <c r="BB28" i="29"/>
  <c r="T29" i="29"/>
  <c r="U32" i="29"/>
  <c r="BB32" i="29"/>
  <c r="BB36" i="29"/>
  <c r="T37" i="29"/>
  <c r="U40" i="29"/>
  <c r="BB40" i="29"/>
  <c r="BB43" i="29"/>
  <c r="U46" i="29"/>
  <c r="BB46" i="29"/>
  <c r="BB49" i="29"/>
  <c r="BB52" i="29"/>
  <c r="U57" i="29"/>
  <c r="BB63" i="29"/>
  <c r="BB67" i="29"/>
  <c r="U70" i="29"/>
  <c r="U74" i="29"/>
  <c r="BB74" i="29"/>
  <c r="BB77" i="29"/>
  <c r="W70" i="29"/>
  <c r="BB21" i="29"/>
  <c r="BB47" i="29"/>
  <c r="BB53" i="29"/>
  <c r="BB78" i="29"/>
  <c r="BB14" i="29"/>
  <c r="BB34" i="29"/>
  <c r="X54" i="29"/>
  <c r="BB58" i="29"/>
  <c r="T69" i="29"/>
  <c r="BB4" i="29"/>
  <c r="U11" i="29"/>
  <c r="BB11" i="29"/>
  <c r="T12" i="29"/>
  <c r="U15" i="29"/>
  <c r="BB15" i="29"/>
  <c r="T16" i="29"/>
  <c r="U19" i="29"/>
  <c r="BB19" i="29"/>
  <c r="T20" i="29"/>
  <c r="BB23" i="29"/>
  <c r="T24" i="29"/>
  <c r="U27" i="29"/>
  <c r="BB27" i="29"/>
  <c r="T28" i="29"/>
  <c r="BB31" i="29"/>
  <c r="T32" i="29"/>
  <c r="U35" i="29"/>
  <c r="BB35" i="29"/>
  <c r="T36" i="29"/>
  <c r="BB39" i="29"/>
  <c r="BB42" i="29"/>
  <c r="BB45" i="29"/>
  <c r="X52" i="29"/>
  <c r="U53" i="29"/>
  <c r="BB54" i="29"/>
  <c r="BB56" i="29"/>
  <c r="U59" i="29"/>
  <c r="BB62" i="29"/>
  <c r="BB69" i="29"/>
  <c r="T74" i="29"/>
  <c r="BB76" i="29"/>
  <c r="T77" i="29"/>
  <c r="BB80" i="29"/>
  <c r="W73" i="29"/>
  <c r="X58" i="29"/>
  <c r="W58" i="29"/>
  <c r="W61" i="29"/>
  <c r="X46" i="29"/>
  <c r="W46" i="29"/>
  <c r="W66" i="29"/>
  <c r="X66" i="29"/>
  <c r="W47" i="29"/>
  <c r="X47" i="29"/>
  <c r="X50" i="29"/>
  <c r="W50" i="29"/>
  <c r="W63" i="29"/>
  <c r="X63" i="29"/>
  <c r="X74" i="29"/>
  <c r="W74" i="29"/>
  <c r="W53" i="29"/>
  <c r="W51" i="29"/>
  <c r="X51" i="29"/>
  <c r="W41" i="29"/>
  <c r="U4" i="29"/>
  <c r="U6" i="29"/>
  <c r="T8" i="29"/>
  <c r="U13" i="29"/>
  <c r="T14" i="29"/>
  <c r="U17" i="29"/>
  <c r="T18" i="29"/>
  <c r="U21" i="29"/>
  <c r="T26" i="29"/>
  <c r="U29" i="29"/>
  <c r="T34" i="29"/>
  <c r="U37" i="29"/>
  <c r="U42" i="29"/>
  <c r="U43" i="29"/>
  <c r="U47" i="29"/>
  <c r="U51" i="29"/>
  <c r="U54" i="29"/>
  <c r="U58" i="29"/>
  <c r="U61" i="29"/>
  <c r="T64" i="29"/>
  <c r="T67" i="29"/>
  <c r="X69" i="29"/>
  <c r="U72" i="29"/>
  <c r="U75" i="29"/>
  <c r="X75" i="29"/>
  <c r="U77" i="29"/>
  <c r="U80" i="29"/>
  <c r="W78" i="29"/>
  <c r="X3" i="29"/>
  <c r="T4" i="29"/>
  <c r="U5" i="29"/>
  <c r="T9" i="29"/>
  <c r="U10" i="29"/>
  <c r="T11" i="29"/>
  <c r="U22" i="29"/>
  <c r="T23" i="29"/>
  <c r="U30" i="29"/>
  <c r="T31" i="29"/>
  <c r="U38" i="29"/>
  <c r="T39" i="29"/>
  <c r="T42" i="29"/>
  <c r="T46" i="29"/>
  <c r="T50" i="29"/>
  <c r="T51" i="29"/>
  <c r="T52" i="29"/>
  <c r="T57" i="29"/>
  <c r="T62" i="29"/>
  <c r="T65" i="29"/>
  <c r="U67" i="29"/>
  <c r="T70" i="29"/>
  <c r="T76" i="29"/>
  <c r="W10" i="29"/>
  <c r="W40" i="29"/>
  <c r="X40" i="29"/>
  <c r="AT72" i="29"/>
  <c r="AV72" i="29"/>
  <c r="BC72" i="29" s="1"/>
  <c r="AV4" i="29"/>
  <c r="AT4" i="29"/>
  <c r="AT8" i="29"/>
  <c r="AV8" i="29"/>
  <c r="BC8" i="29" s="1"/>
  <c r="X11" i="29"/>
  <c r="W11" i="29"/>
  <c r="AV16" i="29"/>
  <c r="AT16" i="29"/>
  <c r="AT32" i="29"/>
  <c r="AV32" i="29"/>
  <c r="W43" i="29"/>
  <c r="X43" i="29"/>
  <c r="AT47" i="29"/>
  <c r="AV47" i="29"/>
  <c r="BC47" i="29" s="1"/>
  <c r="AT62" i="29"/>
  <c r="AV62" i="29"/>
  <c r="AT65" i="29"/>
  <c r="AV65" i="29"/>
  <c r="W72" i="29"/>
  <c r="X72" i="29"/>
  <c r="AT77" i="29"/>
  <c r="AV77" i="29"/>
  <c r="AV80" i="29"/>
  <c r="BC80" i="29" s="1"/>
  <c r="AT80" i="29"/>
  <c r="W62" i="29"/>
  <c r="W65" i="29"/>
  <c r="X65" i="29"/>
  <c r="AT70" i="29"/>
  <c r="AV70" i="29"/>
  <c r="W77" i="29"/>
  <c r="X77" i="29"/>
  <c r="W80" i="29"/>
  <c r="X80" i="29"/>
  <c r="AT24" i="29"/>
  <c r="AV24" i="29"/>
  <c r="T33" i="29"/>
  <c r="AV40" i="29"/>
  <c r="BC40" i="29" s="1"/>
  <c r="AT40" i="29"/>
  <c r="T63" i="29"/>
  <c r="T78" i="29"/>
  <c r="AT7" i="29"/>
  <c r="AV7" i="29"/>
  <c r="BC7" i="29" s="1"/>
  <c r="AT9" i="29"/>
  <c r="AV9" i="29"/>
  <c r="AT12" i="29"/>
  <c r="AV12" i="29"/>
  <c r="AV14" i="29"/>
  <c r="AT14" i="29"/>
  <c r="AT18" i="29"/>
  <c r="AV18" i="29"/>
  <c r="AT21" i="29"/>
  <c r="AV21" i="29"/>
  <c r="AT23" i="29"/>
  <c r="AV23" i="29"/>
  <c r="AT26" i="29"/>
  <c r="AV26" i="29"/>
  <c r="AT29" i="29"/>
  <c r="AV29" i="29"/>
  <c r="AV31" i="29"/>
  <c r="AT31" i="29"/>
  <c r="AT34" i="29"/>
  <c r="AV34" i="29"/>
  <c r="AV37" i="29"/>
  <c r="AT37" i="29"/>
  <c r="AV39" i="29"/>
  <c r="AT39" i="29"/>
  <c r="AT43" i="29"/>
  <c r="AV43" i="29"/>
  <c r="AT46" i="29"/>
  <c r="AV46" i="29"/>
  <c r="BC46" i="29" s="1"/>
  <c r="AT50" i="29"/>
  <c r="AV50" i="29"/>
  <c r="BC50" i="29" s="1"/>
  <c r="AT64" i="29"/>
  <c r="AV64" i="29"/>
  <c r="AT67" i="29"/>
  <c r="AV67" i="29"/>
  <c r="AT71" i="29"/>
  <c r="AV71" i="29"/>
  <c r="AV74" i="29"/>
  <c r="AT74" i="29"/>
  <c r="AV79" i="29"/>
  <c r="AT79" i="29"/>
  <c r="W49" i="29"/>
  <c r="W45" i="29"/>
  <c r="BC6" i="29"/>
  <c r="AT6" i="29"/>
  <c r="AV6" i="29"/>
  <c r="T7" i="29"/>
  <c r="AV10" i="29"/>
  <c r="BC10" i="29" s="1"/>
  <c r="AT10" i="29"/>
  <c r="U12" i="29"/>
  <c r="U14" i="29"/>
  <c r="U16" i="29"/>
  <c r="U18" i="29"/>
  <c r="U20" i="29"/>
  <c r="AT20" i="29"/>
  <c r="AV20" i="29"/>
  <c r="U23" i="29"/>
  <c r="U26" i="29"/>
  <c r="U28" i="29"/>
  <c r="AT28" i="29"/>
  <c r="AV28" i="29"/>
  <c r="U31" i="29"/>
  <c r="U34" i="29"/>
  <c r="U36" i="29"/>
  <c r="AV36" i="29"/>
  <c r="AT36" i="29"/>
  <c r="U39" i="29"/>
  <c r="AV42" i="29"/>
  <c r="BC42" i="29" s="1"/>
  <c r="AT42" i="29"/>
  <c r="U45" i="29"/>
  <c r="AV45" i="29"/>
  <c r="AT45" i="29"/>
  <c r="T48" i="29"/>
  <c r="U49" i="29"/>
  <c r="AT49" i="29"/>
  <c r="AV49" i="29"/>
  <c r="U52" i="29"/>
  <c r="AT54" i="29"/>
  <c r="AV54" i="29"/>
  <c r="T55" i="29"/>
  <c r="X55" i="29"/>
  <c r="AT55" i="29"/>
  <c r="AV55" i="29"/>
  <c r="T56" i="29"/>
  <c r="X56" i="29"/>
  <c r="AT56" i="29"/>
  <c r="AV56" i="29"/>
  <c r="AT57" i="29"/>
  <c r="AV57" i="29"/>
  <c r="BC57" i="29" s="1"/>
  <c r="AT58" i="29"/>
  <c r="AV58" i="29"/>
  <c r="T59" i="29"/>
  <c r="X59" i="29"/>
  <c r="AT59" i="29"/>
  <c r="AV59" i="29"/>
  <c r="T60" i="29"/>
  <c r="X60" i="29"/>
  <c r="AT60" i="29"/>
  <c r="AV60" i="29"/>
  <c r="AT61" i="29"/>
  <c r="AV61" i="29"/>
  <c r="BC61" i="29" s="1"/>
  <c r="U64" i="29"/>
  <c r="X64" i="29"/>
  <c r="T66" i="29"/>
  <c r="AV66" i="29"/>
  <c r="AT66" i="29"/>
  <c r="X67" i="29"/>
  <c r="U69" i="29"/>
  <c r="AT69" i="29"/>
  <c r="AV69" i="29"/>
  <c r="BC69" i="29" s="1"/>
  <c r="T71" i="29"/>
  <c r="T73" i="29"/>
  <c r="AT73" i="29"/>
  <c r="AV73" i="29"/>
  <c r="U76" i="29"/>
  <c r="AT76" i="29"/>
  <c r="AV76" i="29"/>
  <c r="BC76" i="29" s="1"/>
  <c r="U79" i="29"/>
  <c r="X79" i="29"/>
  <c r="W12" i="29"/>
  <c r="AT5" i="29"/>
  <c r="AV5" i="29"/>
  <c r="BC5" i="29" s="1"/>
  <c r="T6" i="29"/>
  <c r="T10" i="29"/>
  <c r="AT11" i="29"/>
  <c r="AV11" i="29"/>
  <c r="T13" i="29"/>
  <c r="AT13" i="29"/>
  <c r="AV13" i="29"/>
  <c r="T15" i="29"/>
  <c r="AV15" i="29"/>
  <c r="AT15" i="29"/>
  <c r="T17" i="29"/>
  <c r="AV17" i="29"/>
  <c r="AT17" i="29"/>
  <c r="T19" i="29"/>
  <c r="AT19" i="29"/>
  <c r="AV19" i="29"/>
  <c r="T22" i="29"/>
  <c r="AT22" i="29"/>
  <c r="AV22" i="29"/>
  <c r="U25" i="29"/>
  <c r="AT25" i="29"/>
  <c r="AV25" i="29"/>
  <c r="T27" i="29"/>
  <c r="AT27" i="29"/>
  <c r="AV27" i="29"/>
  <c r="T30" i="29"/>
  <c r="AV30" i="29"/>
  <c r="AT30" i="29"/>
  <c r="U33" i="29"/>
  <c r="AT33" i="29"/>
  <c r="AV33" i="29"/>
  <c r="T35" i="29"/>
  <c r="AV35" i="29"/>
  <c r="AT35" i="29"/>
  <c r="T38" i="29"/>
  <c r="AT38" i="29"/>
  <c r="AV38" i="29"/>
  <c r="T40" i="29"/>
  <c r="U41" i="29"/>
  <c r="AV41" i="29"/>
  <c r="BC41" i="29" s="1"/>
  <c r="AT41" i="29"/>
  <c r="T44" i="29"/>
  <c r="AV44" i="29"/>
  <c r="AT44" i="29"/>
  <c r="AT48" i="29"/>
  <c r="AV48" i="29"/>
  <c r="AT51" i="29"/>
  <c r="AV51" i="29"/>
  <c r="AT52" i="29"/>
  <c r="AV52" i="29"/>
  <c r="T53" i="29"/>
  <c r="AV53" i="29"/>
  <c r="BC53" i="29" s="1"/>
  <c r="AT53" i="29"/>
  <c r="T54" i="29"/>
  <c r="U63" i="29"/>
  <c r="AT63" i="29"/>
  <c r="AV63" i="29"/>
  <c r="BC63" i="29" s="1"/>
  <c r="U66" i="29"/>
  <c r="T68" i="29"/>
  <c r="AT68" i="29"/>
  <c r="AV68" i="29"/>
  <c r="U71" i="29"/>
  <c r="U73" i="29"/>
  <c r="T75" i="29"/>
  <c r="AT75" i="29"/>
  <c r="AV75" i="29"/>
  <c r="U78" i="29"/>
  <c r="AV78" i="29"/>
  <c r="AT78" i="29"/>
  <c r="W71" i="29"/>
  <c r="AU7" i="29"/>
  <c r="AU10" i="29"/>
  <c r="AU13" i="29"/>
  <c r="AU22" i="29"/>
  <c r="AU30" i="29"/>
  <c r="AU31" i="29"/>
  <c r="AU35" i="29"/>
  <c r="AU40" i="29"/>
  <c r="AU43" i="29"/>
  <c r="AU45" i="29"/>
  <c r="AU51" i="29"/>
  <c r="AU56" i="29"/>
  <c r="AU59" i="29"/>
  <c r="AU67" i="29"/>
  <c r="AU8" i="29"/>
  <c r="AU12" i="29"/>
  <c r="AU19" i="29"/>
  <c r="AU20" i="29"/>
  <c r="AU24" i="29"/>
  <c r="AU29" i="29"/>
  <c r="AU50" i="29"/>
  <c r="AU54" i="29"/>
  <c r="AU57" i="29"/>
  <c r="AU70" i="29"/>
  <c r="AU72" i="29"/>
  <c r="AU73" i="29"/>
  <c r="AU9" i="29"/>
  <c r="AU14" i="29"/>
  <c r="AU16" i="29"/>
  <c r="AU32" i="29"/>
  <c r="AU33" i="29"/>
  <c r="AU41" i="29"/>
  <c r="AU44" i="29"/>
  <c r="AU52" i="29"/>
  <c r="AU53" i="29"/>
  <c r="AU55" i="29"/>
  <c r="AU58" i="29"/>
  <c r="AU63" i="29"/>
  <c r="AU64" i="29"/>
  <c r="AU66" i="29"/>
  <c r="AU71" i="29"/>
  <c r="AU74" i="29"/>
  <c r="AU76" i="29"/>
  <c r="AU77" i="29"/>
  <c r="AU4" i="29"/>
  <c r="AU17" i="29"/>
  <c r="AU18" i="29"/>
  <c r="AU5" i="29"/>
  <c r="AU6" i="29"/>
  <c r="AU27" i="29"/>
  <c r="AU28" i="29"/>
  <c r="AU78" i="29"/>
  <c r="AU79" i="29"/>
  <c r="AU25" i="29"/>
  <c r="AU26" i="29"/>
  <c r="AU42" i="29"/>
  <c r="AU48" i="29"/>
  <c r="AU60" i="29"/>
  <c r="AU68" i="29"/>
  <c r="AU69" i="29"/>
  <c r="AU21" i="29"/>
  <c r="AU23" i="29"/>
  <c r="AU38" i="29"/>
  <c r="AU39" i="29"/>
  <c r="AU49" i="29"/>
  <c r="AU62" i="29"/>
  <c r="AU65" i="29"/>
  <c r="AU34" i="29"/>
  <c r="AU36" i="29"/>
  <c r="AU37" i="29"/>
  <c r="AU61" i="29"/>
  <c r="AU75" i="29"/>
  <c r="AU11" i="29"/>
  <c r="AU15" i="29"/>
  <c r="AU46" i="29"/>
  <c r="AU47" i="29"/>
  <c r="AU80" i="29"/>
  <c r="BA3" i="29"/>
  <c r="X15" i="29"/>
  <c r="X16" i="29"/>
  <c r="X13" i="29"/>
  <c r="X17" i="29"/>
  <c r="X4" i="29"/>
  <c r="X5" i="29"/>
  <c r="X6" i="29"/>
  <c r="X7" i="29"/>
  <c r="X8" i="29"/>
  <c r="X14" i="29"/>
  <c r="X18" i="29"/>
  <c r="X19" i="29"/>
  <c r="X23" i="29"/>
  <c r="X27" i="29"/>
  <c r="X31" i="29"/>
  <c r="X35" i="29"/>
  <c r="X39" i="29"/>
  <c r="BC48" i="29"/>
  <c r="X20" i="29"/>
  <c r="X28" i="29"/>
  <c r="X32" i="29"/>
  <c r="X36" i="29"/>
  <c r="BC51" i="29"/>
  <c r="X21" i="29"/>
  <c r="X25" i="29"/>
  <c r="X29" i="29"/>
  <c r="X33" i="29"/>
  <c r="X37" i="29"/>
  <c r="BC75" i="29"/>
  <c r="X24" i="29"/>
  <c r="U9" i="29"/>
  <c r="X22" i="29"/>
  <c r="X26" i="29"/>
  <c r="X30" i="29"/>
  <c r="X34" i="29"/>
  <c r="X38" i="29"/>
  <c r="BC45" i="29"/>
  <c r="T41" i="29"/>
  <c r="T43" i="29"/>
  <c r="T45" i="29"/>
  <c r="T47" i="29"/>
  <c r="T49" i="29"/>
  <c r="U62" i="29"/>
  <c r="BC78" i="29"/>
  <c r="S10" i="28"/>
  <c r="AG10" i="28"/>
  <c r="O18" i="28"/>
  <c r="R18" i="28"/>
  <c r="AG24" i="28"/>
  <c r="S24" i="28"/>
  <c r="S6" i="28"/>
  <c r="AG6" i="28"/>
  <c r="AG7" i="28"/>
  <c r="AG20" i="28"/>
  <c r="AE4" i="28"/>
  <c r="AF4" i="28"/>
  <c r="AH4" i="28"/>
  <c r="AG61" i="28"/>
  <c r="S11" i="28"/>
  <c r="AG11" i="28"/>
  <c r="AE23" i="28"/>
  <c r="AH23" i="28"/>
  <c r="AF23" i="28"/>
  <c r="AE27" i="28"/>
  <c r="AH27" i="28"/>
  <c r="AE28" i="28"/>
  <c r="AF28" i="28"/>
  <c r="AH28" i="28"/>
  <c r="AG9" i="28"/>
  <c r="X13" i="28"/>
  <c r="AG16" i="28"/>
  <c r="AO21" i="28"/>
  <c r="AK21" i="28"/>
  <c r="AM21" i="28"/>
  <c r="AK27" i="28"/>
  <c r="BA43" i="28"/>
  <c r="AL43" i="28"/>
  <c r="AB43" i="28"/>
  <c r="AO43" i="28" s="1"/>
  <c r="Z43" i="28"/>
  <c r="AG59" i="28"/>
  <c r="S59" i="28"/>
  <c r="BA5" i="28"/>
  <c r="AL5" i="28"/>
  <c r="AB5" i="28"/>
  <c r="BA9" i="28"/>
  <c r="AL9" i="28"/>
  <c r="AB9" i="28"/>
  <c r="AK11" i="28"/>
  <c r="AH15" i="28"/>
  <c r="AB24" i="28"/>
  <c r="X25" i="28"/>
  <c r="BA29" i="28"/>
  <c r="AL29" i="28"/>
  <c r="AM29" i="28" s="1"/>
  <c r="AB29" i="28"/>
  <c r="AO29" i="28" s="1"/>
  <c r="Z29" i="28"/>
  <c r="AG40" i="28"/>
  <c r="AH40" i="28" s="1"/>
  <c r="X53" i="28"/>
  <c r="AS80" i="28"/>
  <c r="AD80" i="28" s="1"/>
  <c r="AS79" i="28"/>
  <c r="AD79" i="28" s="1"/>
  <c r="AS78" i="28"/>
  <c r="AD78" i="28" s="1"/>
  <c r="AS77" i="28"/>
  <c r="AD77" i="28" s="1"/>
  <c r="AS76" i="28"/>
  <c r="AD76" i="28" s="1"/>
  <c r="AS75" i="28"/>
  <c r="AD75" i="28" s="1"/>
  <c r="AS74" i="28"/>
  <c r="AD74" i="28" s="1"/>
  <c r="AS73" i="28"/>
  <c r="AD73" i="28" s="1"/>
  <c r="AS72" i="28"/>
  <c r="AD72" i="28" s="1"/>
  <c r="AS71" i="28"/>
  <c r="AD71" i="28" s="1"/>
  <c r="AS70" i="28"/>
  <c r="AD70" i="28" s="1"/>
  <c r="AS68" i="28"/>
  <c r="AD68" i="28" s="1"/>
  <c r="AS67" i="28"/>
  <c r="AD67" i="28" s="1"/>
  <c r="AS66" i="28"/>
  <c r="AD66" i="28" s="1"/>
  <c r="P66" i="28" s="1"/>
  <c r="AS65" i="28"/>
  <c r="AD65" i="28" s="1"/>
  <c r="P65" i="28" s="1"/>
  <c r="Q65" i="28" s="1"/>
  <c r="AS64" i="28"/>
  <c r="AD64" i="28" s="1"/>
  <c r="AS63" i="28"/>
  <c r="AD63" i="28" s="1"/>
  <c r="AS62" i="28"/>
  <c r="AD62" i="28" s="1"/>
  <c r="P62" i="28" s="1"/>
  <c r="Q62" i="28" s="1"/>
  <c r="AS61" i="28"/>
  <c r="AD61" i="28" s="1"/>
  <c r="P61" i="28" s="1"/>
  <c r="Q61" i="28" s="1"/>
  <c r="AS60" i="28"/>
  <c r="AD60" i="28" s="1"/>
  <c r="AS59" i="28"/>
  <c r="AD59" i="28" s="1"/>
  <c r="P59" i="28" s="1"/>
  <c r="Q59" i="28" s="1"/>
  <c r="AS58" i="28"/>
  <c r="AD58" i="28" s="1"/>
  <c r="AS57" i="28"/>
  <c r="AD57" i="28" s="1"/>
  <c r="P57" i="28" s="1"/>
  <c r="AS53" i="28"/>
  <c r="AD53" i="28" s="1"/>
  <c r="AS47" i="28"/>
  <c r="AD47" i="28" s="1"/>
  <c r="P47" i="28" s="1"/>
  <c r="Q47" i="28" s="1"/>
  <c r="AS56" i="28"/>
  <c r="AD56" i="28" s="1"/>
  <c r="P56" i="28" s="1"/>
  <c r="Q56" i="28" s="1"/>
  <c r="O56" i="28" s="1"/>
  <c r="AS52" i="28"/>
  <c r="AD52" i="28" s="1"/>
  <c r="P52" i="28" s="1"/>
  <c r="Q52" i="28" s="1"/>
  <c r="O52" i="28" s="1"/>
  <c r="AS48" i="28"/>
  <c r="AD48" i="28" s="1"/>
  <c r="P48" i="28" s="1"/>
  <c r="Q48" i="28" s="1"/>
  <c r="O48" i="28" s="1"/>
  <c r="AS45" i="28"/>
  <c r="AD45" i="28" s="1"/>
  <c r="AS44" i="28"/>
  <c r="AD44" i="28" s="1"/>
  <c r="AS43" i="28"/>
  <c r="AD43" i="28" s="1"/>
  <c r="P43" i="28" s="1"/>
  <c r="Q43" i="28" s="1"/>
  <c r="AS42" i="28"/>
  <c r="AD42" i="28" s="1"/>
  <c r="AS41" i="28"/>
  <c r="AD41" i="28" s="1"/>
  <c r="AS40" i="28"/>
  <c r="AD40" i="28" s="1"/>
  <c r="AS39" i="28"/>
  <c r="AD39" i="28" s="1"/>
  <c r="AS38" i="28"/>
  <c r="AD38" i="28" s="1"/>
  <c r="AS37" i="28"/>
  <c r="AD37" i="28" s="1"/>
  <c r="AS36" i="28"/>
  <c r="AD36" i="28" s="1"/>
  <c r="AS35" i="28"/>
  <c r="AD35" i="28" s="1"/>
  <c r="P35" i="28" s="1"/>
  <c r="Q35" i="28" s="1"/>
  <c r="AS34" i="28"/>
  <c r="AD34" i="28" s="1"/>
  <c r="AS33" i="28"/>
  <c r="AD33" i="28" s="1"/>
  <c r="AS32" i="28"/>
  <c r="AD32" i="28" s="1"/>
  <c r="AS31" i="28"/>
  <c r="AD31" i="28" s="1"/>
  <c r="P31" i="28" s="1"/>
  <c r="Q31" i="28" s="1"/>
  <c r="AS30" i="28"/>
  <c r="AD30" i="28" s="1"/>
  <c r="AS29" i="28"/>
  <c r="AD29" i="28" s="1"/>
  <c r="P29" i="28" s="1"/>
  <c r="Q29" i="28" s="1"/>
  <c r="AS55" i="28"/>
  <c r="AD55" i="28" s="1"/>
  <c r="P55" i="28" s="1"/>
  <c r="Q55" i="28" s="1"/>
  <c r="AS54" i="28"/>
  <c r="AD54" i="28" s="1"/>
  <c r="P54" i="28" s="1"/>
  <c r="AS69" i="28"/>
  <c r="AD69" i="28" s="1"/>
  <c r="P69" i="28" s="1"/>
  <c r="Q69" i="28" s="1"/>
  <c r="O69" i="28" s="1"/>
  <c r="AS50" i="28"/>
  <c r="AD50" i="28" s="1"/>
  <c r="P50" i="28" s="1"/>
  <c r="AS49" i="28"/>
  <c r="AD49" i="28" s="1"/>
  <c r="P49" i="28" s="1"/>
  <c r="Q49" i="28" s="1"/>
  <c r="AS46" i="28"/>
  <c r="AD46" i="28" s="1"/>
  <c r="P46" i="28" s="1"/>
  <c r="Q46" i="28" s="1"/>
  <c r="AS28" i="28"/>
  <c r="AD28" i="28" s="1"/>
  <c r="P28" i="28" s="1"/>
  <c r="AS24" i="28"/>
  <c r="AD24" i="28" s="1"/>
  <c r="P24" i="28" s="1"/>
  <c r="Q24" i="28" s="1"/>
  <c r="O24" i="28" s="1"/>
  <c r="AS20" i="28"/>
  <c r="AD20" i="28" s="1"/>
  <c r="AS16" i="28"/>
  <c r="AD16" i="28" s="1"/>
  <c r="P16" i="28" s="1"/>
  <c r="Q16" i="28" s="1"/>
  <c r="O16" i="28" s="1"/>
  <c r="AS25" i="28"/>
  <c r="AD25" i="28" s="1"/>
  <c r="P25" i="28" s="1"/>
  <c r="Q25" i="28" s="1"/>
  <c r="O25" i="28" s="1"/>
  <c r="AS21" i="28"/>
  <c r="AD21" i="28" s="1"/>
  <c r="P21" i="28" s="1"/>
  <c r="Q21" i="28" s="1"/>
  <c r="O21" i="28" s="1"/>
  <c r="AS17" i="28"/>
  <c r="AD17" i="28" s="1"/>
  <c r="P17" i="28" s="1"/>
  <c r="Q17" i="28" s="1"/>
  <c r="O17" i="28" s="1"/>
  <c r="AS13" i="28"/>
  <c r="AD13" i="28" s="1"/>
  <c r="P13" i="28" s="1"/>
  <c r="Q13" i="28" s="1"/>
  <c r="O13" i="28" s="1"/>
  <c r="AS12" i="28"/>
  <c r="AD12" i="28" s="1"/>
  <c r="P12" i="28" s="1"/>
  <c r="Q12" i="28" s="1"/>
  <c r="AS11" i="28"/>
  <c r="AD11" i="28" s="1"/>
  <c r="P11" i="28" s="1"/>
  <c r="Q11" i="28" s="1"/>
  <c r="AS10" i="28"/>
  <c r="AD10" i="28" s="1"/>
  <c r="P10" i="28" s="1"/>
  <c r="Q10" i="28" s="1"/>
  <c r="AS9" i="28"/>
  <c r="AD9" i="28" s="1"/>
  <c r="P9" i="28" s="1"/>
  <c r="Q9" i="28" s="1"/>
  <c r="AS8" i="28"/>
  <c r="AD8" i="28" s="1"/>
  <c r="P8" i="28" s="1"/>
  <c r="Q8" i="28" s="1"/>
  <c r="AS7" i="28"/>
  <c r="AD7" i="28" s="1"/>
  <c r="P7" i="28" s="1"/>
  <c r="Q7" i="28" s="1"/>
  <c r="AS6" i="28"/>
  <c r="AD6" i="28" s="1"/>
  <c r="P6" i="28" s="1"/>
  <c r="Q6" i="28" s="1"/>
  <c r="AS5" i="28"/>
  <c r="AD5" i="28" s="1"/>
  <c r="AS4" i="28"/>
  <c r="AD4" i="28" s="1"/>
  <c r="P4" i="28" s="1"/>
  <c r="Q4" i="28" s="1"/>
  <c r="S4" i="28"/>
  <c r="BA4" i="28"/>
  <c r="AL4" i="28"/>
  <c r="AM4" i="28" s="1"/>
  <c r="BA8" i="28"/>
  <c r="AL8" i="28"/>
  <c r="AB8" i="28"/>
  <c r="BA12" i="28"/>
  <c r="AL12" i="28"/>
  <c r="AB12" i="28"/>
  <c r="AO13" i="28"/>
  <c r="AK13" i="28"/>
  <c r="AS14" i="28"/>
  <c r="AD14" i="28" s="1"/>
  <c r="P14" i="28" s="1"/>
  <c r="Q14" i="28" s="1"/>
  <c r="AM14" i="28"/>
  <c r="AS15" i="28"/>
  <c r="BA15" i="28"/>
  <c r="AG17" i="28"/>
  <c r="S17" i="28"/>
  <c r="AG18" i="28"/>
  <c r="S18" i="28"/>
  <c r="R19" i="28"/>
  <c r="AB20" i="28"/>
  <c r="AL20" i="28"/>
  <c r="AM20" i="28" s="1"/>
  <c r="X21" i="28"/>
  <c r="AK22" i="28"/>
  <c r="S23" i="28"/>
  <c r="R26" i="28"/>
  <c r="AR29" i="28"/>
  <c r="AT32" i="28"/>
  <c r="AR32" i="28"/>
  <c r="AK35" i="28"/>
  <c r="BA35" i="28"/>
  <c r="AL35" i="28"/>
  <c r="AB35" i="28"/>
  <c r="AO35" i="28" s="1"/>
  <c r="Z35" i="28"/>
  <c r="AR39" i="28"/>
  <c r="AG45" i="28"/>
  <c r="AM50" i="28"/>
  <c r="AS51" i="28"/>
  <c r="AD51" i="28" s="1"/>
  <c r="P51" i="28" s="1"/>
  <c r="AG5" i="28"/>
  <c r="BA6" i="28"/>
  <c r="AL6" i="28"/>
  <c r="AB6" i="28"/>
  <c r="AO6" i="28" s="1"/>
  <c r="BA10" i="28"/>
  <c r="AL10" i="28"/>
  <c r="AB10" i="28"/>
  <c r="AO10" i="28" s="1"/>
  <c r="AE19" i="28"/>
  <c r="AH19" i="28"/>
  <c r="AG25" i="28"/>
  <c r="S25" i="28"/>
  <c r="AG26" i="28"/>
  <c r="S26" i="28"/>
  <c r="AO28" i="28"/>
  <c r="AK28" i="28"/>
  <c r="AG37" i="28"/>
  <c r="AT40" i="28"/>
  <c r="AR40" i="28"/>
  <c r="AK43" i="28"/>
  <c r="AF53" i="28"/>
  <c r="AE53" i="28"/>
  <c r="AH53" i="28"/>
  <c r="AF56" i="28"/>
  <c r="AH56" i="28"/>
  <c r="Z57" i="28"/>
  <c r="BA57" i="28"/>
  <c r="AB57" i="28"/>
  <c r="AL57" i="28"/>
  <c r="AM57" i="28" s="1"/>
  <c r="AH6" i="28"/>
  <c r="S8" i="28"/>
  <c r="AG8" i="28"/>
  <c r="AH10" i="28"/>
  <c r="S12" i="28"/>
  <c r="AG12" i="28"/>
  <c r="AO17" i="28"/>
  <c r="AK17" i="28"/>
  <c r="AM17" i="28"/>
  <c r="Z20" i="28"/>
  <c r="AG21" i="28"/>
  <c r="S21" i="28"/>
  <c r="AG22" i="28"/>
  <c r="S22" i="28"/>
  <c r="R23" i="28"/>
  <c r="AK23" i="28"/>
  <c r="AL24" i="28"/>
  <c r="AM24" i="28" s="1"/>
  <c r="AK26" i="28"/>
  <c r="AL27" i="28"/>
  <c r="AM27" i="28" s="1"/>
  <c r="AG33" i="28"/>
  <c r="AT36" i="28"/>
  <c r="AR36" i="28"/>
  <c r="AK39" i="28"/>
  <c r="BA39" i="28"/>
  <c r="AL39" i="28"/>
  <c r="AB39" i="28"/>
  <c r="AO39" i="28" s="1"/>
  <c r="Z39" i="28"/>
  <c r="AR43" i="28"/>
  <c r="AG52" i="28"/>
  <c r="X57" i="28"/>
  <c r="Z5" i="28"/>
  <c r="BA7" i="28"/>
  <c r="AL7" i="28"/>
  <c r="AB7" i="28"/>
  <c r="AO7" i="28" s="1"/>
  <c r="AH8" i="28"/>
  <c r="Z9" i="28"/>
  <c r="BA11" i="28"/>
  <c r="AL11" i="28"/>
  <c r="AM11" i="28" s="1"/>
  <c r="AB11" i="28"/>
  <c r="AO11" i="28" s="1"/>
  <c r="AH12" i="28"/>
  <c r="AG13" i="28"/>
  <c r="AG14" i="28"/>
  <c r="S14" i="28"/>
  <c r="AO16" i="28"/>
  <c r="AK16" i="28"/>
  <c r="X17" i="28"/>
  <c r="R17" i="28"/>
  <c r="AF19" i="28"/>
  <c r="R22" i="28"/>
  <c r="AO25" i="28"/>
  <c r="AK25" i="28"/>
  <c r="AS26" i="28"/>
  <c r="AD26" i="28" s="1"/>
  <c r="P26" i="28" s="1"/>
  <c r="Q26" i="28" s="1"/>
  <c r="O26" i="28" s="1"/>
  <c r="AM26" i="28"/>
  <c r="AS27" i="28"/>
  <c r="AD27" i="28" s="1"/>
  <c r="P27" i="28" s="1"/>
  <c r="BA27" i="28"/>
  <c r="S29" i="28"/>
  <c r="AG29" i="28"/>
  <c r="AK31" i="28"/>
  <c r="BA31" i="28"/>
  <c r="AL31" i="28"/>
  <c r="AM31" i="28" s="1"/>
  <c r="AB31" i="28"/>
  <c r="AO31" i="28" s="1"/>
  <c r="Z31" i="28"/>
  <c r="AG32" i="28"/>
  <c r="AG41" i="28"/>
  <c r="AT44" i="28"/>
  <c r="AR44" i="28"/>
  <c r="AH54" i="28"/>
  <c r="AK54" i="28"/>
  <c r="AO54" i="28"/>
  <c r="T15" i="28"/>
  <c r="T19" i="28"/>
  <c r="T23" i="28"/>
  <c r="T27" i="28"/>
  <c r="AH33" i="28"/>
  <c r="AK33" i="28"/>
  <c r="BA33" i="28"/>
  <c r="AL33" i="28"/>
  <c r="AB33" i="28"/>
  <c r="AO33" i="28" s="1"/>
  <c r="Z33" i="28"/>
  <c r="AG34" i="28"/>
  <c r="AK37" i="28"/>
  <c r="BA37" i="28"/>
  <c r="AL37" i="28"/>
  <c r="AB37" i="28"/>
  <c r="AO37" i="28" s="1"/>
  <c r="Z37" i="28"/>
  <c r="AG38" i="28"/>
  <c r="AH41" i="28"/>
  <c r="AK41" i="28"/>
  <c r="BA41" i="28"/>
  <c r="AL41" i="28"/>
  <c r="AB41" i="28"/>
  <c r="AO41" i="28" s="1"/>
  <c r="Z41" i="28"/>
  <c r="AG42" i="28"/>
  <c r="AH42" i="28" s="1"/>
  <c r="AH45" i="28"/>
  <c r="AK45" i="28"/>
  <c r="BA45" i="28"/>
  <c r="AL45" i="28"/>
  <c r="AB45" i="28"/>
  <c r="AO45" i="28" s="1"/>
  <c r="Z45" i="28"/>
  <c r="S47" i="28"/>
  <c r="AF51" i="28"/>
  <c r="AE51" i="28"/>
  <c r="AH51" i="28"/>
  <c r="AK51" i="28"/>
  <c r="AO51" i="28"/>
  <c r="AM54" i="28"/>
  <c r="AH55" i="28"/>
  <c r="S56" i="28"/>
  <c r="AG57" i="28"/>
  <c r="AR58" i="28"/>
  <c r="AT58" i="28"/>
  <c r="AG58" i="28" s="1"/>
  <c r="AR60" i="28"/>
  <c r="AT60" i="28"/>
  <c r="BA62" i="28"/>
  <c r="AL62" i="28"/>
  <c r="AB62" i="28"/>
  <c r="Z62" i="28"/>
  <c r="AH64" i="28"/>
  <c r="AG65" i="28"/>
  <c r="AR76" i="28"/>
  <c r="AT76" i="28"/>
  <c r="AR77" i="28"/>
  <c r="AT77" i="28"/>
  <c r="T13" i="28"/>
  <c r="T14" i="28"/>
  <c r="R16" i="28"/>
  <c r="T18" i="28"/>
  <c r="T22" i="28"/>
  <c r="R24" i="28"/>
  <c r="T26" i="28"/>
  <c r="AK29" i="28"/>
  <c r="AG30" i="28"/>
  <c r="AH30" i="28"/>
  <c r="AK30" i="28"/>
  <c r="BA30" i="28"/>
  <c r="AL30" i="28"/>
  <c r="AB30" i="28"/>
  <c r="AO30" i="28" s="1"/>
  <c r="Z30" i="28"/>
  <c r="S31" i="28"/>
  <c r="AG31" i="28"/>
  <c r="AR33" i="28"/>
  <c r="AH34" i="28"/>
  <c r="AK34" i="28"/>
  <c r="BA34" i="28"/>
  <c r="AL34" i="28"/>
  <c r="AB34" i="28"/>
  <c r="AO34" i="28" s="1"/>
  <c r="Z34" i="28"/>
  <c r="AG35" i="28"/>
  <c r="AR37" i="28"/>
  <c r="AH38" i="28"/>
  <c r="BA38" i="28"/>
  <c r="AL38" i="28"/>
  <c r="AB38" i="28"/>
  <c r="AO38" i="28" s="1"/>
  <c r="Z38" i="28"/>
  <c r="AG39" i="28"/>
  <c r="AR41" i="28"/>
  <c r="AK42" i="28"/>
  <c r="BA42" i="28"/>
  <c r="AL42" i="28"/>
  <c r="AM42" i="28" s="1"/>
  <c r="AB42" i="28"/>
  <c r="AO42" i="28" s="1"/>
  <c r="Z42" i="28"/>
  <c r="AG43" i="28"/>
  <c r="AR45" i="28"/>
  <c r="AG46" i="28"/>
  <c r="AG47" i="28"/>
  <c r="AO48" i="28"/>
  <c r="AK48" i="28"/>
  <c r="AM48" i="28"/>
  <c r="AE49" i="28"/>
  <c r="AH49" i="28"/>
  <c r="AB50" i="28"/>
  <c r="AG50" i="28"/>
  <c r="BA50" i="28"/>
  <c r="AB47" i="28"/>
  <c r="AL47" i="28"/>
  <c r="AM47" i="28" s="1"/>
  <c r="X48" i="28"/>
  <c r="R48" i="28"/>
  <c r="Z53" i="28"/>
  <c r="BA53" i="28"/>
  <c r="AB53" i="28"/>
  <c r="X56" i="28"/>
  <c r="R56" i="28"/>
  <c r="AT63" i="28"/>
  <c r="AO69" i="28"/>
  <c r="AK69" i="28"/>
  <c r="AG48" i="28"/>
  <c r="S48" i="28"/>
  <c r="X52" i="28"/>
  <c r="AK55" i="28"/>
  <c r="AO55" i="28"/>
  <c r="AH61" i="28"/>
  <c r="Z65" i="28"/>
  <c r="BA65" i="28"/>
  <c r="AL65" i="28"/>
  <c r="AB65" i="28"/>
  <c r="AO65" i="28" s="1"/>
  <c r="AE68" i="28"/>
  <c r="AH77" i="28"/>
  <c r="S49" i="28"/>
  <c r="T50" i="28"/>
  <c r="AB52" i="28"/>
  <c r="BA52" i="28"/>
  <c r="S55" i="28"/>
  <c r="AB56" i="28"/>
  <c r="BA56" i="28"/>
  <c r="AG62" i="28"/>
  <c r="T63" i="28"/>
  <c r="AE66" i="28"/>
  <c r="AK68" i="28"/>
  <c r="AH68" i="28"/>
  <c r="S69" i="28"/>
  <c r="AG69" i="28"/>
  <c r="T49" i="28"/>
  <c r="AG60" i="28"/>
  <c r="T61" i="28"/>
  <c r="AE64" i="28"/>
  <c r="AH66" i="28"/>
  <c r="AG67" i="28"/>
  <c r="Z67" i="28"/>
  <c r="BA67" i="28"/>
  <c r="AL67" i="28"/>
  <c r="AB67" i="28"/>
  <c r="AO67" i="28" s="1"/>
  <c r="AG73" i="28"/>
  <c r="BA59" i="28"/>
  <c r="AL59" i="28"/>
  <c r="AB59" i="28"/>
  <c r="AO59" i="28" s="1"/>
  <c r="BA61" i="28"/>
  <c r="AL61" i="28"/>
  <c r="AB61" i="28"/>
  <c r="AO61" i="28" s="1"/>
  <c r="AK65" i="28"/>
  <c r="AM69" i="28"/>
  <c r="AR72" i="28"/>
  <c r="AT72" i="28"/>
  <c r="AR80" i="28"/>
  <c r="AT80" i="28"/>
  <c r="AF64" i="28"/>
  <c r="Z64" i="28"/>
  <c r="BA64" i="28"/>
  <c r="AL64" i="28"/>
  <c r="AB64" i="28"/>
  <c r="AO64" i="28" s="1"/>
  <c r="Z66" i="28"/>
  <c r="BA66" i="28"/>
  <c r="AL66" i="28"/>
  <c r="AM66" i="28" s="1"/>
  <c r="AB66" i="28"/>
  <c r="AO66" i="28" s="1"/>
  <c r="AF68" i="28"/>
  <c r="Z68" i="28"/>
  <c r="BA68" i="28"/>
  <c r="AL68" i="28"/>
  <c r="AB68" i="28"/>
  <c r="AO68" i="28" s="1"/>
  <c r="X69" i="28"/>
  <c r="R69" i="28"/>
  <c r="AG72" i="28"/>
  <c r="AH72" i="28" s="1"/>
  <c r="AR73" i="28"/>
  <c r="AT73" i="28"/>
  <c r="AG77" i="28"/>
  <c r="AG80" i="28"/>
  <c r="X70" i="28"/>
  <c r="AR70" i="28"/>
  <c r="AT70" i="28"/>
  <c r="AL70" i="28" s="1"/>
  <c r="AG74" i="28"/>
  <c r="AR74" i="28"/>
  <c r="AT74" i="28"/>
  <c r="AR78" i="28"/>
  <c r="AT78" i="28"/>
  <c r="U71" i="28"/>
  <c r="AR71" i="28"/>
  <c r="AT71" i="28"/>
  <c r="AR75" i="28"/>
  <c r="AT75" i="28"/>
  <c r="AG75" i="28" s="1"/>
  <c r="AR79" i="28"/>
  <c r="AT79" i="28"/>
  <c r="BC33" i="29" l="1"/>
  <c r="BC30" i="29"/>
  <c r="BC15" i="29"/>
  <c r="P43" i="29"/>
  <c r="BC23" i="29"/>
  <c r="BC14" i="29"/>
  <c r="BC16" i="29"/>
  <c r="BC60" i="29"/>
  <c r="BC56" i="29"/>
  <c r="BC64" i="29"/>
  <c r="BC38" i="29"/>
  <c r="BC22" i="29"/>
  <c r="BC19" i="29"/>
  <c r="BC17" i="29"/>
  <c r="BC39" i="29"/>
  <c r="BC34" i="29"/>
  <c r="BC31" i="29"/>
  <c r="BC26" i="29"/>
  <c r="BC18" i="29"/>
  <c r="BC12" i="29"/>
  <c r="BC24" i="29"/>
  <c r="BC32" i="29"/>
  <c r="BC67" i="29"/>
  <c r="BC70" i="29"/>
  <c r="BC59" i="29"/>
  <c r="BC55" i="29"/>
  <c r="BC52" i="29"/>
  <c r="BC43" i="29"/>
  <c r="BC35" i="29"/>
  <c r="BC25" i="29"/>
  <c r="BC13" i="29"/>
  <c r="BC28" i="29"/>
  <c r="BC20" i="29"/>
  <c r="BC29" i="29"/>
  <c r="BC21" i="29"/>
  <c r="BC4" i="29"/>
  <c r="BC74" i="29"/>
  <c r="BC65" i="29"/>
  <c r="BC66" i="29"/>
  <c r="BC58" i="29"/>
  <c r="BC54" i="29"/>
  <c r="BC49" i="29"/>
  <c r="BC27" i="29"/>
  <c r="P69" i="29"/>
  <c r="BC36" i="29"/>
  <c r="BC37" i="29"/>
  <c r="BC44" i="29"/>
  <c r="P41" i="29"/>
  <c r="BC9" i="29"/>
  <c r="BC62" i="29"/>
  <c r="BC77" i="29"/>
  <c r="BC73" i="29"/>
  <c r="P73" i="29"/>
  <c r="BC71" i="29"/>
  <c r="BC79" i="29"/>
  <c r="BC68" i="29"/>
  <c r="P47" i="29"/>
  <c r="P66" i="29"/>
  <c r="P72" i="29"/>
  <c r="BC11" i="29"/>
  <c r="AF75" i="28"/>
  <c r="AE75" i="28"/>
  <c r="AH75" i="28"/>
  <c r="AF58" i="28"/>
  <c r="AE58" i="28"/>
  <c r="AH58" i="28"/>
  <c r="BA79" i="28"/>
  <c r="AL79" i="28"/>
  <c r="AB79" i="28"/>
  <c r="Z79" i="28"/>
  <c r="BA71" i="28"/>
  <c r="AL71" i="28"/>
  <c r="AB71" i="28"/>
  <c r="Z71" i="28"/>
  <c r="AF74" i="28"/>
  <c r="AE74" i="28"/>
  <c r="AF80" i="28"/>
  <c r="AE80" i="28"/>
  <c r="AE60" i="28"/>
  <c r="AF60" i="28"/>
  <c r="AE62" i="28"/>
  <c r="AF62" i="28"/>
  <c r="AE48" i="28"/>
  <c r="AF48" i="28"/>
  <c r="AH48" i="28"/>
  <c r="AF65" i="28"/>
  <c r="AE65" i="28"/>
  <c r="AH65" i="28"/>
  <c r="AO62" i="28"/>
  <c r="AK62" i="28"/>
  <c r="AE32" i="28"/>
  <c r="AF32" i="28"/>
  <c r="AF29" i="28"/>
  <c r="AE29" i="28"/>
  <c r="AE37" i="28"/>
  <c r="AF37" i="28"/>
  <c r="AF5" i="28"/>
  <c r="AE5" i="28"/>
  <c r="O9" i="28"/>
  <c r="R9" i="28"/>
  <c r="O46" i="28"/>
  <c r="R46" i="28"/>
  <c r="Q54" i="28"/>
  <c r="S54" i="28"/>
  <c r="O35" i="28"/>
  <c r="R35" i="28"/>
  <c r="P39" i="28"/>
  <c r="O43" i="28"/>
  <c r="R43" i="28"/>
  <c r="Q57" i="28"/>
  <c r="S57" i="28"/>
  <c r="R61" i="28"/>
  <c r="O61" i="28"/>
  <c r="R13" i="28"/>
  <c r="AF9" i="28"/>
  <c r="AE9" i="28"/>
  <c r="AF11" i="28"/>
  <c r="AE11" i="28"/>
  <c r="AF61" i="28"/>
  <c r="AE61" i="28"/>
  <c r="AE20" i="28"/>
  <c r="AF20" i="28"/>
  <c r="AH20" i="28"/>
  <c r="AG79" i="28"/>
  <c r="BA78" i="28"/>
  <c r="AL78" i="28"/>
  <c r="AB78" i="28"/>
  <c r="Z78" i="28"/>
  <c r="AH74" i="28"/>
  <c r="AH80" i="28"/>
  <c r="BA80" i="28"/>
  <c r="AL80" i="28"/>
  <c r="AB80" i="28"/>
  <c r="Z80" i="28"/>
  <c r="AM59" i="28"/>
  <c r="AF67" i="28"/>
  <c r="AE67" i="28"/>
  <c r="AH67" i="28"/>
  <c r="AF69" i="28"/>
  <c r="AE69" i="28"/>
  <c r="AH60" i="28"/>
  <c r="AM65" i="28"/>
  <c r="R52" i="28"/>
  <c r="AH29" i="28"/>
  <c r="AE50" i="28"/>
  <c r="AH50" i="28"/>
  <c r="AF50" i="28"/>
  <c r="AE47" i="28"/>
  <c r="AF47" i="28"/>
  <c r="AH47" i="28"/>
  <c r="AE39" i="28"/>
  <c r="AF39" i="28"/>
  <c r="BA76" i="28"/>
  <c r="AL76" i="28"/>
  <c r="AB76" i="28"/>
  <c r="Z76" i="28"/>
  <c r="P76" i="28" s="1"/>
  <c r="AM62" i="28"/>
  <c r="BA44" i="28"/>
  <c r="AL44" i="28"/>
  <c r="AB44" i="28"/>
  <c r="Z44" i="28"/>
  <c r="P44" i="28" s="1"/>
  <c r="AH39" i="28"/>
  <c r="AE26" i="28"/>
  <c r="AH26" i="28"/>
  <c r="AF26" i="28"/>
  <c r="AE45" i="28"/>
  <c r="AF45" i="28"/>
  <c r="O14" i="28"/>
  <c r="R14" i="28"/>
  <c r="AO12" i="28"/>
  <c r="AK12" i="28"/>
  <c r="AH9" i="28"/>
  <c r="O10" i="28"/>
  <c r="R10" i="28"/>
  <c r="P20" i="28"/>
  <c r="O49" i="28"/>
  <c r="R49" i="28"/>
  <c r="R62" i="28"/>
  <c r="O62" i="28"/>
  <c r="P71" i="28"/>
  <c r="Q71" i="28" s="1"/>
  <c r="AO24" i="28"/>
  <c r="AK24" i="28"/>
  <c r="AK7" i="28"/>
  <c r="AM43" i="28"/>
  <c r="S9" i="28"/>
  <c r="S16" i="28"/>
  <c r="AF7" i="28"/>
  <c r="AE7" i="28"/>
  <c r="BA74" i="28"/>
  <c r="AL74" i="28"/>
  <c r="AM74" i="28" s="1"/>
  <c r="AB74" i="28"/>
  <c r="Z74" i="28"/>
  <c r="P74" i="28" s="1"/>
  <c r="BA73" i="28"/>
  <c r="AL73" i="28"/>
  <c r="AM73" i="28" s="1"/>
  <c r="AB73" i="28"/>
  <c r="Z73" i="28"/>
  <c r="AM68" i="28"/>
  <c r="AF66" i="28"/>
  <c r="BA72" i="28"/>
  <c r="AL72" i="28"/>
  <c r="AB72" i="28"/>
  <c r="Z72" i="28"/>
  <c r="AK67" i="28"/>
  <c r="AK66" i="28"/>
  <c r="S62" i="28"/>
  <c r="AK56" i="28"/>
  <c r="AO56" i="28"/>
  <c r="AM56" i="28"/>
  <c r="AO47" i="28"/>
  <c r="AK47" i="28"/>
  <c r="AF49" i="28"/>
  <c r="AK38" i="28"/>
  <c r="S35" i="28"/>
  <c r="AE31" i="28"/>
  <c r="AF31" i="28"/>
  <c r="AM30" i="28"/>
  <c r="AE30" i="28"/>
  <c r="AF30" i="28"/>
  <c r="BA77" i="28"/>
  <c r="AL77" i="28"/>
  <c r="AB77" i="28"/>
  <c r="Z77" i="28"/>
  <c r="P77" i="28" s="1"/>
  <c r="S65" i="28"/>
  <c r="BA60" i="28"/>
  <c r="AL60" i="28"/>
  <c r="AB60" i="28"/>
  <c r="Z60" i="28"/>
  <c r="AF57" i="28"/>
  <c r="AE57" i="28"/>
  <c r="AH57" i="28"/>
  <c r="AF55" i="28"/>
  <c r="S46" i="28"/>
  <c r="AF54" i="28"/>
  <c r="AE41" i="28"/>
  <c r="AF41" i="28"/>
  <c r="AH32" i="28"/>
  <c r="AH31" i="28"/>
  <c r="Q27" i="28"/>
  <c r="S27" i="28"/>
  <c r="S13" i="28"/>
  <c r="S52" i="28"/>
  <c r="BA36" i="28"/>
  <c r="AL36" i="28"/>
  <c r="AB36" i="28"/>
  <c r="Z36" i="28"/>
  <c r="P36" i="28" s="1"/>
  <c r="AK57" i="28"/>
  <c r="AO57" i="28"/>
  <c r="AE56" i="28"/>
  <c r="BA40" i="28"/>
  <c r="AL40" i="28"/>
  <c r="AM40" i="28" s="1"/>
  <c r="AB40" i="28"/>
  <c r="Z40" i="28"/>
  <c r="P40" i="28" s="1"/>
  <c r="AE25" i="28"/>
  <c r="AF25" i="28"/>
  <c r="AH25" i="28"/>
  <c r="AM10" i="28"/>
  <c r="Q51" i="28"/>
  <c r="S51" i="28"/>
  <c r="AG36" i="28"/>
  <c r="AM35" i="28"/>
  <c r="R21" i="28"/>
  <c r="AO20" i="28"/>
  <c r="AK20" i="28"/>
  <c r="AE18" i="28"/>
  <c r="AH18" i="28"/>
  <c r="AF18" i="28"/>
  <c r="AD15" i="28"/>
  <c r="AF15" i="28"/>
  <c r="AM8" i="28"/>
  <c r="O4" i="28"/>
  <c r="R4" i="28"/>
  <c r="O8" i="28"/>
  <c r="R8" i="28"/>
  <c r="O12" i="28"/>
  <c r="R12" i="28"/>
  <c r="Q28" i="28"/>
  <c r="S28" i="28"/>
  <c r="P30" i="28"/>
  <c r="P34" i="28"/>
  <c r="P38" i="28"/>
  <c r="P42" i="28"/>
  <c r="P53" i="28"/>
  <c r="P60" i="28"/>
  <c r="P64" i="28"/>
  <c r="P68" i="28"/>
  <c r="P73" i="28"/>
  <c r="AM9" i="28"/>
  <c r="AM5" i="28"/>
  <c r="AE16" i="28"/>
  <c r="AF16" i="28"/>
  <c r="AH16" i="28"/>
  <c r="AH11" i="28"/>
  <c r="S61" i="28"/>
  <c r="AE6" i="28"/>
  <c r="AF6" i="28"/>
  <c r="AK10" i="28"/>
  <c r="AE10" i="28"/>
  <c r="AF10" i="28"/>
  <c r="AG71" i="28"/>
  <c r="S71" i="28"/>
  <c r="AF73" i="28"/>
  <c r="AE73" i="28"/>
  <c r="BA63" i="28"/>
  <c r="AL63" i="28"/>
  <c r="AB63" i="28"/>
  <c r="Z63" i="28"/>
  <c r="AE43" i="28"/>
  <c r="AF43" i="28"/>
  <c r="AE13" i="28"/>
  <c r="AF13" i="28"/>
  <c r="AH13" i="28"/>
  <c r="AE21" i="28"/>
  <c r="AF21" i="28"/>
  <c r="AH21" i="28"/>
  <c r="BA32" i="28"/>
  <c r="AL32" i="28"/>
  <c r="AB32" i="28"/>
  <c r="Z32" i="28"/>
  <c r="P32" i="28" s="1"/>
  <c r="P5" i="28"/>
  <c r="O31" i="28"/>
  <c r="R31" i="28"/>
  <c r="R65" i="28"/>
  <c r="O65" i="28"/>
  <c r="P78" i="28"/>
  <c r="AE40" i="28"/>
  <c r="AF40" i="28"/>
  <c r="Z70" i="28"/>
  <c r="P70" i="28" s="1"/>
  <c r="BA70" i="28"/>
  <c r="AB70" i="28"/>
  <c r="AH73" i="28"/>
  <c r="AM64" i="28"/>
  <c r="AM67" i="28"/>
  <c r="AK61" i="28"/>
  <c r="S43" i="28"/>
  <c r="AM38" i="28"/>
  <c r="BA58" i="28"/>
  <c r="AL58" i="28"/>
  <c r="AM58" i="28" s="1"/>
  <c r="AB58" i="28"/>
  <c r="Z58" i="28"/>
  <c r="AH37" i="28"/>
  <c r="AE33" i="28"/>
  <c r="AF33" i="28"/>
  <c r="AH43" i="28"/>
  <c r="AE17" i="28"/>
  <c r="AF17" i="28"/>
  <c r="AH17" i="28"/>
  <c r="O6" i="28"/>
  <c r="R6" i="28"/>
  <c r="O55" i="28"/>
  <c r="R55" i="28"/>
  <c r="P58" i="28"/>
  <c r="Q66" i="28"/>
  <c r="S66" i="28"/>
  <c r="P79" i="28"/>
  <c r="AF59" i="28"/>
  <c r="AE59" i="28"/>
  <c r="AH59" i="28"/>
  <c r="BA75" i="28"/>
  <c r="AL75" i="28"/>
  <c r="AM75" i="28" s="1"/>
  <c r="AB75" i="28"/>
  <c r="Z75" i="28"/>
  <c r="P75" i="28" s="1"/>
  <c r="AG78" i="28"/>
  <c r="AF77" i="28"/>
  <c r="AE77" i="28"/>
  <c r="AF72" i="28"/>
  <c r="AE72" i="28"/>
  <c r="AH69" i="28"/>
  <c r="AM61" i="28"/>
  <c r="AG70" i="28"/>
  <c r="AK52" i="28"/>
  <c r="AO52" i="28"/>
  <c r="AG76" i="28"/>
  <c r="AK59" i="28"/>
  <c r="AG63" i="28"/>
  <c r="AK53" i="28"/>
  <c r="AO53" i="28"/>
  <c r="AM53" i="28"/>
  <c r="AO50" i="28"/>
  <c r="AK50" i="28"/>
  <c r="AE46" i="28"/>
  <c r="AH46" i="28"/>
  <c r="AF46" i="28"/>
  <c r="AE35" i="28"/>
  <c r="AF35" i="28"/>
  <c r="AM34" i="28"/>
  <c r="AK64" i="28"/>
  <c r="AE55" i="28"/>
  <c r="AM45" i="28"/>
  <c r="AE42" i="28"/>
  <c r="AF42" i="28"/>
  <c r="AM41" i="28"/>
  <c r="AE38" i="28"/>
  <c r="AF38" i="28"/>
  <c r="AM37" i="28"/>
  <c r="AE34" i="28"/>
  <c r="AF34" i="28"/>
  <c r="AM33" i="28"/>
  <c r="AH62" i="28"/>
  <c r="AE54" i="28"/>
  <c r="AE14" i="28"/>
  <c r="AH14" i="28"/>
  <c r="AF14" i="28"/>
  <c r="AM7" i="28"/>
  <c r="AF52" i="28"/>
  <c r="AE52" i="28"/>
  <c r="AH52" i="28"/>
  <c r="AM39" i="28"/>
  <c r="AE22" i="28"/>
  <c r="AH22" i="28"/>
  <c r="AF22" i="28"/>
  <c r="AF12" i="28"/>
  <c r="AE12" i="28"/>
  <c r="AF8" i="28"/>
  <c r="AE8" i="28"/>
  <c r="AG44" i="28"/>
  <c r="AM6" i="28"/>
  <c r="AH35" i="28"/>
  <c r="AM12" i="28"/>
  <c r="AO8" i="28"/>
  <c r="AK8" i="28"/>
  <c r="AH5" i="28"/>
  <c r="O7" i="28"/>
  <c r="R7" i="28"/>
  <c r="O11" i="28"/>
  <c r="R11" i="28"/>
  <c r="Q50" i="28"/>
  <c r="S50" i="28"/>
  <c r="O29" i="28"/>
  <c r="R29" i="28"/>
  <c r="P33" i="28"/>
  <c r="P37" i="28"/>
  <c r="P41" i="28"/>
  <c r="P45" i="28"/>
  <c r="R47" i="28"/>
  <c r="O47" i="28"/>
  <c r="R59" i="28"/>
  <c r="O59" i="28"/>
  <c r="P63" i="28"/>
  <c r="P67" i="28"/>
  <c r="P72" i="28"/>
  <c r="P80" i="28"/>
  <c r="R25" i="28"/>
  <c r="AK9" i="28"/>
  <c r="AO9" i="28"/>
  <c r="AK5" i="28"/>
  <c r="AO5" i="28"/>
  <c r="AM52" i="28"/>
  <c r="AH7" i="28"/>
  <c r="AF27" i="28"/>
  <c r="AK6" i="28"/>
  <c r="S7" i="28"/>
  <c r="AE24" i="28"/>
  <c r="AF24" i="28"/>
  <c r="AH24" i="28"/>
  <c r="P62" i="29" l="1"/>
  <c r="Q62" i="29" s="1"/>
  <c r="O62" i="29" s="1"/>
  <c r="P67" i="29"/>
  <c r="Q67" i="29" s="1"/>
  <c r="P80" i="29"/>
  <c r="Q80" i="29" s="1"/>
  <c r="P49" i="29"/>
  <c r="S49" i="29" s="1"/>
  <c r="P77" i="29"/>
  <c r="P75" i="29"/>
  <c r="Q75" i="29" s="1"/>
  <c r="P44" i="29"/>
  <c r="Q44" i="29" s="1"/>
  <c r="P31" i="29"/>
  <c r="P22" i="29"/>
  <c r="P56" i="29"/>
  <c r="P39" i="29"/>
  <c r="P30" i="29"/>
  <c r="P13" i="29"/>
  <c r="P24" i="29"/>
  <c r="P53" i="29"/>
  <c r="P28" i="29"/>
  <c r="P78" i="29"/>
  <c r="Q78" i="29" s="1"/>
  <c r="P25" i="29"/>
  <c r="P37" i="29"/>
  <c r="P71" i="29"/>
  <c r="S71" i="29" s="1"/>
  <c r="P9" i="29"/>
  <c r="Q9" i="29" s="1"/>
  <c r="O9" i="29" s="1"/>
  <c r="P65" i="29"/>
  <c r="Q65" i="29" s="1"/>
  <c r="P63" i="29"/>
  <c r="Q63" i="29" s="1"/>
  <c r="P40" i="29"/>
  <c r="P29" i="29"/>
  <c r="P42" i="29"/>
  <c r="P34" i="29"/>
  <c r="P59" i="29"/>
  <c r="P16" i="29"/>
  <c r="P4" i="29"/>
  <c r="P21" i="29"/>
  <c r="P35" i="29"/>
  <c r="P8" i="29"/>
  <c r="P57" i="29"/>
  <c r="P33" i="29"/>
  <c r="P64" i="29"/>
  <c r="P18" i="29"/>
  <c r="P26" i="29"/>
  <c r="P38" i="29"/>
  <c r="P61" i="29"/>
  <c r="P55" i="29"/>
  <c r="P50" i="29"/>
  <c r="P58" i="29"/>
  <c r="P36" i="29"/>
  <c r="P46" i="29"/>
  <c r="P54" i="29"/>
  <c r="P32" i="29"/>
  <c r="P17" i="29"/>
  <c r="P23" i="29"/>
  <c r="P48" i="29"/>
  <c r="P11" i="29"/>
  <c r="S11" i="29" s="1"/>
  <c r="P76" i="29"/>
  <c r="Q76" i="29" s="1"/>
  <c r="P51" i="29"/>
  <c r="S51" i="29" s="1"/>
  <c r="P12" i="29"/>
  <c r="S12" i="29" s="1"/>
  <c r="P68" i="29"/>
  <c r="S68" i="29" s="1"/>
  <c r="P79" i="29"/>
  <c r="Q79" i="29" s="1"/>
  <c r="P70" i="29"/>
  <c r="Q70" i="29" s="1"/>
  <c r="P10" i="29"/>
  <c r="P45" i="29"/>
  <c r="P20" i="29"/>
  <c r="P52" i="29"/>
  <c r="P74" i="29"/>
  <c r="P27" i="29"/>
  <c r="P60" i="29"/>
  <c r="P15" i="29"/>
  <c r="P14" i="29"/>
  <c r="P5" i="29"/>
  <c r="P7" i="29"/>
  <c r="P19" i="29"/>
  <c r="P6" i="29"/>
  <c r="Q77" i="29"/>
  <c r="S77" i="29"/>
  <c r="Q73" i="29"/>
  <c r="S73" i="29"/>
  <c r="S70" i="29"/>
  <c r="Q11" i="29"/>
  <c r="Q51" i="29"/>
  <c r="Q43" i="29"/>
  <c r="S43" i="29"/>
  <c r="Q66" i="29"/>
  <c r="S66" i="29"/>
  <c r="Q72" i="29"/>
  <c r="S72" i="29"/>
  <c r="Q47" i="29"/>
  <c r="S47" i="29"/>
  <c r="S80" i="29"/>
  <c r="Q12" i="29"/>
  <c r="Q69" i="29"/>
  <c r="S69" i="29"/>
  <c r="Q41" i="29"/>
  <c r="S41" i="29"/>
  <c r="Q32" i="28"/>
  <c r="S32" i="28"/>
  <c r="Q77" i="28"/>
  <c r="S77" i="28"/>
  <c r="Q75" i="28"/>
  <c r="S75" i="28"/>
  <c r="Q36" i="28"/>
  <c r="S36" i="28"/>
  <c r="Q44" i="28"/>
  <c r="S44" i="28"/>
  <c r="Q70" i="28"/>
  <c r="S70" i="28"/>
  <c r="Q40" i="28"/>
  <c r="S40" i="28"/>
  <c r="Q74" i="28"/>
  <c r="S74" i="28"/>
  <c r="Q76" i="28"/>
  <c r="S76" i="28"/>
  <c r="Q41" i="28"/>
  <c r="S41" i="28"/>
  <c r="Q58" i="28"/>
  <c r="S58" i="28"/>
  <c r="AO70" i="28"/>
  <c r="AK70" i="28"/>
  <c r="Q73" i="28"/>
  <c r="S73" i="28"/>
  <c r="Q30" i="28"/>
  <c r="S30" i="28"/>
  <c r="O27" i="28"/>
  <c r="R27" i="28"/>
  <c r="AO60" i="28"/>
  <c r="AK60" i="28"/>
  <c r="AO80" i="28"/>
  <c r="AK80" i="28"/>
  <c r="AO71" i="28"/>
  <c r="AK71" i="28"/>
  <c r="AO79" i="28"/>
  <c r="AK79" i="28"/>
  <c r="Q67" i="28"/>
  <c r="S67" i="28"/>
  <c r="Q79" i="28"/>
  <c r="S79" i="28"/>
  <c r="Q78" i="28"/>
  <c r="S78" i="28"/>
  <c r="AM32" i="28"/>
  <c r="AM63" i="28"/>
  <c r="Q68" i="28"/>
  <c r="S68" i="28"/>
  <c r="Q42" i="28"/>
  <c r="S42" i="28"/>
  <c r="R51" i="28"/>
  <c r="O51" i="28"/>
  <c r="AO77" i="28"/>
  <c r="AK77" i="28"/>
  <c r="AO44" i="28"/>
  <c r="AK44" i="28"/>
  <c r="AM80" i="28"/>
  <c r="AF79" i="28"/>
  <c r="AE79" i="28"/>
  <c r="AH79" i="28"/>
  <c r="AM71" i="28"/>
  <c r="AM79" i="28"/>
  <c r="Q80" i="28"/>
  <c r="S80" i="28"/>
  <c r="Q33" i="28"/>
  <c r="S33" i="28"/>
  <c r="O50" i="28"/>
  <c r="R50" i="28"/>
  <c r="AF70" i="28"/>
  <c r="AE70" i="28"/>
  <c r="AH70" i="28"/>
  <c r="Q45" i="28"/>
  <c r="S45" i="28"/>
  <c r="AF76" i="28"/>
  <c r="AE76" i="28"/>
  <c r="AH76" i="28"/>
  <c r="AO75" i="28"/>
  <c r="AK75" i="28"/>
  <c r="R66" i="28"/>
  <c r="O66" i="28"/>
  <c r="AO58" i="28"/>
  <c r="AK58" i="28"/>
  <c r="Q60" i="28"/>
  <c r="S60" i="28"/>
  <c r="Q34" i="28"/>
  <c r="S34" i="28"/>
  <c r="P15" i="28"/>
  <c r="AE15" i="28"/>
  <c r="AE36" i="28"/>
  <c r="AF36" i="28"/>
  <c r="AH36" i="28"/>
  <c r="AO40" i="28"/>
  <c r="AK40" i="28"/>
  <c r="AM36" i="28"/>
  <c r="AO73" i="28"/>
  <c r="AK73" i="28"/>
  <c r="AO74" i="28"/>
  <c r="AK74" i="28"/>
  <c r="R71" i="28"/>
  <c r="O71" i="28"/>
  <c r="AM76" i="28"/>
  <c r="AM78" i="28"/>
  <c r="O57" i="28"/>
  <c r="R57" i="28"/>
  <c r="Q72" i="28"/>
  <c r="S72" i="28"/>
  <c r="AO32" i="28"/>
  <c r="AK32" i="28"/>
  <c r="AO63" i="28"/>
  <c r="AK63" i="28"/>
  <c r="Q53" i="28"/>
  <c r="S53" i="28"/>
  <c r="AM70" i="28"/>
  <c r="Q37" i="28"/>
  <c r="S37" i="28"/>
  <c r="AE44" i="28"/>
  <c r="AF44" i="28"/>
  <c r="AH44" i="28"/>
  <c r="AF63" i="28"/>
  <c r="AE63" i="28"/>
  <c r="AH63" i="28"/>
  <c r="AF78" i="28"/>
  <c r="AE78" i="28"/>
  <c r="AH78" i="28"/>
  <c r="AM60" i="28"/>
  <c r="AO72" i="28"/>
  <c r="AK72" i="28"/>
  <c r="Q63" i="28"/>
  <c r="S63" i="28"/>
  <c r="Q5" i="28"/>
  <c r="S5" i="28"/>
  <c r="AF71" i="28"/>
  <c r="AE71" i="28"/>
  <c r="AH71" i="28"/>
  <c r="Q64" i="28"/>
  <c r="S64" i="28"/>
  <c r="Q38" i="28"/>
  <c r="S38" i="28"/>
  <c r="O28" i="28"/>
  <c r="R28" i="28"/>
  <c r="AO36" i="28"/>
  <c r="AK36" i="28"/>
  <c r="AM77" i="28"/>
  <c r="AM72" i="28"/>
  <c r="Q20" i="28"/>
  <c r="S20" i="28"/>
  <c r="AM44" i="28"/>
  <c r="AO76" i="28"/>
  <c r="AK76" i="28"/>
  <c r="AO78" i="28"/>
  <c r="AK78" i="28"/>
  <c r="Q39" i="28"/>
  <c r="S39" i="28"/>
  <c r="O54" i="28"/>
  <c r="R54" i="28"/>
  <c r="Q49" i="29" l="1"/>
  <c r="Q71" i="29"/>
  <c r="S62" i="29"/>
  <c r="S75" i="29"/>
  <c r="S67" i="29"/>
  <c r="S78" i="29"/>
  <c r="Q68" i="29"/>
  <c r="R68" i="29" s="1"/>
  <c r="S65" i="29"/>
  <c r="S44" i="29"/>
  <c r="R62" i="29"/>
  <c r="R9" i="29"/>
  <c r="S79" i="29"/>
  <c r="S76" i="29"/>
  <c r="S9" i="29"/>
  <c r="Q17" i="29"/>
  <c r="S17" i="29"/>
  <c r="Q54" i="29"/>
  <c r="S54" i="29"/>
  <c r="Q25" i="29"/>
  <c r="S25" i="29"/>
  <c r="S5" i="29"/>
  <c r="Q5" i="29"/>
  <c r="Q27" i="29"/>
  <c r="S27" i="29"/>
  <c r="Q45" i="29"/>
  <c r="S45" i="29"/>
  <c r="Q46" i="29"/>
  <c r="S46" i="29"/>
  <c r="Q55" i="29"/>
  <c r="S55" i="29"/>
  <c r="Q18" i="29"/>
  <c r="S18" i="29"/>
  <c r="Q8" i="29"/>
  <c r="S8" i="29"/>
  <c r="Q16" i="29"/>
  <c r="S16" i="29"/>
  <c r="Q29" i="29"/>
  <c r="S29" i="29"/>
  <c r="Q13" i="29"/>
  <c r="S13" i="29"/>
  <c r="Q39" i="29"/>
  <c r="S39" i="29"/>
  <c r="Q22" i="29"/>
  <c r="S22" i="29"/>
  <c r="S63" i="29"/>
  <c r="Q23" i="29"/>
  <c r="S23" i="29"/>
  <c r="Q32" i="29"/>
  <c r="S32" i="29"/>
  <c r="Q37" i="29"/>
  <c r="S37" i="29"/>
  <c r="Q48" i="29"/>
  <c r="S48" i="29"/>
  <c r="Q19" i="29"/>
  <c r="S19" i="29"/>
  <c r="Q15" i="29"/>
  <c r="S15" i="29"/>
  <c r="Q52" i="29"/>
  <c r="S52" i="29"/>
  <c r="Q58" i="29"/>
  <c r="S58" i="29"/>
  <c r="Q38" i="29"/>
  <c r="S38" i="29"/>
  <c r="Q33" i="29"/>
  <c r="S33" i="29"/>
  <c r="Q21" i="29"/>
  <c r="S21" i="29"/>
  <c r="Q34" i="29"/>
  <c r="S34" i="29"/>
  <c r="Q53" i="29"/>
  <c r="S53" i="29"/>
  <c r="S6" i="29"/>
  <c r="Q6" i="29"/>
  <c r="Q7" i="29"/>
  <c r="S7" i="29"/>
  <c r="Q14" i="29"/>
  <c r="S14" i="29"/>
  <c r="Q60" i="29"/>
  <c r="S60" i="29"/>
  <c r="S74" i="29"/>
  <c r="Q74" i="29"/>
  <c r="Q20" i="29"/>
  <c r="S20" i="29"/>
  <c r="Q10" i="29"/>
  <c r="S10" i="29"/>
  <c r="Q36" i="29"/>
  <c r="S36" i="29"/>
  <c r="Q50" i="29"/>
  <c r="S50" i="29"/>
  <c r="Q61" i="29"/>
  <c r="S61" i="29"/>
  <c r="Q26" i="29"/>
  <c r="S26" i="29"/>
  <c r="Q64" i="29"/>
  <c r="S64" i="29"/>
  <c r="Q57" i="29"/>
  <c r="S57" i="29"/>
  <c r="Q35" i="29"/>
  <c r="S35" i="29"/>
  <c r="Q4" i="29"/>
  <c r="S4" i="29"/>
  <c r="Q59" i="29"/>
  <c r="S59" i="29"/>
  <c r="Q42" i="29"/>
  <c r="S42" i="29"/>
  <c r="Q40" i="29"/>
  <c r="S40" i="29"/>
  <c r="Q28" i="29"/>
  <c r="S28" i="29"/>
  <c r="Q24" i="29"/>
  <c r="S24" i="29"/>
  <c r="Q30" i="29"/>
  <c r="S30" i="29"/>
  <c r="Q56" i="29"/>
  <c r="S56" i="29"/>
  <c r="Q31" i="29"/>
  <c r="S31" i="29"/>
  <c r="R41" i="29"/>
  <c r="O41" i="29"/>
  <c r="R72" i="29"/>
  <c r="O72" i="29"/>
  <c r="R44" i="29"/>
  <c r="O44" i="29"/>
  <c r="R47" i="29"/>
  <c r="O47" i="29"/>
  <c r="R75" i="29"/>
  <c r="O75" i="29"/>
  <c r="R78" i="29"/>
  <c r="O78" i="29"/>
  <c r="R43" i="29"/>
  <c r="O43" i="29"/>
  <c r="R76" i="29"/>
  <c r="O76" i="29"/>
  <c r="O12" i="29"/>
  <c r="R12" i="29"/>
  <c r="R80" i="29"/>
  <c r="O80" i="29"/>
  <c r="R63" i="29"/>
  <c r="O63" i="29"/>
  <c r="R66" i="29"/>
  <c r="O66" i="29"/>
  <c r="R79" i="29"/>
  <c r="O79" i="29"/>
  <c r="O51" i="29"/>
  <c r="R51" i="29"/>
  <c r="O11" i="29"/>
  <c r="R11" i="29"/>
  <c r="R67" i="29"/>
  <c r="O67" i="29"/>
  <c r="R73" i="29"/>
  <c r="O73" i="29"/>
  <c r="R69" i="29"/>
  <c r="O69" i="29"/>
  <c r="O71" i="29"/>
  <c r="R71" i="29"/>
  <c r="R49" i="29"/>
  <c r="O49" i="29"/>
  <c r="R65" i="29"/>
  <c r="O65" i="29"/>
  <c r="R70" i="29"/>
  <c r="O70" i="29"/>
  <c r="O68" i="29"/>
  <c r="R77" i="29"/>
  <c r="O77" i="29"/>
  <c r="R72" i="28"/>
  <c r="O72" i="28"/>
  <c r="O33" i="28"/>
  <c r="R33" i="28"/>
  <c r="R79" i="28"/>
  <c r="O79" i="28"/>
  <c r="R58" i="28"/>
  <c r="O58" i="28"/>
  <c r="R76" i="28"/>
  <c r="O76" i="28"/>
  <c r="O40" i="28"/>
  <c r="R40" i="28"/>
  <c r="O44" i="28"/>
  <c r="R44" i="28"/>
  <c r="O32" i="28"/>
  <c r="R32" i="28"/>
  <c r="O5" i="28"/>
  <c r="R5" i="28"/>
  <c r="Q15" i="28"/>
  <c r="S15" i="28"/>
  <c r="O39" i="28"/>
  <c r="R39" i="28"/>
  <c r="R63" i="28"/>
  <c r="O63" i="28"/>
  <c r="O37" i="28"/>
  <c r="R37" i="28"/>
  <c r="O34" i="28"/>
  <c r="R34" i="28"/>
  <c r="R64" i="28"/>
  <c r="O64" i="28"/>
  <c r="O45" i="28"/>
  <c r="R45" i="28"/>
  <c r="O42" i="28"/>
  <c r="R42" i="28"/>
  <c r="R73" i="28"/>
  <c r="O73" i="28"/>
  <c r="R75" i="28"/>
  <c r="O75" i="28"/>
  <c r="R60" i="28"/>
  <c r="O60" i="28"/>
  <c r="O20" i="28"/>
  <c r="R20" i="28"/>
  <c r="O38" i="28"/>
  <c r="R38" i="28"/>
  <c r="O53" i="28"/>
  <c r="R53" i="28"/>
  <c r="R80" i="28"/>
  <c r="O80" i="28"/>
  <c r="R68" i="28"/>
  <c r="O68" i="28"/>
  <c r="R78" i="28"/>
  <c r="O78" i="28"/>
  <c r="R67" i="28"/>
  <c r="O67" i="28"/>
  <c r="O30" i="28"/>
  <c r="R30" i="28"/>
  <c r="O41" i="28"/>
  <c r="R41" i="28"/>
  <c r="R74" i="28"/>
  <c r="O74" i="28"/>
  <c r="O70" i="28"/>
  <c r="R70" i="28"/>
  <c r="O36" i="28"/>
  <c r="R36" i="28"/>
  <c r="R77" i="28"/>
  <c r="O77" i="28"/>
  <c r="O56" i="29" l="1"/>
  <c r="R56" i="29"/>
  <c r="O40" i="29"/>
  <c r="R40" i="29"/>
  <c r="O35" i="29"/>
  <c r="R35" i="29"/>
  <c r="O61" i="29"/>
  <c r="R61" i="29"/>
  <c r="O23" i="29"/>
  <c r="R23" i="29"/>
  <c r="R5" i="29"/>
  <c r="O5" i="29"/>
  <c r="O20" i="29"/>
  <c r="R20" i="29"/>
  <c r="O7" i="29"/>
  <c r="R7" i="29"/>
  <c r="O21" i="29"/>
  <c r="R21" i="29"/>
  <c r="R52" i="29"/>
  <c r="O52" i="29"/>
  <c r="O48" i="29"/>
  <c r="R48" i="29"/>
  <c r="O29" i="29"/>
  <c r="R29" i="29"/>
  <c r="R8" i="29"/>
  <c r="O8" i="29"/>
  <c r="R55" i="29"/>
  <c r="O55" i="29"/>
  <c r="R45" i="29"/>
  <c r="O45" i="29"/>
  <c r="O54" i="29"/>
  <c r="R54" i="29"/>
  <c r="O31" i="29"/>
  <c r="R31" i="29"/>
  <c r="O30" i="29"/>
  <c r="R30" i="29"/>
  <c r="O28" i="29"/>
  <c r="R28" i="29"/>
  <c r="R42" i="29"/>
  <c r="O42" i="29"/>
  <c r="R4" i="29"/>
  <c r="O4" i="29"/>
  <c r="R57" i="29"/>
  <c r="O57" i="29"/>
  <c r="O26" i="29"/>
  <c r="R26" i="29"/>
  <c r="O50" i="29"/>
  <c r="R50" i="29"/>
  <c r="R74" i="29"/>
  <c r="O74" i="29"/>
  <c r="R6" i="29"/>
  <c r="O6" i="29"/>
  <c r="O37" i="29"/>
  <c r="R37" i="29"/>
  <c r="O32" i="29"/>
  <c r="R32" i="29"/>
  <c r="O24" i="29"/>
  <c r="R24" i="29"/>
  <c r="R59" i="29"/>
  <c r="O59" i="29"/>
  <c r="R64" i="29"/>
  <c r="O64" i="29"/>
  <c r="O36" i="29"/>
  <c r="R36" i="29"/>
  <c r="R60" i="29"/>
  <c r="O60" i="29"/>
  <c r="O53" i="29"/>
  <c r="R53" i="29"/>
  <c r="O38" i="29"/>
  <c r="R38" i="29"/>
  <c r="O19" i="29"/>
  <c r="R19" i="29"/>
  <c r="O39" i="29"/>
  <c r="R39" i="29"/>
  <c r="R10" i="29"/>
  <c r="O10" i="29"/>
  <c r="O14" i="29"/>
  <c r="R14" i="29"/>
  <c r="O34" i="29"/>
  <c r="R34" i="29"/>
  <c r="O33" i="29"/>
  <c r="R33" i="29"/>
  <c r="O58" i="29"/>
  <c r="R58" i="29"/>
  <c r="O15" i="29"/>
  <c r="R15" i="29"/>
  <c r="O22" i="29"/>
  <c r="R22" i="29"/>
  <c r="O13" i="29"/>
  <c r="R13" i="29"/>
  <c r="O16" i="29"/>
  <c r="R16" i="29"/>
  <c r="O18" i="29"/>
  <c r="R18" i="29"/>
  <c r="R46" i="29"/>
  <c r="O46" i="29"/>
  <c r="O27" i="29"/>
  <c r="R27" i="29"/>
  <c r="O25" i="29"/>
  <c r="R25" i="29"/>
  <c r="O17" i="29"/>
  <c r="R17" i="29"/>
  <c r="O15" i="28"/>
  <c r="R15" i="28"/>
  <c r="R3" i="5" l="1"/>
  <c r="R4" i="5"/>
  <c r="R5" i="5"/>
  <c r="R6" i="5"/>
  <c r="R7" i="5"/>
  <c r="R8" i="5"/>
  <c r="R9" i="5"/>
  <c r="R10" i="5"/>
  <c r="R11" i="5"/>
  <c r="R12" i="5"/>
  <c r="R13" i="5"/>
  <c r="R14" i="5"/>
  <c r="R15" i="5"/>
  <c r="R16" i="5"/>
  <c r="R17" i="5"/>
  <c r="R18" i="5"/>
  <c r="R19" i="5"/>
  <c r="R2" i="5"/>
  <c r="Q3" i="5"/>
  <c r="Q4" i="5"/>
  <c r="Q5" i="5"/>
  <c r="Q6" i="5"/>
  <c r="Q7" i="5"/>
  <c r="Q8" i="5"/>
  <c r="Q9" i="5"/>
  <c r="Q10" i="5"/>
  <c r="Q11" i="5"/>
  <c r="Q12" i="5"/>
  <c r="Q13" i="5"/>
  <c r="Q14" i="5"/>
  <c r="Q15" i="5"/>
  <c r="Q16" i="5"/>
  <c r="Q17" i="5"/>
  <c r="Q18" i="5"/>
  <c r="Q19" i="5"/>
  <c r="Q60" i="2"/>
  <c r="Q61" i="2"/>
  <c r="Q62" i="2"/>
  <c r="Q63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AH52" i="1" l="1"/>
  <c r="C34" i="4" s="1"/>
  <c r="H33" i="4" l="1"/>
  <c r="B31" i="4"/>
  <c r="C27" i="4"/>
  <c r="H24" i="4"/>
  <c r="B24" i="4"/>
  <c r="C17" i="4"/>
  <c r="G15" i="4"/>
  <c r="H14" i="4"/>
  <c r="B14" i="4"/>
  <c r="C4" i="4"/>
  <c r="C2" i="4"/>
  <c r="P19" i="5"/>
  <c r="N19" i="5"/>
  <c r="A19" i="5"/>
  <c r="P18" i="5"/>
  <c r="N18" i="5"/>
  <c r="A18" i="5"/>
  <c r="P17" i="5"/>
  <c r="N17" i="5"/>
  <c r="A17" i="5"/>
  <c r="P16" i="5"/>
  <c r="N16" i="5"/>
  <c r="A16" i="5"/>
  <c r="P15" i="5"/>
  <c r="N15" i="5"/>
  <c r="A15" i="5"/>
  <c r="P14" i="5"/>
  <c r="N14" i="5"/>
  <c r="A14" i="5"/>
  <c r="P13" i="5"/>
  <c r="N13" i="5"/>
  <c r="A13" i="5"/>
  <c r="P12" i="5"/>
  <c r="N12" i="5"/>
  <c r="A12" i="5"/>
  <c r="P11" i="5"/>
  <c r="N11" i="5"/>
  <c r="A11" i="5"/>
  <c r="P10" i="5"/>
  <c r="N10" i="5"/>
  <c r="A10" i="5"/>
  <c r="P9" i="5"/>
  <c r="N9" i="5"/>
  <c r="A9" i="5"/>
  <c r="P8" i="5"/>
  <c r="N8" i="5"/>
  <c r="A8" i="5"/>
  <c r="P7" i="5"/>
  <c r="N7" i="5"/>
  <c r="A7" i="5"/>
  <c r="P6" i="5"/>
  <c r="N6" i="5"/>
  <c r="A6" i="5"/>
  <c r="P5" i="5"/>
  <c r="N5" i="5"/>
  <c r="A5" i="5"/>
  <c r="P4" i="5"/>
  <c r="N4" i="5"/>
  <c r="A4" i="5"/>
  <c r="P3" i="5"/>
  <c r="N3" i="5"/>
  <c r="A3" i="5"/>
  <c r="AI50" i="1" s="1"/>
  <c r="Q2" i="5"/>
  <c r="P2" i="5"/>
  <c r="N2" i="5"/>
  <c r="A2" i="5"/>
  <c r="P75" i="2"/>
  <c r="N75" i="2"/>
  <c r="A75" i="2"/>
  <c r="P74" i="2"/>
  <c r="N74" i="2"/>
  <c r="A74" i="2"/>
  <c r="P73" i="2"/>
  <c r="N73" i="2"/>
  <c r="A73" i="2"/>
  <c r="P72" i="2"/>
  <c r="N72" i="2"/>
  <c r="A72" i="2"/>
  <c r="P71" i="2"/>
  <c r="N71" i="2"/>
  <c r="A71" i="2"/>
  <c r="P70" i="2"/>
  <c r="N70" i="2"/>
  <c r="A70" i="2"/>
  <c r="P69" i="2"/>
  <c r="N69" i="2"/>
  <c r="A69" i="2"/>
  <c r="P68" i="2"/>
  <c r="N68" i="2"/>
  <c r="A68" i="2"/>
  <c r="P67" i="2"/>
  <c r="N67" i="2"/>
  <c r="A67" i="2"/>
  <c r="P66" i="2"/>
  <c r="N66" i="2"/>
  <c r="A66" i="2"/>
  <c r="P65" i="2"/>
  <c r="N65" i="2"/>
  <c r="A65" i="2"/>
  <c r="P64" i="2"/>
  <c r="N64" i="2"/>
  <c r="A64" i="2"/>
  <c r="R63" i="2"/>
  <c r="P63" i="2"/>
  <c r="N63" i="2"/>
  <c r="A63" i="2"/>
  <c r="R62" i="2"/>
  <c r="P62" i="2"/>
  <c r="N62" i="2"/>
  <c r="A62" i="2"/>
  <c r="R61" i="2"/>
  <c r="P61" i="2"/>
  <c r="N61" i="2"/>
  <c r="A61" i="2"/>
  <c r="R60" i="2"/>
  <c r="P60" i="2"/>
  <c r="N60" i="2"/>
  <c r="A60" i="2"/>
  <c r="R59" i="2"/>
  <c r="P59" i="2"/>
  <c r="N59" i="2"/>
  <c r="A59" i="2"/>
  <c r="R58" i="2"/>
  <c r="P58" i="2"/>
  <c r="N58" i="2"/>
  <c r="A58" i="2"/>
  <c r="R57" i="2"/>
  <c r="P57" i="2"/>
  <c r="N57" i="2"/>
  <c r="A57" i="2"/>
  <c r="R56" i="2"/>
  <c r="P56" i="2"/>
  <c r="N56" i="2"/>
  <c r="A56" i="2"/>
  <c r="R55" i="2"/>
  <c r="P55" i="2"/>
  <c r="N55" i="2"/>
  <c r="A55" i="2"/>
  <c r="R54" i="2"/>
  <c r="P54" i="2"/>
  <c r="N54" i="2"/>
  <c r="A54" i="2"/>
  <c r="R53" i="2"/>
  <c r="P53" i="2"/>
  <c r="N53" i="2"/>
  <c r="A53" i="2"/>
  <c r="R52" i="2"/>
  <c r="P52" i="2"/>
  <c r="N52" i="2"/>
  <c r="A52" i="2"/>
  <c r="R51" i="2"/>
  <c r="P51" i="2"/>
  <c r="N51" i="2"/>
  <c r="A51" i="2"/>
  <c r="P50" i="2"/>
  <c r="A50" i="2"/>
  <c r="P49" i="2"/>
  <c r="N49" i="2"/>
  <c r="A49" i="2"/>
  <c r="R48" i="2"/>
  <c r="P48" i="2"/>
  <c r="N48" i="2"/>
  <c r="A48" i="2"/>
  <c r="R47" i="2"/>
  <c r="P47" i="2"/>
  <c r="N47" i="2"/>
  <c r="A47" i="2"/>
  <c r="R46" i="2"/>
  <c r="P46" i="2"/>
  <c r="N46" i="2"/>
  <c r="A46" i="2"/>
  <c r="R45" i="2"/>
  <c r="P45" i="2"/>
  <c r="N45" i="2"/>
  <c r="A45" i="2"/>
  <c r="R44" i="2"/>
  <c r="P44" i="2"/>
  <c r="N44" i="2"/>
  <c r="A44" i="2"/>
  <c r="R43" i="2"/>
  <c r="P43" i="2"/>
  <c r="N43" i="2"/>
  <c r="A43" i="2"/>
  <c r="R42" i="2"/>
  <c r="P42" i="2"/>
  <c r="N42" i="2"/>
  <c r="A42" i="2"/>
  <c r="R41" i="2"/>
  <c r="P41" i="2"/>
  <c r="N41" i="2"/>
  <c r="A41" i="2"/>
  <c r="R40" i="2"/>
  <c r="P40" i="2"/>
  <c r="N40" i="2"/>
  <c r="A40" i="2"/>
  <c r="R39" i="2"/>
  <c r="P39" i="2"/>
  <c r="N39" i="2"/>
  <c r="A39" i="2"/>
  <c r="R38" i="2"/>
  <c r="P38" i="2"/>
  <c r="N38" i="2"/>
  <c r="A38" i="2"/>
  <c r="R37" i="2"/>
  <c r="P37" i="2"/>
  <c r="N37" i="2"/>
  <c r="A37" i="2"/>
  <c r="R36" i="2"/>
  <c r="P36" i="2"/>
  <c r="N36" i="2"/>
  <c r="A36" i="2"/>
  <c r="R35" i="2"/>
  <c r="P35" i="2"/>
  <c r="N35" i="2"/>
  <c r="A35" i="2"/>
  <c r="R34" i="2"/>
  <c r="P34" i="2"/>
  <c r="N34" i="2"/>
  <c r="A34" i="2"/>
  <c r="R33" i="2"/>
  <c r="P33" i="2"/>
  <c r="N33" i="2"/>
  <c r="A33" i="2"/>
  <c r="R32" i="2"/>
  <c r="P32" i="2"/>
  <c r="N32" i="2"/>
  <c r="A32" i="2"/>
  <c r="R31" i="2"/>
  <c r="P31" i="2"/>
  <c r="N31" i="2"/>
  <c r="A31" i="2"/>
  <c r="R30" i="2"/>
  <c r="P30" i="2"/>
  <c r="N30" i="2"/>
  <c r="A30" i="2"/>
  <c r="R29" i="2"/>
  <c r="Q29" i="2"/>
  <c r="P29" i="2"/>
  <c r="N29" i="2"/>
  <c r="A29" i="2"/>
  <c r="AI21" i="1" s="1"/>
  <c r="AH57" i="1"/>
  <c r="C43" i="4" s="1"/>
  <c r="Q55" i="1"/>
  <c r="N55" i="1"/>
  <c r="K55" i="1"/>
  <c r="I55" i="1"/>
  <c r="H55" i="1"/>
  <c r="G55" i="1"/>
  <c r="F55" i="1"/>
  <c r="E55" i="1"/>
  <c r="C55" i="1"/>
  <c r="AN54" i="1"/>
  <c r="Y54" i="1"/>
  <c r="O53" i="1"/>
  <c r="M53" i="1"/>
  <c r="K53" i="1"/>
  <c r="I53" i="1"/>
  <c r="H53" i="1"/>
  <c r="G53" i="1"/>
  <c r="F53" i="1"/>
  <c r="E53" i="1"/>
  <c r="AH53" i="1"/>
  <c r="C35" i="4" s="1"/>
  <c r="C51" i="1"/>
  <c r="AH50" i="1"/>
  <c r="Y48" i="1"/>
  <c r="R45" i="1"/>
  <c r="P45" i="1"/>
  <c r="L45" i="1"/>
  <c r="I45" i="1"/>
  <c r="H45" i="1"/>
  <c r="G45" i="1"/>
  <c r="F45" i="1"/>
  <c r="E45" i="1"/>
  <c r="D45" i="1"/>
  <c r="C45" i="1"/>
  <c r="O43" i="1"/>
  <c r="M43" i="1"/>
  <c r="K43" i="1"/>
  <c r="I43" i="1"/>
  <c r="H43" i="1"/>
  <c r="G43" i="1"/>
  <c r="F43" i="1"/>
  <c r="E43" i="1"/>
  <c r="D43" i="1"/>
  <c r="Y42" i="1"/>
  <c r="H25" i="4" s="1"/>
  <c r="C41" i="1"/>
  <c r="AM40" i="1"/>
  <c r="AI39" i="1"/>
  <c r="AD39" i="1"/>
  <c r="AO36" i="1"/>
  <c r="AV36" i="1" s="1"/>
  <c r="BE34" i="1"/>
  <c r="BC34" i="1"/>
  <c r="BB34" i="1"/>
  <c r="AZ34" i="1"/>
  <c r="AO34" i="1"/>
  <c r="AV34" i="1" s="1"/>
  <c r="Y34" i="1"/>
  <c r="Q34" i="1"/>
  <c r="N34" i="1"/>
  <c r="K34" i="1"/>
  <c r="I34" i="1"/>
  <c r="H34" i="1"/>
  <c r="G34" i="1"/>
  <c r="E34" i="1"/>
  <c r="AI33" i="1"/>
  <c r="BC32" i="1"/>
  <c r="AZ32" i="1"/>
  <c r="AO32" i="1"/>
  <c r="AV32" i="1" s="1"/>
  <c r="O32" i="1"/>
  <c r="N32" i="1"/>
  <c r="K32" i="1"/>
  <c r="I32" i="1"/>
  <c r="H32" i="1"/>
  <c r="G32" i="1"/>
  <c r="BD31" i="1"/>
  <c r="BA31" i="1"/>
  <c r="Y31" i="1"/>
  <c r="V31" i="1"/>
  <c r="AH30" i="1"/>
  <c r="E30" i="1"/>
  <c r="Y29" i="1"/>
  <c r="I23" i="1"/>
  <c r="H23" i="1"/>
  <c r="G23" i="1"/>
  <c r="F23" i="1"/>
  <c r="D23" i="1"/>
  <c r="AD21" i="1"/>
  <c r="H15" i="4" s="1"/>
  <c r="O21" i="1"/>
  <c r="M21" i="1"/>
  <c r="K21" i="1"/>
  <c r="I21" i="1"/>
  <c r="H21" i="1"/>
  <c r="G21" i="1"/>
  <c r="F21" i="1"/>
  <c r="X20" i="1"/>
  <c r="AM19" i="1"/>
  <c r="D19" i="1"/>
  <c r="AV14" i="1"/>
  <c r="Y12" i="1"/>
  <c r="AY20" i="1" s="1"/>
  <c r="Q12" i="1"/>
  <c r="N12" i="1"/>
  <c r="K12" i="1"/>
  <c r="I12" i="1"/>
  <c r="G12" i="1"/>
  <c r="O10" i="1"/>
  <c r="M10" i="1"/>
  <c r="K10" i="1"/>
  <c r="I10" i="1"/>
  <c r="G8" i="1"/>
  <c r="AN4" i="1"/>
  <c r="AO3" i="1"/>
  <c r="AN3" i="1"/>
  <c r="H3" i="1"/>
  <c r="F3" i="1"/>
  <c r="C24" i="4" l="1"/>
  <c r="AS3" i="29"/>
  <c r="AQ3" i="28"/>
  <c r="AZ3" i="29"/>
  <c r="BB3" i="29" s="1"/>
  <c r="AX3" i="28"/>
  <c r="AZ3" i="28" s="1"/>
  <c r="H42" i="4"/>
  <c r="H43" i="4"/>
  <c r="BE3" i="28"/>
  <c r="BG3" i="29"/>
  <c r="C42" i="4"/>
  <c r="AI42" i="1"/>
  <c r="N57" i="1"/>
  <c r="L47" i="1"/>
  <c r="I8" i="1"/>
  <c r="C5" i="4"/>
  <c r="C6" i="4"/>
  <c r="Y8" i="1"/>
  <c r="AI12" i="1"/>
  <c r="BC21" i="1" s="1"/>
  <c r="Y10" i="1"/>
  <c r="AH21" i="1"/>
  <c r="P23" i="1"/>
  <c r="AS29" i="1"/>
  <c r="BD30" i="1"/>
  <c r="AV29" i="1"/>
  <c r="BD29" i="1"/>
  <c r="AV37" i="1"/>
  <c r="BC29" i="1"/>
  <c r="BD32" i="1"/>
  <c r="AV30" i="1"/>
  <c r="AV44" i="1"/>
  <c r="AS42" i="1"/>
  <c r="AV43" i="1"/>
  <c r="BD34" i="1"/>
  <c r="AV42" i="1"/>
  <c r="AV45" i="1"/>
  <c r="AI60" i="1"/>
  <c r="AO59" i="1"/>
  <c r="AI59" i="1"/>
  <c r="AO58" i="1"/>
  <c r="AI55" i="1"/>
  <c r="AO57" i="1"/>
  <c r="AI54" i="1"/>
  <c r="I14" i="1"/>
  <c r="M51" i="1"/>
  <c r="D41" i="1"/>
  <c r="K41" i="1"/>
  <c r="D47" i="1"/>
  <c r="N30" i="1"/>
  <c r="G30" i="1"/>
  <c r="G36" i="1"/>
  <c r="N36" i="1"/>
  <c r="N14" i="1"/>
  <c r="E51" i="1"/>
  <c r="E57" i="1"/>
  <c r="AI37" i="1"/>
  <c r="AD55" i="1"/>
  <c r="AD48" i="1"/>
  <c r="AI44" i="1"/>
  <c r="AI35" i="1"/>
  <c r="AD54" i="1"/>
  <c r="AD42" i="1"/>
  <c r="AI43" i="1"/>
  <c r="AI34" i="1"/>
  <c r="AD50" i="1"/>
  <c r="AD43" i="1"/>
  <c r="AD56" i="1"/>
  <c r="AD49" i="1"/>
  <c r="AD44" i="1"/>
  <c r="F19" i="1"/>
  <c r="M8" i="1"/>
  <c r="L23" i="1"/>
  <c r="U3" i="1"/>
  <c r="F26" i="1"/>
  <c r="H34" i="4"/>
  <c r="K19" i="1"/>
  <c r="R23" i="1"/>
  <c r="C26" i="4"/>
  <c r="AN55" i="1"/>
  <c r="AH58" i="1"/>
  <c r="AD7" i="1"/>
  <c r="Z29" i="1"/>
  <c r="AH39" i="1"/>
  <c r="AO54" i="1"/>
  <c r="Z8" i="1"/>
  <c r="AH9" i="1"/>
  <c r="AH12" i="1"/>
  <c r="AD27" i="1"/>
  <c r="H3" i="29" s="1"/>
  <c r="AH33" i="1"/>
  <c r="G3" i="29" s="1"/>
  <c r="AC39" i="1"/>
  <c r="AB3" i="29" l="1"/>
  <c r="G3" i="28"/>
  <c r="E3" i="28"/>
  <c r="F3" i="28"/>
  <c r="H3" i="28"/>
  <c r="J3" i="29"/>
  <c r="L3" i="29"/>
  <c r="M3" i="29"/>
  <c r="U3" i="29" s="1"/>
  <c r="I3" i="29"/>
  <c r="T3" i="29" s="1"/>
  <c r="BI3" i="29"/>
  <c r="AU3" i="29"/>
  <c r="AV3" i="29"/>
  <c r="BC3" i="29" s="1"/>
  <c r="Z3" i="29" s="1"/>
  <c r="AD3" i="29" s="1"/>
  <c r="G29" i="1"/>
  <c r="N31" i="1" s="1"/>
  <c r="BG3" i="28"/>
  <c r="AT3" i="28" s="1"/>
  <c r="AS3" i="28"/>
  <c r="AD3" i="28" s="1"/>
  <c r="AN56" i="1"/>
  <c r="C44" i="4"/>
  <c r="AD29" i="1"/>
  <c r="I7" i="1"/>
  <c r="I9" i="1" s="1"/>
  <c r="AS9" i="1"/>
  <c r="C14" i="4"/>
  <c r="E50" i="1"/>
  <c r="M52" i="1" s="1"/>
  <c r="AI13" i="1"/>
  <c r="AS21" i="1"/>
  <c r="C16" i="4"/>
  <c r="AA3" i="28" s="1"/>
  <c r="AD8" i="1"/>
  <c r="AD15" i="1" s="1"/>
  <c r="L26" i="1"/>
  <c r="D40" i="1"/>
  <c r="D48" i="1"/>
  <c r="L48" i="1"/>
  <c r="K42" i="1"/>
  <c r="D42" i="1"/>
  <c r="G31" i="1"/>
  <c r="Y15" i="1"/>
  <c r="C7" i="4"/>
  <c r="F18" i="1"/>
  <c r="F20" i="1" s="1"/>
  <c r="N37" i="1"/>
  <c r="G37" i="1"/>
  <c r="N58" i="1"/>
  <c r="N15" i="1"/>
  <c r="I15" i="1"/>
  <c r="AH13" i="1"/>
  <c r="AV27" i="1"/>
  <c r="D24" i="4"/>
  <c r="BD27" i="1"/>
  <c r="AV39" i="1"/>
  <c r="AM9" i="1"/>
  <c r="AZ21" i="1"/>
  <c r="AM21" i="1"/>
  <c r="AM22" i="1" s="1"/>
  <c r="AZ29" i="1"/>
  <c r="AM29" i="1"/>
  <c r="AH34" i="1"/>
  <c r="AM42" i="1"/>
  <c r="D14" i="4"/>
  <c r="AV18" i="1"/>
  <c r="AV7" i="1"/>
  <c r="Y37" i="1"/>
  <c r="C8" i="4"/>
  <c r="AF3" i="29" l="1"/>
  <c r="AG3" i="29" s="1"/>
  <c r="P3" i="29" s="1"/>
  <c r="M9" i="1"/>
  <c r="M3" i="28"/>
  <c r="I3" i="28"/>
  <c r="J3" i="28"/>
  <c r="U3" i="28" s="1"/>
  <c r="AG3" i="28" s="1"/>
  <c r="L3" i="28"/>
  <c r="AB3" i="28"/>
  <c r="Z3" i="28"/>
  <c r="P3" i="28" s="1"/>
  <c r="BA3" i="28"/>
  <c r="AL3" i="28"/>
  <c r="AM3" i="28" s="1"/>
  <c r="BJ66" i="29"/>
  <c r="BJ22" i="29"/>
  <c r="BJ70" i="29"/>
  <c r="BJ48" i="29"/>
  <c r="BJ30" i="29"/>
  <c r="BJ34" i="29"/>
  <c r="BJ58" i="29"/>
  <c r="BJ27" i="29"/>
  <c r="BJ79" i="29"/>
  <c r="BJ51" i="29"/>
  <c r="BJ20" i="29"/>
  <c r="BJ36" i="29"/>
  <c r="BJ68" i="29"/>
  <c r="BJ31" i="29"/>
  <c r="BJ75" i="29"/>
  <c r="BJ57" i="29"/>
  <c r="BJ21" i="29"/>
  <c r="BJ37" i="29"/>
  <c r="BJ69" i="29"/>
  <c r="BJ4" i="29"/>
  <c r="BJ45" i="29"/>
  <c r="BJ42" i="29"/>
  <c r="BJ54" i="29"/>
  <c r="BJ15" i="29"/>
  <c r="BJ55" i="29"/>
  <c r="BJ28" i="29"/>
  <c r="BJ49" i="29"/>
  <c r="BJ76" i="29"/>
  <c r="BJ59" i="29"/>
  <c r="BJ29" i="29"/>
  <c r="BJ77" i="29"/>
  <c r="BJ23" i="29"/>
  <c r="BJ52" i="29"/>
  <c r="BJ10" i="29"/>
  <c r="BJ62" i="29"/>
  <c r="BJ7" i="29"/>
  <c r="BJ56" i="29"/>
  <c r="BJ35" i="29"/>
  <c r="BJ8" i="29"/>
  <c r="BJ60" i="29"/>
  <c r="BJ24" i="29"/>
  <c r="BJ41" i="29"/>
  <c r="BJ72" i="29"/>
  <c r="BJ44" i="29"/>
  <c r="BJ39" i="29"/>
  <c r="BJ40" i="29"/>
  <c r="BJ9" i="29"/>
  <c r="BJ25" i="29"/>
  <c r="BJ43" i="29"/>
  <c r="BJ73" i="29"/>
  <c r="BJ3" i="29"/>
  <c r="BJ78" i="29"/>
  <c r="AT3" i="29"/>
  <c r="BJ47" i="29"/>
  <c r="BJ12" i="29"/>
  <c r="BJ11" i="29"/>
  <c r="BJ63" i="29"/>
  <c r="BJ13" i="29"/>
  <c r="BJ61" i="29"/>
  <c r="BJ6" i="29"/>
  <c r="BJ38" i="29"/>
  <c r="BJ74" i="29"/>
  <c r="BJ14" i="29"/>
  <c r="BJ26" i="29"/>
  <c r="BJ18" i="29"/>
  <c r="BJ50" i="29"/>
  <c r="BJ19" i="29"/>
  <c r="BJ71" i="29"/>
  <c r="BJ53" i="29"/>
  <c r="BJ16" i="29"/>
  <c r="BJ32" i="29"/>
  <c r="BJ64" i="29"/>
  <c r="BJ80" i="29"/>
  <c r="BJ67" i="29"/>
  <c r="BJ46" i="29"/>
  <c r="BJ17" i="29"/>
  <c r="BJ33" i="29"/>
  <c r="BJ65" i="29"/>
  <c r="BJ5" i="29"/>
  <c r="AR3" i="28"/>
  <c r="BH7" i="28"/>
  <c r="BH3" i="28"/>
  <c r="BH79" i="28"/>
  <c r="BH75" i="28"/>
  <c r="BH71" i="28"/>
  <c r="BH66" i="28"/>
  <c r="BH69" i="28"/>
  <c r="BH56" i="28"/>
  <c r="BH52" i="28"/>
  <c r="BH58" i="28"/>
  <c r="BH29" i="28"/>
  <c r="BH37" i="28"/>
  <c r="BH19" i="28"/>
  <c r="BH40" i="28"/>
  <c r="BH20" i="28"/>
  <c r="BH5" i="28"/>
  <c r="BH9" i="28"/>
  <c r="BH30" i="28"/>
  <c r="BH17" i="28"/>
  <c r="BH34" i="28"/>
  <c r="BH38" i="28"/>
  <c r="BH73" i="28"/>
  <c r="BH64" i="28"/>
  <c r="BH54" i="28"/>
  <c r="BH60" i="28"/>
  <c r="BH27" i="28"/>
  <c r="BH32" i="28"/>
  <c r="BH13" i="28"/>
  <c r="BH6" i="28"/>
  <c r="BH11" i="28"/>
  <c r="BH76" i="28"/>
  <c r="BH67" i="28"/>
  <c r="BH57" i="28"/>
  <c r="BH46" i="28"/>
  <c r="BH41" i="28"/>
  <c r="BH44" i="28"/>
  <c r="BH8" i="28"/>
  <c r="BH48" i="28"/>
  <c r="BH31" i="28"/>
  <c r="BH78" i="28"/>
  <c r="BH74" i="28"/>
  <c r="BH70" i="28"/>
  <c r="BH65" i="28"/>
  <c r="BH61" i="28"/>
  <c r="BH55" i="28"/>
  <c r="BH51" i="28"/>
  <c r="BH47" i="28"/>
  <c r="BH28" i="28"/>
  <c r="BH33" i="28"/>
  <c r="BH15" i="28"/>
  <c r="BH36" i="28"/>
  <c r="BH16" i="28"/>
  <c r="BH14" i="28"/>
  <c r="BH39" i="28"/>
  <c r="BH43" i="28"/>
  <c r="BH4" i="28"/>
  <c r="BH12" i="28"/>
  <c r="BH42" i="28"/>
  <c r="BH21" i="28"/>
  <c r="BH77" i="28"/>
  <c r="BH68" i="28"/>
  <c r="BH59" i="28"/>
  <c r="BH50" i="28"/>
  <c r="BH45" i="28"/>
  <c r="BH62" i="28"/>
  <c r="BH26" i="28"/>
  <c r="BH10" i="28"/>
  <c r="BH25" i="28"/>
  <c r="BH18" i="28"/>
  <c r="BH80" i="28"/>
  <c r="BH72" i="28"/>
  <c r="BH63" i="28"/>
  <c r="BH53" i="28"/>
  <c r="BH49" i="28"/>
  <c r="BH23" i="28"/>
  <c r="BH24" i="28"/>
  <c r="BH22" i="28"/>
  <c r="BH35" i="28"/>
  <c r="AD33" i="1"/>
  <c r="AH59" i="1"/>
  <c r="AH60" i="1" s="1"/>
  <c r="AD36" i="1"/>
  <c r="E52" i="1"/>
  <c r="E58" i="1"/>
  <c r="AM20" i="1"/>
  <c r="AD22" i="1"/>
  <c r="Y14" i="1"/>
  <c r="K20" i="1"/>
  <c r="Y35" i="1" s="1"/>
  <c r="AV9" i="1"/>
  <c r="AD12" i="1"/>
  <c r="F27" i="1"/>
  <c r="Y11" i="1" s="1"/>
  <c r="Y13" i="1" s="1"/>
  <c r="H6" i="4"/>
  <c r="L27" i="1"/>
  <c r="Y32" i="1" s="1"/>
  <c r="BA29" i="1"/>
  <c r="AH54" i="1"/>
  <c r="AO9" i="1"/>
  <c r="H7" i="4"/>
  <c r="Y55" i="1"/>
  <c r="H44" i="4" s="1"/>
  <c r="Y43" i="1"/>
  <c r="Y49" i="1"/>
  <c r="AM41" i="1"/>
  <c r="C9" i="4"/>
  <c r="H8" i="4" s="1"/>
  <c r="T3" i="28" l="1"/>
  <c r="AJ59" i="1"/>
  <c r="Q3" i="28"/>
  <c r="S3" i="28"/>
  <c r="AK3" i="28"/>
  <c r="AO3" i="28"/>
  <c r="AF3" i="28"/>
  <c r="AH3" i="28"/>
  <c r="AE3" i="28"/>
  <c r="C38" i="4"/>
  <c r="C47" i="4"/>
  <c r="Y16" i="1"/>
  <c r="AD16" i="1"/>
  <c r="AD14" i="1" s="1"/>
  <c r="C19" i="4" s="1"/>
  <c r="H16" i="4"/>
  <c r="Y36" i="1"/>
  <c r="Y33" i="1"/>
  <c r="AH19" i="1"/>
  <c r="AV16" i="1"/>
  <c r="AV10" i="1"/>
  <c r="AD34" i="1"/>
  <c r="BA34" i="1"/>
  <c r="AO29" i="1"/>
  <c r="AO30" i="1" s="1"/>
  <c r="AD37" i="1"/>
  <c r="AD13" i="1"/>
  <c r="AD11" i="1" s="1"/>
  <c r="AV11" i="1" s="1"/>
  <c r="H26" i="4"/>
  <c r="AC40" i="1"/>
  <c r="AC52" i="1"/>
  <c r="AC53" i="1" s="1"/>
  <c r="AC54" i="1" s="1"/>
  <c r="AJ54" i="1"/>
  <c r="AH55" i="1"/>
  <c r="AN57" i="1"/>
  <c r="BA30" i="1"/>
  <c r="BA32" i="1"/>
  <c r="H35" i="4"/>
  <c r="AC46" i="1"/>
  <c r="AC47" i="1" s="1"/>
  <c r="AC48" i="1" s="1"/>
  <c r="AO10" i="1"/>
  <c r="AO16" i="1"/>
  <c r="H9" i="4"/>
  <c r="O3" i="28" l="1"/>
  <c r="R3" i="28"/>
  <c r="S3" i="29"/>
  <c r="Q3" i="29"/>
  <c r="AN59" i="1"/>
  <c r="AO39" i="1" s="1"/>
  <c r="C18" i="4"/>
  <c r="AE23" i="1"/>
  <c r="AD23" i="1" s="1"/>
  <c r="H17" i="4" s="1"/>
  <c r="AH10" i="1"/>
  <c r="AO13" i="1" s="1"/>
  <c r="AD35" i="1"/>
  <c r="Z44" i="1"/>
  <c r="I27" i="4" s="1"/>
  <c r="AH20" i="1"/>
  <c r="AI22" i="1" s="1"/>
  <c r="AH11" i="1"/>
  <c r="AD32" i="1"/>
  <c r="Z56" i="1"/>
  <c r="I45" i="4" s="1"/>
  <c r="Z50" i="1"/>
  <c r="I36" i="4" s="1"/>
  <c r="C28" i="4"/>
  <c r="AO37" i="1"/>
  <c r="AH31" i="1"/>
  <c r="AC49" i="1"/>
  <c r="H38" i="4" s="1"/>
  <c r="AE48" i="1"/>
  <c r="AC50" i="1"/>
  <c r="AC56" i="1"/>
  <c r="AC55" i="1"/>
  <c r="H47" i="4" s="1"/>
  <c r="AE54" i="1"/>
  <c r="AP57" i="1"/>
  <c r="AN58" i="1"/>
  <c r="AH40" i="1"/>
  <c r="AC41" i="1"/>
  <c r="AV13" i="1" l="1"/>
  <c r="O3" i="29"/>
  <c r="R3" i="29"/>
  <c r="AI14" i="1"/>
  <c r="AI16" i="1" s="1"/>
  <c r="I17" i="4"/>
  <c r="AH22" i="1"/>
  <c r="Y44" i="1"/>
  <c r="H27" i="4" s="1"/>
  <c r="AH14" i="1"/>
  <c r="AJ14" i="1" s="1"/>
  <c r="AH32" i="1"/>
  <c r="C29" i="4"/>
  <c r="AI23" i="1"/>
  <c r="AI24" i="1"/>
  <c r="Z58" i="1"/>
  <c r="Y58" i="1" s="1"/>
  <c r="Y56" i="1"/>
  <c r="Y50" i="1"/>
  <c r="AH41" i="1"/>
  <c r="AC42" i="1"/>
  <c r="AJ22" i="1" l="1"/>
  <c r="AH23" i="1"/>
  <c r="H19" i="4" s="1"/>
  <c r="AH24" i="1"/>
  <c r="H36" i="4"/>
  <c r="H45" i="4"/>
  <c r="AH35" i="1"/>
  <c r="AH16" i="1"/>
  <c r="AH42" i="1"/>
  <c r="AC44" i="1"/>
  <c r="AH44" i="1" s="1"/>
  <c r="AC43" i="1"/>
  <c r="H29" i="4" s="1"/>
  <c r="AE42" i="1"/>
  <c r="AO18" i="1" l="1"/>
  <c r="BD21" i="1" s="1"/>
  <c r="AJ35" i="1"/>
  <c r="AH37" i="1"/>
  <c r="AO44" i="1"/>
  <c r="AO45" i="1" s="1"/>
  <c r="AJ42" i="1"/>
  <c r="AH43" i="1"/>
  <c r="AO23" i="1" l="1"/>
  <c r="AO24" i="1" s="1"/>
  <c r="AV23" i="1"/>
  <c r="AV24" i="1" s="1"/>
  <c r="AV21" i="1"/>
  <c r="AO42" i="1"/>
  <c r="AO43" i="1" s="1"/>
  <c r="BA23" i="1"/>
  <c r="BA24" i="1" s="1"/>
  <c r="AO21" i="1"/>
  <c r="BA22" i="1" s="1"/>
  <c r="BA21" i="1"/>
  <c r="BD23" i="1"/>
  <c r="BD24" i="1" s="1"/>
  <c r="AV22" i="1" l="1"/>
  <c r="BD22" i="1"/>
  <c r="AO2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DISS Bertrand</author>
  </authors>
  <commentList>
    <comment ref="Q2" authorId="0" shapeId="0" xr:uid="{00000000-0006-0000-0000-000001000000}">
      <text>
        <r>
          <rPr>
            <b/>
            <u/>
            <sz val="11"/>
            <color indexed="9"/>
            <rFont val="Tahoma"/>
            <family val="2"/>
          </rPr>
          <t xml:space="preserve">
Ecartement habituel à 0,75 m</t>
        </r>
        <r>
          <rPr>
            <b/>
            <sz val="11"/>
            <color indexed="9"/>
            <rFont val="Tahoma"/>
            <family val="2"/>
          </rPr>
          <t xml:space="preserve"> :
- 2x2 / 4x2 / 6x2 : 1,50 m
- 4x3 / 6x3 :            2,25 m
</t>
        </r>
        <r>
          <rPr>
            <b/>
            <u/>
            <sz val="11"/>
            <color indexed="9"/>
            <rFont val="Tahoma"/>
            <family val="2"/>
          </rPr>
          <t xml:space="preserve">
Ecartement à 0,775 m</t>
        </r>
        <r>
          <rPr>
            <b/>
            <sz val="11"/>
            <color indexed="9"/>
            <rFont val="Tahoma"/>
            <family val="2"/>
          </rPr>
          <t xml:space="preserve"> :
- 2x2 / 4x2 / 6x2 : 1,55 m
- 4x3 / 6x3 :            2,325 m
</t>
        </r>
        <r>
          <rPr>
            <b/>
            <u/>
            <sz val="11"/>
            <color indexed="9"/>
            <rFont val="Tahoma"/>
            <family val="2"/>
          </rPr>
          <t>Ecartement à 0,80 m</t>
        </r>
        <r>
          <rPr>
            <b/>
            <sz val="11"/>
            <color indexed="9"/>
            <rFont val="Tahoma"/>
            <family val="2"/>
          </rPr>
          <t xml:space="preserve"> :
- 2x2 / 4x2 / 6x2 : 1,60 m
- 4x3 / 6x3 :            2,40 m
</t>
        </r>
      </text>
    </comment>
    <comment ref="Q3" authorId="0" shapeId="0" xr:uid="{00000000-0006-0000-0000-000002000000}">
      <text>
        <r>
          <rPr>
            <b/>
            <sz val="20"/>
            <color indexed="9"/>
            <rFont val="Tahoma"/>
            <family val="2"/>
          </rPr>
          <t xml:space="preserve">� </t>
        </r>
        <r>
          <rPr>
            <b/>
            <u/>
            <sz val="16"/>
            <color indexed="9"/>
            <rFont val="Tahoma"/>
            <family val="2"/>
          </rPr>
          <t>2x2 / 4x2 / 6x2</t>
        </r>
        <r>
          <rPr>
            <b/>
            <sz val="16"/>
            <color indexed="9"/>
            <rFont val="Tahoma"/>
            <family val="2"/>
          </rPr>
          <t xml:space="preserve"> :</t>
        </r>
        <r>
          <rPr>
            <b/>
            <sz val="14"/>
            <color indexed="9"/>
            <rFont val="Tahoma"/>
            <family val="2"/>
          </rPr>
          <t xml:space="preserve"> l'écartement doit être </t>
        </r>
        <r>
          <rPr>
            <b/>
            <sz val="16"/>
            <color indexed="9"/>
            <rFont val="Tahoma"/>
            <family val="2"/>
          </rPr>
          <t xml:space="preserve">&lt; ou =  à 1,60 m
  </t>
        </r>
        <r>
          <rPr>
            <b/>
            <u/>
            <sz val="16"/>
            <color indexed="9"/>
            <rFont val="Tahoma"/>
            <family val="2"/>
          </rPr>
          <t>4x3 / 6x3</t>
        </r>
        <r>
          <rPr>
            <b/>
            <sz val="16"/>
            <color indexed="9"/>
            <rFont val="Tahoma"/>
            <family val="2"/>
          </rPr>
          <t xml:space="preserve"> : </t>
        </r>
        <r>
          <rPr>
            <b/>
            <sz val="14"/>
            <color indexed="9"/>
            <rFont val="Tahoma"/>
            <family val="2"/>
          </rPr>
          <t>l'écartement doit être</t>
        </r>
        <r>
          <rPr>
            <b/>
            <sz val="16"/>
            <color indexed="9"/>
            <rFont val="Tahoma"/>
            <family val="2"/>
          </rPr>
          <t xml:space="preserve"> &gt; à 1,60 m</t>
        </r>
      </text>
    </comment>
    <comment ref="Y10" authorId="0" shapeId="0" xr:uid="{326B5326-FE13-4577-B7ED-A408B9170E16}">
      <text>
        <r>
          <rPr>
            <b/>
            <sz val="12"/>
            <color indexed="13"/>
            <rFont val="Tahoma"/>
            <family val="2"/>
          </rPr>
          <t xml:space="preserve">Si vous remplacez manuellement la formule par une autre valeur, pensez à recopier dans la cellule la formule d'origine suivante :
</t>
        </r>
        <r>
          <rPr>
            <sz val="12"/>
            <color indexed="13"/>
            <rFont val="Tahoma"/>
            <family val="2"/>
          </rPr>
          <t xml:space="preserve">
</t>
        </r>
        <r>
          <rPr>
            <sz val="12"/>
            <color indexed="9"/>
            <rFont val="Tahoma"/>
            <family val="2"/>
          </rPr>
          <t>=RECHERCHEV(V8;ListeSB!$A$29:$Q$75;13;FAUX)</t>
        </r>
      </text>
    </comment>
    <comment ref="AD20" authorId="0" shapeId="0" xr:uid="{FAEB95F4-229C-4D54-AEF9-8ADD619DA073}">
      <text>
        <r>
          <rPr>
            <b/>
            <sz val="12"/>
            <color indexed="13"/>
            <rFont val="Tahoma"/>
            <family val="2"/>
          </rPr>
          <t xml:space="preserve">Vérifier que vous avez modifié le </t>
        </r>
        <r>
          <rPr>
            <b/>
            <u/>
            <sz val="12"/>
            <color indexed="13"/>
            <rFont val="Tahoma"/>
            <family val="2"/>
          </rPr>
          <t>POURCENTAGE DE CORRECTION</t>
        </r>
        <r>
          <rPr>
            <b/>
            <sz val="12"/>
            <color indexed="13"/>
            <rFont val="Tahoma"/>
            <family val="2"/>
          </rPr>
          <t xml:space="preserve"> lorsque vous changez de variété et d'agriculteur !</t>
        </r>
      </text>
    </comment>
    <comment ref="Y31" authorId="0" shapeId="0" xr:uid="{8A20230D-4331-4F3F-9281-51F920EB8033}">
      <text>
        <r>
          <rPr>
            <b/>
            <sz val="12"/>
            <color indexed="13"/>
            <rFont val="Tahoma"/>
            <family val="2"/>
          </rPr>
          <t xml:space="preserve">Si vous remplacez manuellement la formule par une autre valeur, pensez à recopier dans la cellule la formule d'origine suivante :
</t>
        </r>
        <r>
          <rPr>
            <sz val="12"/>
            <color indexed="9"/>
            <rFont val="Tahoma"/>
            <family val="2"/>
          </rPr>
          <t xml:space="preserve">=RECHERCHEV(V8;ListeSB!$A$2:$Q$28;13;FAUX)
</t>
        </r>
      </text>
    </comment>
  </commentList>
</comments>
</file>

<file path=xl/sharedStrings.xml><?xml version="1.0" encoding="utf-8"?>
<sst xmlns="http://schemas.openxmlformats.org/spreadsheetml/2006/main" count="1086" uniqueCount="438">
  <si>
    <t>DISPOSITIF</t>
  </si>
  <si>
    <t>FEMELLE</t>
  </si>
  <si>
    <t>GENITEUR</t>
  </si>
  <si>
    <t>LOT</t>
  </si>
  <si>
    <t>ha</t>
  </si>
  <si>
    <t>cm</t>
  </si>
  <si>
    <t>4x3</t>
  </si>
  <si>
    <t>Graines/ha</t>
  </si>
  <si>
    <t>Grains par sac</t>
  </si>
  <si>
    <t>kg</t>
  </si>
  <si>
    <t>graines</t>
  </si>
  <si>
    <t>4 x 3</t>
  </si>
  <si>
    <t>Correction (terres lourdes, taupins …)</t>
  </si>
  <si>
    <t>Poids semence total</t>
  </si>
  <si>
    <t>6 x 2</t>
  </si>
  <si>
    <t>6 x 3</t>
  </si>
  <si>
    <t>MALE</t>
  </si>
  <si>
    <t>Géniteur</t>
  </si>
  <si>
    <t>Lot</t>
  </si>
  <si>
    <t>N° lot</t>
  </si>
  <si>
    <t>Calibre</t>
  </si>
  <si>
    <t>PMG</t>
  </si>
  <si>
    <t>FG</t>
  </si>
  <si>
    <t>CT</t>
  </si>
  <si>
    <t>Densité</t>
  </si>
  <si>
    <t>Densité GUS</t>
  </si>
  <si>
    <t>Mâle</t>
  </si>
  <si>
    <t>KW 3B3061</t>
  </si>
  <si>
    <t>KW 1F401</t>
  </si>
  <si>
    <t>KW 1G7328</t>
  </si>
  <si>
    <t>KW 1G7482 X KW 1G7423</t>
  </si>
  <si>
    <t>AMAVERITAS</t>
  </si>
  <si>
    <t>KW 1G7563</t>
  </si>
  <si>
    <t>KW 1F1736</t>
  </si>
  <si>
    <t>AMAVIT</t>
  </si>
  <si>
    <t>KW 1G7590</t>
  </si>
  <si>
    <t>KW 1A1880</t>
  </si>
  <si>
    <t>KW 1A2022</t>
  </si>
  <si>
    <t>KW 1F1717 X KW 1F401</t>
  </si>
  <si>
    <t>Femelle</t>
  </si>
  <si>
    <t>KW 5G7728</t>
  </si>
  <si>
    <t>KW 5G7503</t>
  </si>
  <si>
    <t>KW 5G7601</t>
  </si>
  <si>
    <t>KW 5G7601 CMS</t>
  </si>
  <si>
    <t xml:space="preserve">KW 5G7786 </t>
  </si>
  <si>
    <t>KW 5G7786 CMS</t>
  </si>
  <si>
    <t>KW 5F1504</t>
  </si>
  <si>
    <t>KW 5F1504 CMS</t>
  </si>
  <si>
    <t>2x2</t>
  </si>
  <si>
    <t>6x2</t>
  </si>
  <si>
    <t>6x3</t>
  </si>
  <si>
    <t>Ecart Semoir</t>
  </si>
  <si>
    <t>2 x 2</t>
  </si>
  <si>
    <r>
      <t xml:space="preserve">Nb </t>
    </r>
    <r>
      <rPr>
        <b/>
        <sz val="14"/>
        <color theme="1"/>
        <rFont val="Microsoft JhengHei"/>
        <family val="2"/>
      </rPr>
      <t>♂</t>
    </r>
  </si>
  <si>
    <r>
      <t xml:space="preserve">Nb </t>
    </r>
    <r>
      <rPr>
        <b/>
        <sz val="14"/>
        <color theme="1"/>
        <rFont val="Microsoft JhengHei"/>
        <family val="2"/>
      </rPr>
      <t>♀</t>
    </r>
  </si>
  <si>
    <t>gr/ha</t>
  </si>
  <si>
    <t>gr totale</t>
  </si>
  <si>
    <t>m</t>
  </si>
  <si>
    <t>graines/ha</t>
  </si>
  <si>
    <t>DENSITES REGLAGE SEMOIR</t>
  </si>
  <si>
    <t>Nombre de rangs femelle :</t>
  </si>
  <si>
    <t>Nombre de rangs mâle:</t>
  </si>
  <si>
    <t>Largeur planche femelle:</t>
  </si>
  <si>
    <t>CONSEIL DENSITE FEMELLE</t>
  </si>
  <si>
    <t>Largeur planche mâle:</t>
  </si>
  <si>
    <r>
      <t xml:space="preserve">Espacement entre graines </t>
    </r>
    <r>
      <rPr>
        <b/>
        <u/>
        <sz val="14"/>
        <color theme="1"/>
        <rFont val="Calibri"/>
        <family val="2"/>
        <scheme val="minor"/>
      </rPr>
      <t>femelles</t>
    </r>
    <r>
      <rPr>
        <b/>
        <sz val="14"/>
        <color theme="1"/>
        <rFont val="Calibri"/>
        <family val="2"/>
        <scheme val="minor"/>
      </rPr>
      <t xml:space="preserve"> sur le rang</t>
    </r>
    <r>
      <rPr>
        <b/>
        <sz val="12"/>
        <color theme="1"/>
        <rFont val="Calibri"/>
        <family val="2"/>
        <scheme val="minor"/>
      </rPr>
      <t xml:space="preserve"> </t>
    </r>
    <r>
      <rPr>
        <sz val="12"/>
        <color theme="1"/>
        <rFont val="Calibri"/>
        <family val="2"/>
        <scheme val="minor"/>
      </rPr>
      <t>(réglage semoir)</t>
    </r>
    <r>
      <rPr>
        <b/>
        <sz val="14"/>
        <color theme="1"/>
        <rFont val="Calibri"/>
        <family val="2"/>
        <scheme val="minor"/>
      </rPr>
      <t>:</t>
    </r>
  </si>
  <si>
    <t>Largeur planche totale:</t>
  </si>
  <si>
    <t>CONSEIL DENSITE MALE 1</t>
  </si>
  <si>
    <r>
      <t xml:space="preserve">Espacement entre graines </t>
    </r>
    <r>
      <rPr>
        <b/>
        <u/>
        <sz val="14"/>
        <color theme="1"/>
        <rFont val="Calibri"/>
        <family val="2"/>
        <scheme val="minor"/>
      </rPr>
      <t>mâles</t>
    </r>
    <r>
      <rPr>
        <b/>
        <sz val="14"/>
        <color theme="1"/>
        <rFont val="Calibri"/>
        <family val="2"/>
        <scheme val="minor"/>
      </rPr>
      <t xml:space="preserve"> sur le rang</t>
    </r>
    <r>
      <rPr>
        <b/>
        <sz val="12"/>
        <color theme="1"/>
        <rFont val="Calibri"/>
        <family val="2"/>
        <scheme val="minor"/>
      </rPr>
      <t xml:space="preserve"> </t>
    </r>
    <r>
      <rPr>
        <sz val="12"/>
        <color theme="1"/>
        <rFont val="Calibri"/>
        <family val="2"/>
        <scheme val="minor"/>
      </rPr>
      <t>(réglage semoir)</t>
    </r>
    <r>
      <rPr>
        <b/>
        <sz val="14"/>
        <color theme="1"/>
        <rFont val="Calibri"/>
        <family val="2"/>
        <scheme val="minor"/>
      </rPr>
      <t>:</t>
    </r>
  </si>
  <si>
    <t>CONSEIL DENSITE MALE 2</t>
  </si>
  <si>
    <r>
      <t xml:space="preserve">Distance théorique entre 2 grains </t>
    </r>
    <r>
      <rPr>
        <b/>
        <u/>
        <sz val="14"/>
        <color theme="1"/>
        <rFont val="Calibri"/>
        <family val="2"/>
        <scheme val="minor"/>
      </rPr>
      <t>femelles</t>
    </r>
    <r>
      <rPr>
        <b/>
        <sz val="14"/>
        <color theme="1"/>
        <rFont val="Calibri"/>
        <family val="2"/>
        <scheme val="minor"/>
      </rPr>
      <t xml:space="preserve"> sur le rang</t>
    </r>
  </si>
  <si>
    <t>CONSEIL DENSITE MALE 3</t>
  </si>
  <si>
    <r>
      <t xml:space="preserve">Distance théorique entre 2 grains </t>
    </r>
    <r>
      <rPr>
        <b/>
        <u/>
        <sz val="14"/>
        <color theme="1"/>
        <rFont val="Calibri"/>
        <family val="2"/>
        <scheme val="minor"/>
      </rPr>
      <t>mâles</t>
    </r>
    <r>
      <rPr>
        <b/>
        <sz val="14"/>
        <color theme="1"/>
        <rFont val="Calibri"/>
        <family val="2"/>
        <scheme val="minor"/>
      </rPr>
      <t xml:space="preserve"> sur le rang</t>
    </r>
  </si>
  <si>
    <r>
      <rPr>
        <b/>
        <sz val="12"/>
        <color theme="1"/>
        <rFont val="Calibri"/>
        <family val="2"/>
        <scheme val="minor"/>
      </rPr>
      <t>Correction</t>
    </r>
    <r>
      <rPr>
        <sz val="12"/>
        <color theme="1"/>
        <rFont val="Calibri"/>
        <family val="2"/>
        <scheme val="minor"/>
      </rPr>
      <t xml:space="preserve"> (terres lourdes, taupins …)</t>
    </r>
  </si>
  <si>
    <r>
      <t xml:space="preserve">Espacement des graines </t>
    </r>
    <r>
      <rPr>
        <b/>
        <sz val="12"/>
        <color theme="1"/>
        <rFont val="Microsoft JhengHei"/>
        <family val="2"/>
      </rPr>
      <t>♀</t>
    </r>
    <r>
      <rPr>
        <b/>
        <sz val="12"/>
        <color theme="1"/>
        <rFont val="Calibri"/>
        <family val="2"/>
        <scheme val="minor"/>
      </rPr>
      <t xml:space="preserve"> (</t>
    </r>
    <r>
      <rPr>
        <sz val="12"/>
        <color theme="1"/>
        <rFont val="Calibri"/>
        <family val="2"/>
        <scheme val="minor"/>
      </rPr>
      <t>réglage semoir</t>
    </r>
    <r>
      <rPr>
        <b/>
        <sz val="12"/>
        <color theme="1"/>
        <rFont val="Calibri"/>
        <family val="2"/>
        <scheme val="minor"/>
      </rPr>
      <t>)</t>
    </r>
  </si>
  <si>
    <t>Différence conseil/théorique</t>
  </si>
  <si>
    <r>
      <t xml:space="preserve">Densité Obtenteur / Part </t>
    </r>
    <r>
      <rPr>
        <b/>
        <sz val="12"/>
        <color theme="1"/>
        <rFont val="Microsoft JhengHei"/>
        <family val="2"/>
      </rPr>
      <t>♀</t>
    </r>
    <r>
      <rPr>
        <b/>
        <sz val="12"/>
        <color theme="1"/>
        <rFont val="Calibri"/>
        <family val="2"/>
        <scheme val="minor"/>
      </rPr>
      <t xml:space="preserve"> théorique semoir</t>
    </r>
  </si>
  <si>
    <r>
      <t xml:space="preserve">Densité Obtenteur / Part </t>
    </r>
    <r>
      <rPr>
        <b/>
        <sz val="12"/>
        <color theme="1"/>
        <rFont val="Microsoft JhengHei"/>
        <family val="2"/>
      </rPr>
      <t>♀</t>
    </r>
    <r>
      <rPr>
        <b/>
        <sz val="12"/>
        <color theme="1"/>
        <rFont val="Calibri"/>
        <family val="2"/>
        <scheme val="minor"/>
      </rPr>
      <t xml:space="preserve"> au champ</t>
    </r>
  </si>
  <si>
    <t>Densité objectif Obtenteur</t>
  </si>
  <si>
    <t>Ecartement moyen des rangs</t>
  </si>
  <si>
    <t>Ecartement semoir des rangs</t>
  </si>
  <si>
    <t>Densité théorique (tableau réglage semoir)</t>
  </si>
  <si>
    <r>
      <t xml:space="preserve">Espacement des graines </t>
    </r>
    <r>
      <rPr>
        <b/>
        <sz val="12"/>
        <color theme="1"/>
        <rFont val="Microsoft JhengHei"/>
        <family val="2"/>
      </rPr>
      <t>♂</t>
    </r>
    <r>
      <rPr>
        <b/>
        <sz val="12"/>
        <color theme="1"/>
        <rFont val="Calibri"/>
        <family val="2"/>
        <scheme val="minor"/>
      </rPr>
      <t xml:space="preserve"> (</t>
    </r>
    <r>
      <rPr>
        <sz val="12"/>
        <color theme="1"/>
        <rFont val="Calibri"/>
        <family val="2"/>
        <scheme val="minor"/>
      </rPr>
      <t>réglage semoir</t>
    </r>
    <r>
      <rPr>
        <b/>
        <sz val="12"/>
        <color theme="1"/>
        <rFont val="Calibri"/>
        <family val="2"/>
        <scheme val="minor"/>
      </rPr>
      <t>)</t>
    </r>
  </si>
  <si>
    <r>
      <t xml:space="preserve">Densité objectif Obtenteur </t>
    </r>
    <r>
      <rPr>
        <sz val="12"/>
        <color theme="1"/>
        <rFont val="Calibri"/>
        <family val="2"/>
        <scheme val="minor"/>
      </rPr>
      <t>(/FG)</t>
    </r>
  </si>
  <si>
    <t>Faculté Germinative :</t>
  </si>
  <si>
    <t>Différence moyenne conseil/théorique</t>
  </si>
  <si>
    <t>Besoin en graines</t>
  </si>
  <si>
    <t>gr/sac</t>
  </si>
  <si>
    <t>Poids du sac</t>
  </si>
  <si>
    <r>
      <rPr>
        <b/>
        <sz val="20"/>
        <color theme="1"/>
        <rFont val="Calibri"/>
        <family val="2"/>
        <scheme val="minor"/>
      </rPr>
      <t>DENSITÉ</t>
    </r>
    <r>
      <rPr>
        <b/>
        <sz val="20"/>
        <color theme="1"/>
        <rFont val="Microsoft JhengHei"/>
        <family val="2"/>
      </rPr>
      <t xml:space="preserve"> ♀ </t>
    </r>
    <r>
      <rPr>
        <b/>
        <sz val="20"/>
        <color theme="1"/>
        <rFont val="Calibri"/>
        <family val="2"/>
        <scheme val="minor"/>
      </rPr>
      <t>À CONSEILLER</t>
    </r>
  </si>
  <si>
    <r>
      <t xml:space="preserve">Densité Obtenteur / Part </t>
    </r>
    <r>
      <rPr>
        <b/>
        <sz val="12"/>
        <color theme="1"/>
        <rFont val="Microsoft JhengHei"/>
        <family val="2"/>
      </rPr>
      <t>♂</t>
    </r>
    <r>
      <rPr>
        <b/>
        <sz val="12"/>
        <color theme="1"/>
        <rFont val="Calibri"/>
        <family val="2"/>
        <scheme val="minor"/>
      </rPr>
      <t xml:space="preserve"> théorique semoir</t>
    </r>
  </si>
  <si>
    <r>
      <t xml:space="preserve">Densité Obtenteur / Part </t>
    </r>
    <r>
      <rPr>
        <b/>
        <sz val="12"/>
        <color theme="1"/>
        <rFont val="Microsoft JhengHei"/>
        <family val="2"/>
      </rPr>
      <t>♂</t>
    </r>
    <r>
      <rPr>
        <b/>
        <sz val="12"/>
        <color theme="1"/>
        <rFont val="Calibri"/>
        <family val="2"/>
        <scheme val="minor"/>
      </rPr>
      <t xml:space="preserve"> au champ</t>
    </r>
  </si>
  <si>
    <r>
      <t>Densité réelle semée / Part</t>
    </r>
    <r>
      <rPr>
        <b/>
        <sz val="12"/>
        <color theme="1"/>
        <rFont val="Microsoft JhengHei"/>
        <family val="2"/>
      </rPr>
      <t xml:space="preserve"> ♂</t>
    </r>
    <r>
      <rPr>
        <b/>
        <sz val="12"/>
        <color theme="1"/>
        <rFont val="Calibri"/>
        <family val="2"/>
        <scheme val="minor"/>
      </rPr>
      <t xml:space="preserve"> au champ</t>
    </r>
  </si>
  <si>
    <r>
      <t>DENSITE</t>
    </r>
    <r>
      <rPr>
        <b/>
        <sz val="20"/>
        <color theme="1"/>
        <rFont val="Microsoft JhengHei"/>
        <family val="2"/>
      </rPr>
      <t xml:space="preserve"> ♂</t>
    </r>
    <r>
      <rPr>
        <b/>
        <sz val="20"/>
        <color theme="1"/>
        <rFont val="Calibri"/>
        <family val="2"/>
        <scheme val="minor"/>
      </rPr>
      <t>2  À CONSEILLER (=)</t>
    </r>
  </si>
  <si>
    <r>
      <t>DENSITE</t>
    </r>
    <r>
      <rPr>
        <b/>
        <sz val="20"/>
        <color theme="1"/>
        <rFont val="Microsoft JhengHei"/>
        <family val="2"/>
      </rPr>
      <t xml:space="preserve"> ♂</t>
    </r>
    <r>
      <rPr>
        <b/>
        <sz val="20"/>
        <color theme="1"/>
        <rFont val="Calibri"/>
        <family val="2"/>
        <scheme val="minor"/>
      </rPr>
      <t>1  À CONSEILLER (- 1 cm)</t>
    </r>
  </si>
  <si>
    <r>
      <t xml:space="preserve">DENSITE </t>
    </r>
    <r>
      <rPr>
        <b/>
        <sz val="20"/>
        <color theme="1"/>
        <rFont val="Microsoft JhengHei"/>
        <family val="2"/>
      </rPr>
      <t>♂</t>
    </r>
    <r>
      <rPr>
        <b/>
        <sz val="20"/>
        <color theme="1"/>
        <rFont val="Calibri"/>
        <family val="2"/>
        <scheme val="minor"/>
      </rPr>
      <t>3  À CONSEILLER (+ 1 cm)</t>
    </r>
  </si>
  <si>
    <t>}</t>
  </si>
  <si>
    <t>Nombre de sacs moyen à
consommer pour ce lot :</t>
  </si>
  <si>
    <t>l'agri pourra semer :</t>
  </si>
  <si>
    <t>soit :</t>
  </si>
  <si>
    <t>provenant du lot :</t>
  </si>
  <si>
    <r>
      <t xml:space="preserve">Ecart entre 2
planches </t>
    </r>
    <r>
      <rPr>
        <b/>
        <sz val="12"/>
        <color theme="1"/>
        <rFont val="Microsoft JhengHei"/>
        <family val="2"/>
      </rPr>
      <t>♀</t>
    </r>
  </si>
  <si>
    <r>
      <t xml:space="preserve">Part </t>
    </r>
    <r>
      <rPr>
        <sz val="12"/>
        <rFont val="Microsoft JhengHei"/>
        <family val="2"/>
      </rPr>
      <t>♂</t>
    </r>
    <r>
      <rPr>
        <sz val="12"/>
        <rFont val="Calibri"/>
        <family val="2"/>
        <scheme val="minor"/>
      </rPr>
      <t xml:space="preserve"> au champ</t>
    </r>
  </si>
  <si>
    <r>
      <t xml:space="preserve">Part </t>
    </r>
    <r>
      <rPr>
        <sz val="12"/>
        <color theme="1"/>
        <rFont val="Microsoft JhengHei"/>
        <family val="2"/>
      </rPr>
      <t>♀</t>
    </r>
    <r>
      <rPr>
        <sz val="12"/>
        <color theme="1"/>
        <rFont val="Calibri"/>
        <family val="2"/>
        <scheme val="minor"/>
      </rPr>
      <t xml:space="preserve"> au champ</t>
    </r>
  </si>
  <si>
    <t>Densité réelle semée</t>
  </si>
  <si>
    <t>4 x 2</t>
  </si>
  <si>
    <t>4x2</t>
  </si>
  <si>
    <t>Surface contrat</t>
  </si>
  <si>
    <t>HCL4011</t>
  </si>
  <si>
    <t>Variétés 2020</t>
  </si>
  <si>
    <t>Dispositif</t>
  </si>
  <si>
    <t>J1817Z</t>
  </si>
  <si>
    <t>KW 1A252</t>
  </si>
  <si>
    <t>KW 9G7934</t>
  </si>
  <si>
    <t>KW 5A1629 x 5A1435</t>
  </si>
  <si>
    <t>M</t>
  </si>
  <si>
    <t>aller à la fiche</t>
  </si>
  <si>
    <t>M T</t>
  </si>
  <si>
    <t>GF T</t>
  </si>
  <si>
    <t>G T</t>
  </si>
  <si>
    <t>soit une moyenne de</t>
  </si>
  <si>
    <t>sac/ha</t>
  </si>
  <si>
    <t>Récap</t>
  </si>
  <si>
    <t>Nombre de sac moyen à
consommer pour ce lot :</t>
  </si>
  <si>
    <t>Différence conseil / calcul théorique:</t>
  </si>
  <si>
    <r>
      <t>DENSIT</t>
    </r>
    <r>
      <rPr>
        <b/>
        <sz val="17"/>
        <color theme="1"/>
        <rFont val="Calibri"/>
        <family val="2"/>
      </rPr>
      <t>É</t>
    </r>
    <r>
      <rPr>
        <b/>
        <sz val="17"/>
        <color theme="1"/>
        <rFont val="Calibri"/>
        <family val="2"/>
        <scheme val="minor"/>
      </rPr>
      <t xml:space="preserve"> CONSEILLÉE</t>
    </r>
  </si>
  <si>
    <t>Densité obtenteur</t>
  </si>
  <si>
    <r>
      <t xml:space="preserve">Densité Obtenteur </t>
    </r>
    <r>
      <rPr>
        <sz val="12"/>
        <color theme="1"/>
        <rFont val="Calibri"/>
        <family val="2"/>
        <scheme val="minor"/>
      </rPr>
      <t>(/FG /% correction)</t>
    </r>
  </si>
  <si>
    <t>MÂLE</t>
  </si>
  <si>
    <t>F 0841 B 711 834 A01</t>
  </si>
  <si>
    <t>F 0841 E 910 064 A01</t>
  </si>
  <si>
    <t>F0841 C 810 294 A01</t>
  </si>
  <si>
    <t>F 0841 B 711 844 A01</t>
  </si>
  <si>
    <t>F 0841 E 910 239 A01</t>
  </si>
  <si>
    <t>F 0841 E 910 274 A01</t>
  </si>
  <si>
    <t>G</t>
  </si>
  <si>
    <t>F 0841 H 401 554 A07</t>
  </si>
  <si>
    <t>F 0841 B 710 774 A02</t>
  </si>
  <si>
    <t>F 0841 E 910 967 A01</t>
  </si>
  <si>
    <t>F 0841 B 710 960 A01</t>
  </si>
  <si>
    <t>GP</t>
  </si>
  <si>
    <t>F 0841 B 710 994 A04</t>
  </si>
  <si>
    <t>MF</t>
  </si>
  <si>
    <t>F 0841 C 830 517 A01</t>
  </si>
  <si>
    <t>F 0841 C 811 044 A01</t>
  </si>
  <si>
    <t>F 0841 C 811 074 A02</t>
  </si>
  <si>
    <t>MT</t>
  </si>
  <si>
    <t>AGRO VITALLO</t>
  </si>
  <si>
    <r>
      <t>Densité réelle semée</t>
    </r>
    <r>
      <rPr>
        <b/>
        <sz val="12"/>
        <color theme="1"/>
        <rFont val="Calibri"/>
        <family val="2"/>
        <scheme val="minor"/>
      </rPr>
      <t xml:space="preserve"> / Part</t>
    </r>
    <r>
      <rPr>
        <b/>
        <sz val="12"/>
        <color theme="1"/>
        <rFont val="Microsoft JhengHei"/>
        <family val="2"/>
      </rPr>
      <t xml:space="preserve"> ♂</t>
    </r>
    <r>
      <rPr>
        <b/>
        <sz val="12"/>
        <color theme="1"/>
        <rFont val="Calibri"/>
        <family val="2"/>
        <scheme val="minor"/>
      </rPr>
      <t xml:space="preserve"> au champ</t>
    </r>
  </si>
  <si>
    <t>F 0076 E 0396 M1B4A</t>
  </si>
  <si>
    <t>MR</t>
  </si>
  <si>
    <t>F 0075 E 0796 MDA4A</t>
  </si>
  <si>
    <t>MP</t>
  </si>
  <si>
    <t>A9 R6114</t>
  </si>
  <si>
    <t>A9 A1201</t>
  </si>
  <si>
    <t>A9 A1195</t>
  </si>
  <si>
    <t>A9 A1197</t>
  </si>
  <si>
    <t>A9 A1207</t>
  </si>
  <si>
    <t>A9 A1208</t>
  </si>
  <si>
    <t>A9 A1224</t>
  </si>
  <si>
    <t>A9 A1225</t>
  </si>
  <si>
    <t>A9 A1227</t>
  </si>
  <si>
    <t>A9 A1232</t>
  </si>
  <si>
    <t>A9 A1244</t>
  </si>
  <si>
    <t>L'agri pourra semer :</t>
  </si>
  <si>
    <r>
      <t xml:space="preserve">Si  réappro pour un seul </t>
    </r>
    <r>
      <rPr>
        <b/>
        <sz val="18"/>
        <color theme="1"/>
        <rFont val="Microsoft JhengHei"/>
        <family val="2"/>
      </rPr>
      <t>♂</t>
    </r>
  </si>
  <si>
    <r>
      <rPr>
        <b/>
        <sz val="11"/>
        <color theme="1"/>
        <rFont val="Calibri"/>
        <family val="2"/>
        <scheme val="minor"/>
      </rPr>
      <t xml:space="preserve">Pour le </t>
    </r>
    <r>
      <rPr>
        <b/>
        <sz val="14"/>
        <color theme="1"/>
        <rFont val="Microsoft JhengHei"/>
        <family val="2"/>
      </rPr>
      <t>♂</t>
    </r>
    <r>
      <rPr>
        <b/>
        <sz val="14"/>
        <color theme="1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>, si l'</t>
    </r>
    <r>
      <rPr>
        <b/>
        <sz val="11"/>
        <color theme="1"/>
        <rFont val="Calibri"/>
        <family val="2"/>
        <scheme val="minor"/>
      </rPr>
      <t xml:space="preserve">espacement entre graines conseillé </t>
    </r>
    <r>
      <rPr>
        <sz val="11"/>
        <color theme="1"/>
        <rFont val="Calibri"/>
        <family val="2"/>
        <scheme val="minor"/>
      </rPr>
      <t>sur le rang est de :</t>
    </r>
  </si>
  <si>
    <r>
      <rPr>
        <b/>
        <sz val="11"/>
        <color theme="1"/>
        <rFont val="Calibri"/>
        <family val="2"/>
        <scheme val="minor"/>
      </rPr>
      <t xml:space="preserve">Pour le </t>
    </r>
    <r>
      <rPr>
        <b/>
        <sz val="14"/>
        <color theme="1"/>
        <rFont val="Microsoft JhengHei"/>
        <family val="2"/>
      </rPr>
      <t>♂</t>
    </r>
    <r>
      <rPr>
        <b/>
        <sz val="14"/>
        <color theme="1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>, si l'</t>
    </r>
    <r>
      <rPr>
        <b/>
        <sz val="11"/>
        <color theme="1"/>
        <rFont val="Calibri"/>
        <family val="2"/>
        <scheme val="minor"/>
      </rPr>
      <t xml:space="preserve">espacement entre graines conseillé </t>
    </r>
    <r>
      <rPr>
        <sz val="11"/>
        <color theme="1"/>
        <rFont val="Calibri"/>
        <family val="2"/>
        <scheme val="minor"/>
      </rPr>
      <t>sur le rang est de :</t>
    </r>
  </si>
  <si>
    <r>
      <rPr>
        <b/>
        <sz val="11"/>
        <color theme="1"/>
        <rFont val="Calibri"/>
        <family val="2"/>
        <scheme val="minor"/>
      </rPr>
      <t xml:space="preserve">Pour le </t>
    </r>
    <r>
      <rPr>
        <b/>
        <sz val="14"/>
        <color theme="1"/>
        <rFont val="Microsoft JhengHei"/>
        <family val="2"/>
      </rPr>
      <t>♂</t>
    </r>
    <r>
      <rPr>
        <b/>
        <sz val="14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, si l'</t>
    </r>
    <r>
      <rPr>
        <b/>
        <sz val="11"/>
        <color theme="1"/>
        <rFont val="Calibri"/>
        <family val="2"/>
        <scheme val="minor"/>
      </rPr>
      <t xml:space="preserve">espacement entre graines conseillé </t>
    </r>
    <r>
      <rPr>
        <sz val="11"/>
        <color theme="1"/>
        <rFont val="Calibri"/>
        <family val="2"/>
        <scheme val="minor"/>
      </rPr>
      <t>sur le rang est de :</t>
    </r>
  </si>
  <si>
    <r>
      <t xml:space="preserve">Pour une </t>
    </r>
    <r>
      <rPr>
        <b/>
        <sz val="13"/>
        <color theme="1"/>
        <rFont val="Calibri"/>
        <family val="2"/>
        <scheme val="minor"/>
      </rPr>
      <t>réappro en Semences de Base</t>
    </r>
    <r>
      <rPr>
        <sz val="13"/>
        <color theme="1"/>
        <rFont val="Calibri"/>
        <family val="2"/>
        <scheme val="minor"/>
      </rPr>
      <t xml:space="preserve"> </t>
    </r>
    <r>
      <rPr>
        <b/>
        <sz val="13"/>
        <color theme="1"/>
        <rFont val="Calibri"/>
        <family val="2"/>
        <scheme val="minor"/>
      </rPr>
      <t>mâle</t>
    </r>
    <r>
      <rPr>
        <sz val="13"/>
        <color theme="1"/>
        <rFont val="Calibri"/>
        <family val="2"/>
        <scheme val="minor"/>
      </rPr>
      <t xml:space="preserve"> de :</t>
    </r>
  </si>
  <si>
    <t>soit un espacement moyen des graines sur le rang de :</t>
  </si>
  <si>
    <t>DE037 3610107 01</t>
  </si>
  <si>
    <t>F 0841 B 710 960 A02</t>
  </si>
  <si>
    <t>DE039 3610104 01</t>
  </si>
  <si>
    <t>DE039 3610091 01</t>
  </si>
  <si>
    <t>A9 A1165</t>
  </si>
  <si>
    <t>DE038 3610168 01</t>
  </si>
  <si>
    <t>A9 A1203</t>
  </si>
  <si>
    <r>
      <t xml:space="preserve">                      </t>
    </r>
    <r>
      <rPr>
        <b/>
        <sz val="12"/>
        <color theme="1"/>
        <rFont val="Calibri"/>
        <family val="2"/>
        <scheme val="minor"/>
      </rPr>
      <t xml:space="preserve">
                      </t>
    </r>
  </si>
  <si>
    <t>Surface en fonction d'une quantité</t>
  </si>
  <si>
    <t>F 0841 E 911 107 A01</t>
  </si>
  <si>
    <t>A8 A1168</t>
  </si>
  <si>
    <t>F 0841 B 731 014 A01</t>
  </si>
  <si>
    <t>F 0841 H 401 554 A08</t>
  </si>
  <si>
    <t>F 0841 C 810 977 A02</t>
  </si>
  <si>
    <t>F 0841 C 810 997 A01</t>
  </si>
  <si>
    <t>F 0841 E 911 104 A01</t>
  </si>
  <si>
    <t>F 0841 B 711 921 A01</t>
  </si>
  <si>
    <t>F 0841 E 911 134 A01</t>
  </si>
  <si>
    <t>MKV</t>
  </si>
  <si>
    <t>MKV/kg</t>
  </si>
  <si>
    <t>Poids total théorique</t>
  </si>
  <si>
    <t>Poids total à consommer</t>
  </si>
  <si>
    <t>soit un espacement théorique des graines sur le rang de :</t>
  </si>
  <si>
    <r>
      <t xml:space="preserve">l'agriculteur aura semé une </t>
    </r>
    <r>
      <rPr>
        <b/>
        <sz val="11.5"/>
        <color theme="1"/>
        <rFont val="Calibri"/>
        <family val="2"/>
        <scheme val="minor"/>
      </rPr>
      <t>densité théorique semoir</t>
    </r>
    <r>
      <rPr>
        <sz val="11.5"/>
        <color theme="1"/>
        <rFont val="Calibri"/>
        <family val="2"/>
        <scheme val="minor"/>
      </rPr>
      <t xml:space="preserve"> de :</t>
    </r>
  </si>
  <si>
    <r>
      <t xml:space="preserve">l'agriculteur aura donc semé une </t>
    </r>
    <r>
      <rPr>
        <b/>
        <sz val="11.5"/>
        <color theme="1"/>
        <rFont val="Calibri"/>
        <family val="2"/>
        <scheme val="minor"/>
      </rPr>
      <t>densité réelle au champ</t>
    </r>
    <r>
      <rPr>
        <sz val="11.5"/>
        <color theme="1"/>
        <rFont val="Calibri"/>
        <family val="2"/>
        <scheme val="minor"/>
      </rPr>
      <t xml:space="preserve"> de :</t>
    </r>
  </si>
  <si>
    <t>Consommation</t>
  </si>
  <si>
    <t>PMG remesuré</t>
  </si>
  <si>
    <t>Grains par sac (PMG obtenteur)</t>
  </si>
  <si>
    <t>Grains par sac (PMG remesuré)</t>
  </si>
  <si>
    <r>
      <t xml:space="preserve">Conso pour </t>
    </r>
    <r>
      <rPr>
        <b/>
        <sz val="17"/>
        <color theme="1"/>
        <rFont val="Batang"/>
        <family val="1"/>
      </rPr>
      <t>♂</t>
    </r>
    <r>
      <rPr>
        <b/>
        <sz val="17"/>
        <color theme="1"/>
        <rFont val="Calibri"/>
        <family val="2"/>
        <scheme val="minor"/>
      </rPr>
      <t>2</t>
    </r>
  </si>
  <si>
    <r>
      <t xml:space="preserve">Espcmt théorique graines </t>
    </r>
    <r>
      <rPr>
        <b/>
        <sz val="14"/>
        <color theme="1"/>
        <rFont val="Microsoft JhengHei"/>
        <family val="2"/>
      </rPr>
      <t>♂</t>
    </r>
    <r>
      <rPr>
        <b/>
        <sz val="14"/>
        <color theme="1"/>
        <rFont val="Calibri"/>
        <family val="2"/>
        <scheme val="minor"/>
      </rPr>
      <t xml:space="preserve"> sur rang</t>
    </r>
  </si>
  <si>
    <r>
      <t xml:space="preserve">Conso pour </t>
    </r>
    <r>
      <rPr>
        <b/>
        <sz val="17"/>
        <color theme="1"/>
        <rFont val="Batang"/>
        <family val="1"/>
      </rPr>
      <t>♂</t>
    </r>
    <r>
      <rPr>
        <b/>
        <sz val="17"/>
        <color theme="1"/>
        <rFont val="Calibri"/>
        <family val="2"/>
        <scheme val="minor"/>
      </rPr>
      <t>1</t>
    </r>
  </si>
  <si>
    <r>
      <t xml:space="preserve">Conso pour </t>
    </r>
    <r>
      <rPr>
        <b/>
        <sz val="17"/>
        <color theme="1"/>
        <rFont val="Batang"/>
        <family val="1"/>
      </rPr>
      <t>♂</t>
    </r>
    <r>
      <rPr>
        <b/>
        <sz val="17"/>
        <color theme="1"/>
        <rFont val="Calibri"/>
        <family val="2"/>
        <scheme val="minor"/>
      </rPr>
      <t>3</t>
    </r>
  </si>
  <si>
    <t>Agriculteurs</t>
  </si>
  <si>
    <t>ALTNEUMATT</t>
  </si>
  <si>
    <t>ACKER François</t>
  </si>
  <si>
    <t>DICK</t>
  </si>
  <si>
    <t>FOLMER</t>
  </si>
  <si>
    <t>HENCHES</t>
  </si>
  <si>
    <t>HEYD Pierre André</t>
  </si>
  <si>
    <t>HIRTZ MARIE BLANCHE</t>
  </si>
  <si>
    <t>HOERD GERBER</t>
  </si>
  <si>
    <t>KEMPF Philippe</t>
  </si>
  <si>
    <t>KENCK</t>
  </si>
  <si>
    <t>KOEHREN</t>
  </si>
  <si>
    <t>KORMANN</t>
  </si>
  <si>
    <t>KRETZSCHMAR</t>
  </si>
  <si>
    <t>LENGERT Sébastien</t>
  </si>
  <si>
    <t>LORBER</t>
  </si>
  <si>
    <t>MATHIS</t>
  </si>
  <si>
    <t>MEY Jean Marc</t>
  </si>
  <si>
    <t>MICHEL Alain</t>
  </si>
  <si>
    <t>MOSER Marc</t>
  </si>
  <si>
    <t>MULLER Béatrice</t>
  </si>
  <si>
    <t>NOEPPEL Daniel</t>
  </si>
  <si>
    <t>PLUMERE Jean Marie</t>
  </si>
  <si>
    <t>SCHAEFFER</t>
  </si>
  <si>
    <t>STUMPF Remi</t>
  </si>
  <si>
    <t>TRETZ &amp; FILS</t>
  </si>
  <si>
    <t>TUCHSCHERER Laurent</t>
  </si>
  <si>
    <t>VETTER Emile</t>
  </si>
  <si>
    <t>WALTER Claude</t>
  </si>
  <si>
    <t>WENDLINGAGRI</t>
  </si>
  <si>
    <t>WILERLE</t>
  </si>
  <si>
    <t>ZILLIOX René</t>
  </si>
  <si>
    <t>ZIMMERMANN Jean-Marie</t>
  </si>
  <si>
    <t>AGRICULTEUR</t>
  </si>
  <si>
    <t>CLEF_DES_CHAMPS</t>
  </si>
  <si>
    <t>DE_LA_BRUCHE</t>
  </si>
  <si>
    <t>DU_MARRONNIER</t>
  </si>
  <si>
    <t>BIELLMANN_Matthieu</t>
  </si>
  <si>
    <t>BINDER_ET_FILS</t>
  </si>
  <si>
    <t>BINDER_Jacky</t>
  </si>
  <si>
    <t>CLAUSS_Nicolas</t>
  </si>
  <si>
    <t>D_A_HEIMSBRUNN</t>
  </si>
  <si>
    <t>DES_KRAUTLANDER</t>
  </si>
  <si>
    <t>DES_VERGERS</t>
  </si>
  <si>
    <t>DU_MOULIN</t>
  </si>
  <si>
    <t>DU_RELAIS</t>
  </si>
  <si>
    <t>DU_SPONECK</t>
  </si>
  <si>
    <t>DU_ZORNTHAL</t>
  </si>
  <si>
    <t>FERME_DE_L'ISCHERT</t>
  </si>
  <si>
    <t>FERME_TRULY</t>
  </si>
  <si>
    <t>FORR_Bernard</t>
  </si>
  <si>
    <t>GLESS_Martin</t>
  </si>
  <si>
    <t>HAETTEL_Etienne</t>
  </si>
  <si>
    <t>HEITZ_Nicolas</t>
  </si>
  <si>
    <r>
      <t xml:space="preserve">Si la </t>
    </r>
    <r>
      <rPr>
        <b/>
        <sz val="12"/>
        <color theme="1"/>
        <rFont val="Calibri"/>
        <family val="2"/>
        <scheme val="minor"/>
      </rPr>
      <t>surface à semer</t>
    </r>
    <r>
      <rPr>
        <sz val="12"/>
        <color theme="1"/>
        <rFont val="Calibri"/>
        <family val="2"/>
        <scheme val="minor"/>
      </rPr>
      <t xml:space="preserve"> est de :</t>
    </r>
  </si>
  <si>
    <t>Besoin en graines/surface</t>
  </si>
  <si>
    <t>Besoin en graines / ha</t>
  </si>
  <si>
    <r>
      <t xml:space="preserve">DOSES </t>
    </r>
    <r>
      <rPr>
        <b/>
        <sz val="19"/>
        <color theme="0"/>
        <rFont val="Batang"/>
        <family val="1"/>
      </rPr>
      <t>♂</t>
    </r>
    <r>
      <rPr>
        <b/>
        <sz val="19"/>
        <color theme="0"/>
        <rFont val="Calibri"/>
        <family val="2"/>
        <scheme val="minor"/>
      </rPr>
      <t xml:space="preserve"> TOTAL</t>
    </r>
  </si>
  <si>
    <r>
      <t xml:space="preserve">DOSES </t>
    </r>
    <r>
      <rPr>
        <b/>
        <sz val="20"/>
        <color theme="0"/>
        <rFont val="Microsoft JhengHei"/>
        <family val="2"/>
      </rPr>
      <t>♀</t>
    </r>
    <r>
      <rPr>
        <b/>
        <sz val="20"/>
        <color theme="0"/>
        <rFont val="Calibri"/>
        <family val="2"/>
        <scheme val="minor"/>
      </rPr>
      <t xml:space="preserve"> TOTAL</t>
    </r>
  </si>
  <si>
    <r>
      <t xml:space="preserve">Besoin en graines </t>
    </r>
    <r>
      <rPr>
        <b/>
        <sz val="16"/>
        <color theme="1"/>
        <rFont val="Batang"/>
        <family val="1"/>
      </rPr>
      <t>♂</t>
    </r>
    <r>
      <rPr>
        <b/>
        <sz val="12"/>
        <color theme="1"/>
        <rFont val="Calibri"/>
        <family val="2"/>
        <scheme val="minor"/>
      </rPr>
      <t>1 / surface</t>
    </r>
  </si>
  <si>
    <r>
      <t xml:space="preserve">Besoin en graines </t>
    </r>
    <r>
      <rPr>
        <b/>
        <sz val="16"/>
        <color theme="1"/>
        <rFont val="Batang"/>
        <family val="1"/>
      </rPr>
      <t>♂</t>
    </r>
    <r>
      <rPr>
        <b/>
        <sz val="12"/>
        <color theme="1"/>
        <rFont val="Calibri"/>
        <family val="2"/>
        <scheme val="minor"/>
      </rPr>
      <t>2 / surface</t>
    </r>
  </si>
  <si>
    <r>
      <t xml:space="preserve">Besoin en graines </t>
    </r>
    <r>
      <rPr>
        <b/>
        <sz val="16"/>
        <color theme="1"/>
        <rFont val="Batang"/>
        <family val="1"/>
      </rPr>
      <t>♂</t>
    </r>
    <r>
      <rPr>
        <b/>
        <sz val="12"/>
        <color theme="1"/>
        <rFont val="Calibri"/>
        <family val="2"/>
        <scheme val="minor"/>
      </rPr>
      <t>3 / surface</t>
    </r>
  </si>
  <si>
    <t>1</t>
  </si>
  <si>
    <t>2</t>
  </si>
  <si>
    <t>3</t>
  </si>
  <si>
    <t>AGROGANT</t>
  </si>
  <si>
    <t>AMAROC</t>
  </si>
  <si>
    <t>CITO</t>
  </si>
  <si>
    <t>AMAVIT ST</t>
  </si>
  <si>
    <t>BERNADINIO</t>
  </si>
  <si>
    <t>AMAROC ST</t>
  </si>
  <si>
    <t>g</t>
  </si>
  <si>
    <t>AJOWAN</t>
  </si>
  <si>
    <r>
      <t xml:space="preserve">Densité réelle à semer / Part </t>
    </r>
    <r>
      <rPr>
        <b/>
        <sz val="12"/>
        <color theme="1"/>
        <rFont val="Microsoft JhengHei"/>
        <family val="2"/>
      </rPr>
      <t>♀</t>
    </r>
    <r>
      <rPr>
        <b/>
        <sz val="12"/>
        <color theme="1"/>
        <rFont val="Calibri"/>
        <family val="2"/>
        <scheme val="minor"/>
      </rPr>
      <t xml:space="preserve"> au champ</t>
    </r>
  </si>
  <si>
    <r>
      <t xml:space="preserve">Densité </t>
    </r>
    <r>
      <rPr>
        <b/>
        <sz val="12"/>
        <color theme="1"/>
        <rFont val="Microsoft JhengHei"/>
        <family val="2"/>
      </rPr>
      <t>♂</t>
    </r>
    <r>
      <rPr>
        <b/>
        <sz val="12"/>
        <color theme="1"/>
        <rFont val="Calibri"/>
        <family val="2"/>
        <scheme val="minor"/>
      </rPr>
      <t xml:space="preserve"> théorique (r</t>
    </r>
    <r>
      <rPr>
        <sz val="12"/>
        <color theme="1"/>
        <rFont val="Calibri"/>
        <family val="2"/>
        <scheme val="minor"/>
      </rPr>
      <t>églage semoir)</t>
    </r>
  </si>
  <si>
    <r>
      <t xml:space="preserve">Densité </t>
    </r>
    <r>
      <rPr>
        <b/>
        <sz val="12"/>
        <color theme="1"/>
        <rFont val="Microsoft JhengHei"/>
        <family val="2"/>
      </rPr>
      <t>♂</t>
    </r>
    <r>
      <rPr>
        <b/>
        <sz val="12"/>
        <color theme="1"/>
        <rFont val="Calibri"/>
        <family val="2"/>
        <scheme val="minor"/>
      </rPr>
      <t xml:space="preserve"> théorique (</t>
    </r>
    <r>
      <rPr>
        <sz val="12"/>
        <color theme="1"/>
        <rFont val="Calibri"/>
        <family val="2"/>
        <scheme val="minor"/>
      </rPr>
      <t>réglage semoir)</t>
    </r>
  </si>
  <si>
    <r>
      <t>Densité théorique</t>
    </r>
    <r>
      <rPr>
        <b/>
        <sz val="12"/>
        <color theme="1"/>
        <rFont val="Microsoft JhengHei"/>
        <family val="2"/>
      </rPr>
      <t xml:space="preserve"> ♀</t>
    </r>
    <r>
      <rPr>
        <b/>
        <sz val="12"/>
        <color theme="1"/>
        <rFont val="Calibri"/>
        <family val="2"/>
        <scheme val="minor"/>
      </rPr>
      <t xml:space="preserve"> (</t>
    </r>
    <r>
      <rPr>
        <sz val="12"/>
        <color theme="1"/>
        <rFont val="Calibri"/>
        <family val="2"/>
        <scheme val="minor"/>
      </rPr>
      <t>réglage semoir</t>
    </r>
    <r>
      <rPr>
        <b/>
        <sz val="12"/>
        <color theme="1"/>
        <rFont val="Calibri"/>
        <family val="2"/>
        <scheme val="minor"/>
      </rPr>
      <t>)</t>
    </r>
  </si>
  <si>
    <t>,</t>
  </si>
  <si>
    <r>
      <t xml:space="preserve">Espcmt théorique graines </t>
    </r>
    <r>
      <rPr>
        <b/>
        <sz val="14"/>
        <color theme="1"/>
        <rFont val="Microsoft JhengHei"/>
        <family val="2"/>
      </rPr>
      <t>♀</t>
    </r>
    <r>
      <rPr>
        <b/>
        <sz val="14"/>
        <color theme="1"/>
        <rFont val="Calibri"/>
        <family val="2"/>
        <scheme val="minor"/>
      </rPr>
      <t xml:space="preserve"> sur le rang</t>
    </r>
  </si>
  <si>
    <r>
      <t xml:space="preserve">Avec un </t>
    </r>
    <r>
      <rPr>
        <b/>
        <sz val="18"/>
        <color theme="1"/>
        <rFont val="Calibri"/>
        <family val="2"/>
        <scheme val="minor"/>
      </rPr>
      <t xml:space="preserve">espacement théorique des graines </t>
    </r>
    <r>
      <rPr>
        <sz val="18"/>
        <color theme="1"/>
        <rFont val="Calibri"/>
        <family val="2"/>
        <scheme val="minor"/>
      </rPr>
      <t xml:space="preserve"> sur le rang de </t>
    </r>
  </si>
  <si>
    <r>
      <t xml:space="preserve">Avec un </t>
    </r>
    <r>
      <rPr>
        <b/>
        <sz val="18"/>
        <color theme="1"/>
        <rFont val="Calibri"/>
        <family val="2"/>
        <scheme val="minor"/>
      </rPr>
      <t xml:space="preserve">espacement conseillé des graines </t>
    </r>
    <r>
      <rPr>
        <sz val="18"/>
        <color theme="1"/>
        <rFont val="Calibri"/>
        <family val="2"/>
        <scheme val="minor"/>
      </rPr>
      <t>sur le rang de :</t>
    </r>
  </si>
  <si>
    <r>
      <t xml:space="preserve">Pour une </t>
    </r>
    <r>
      <rPr>
        <b/>
        <sz val="14"/>
        <color theme="1"/>
        <rFont val="Calibri"/>
        <family val="2"/>
        <scheme val="minor"/>
      </rPr>
      <t>quantité de Semences de Base</t>
    </r>
    <r>
      <rPr>
        <sz val="14"/>
        <color theme="1"/>
        <rFont val="Calibri"/>
        <family val="2"/>
        <scheme val="minor"/>
      </rPr>
      <t xml:space="preserve"> de :</t>
    </r>
  </si>
  <si>
    <r>
      <t xml:space="preserve">Pour une </t>
    </r>
    <r>
      <rPr>
        <b/>
        <sz val="12"/>
        <color theme="1"/>
        <rFont val="Calibri"/>
        <family val="2"/>
        <scheme val="minor"/>
      </rPr>
      <t>quantité de Semences de Base</t>
    </r>
    <r>
      <rPr>
        <sz val="12"/>
        <color theme="1"/>
        <rFont val="Calibri"/>
        <family val="2"/>
        <scheme val="minor"/>
      </rPr>
      <t xml:space="preserve"> de :</t>
    </r>
  </si>
  <si>
    <r>
      <t xml:space="preserve">Pour une </t>
    </r>
    <r>
      <rPr>
        <b/>
        <sz val="14"/>
        <color theme="1"/>
        <rFont val="Calibri"/>
        <family val="2"/>
        <scheme val="minor"/>
      </rPr>
      <t xml:space="preserve">quantité de Semences de Base </t>
    </r>
    <r>
      <rPr>
        <sz val="14"/>
        <color theme="1"/>
        <rFont val="Calibri"/>
        <family val="2"/>
        <scheme val="minor"/>
      </rPr>
      <t>de :</t>
    </r>
  </si>
  <si>
    <t>C A L C U L   D E N S I T É   &amp;   D O S E</t>
  </si>
  <si>
    <r>
      <t xml:space="preserve">l'agri aura donc semé une </t>
    </r>
    <r>
      <rPr>
        <b/>
        <sz val="11.5"/>
        <color theme="1"/>
        <rFont val="Calibri"/>
        <family val="2"/>
        <scheme val="minor"/>
      </rPr>
      <t>densité réelle au champ</t>
    </r>
    <r>
      <rPr>
        <sz val="11.5"/>
        <color theme="1"/>
        <rFont val="Calibri"/>
        <family val="2"/>
        <scheme val="minor"/>
      </rPr>
      <t xml:space="preserve"> de :</t>
    </r>
  </si>
  <si>
    <r>
      <t xml:space="preserve">l'agri aura semé une </t>
    </r>
    <r>
      <rPr>
        <b/>
        <sz val="11.5"/>
        <color theme="1"/>
        <rFont val="Calibri"/>
        <family val="2"/>
        <scheme val="minor"/>
      </rPr>
      <t>densité réelle au champ</t>
    </r>
    <r>
      <rPr>
        <sz val="11.5"/>
        <color theme="1"/>
        <rFont val="Calibri"/>
        <family val="2"/>
        <scheme val="minor"/>
      </rPr>
      <t xml:space="preserve"> de :</t>
    </r>
  </si>
  <si>
    <r>
      <t xml:space="preserve">Pour une </t>
    </r>
    <r>
      <rPr>
        <b/>
        <sz val="11"/>
        <color theme="1"/>
        <rFont val="Calibri"/>
        <family val="2"/>
        <scheme val="minor"/>
      </rPr>
      <t>consommation en Semences de Base mâle</t>
    </r>
    <r>
      <rPr>
        <sz val="11"/>
        <color theme="1"/>
        <rFont val="Calibri"/>
        <family val="2"/>
        <scheme val="minor"/>
      </rPr>
      <t xml:space="preserve"> de :</t>
    </r>
  </si>
  <si>
    <r>
      <t xml:space="preserve">Si Part </t>
    </r>
    <r>
      <rPr>
        <b/>
        <sz val="12"/>
        <color theme="1"/>
        <rFont val="Microsoft JhengHei"/>
        <family val="2"/>
      </rPr>
      <t>♀</t>
    </r>
    <r>
      <rPr>
        <b/>
        <sz val="12"/>
        <color theme="1"/>
        <rFont val="Calibri"/>
        <family val="2"/>
        <scheme val="minor"/>
      </rPr>
      <t xml:space="preserve"> théorique semoir =</t>
    </r>
  </si>
  <si>
    <r>
      <t xml:space="preserve">Si Part </t>
    </r>
    <r>
      <rPr>
        <b/>
        <sz val="12"/>
        <color theme="1"/>
        <rFont val="Microsoft JhengHei"/>
        <family val="2"/>
      </rPr>
      <t>♀</t>
    </r>
    <r>
      <rPr>
        <b/>
        <sz val="12"/>
        <color theme="1"/>
        <rFont val="Calibri"/>
        <family val="2"/>
        <scheme val="minor"/>
      </rPr>
      <t xml:space="preserve"> au champ =</t>
    </r>
  </si>
  <si>
    <r>
      <t>Si Part</t>
    </r>
    <r>
      <rPr>
        <b/>
        <sz val="12"/>
        <color theme="1"/>
        <rFont val="Microsoft JhengHei"/>
        <family val="2"/>
      </rPr>
      <t xml:space="preserve"> ♂</t>
    </r>
    <r>
      <rPr>
        <b/>
        <sz val="12"/>
        <color theme="1"/>
        <rFont val="Calibri"/>
        <family val="2"/>
        <scheme val="minor"/>
      </rPr>
      <t xml:space="preserve"> théorique semoir =</t>
    </r>
  </si>
  <si>
    <r>
      <t xml:space="preserve">Si Part </t>
    </r>
    <r>
      <rPr>
        <b/>
        <sz val="12"/>
        <color theme="1"/>
        <rFont val="Microsoft JhengHei"/>
        <family val="2"/>
      </rPr>
      <t>♂</t>
    </r>
    <r>
      <rPr>
        <b/>
        <sz val="12"/>
        <color theme="1"/>
        <rFont val="Calibri"/>
        <family val="2"/>
        <scheme val="minor"/>
      </rPr>
      <t xml:space="preserve"> au champ =</t>
    </r>
  </si>
  <si>
    <t>Ecartement des éléments du semoir</t>
  </si>
  <si>
    <r>
      <t xml:space="preserve">Espcmt graines </t>
    </r>
    <r>
      <rPr>
        <b/>
        <sz val="12"/>
        <color theme="1"/>
        <rFont val="Microsoft JhengHei"/>
        <family val="2"/>
      </rPr>
      <t>♂</t>
    </r>
    <r>
      <rPr>
        <b/>
        <sz val="12"/>
        <color theme="1"/>
        <rFont val="Calibri"/>
        <family val="2"/>
        <scheme val="minor"/>
      </rPr>
      <t>1 iso</t>
    </r>
  </si>
  <si>
    <r>
      <t xml:space="preserve">Conso </t>
    </r>
    <r>
      <rPr>
        <b/>
        <sz val="18"/>
        <color theme="1"/>
        <rFont val="Batang"/>
        <family val="1"/>
      </rPr>
      <t>♂</t>
    </r>
    <r>
      <rPr>
        <b/>
        <sz val="18"/>
        <color theme="1"/>
        <rFont val="Calibri"/>
        <family val="2"/>
        <scheme val="minor"/>
      </rPr>
      <t>1 iso</t>
    </r>
  </si>
  <si>
    <r>
      <t xml:space="preserve">Espcmt graines </t>
    </r>
    <r>
      <rPr>
        <b/>
        <sz val="12"/>
        <color theme="1"/>
        <rFont val="Microsoft JhengHei"/>
        <family val="2"/>
      </rPr>
      <t>♂</t>
    </r>
    <r>
      <rPr>
        <b/>
        <sz val="12"/>
        <color theme="1"/>
        <rFont val="Calibri"/>
        <family val="2"/>
        <scheme val="minor"/>
      </rPr>
      <t>2 iso</t>
    </r>
  </si>
  <si>
    <r>
      <t xml:space="preserve">Conso </t>
    </r>
    <r>
      <rPr>
        <b/>
        <sz val="18"/>
        <color theme="1"/>
        <rFont val="Batang"/>
        <family val="1"/>
      </rPr>
      <t>♂</t>
    </r>
    <r>
      <rPr>
        <b/>
        <sz val="18"/>
        <color theme="1"/>
        <rFont val="Calibri"/>
        <family val="2"/>
        <scheme val="minor"/>
      </rPr>
      <t>2 iso</t>
    </r>
  </si>
  <si>
    <t>ISOLEMENT ?</t>
  </si>
  <si>
    <t>Ecartement entre rangs mâles d'isolement</t>
  </si>
  <si>
    <t>gr tot</t>
  </si>
  <si>
    <r>
      <rPr>
        <b/>
        <sz val="20"/>
        <color theme="0"/>
        <rFont val="Microsoft JhengHei"/>
        <family val="2"/>
      </rPr>
      <t>♂</t>
    </r>
    <r>
      <rPr>
        <b/>
        <sz val="20"/>
        <color theme="0"/>
        <rFont val="Calibri"/>
        <family val="2"/>
        <scheme val="minor"/>
      </rPr>
      <t xml:space="preserve"> ISOLEMENT TOTAL À CONSOMMER</t>
    </r>
  </si>
  <si>
    <t>OUI</t>
  </si>
  <si>
    <t>NON</t>
  </si>
  <si>
    <r>
      <t xml:space="preserve">Surface </t>
    </r>
    <r>
      <rPr>
        <b/>
        <sz val="20"/>
        <color theme="1"/>
        <rFont val="Batang"/>
        <family val="1"/>
      </rPr>
      <t>♂</t>
    </r>
    <r>
      <rPr>
        <b/>
        <sz val="20"/>
        <color theme="1"/>
        <rFont val="Calibri"/>
        <family val="2"/>
        <scheme val="minor"/>
      </rPr>
      <t xml:space="preserve"> isolement</t>
    </r>
  </si>
  <si>
    <t>TABLEAU SEMOIR</t>
  </si>
  <si>
    <t>CONSEIL DENSITE MALE D'ISOLEMENT 1</t>
  </si>
  <si>
    <t>CONSEIL DENSITE MALE D'ISOLEMENT 2</t>
  </si>
  <si>
    <t>DENSITÉ OBJECTIF THÉORIQUE</t>
  </si>
  <si>
    <t>MILLESIM</t>
  </si>
  <si>
    <t>BENEDICTIO KWS / BERNARDINIO</t>
  </si>
  <si>
    <t>ADAPTICO / AGROGANT</t>
  </si>
  <si>
    <t>KWARRADO (KX B8252)</t>
  </si>
  <si>
    <t>KWS GUSTAVIUS</t>
  </si>
  <si>
    <t>KWS INTELIGENS</t>
  </si>
  <si>
    <t>KWS OTTO (KX B8203)</t>
  </si>
  <si>
    <t>KX C0381</t>
  </si>
  <si>
    <t>MEGUSTO KWS</t>
  </si>
  <si>
    <t>HARDWARE</t>
  </si>
  <si>
    <t>MILLESIM ST</t>
  </si>
  <si>
    <t>CITO KWS</t>
  </si>
  <si>
    <t>AMAVERITAS / BENEDICTIO KWS</t>
  </si>
  <si>
    <t>AMAVERITAS ST / BENEDICTIO KWS ST</t>
  </si>
  <si>
    <t>KWS ADAPTICO</t>
  </si>
  <si>
    <t>KWARRADO</t>
  </si>
  <si>
    <t>KWARRADO ST</t>
  </si>
  <si>
    <t>KWS GUSTAVIUS ST</t>
  </si>
  <si>
    <t>KW 5A1776</t>
  </si>
  <si>
    <t>KW 4FP1579</t>
  </si>
  <si>
    <t>KWS OTTO</t>
  </si>
  <si>
    <t>KW 5GB5118</t>
  </si>
  <si>
    <t>KW 9D1437</t>
  </si>
  <si>
    <t>KW 5B5057</t>
  </si>
  <si>
    <t>KW 9D1433</t>
  </si>
  <si>
    <t>KW 9D1433 CMS</t>
  </si>
  <si>
    <t>20</t>
  </si>
  <si>
    <t>25</t>
  </si>
  <si>
    <r>
      <t xml:space="preserve">Part </t>
    </r>
    <r>
      <rPr>
        <sz val="10"/>
        <color theme="1"/>
        <rFont val="Batang"/>
        <family val="1"/>
      </rPr>
      <t>♀</t>
    </r>
    <r>
      <rPr>
        <sz val="10"/>
        <color theme="1"/>
        <rFont val="Calibri"/>
        <family val="2"/>
        <scheme val="minor"/>
      </rPr>
      <t xml:space="preserve"> théorique semoir</t>
    </r>
  </si>
  <si>
    <r>
      <t xml:space="preserve">Part </t>
    </r>
    <r>
      <rPr>
        <sz val="10"/>
        <color theme="1"/>
        <rFont val="Batang"/>
        <family val="1"/>
      </rPr>
      <t>♀</t>
    </r>
    <r>
      <rPr>
        <sz val="10"/>
        <color theme="1"/>
        <rFont val="Calibri"/>
        <family val="2"/>
        <scheme val="minor"/>
      </rPr>
      <t xml:space="preserve"> réelle au champ</t>
    </r>
  </si>
  <si>
    <r>
      <t xml:space="preserve">Part </t>
    </r>
    <r>
      <rPr>
        <sz val="10"/>
        <color theme="1"/>
        <rFont val="Batang"/>
        <family val="1"/>
      </rPr>
      <t>♂</t>
    </r>
    <r>
      <rPr>
        <sz val="10"/>
        <color theme="1"/>
        <rFont val="Calibri"/>
        <family val="2"/>
        <scheme val="minor"/>
      </rPr>
      <t xml:space="preserve"> théorique semoir</t>
    </r>
  </si>
  <si>
    <r>
      <t xml:space="preserve">Part </t>
    </r>
    <r>
      <rPr>
        <sz val="10"/>
        <color theme="1"/>
        <rFont val="Batang"/>
        <family val="1"/>
      </rPr>
      <t>♂</t>
    </r>
    <r>
      <rPr>
        <sz val="10"/>
        <color theme="1"/>
        <rFont val="Calibri"/>
        <family val="2"/>
        <scheme val="minor"/>
      </rPr>
      <t xml:space="preserve"> réelle au champ</t>
    </r>
  </si>
  <si>
    <t>HARDWARE ST</t>
  </si>
  <si>
    <r>
      <t xml:space="preserve">DOSES </t>
    </r>
    <r>
      <rPr>
        <b/>
        <sz val="18"/>
        <color theme="1"/>
        <rFont val="Batang"/>
        <family val="1"/>
      </rPr>
      <t xml:space="preserve">♂ </t>
    </r>
    <r>
      <rPr>
        <b/>
        <sz val="18"/>
        <color theme="1"/>
        <rFont val="Calibri"/>
        <family val="2"/>
        <scheme val="minor"/>
      </rPr>
      <t>théorique</t>
    </r>
  </si>
  <si>
    <r>
      <t xml:space="preserve">Densité théorique de </t>
    </r>
    <r>
      <rPr>
        <b/>
        <u/>
        <sz val="14"/>
        <color theme="1"/>
        <rFont val="Calibri"/>
        <family val="2"/>
        <scheme val="minor"/>
      </rPr>
      <t>femelles au champ</t>
    </r>
  </si>
  <si>
    <r>
      <t xml:space="preserve">Densité théorique de </t>
    </r>
    <r>
      <rPr>
        <b/>
        <u/>
        <sz val="14"/>
        <color theme="1"/>
        <rFont val="Calibri"/>
        <family val="2"/>
        <scheme val="minor"/>
      </rPr>
      <t>mâles</t>
    </r>
    <r>
      <rPr>
        <b/>
        <sz val="14"/>
        <color theme="1"/>
        <rFont val="Calibri"/>
        <family val="2"/>
        <scheme val="minor"/>
      </rPr>
      <t xml:space="preserve"> au champ</t>
    </r>
  </si>
  <si>
    <t>VIX</t>
  </si>
  <si>
    <t>PMG (Annoncé / Mesuré)</t>
  </si>
  <si>
    <r>
      <t xml:space="preserve">DOSES </t>
    </r>
    <r>
      <rPr>
        <b/>
        <sz val="18"/>
        <color theme="1"/>
        <rFont val="Microsoft JhengHei"/>
        <family val="2"/>
      </rPr>
      <t xml:space="preserve">♀ </t>
    </r>
    <r>
      <rPr>
        <b/>
        <sz val="18"/>
        <color theme="1"/>
        <rFont val="Calibri"/>
        <family val="2"/>
        <scheme val="minor"/>
      </rPr>
      <t>théorique</t>
    </r>
  </si>
  <si>
    <t>RW SM303</t>
  </si>
  <si>
    <t>RW SM303 CMS</t>
  </si>
  <si>
    <t>RW SM673</t>
  </si>
  <si>
    <t>Groupe</t>
  </si>
  <si>
    <t>Exploitation</t>
  </si>
  <si>
    <t>Variété</t>
  </si>
  <si>
    <r>
      <t xml:space="preserve">Surface contrat </t>
    </r>
    <r>
      <rPr>
        <sz val="11"/>
        <rFont val="Calibri"/>
        <family val="2"/>
      </rPr>
      <t>(ha)</t>
    </r>
  </si>
  <si>
    <t>% consommé / livré</t>
  </si>
  <si>
    <r>
      <t xml:space="preserve">Surface semée en </t>
    </r>
    <r>
      <rPr>
        <b/>
        <sz val="14"/>
        <color theme="1"/>
        <rFont val="Arial Narrow"/>
        <family val="2"/>
      </rPr>
      <t>♀</t>
    </r>
  </si>
  <si>
    <r>
      <t xml:space="preserve">Densité ♀ préconisée Semencier </t>
    </r>
    <r>
      <rPr>
        <sz val="9"/>
        <color theme="1"/>
        <rFont val="Calibri"/>
        <family val="2"/>
        <scheme val="minor"/>
      </rPr>
      <t>(p/ha)</t>
    </r>
  </si>
  <si>
    <t>Densité ♀ objectif</t>
  </si>
  <si>
    <r>
      <t xml:space="preserve">Distance ♀ sur le rang conseillée </t>
    </r>
    <r>
      <rPr>
        <sz val="9"/>
        <color theme="1"/>
        <rFont val="Calibri"/>
        <family val="2"/>
        <scheme val="minor"/>
      </rPr>
      <t>(m)</t>
    </r>
  </si>
  <si>
    <t>% Densité réelle semée / conseillée</t>
  </si>
  <si>
    <r>
      <t xml:space="preserve">Distance ♀ sur le rang moyen calculé </t>
    </r>
    <r>
      <rPr>
        <sz val="9"/>
        <color theme="1"/>
        <rFont val="Calibri"/>
        <family val="2"/>
        <scheme val="minor"/>
      </rPr>
      <t>(m)</t>
    </r>
  </si>
  <si>
    <t>% Densité 4F / réelle semée</t>
  </si>
  <si>
    <r>
      <t>Distance ♀ sur le rang mesurée</t>
    </r>
    <r>
      <rPr>
        <sz val="9"/>
        <color theme="1"/>
        <rFont val="Calibri"/>
        <family val="2"/>
        <scheme val="minor"/>
      </rPr>
      <t xml:space="preserve"> (m)</t>
    </r>
  </si>
  <si>
    <t>Densité ♀ à 4F selon part mesurée
(gr/ha)</t>
  </si>
  <si>
    <t>% objectif semis</t>
  </si>
  <si>
    <r>
      <t xml:space="preserve">Densité ♀ à 4F selon part au champ théorique </t>
    </r>
    <r>
      <rPr>
        <sz val="9"/>
        <color theme="1"/>
        <rFont val="Calibri"/>
        <family val="2"/>
        <scheme val="minor"/>
      </rPr>
      <t>(gr/ha)</t>
    </r>
  </si>
  <si>
    <t>Peuplement épi/ha</t>
  </si>
  <si>
    <t>% épi / densité objectif</t>
  </si>
  <si>
    <t>Qté consommé
- qté estimé</t>
  </si>
  <si>
    <t>% consommée / estimée</t>
  </si>
  <si>
    <t>Nb rang mâles</t>
  </si>
  <si>
    <t>Largeur planche totale théorique</t>
  </si>
  <si>
    <t>% Largeur réelle / largeur théorique</t>
  </si>
  <si>
    <t>Largeur planche totale moyenne mesurée</t>
  </si>
  <si>
    <t>MOULIN Grunagel</t>
  </si>
  <si>
    <t>Part ♀ au champ</t>
  </si>
  <si>
    <t>Part ♂ au champ</t>
  </si>
  <si>
    <r>
      <t xml:space="preserve">Ecart </t>
    </r>
    <r>
      <rPr>
        <b/>
        <sz val="12"/>
        <color theme="1"/>
        <rFont val="Calibri"/>
        <family val="2"/>
        <scheme val="minor"/>
      </rPr>
      <t>moyen</t>
    </r>
    <r>
      <rPr>
        <sz val="12"/>
        <color theme="1"/>
        <rFont val="Calibri"/>
        <family val="2"/>
        <scheme val="minor"/>
      </rPr>
      <t xml:space="preserve"> des rangs femelles:</t>
    </r>
  </si>
  <si>
    <r>
      <t xml:space="preserve">Ecart </t>
    </r>
    <r>
      <rPr>
        <b/>
        <sz val="12"/>
        <color theme="1"/>
        <rFont val="Calibri"/>
        <family val="2"/>
        <scheme val="minor"/>
      </rPr>
      <t>moyen</t>
    </r>
    <r>
      <rPr>
        <sz val="12"/>
        <color theme="1"/>
        <rFont val="Calibri"/>
        <family val="2"/>
        <scheme val="minor"/>
      </rPr>
      <t xml:space="preserve"> des rangs mâles</t>
    </r>
  </si>
  <si>
    <t>RETOUR</t>
  </si>
  <si>
    <t>Milliers de graines</t>
  </si>
  <si>
    <t>Qté</t>
  </si>
  <si>
    <t>Qté consommé
- qté livré</t>
  </si>
  <si>
    <r>
      <t xml:space="preserve">Densité réelle ♀ semée </t>
    </r>
    <r>
      <rPr>
        <sz val="11"/>
        <color theme="1"/>
        <rFont val="Calibri"/>
        <family val="2"/>
        <scheme val="minor"/>
      </rPr>
      <t>selon consommée</t>
    </r>
    <r>
      <rPr>
        <b/>
        <sz val="11"/>
        <color theme="1"/>
        <rFont val="Calibri"/>
        <family val="2"/>
        <scheme val="minor"/>
      </rPr>
      <t xml:space="preserve"> </t>
    </r>
    <r>
      <rPr>
        <sz val="9"/>
        <color theme="1"/>
        <rFont val="Calibri"/>
        <family val="2"/>
        <scheme val="minor"/>
      </rPr>
      <t>(gr/ha)</t>
    </r>
  </si>
  <si>
    <r>
      <t>d</t>
    </r>
    <r>
      <rPr>
        <b/>
        <vertAlign val="subscript"/>
        <sz val="18"/>
        <color rgb="FF00B050"/>
        <rFont val="Calibri"/>
        <family val="2"/>
        <scheme val="minor"/>
      </rPr>
      <t>1 semencier</t>
    </r>
  </si>
  <si>
    <r>
      <t>d</t>
    </r>
    <r>
      <rPr>
        <b/>
        <vertAlign val="subscript"/>
        <sz val="18"/>
        <color rgb="FFFF0000"/>
        <rFont val="Calibri"/>
        <family val="2"/>
        <scheme val="minor"/>
      </rPr>
      <t>2 semencier</t>
    </r>
  </si>
  <si>
    <r>
      <t>d</t>
    </r>
    <r>
      <rPr>
        <b/>
        <vertAlign val="subscript"/>
        <sz val="18"/>
        <color rgb="FF00B050"/>
        <rFont val="Calibri"/>
        <family val="2"/>
        <scheme val="minor"/>
      </rPr>
      <t>1 mesurée</t>
    </r>
  </si>
  <si>
    <r>
      <t>d</t>
    </r>
    <r>
      <rPr>
        <b/>
        <vertAlign val="subscript"/>
        <sz val="18"/>
        <color rgb="FFFF0000"/>
        <rFont val="Calibri"/>
        <family val="2"/>
        <scheme val="minor"/>
      </rPr>
      <t>2 mesurée</t>
    </r>
  </si>
  <si>
    <t>2x2 CITO (Lot1)</t>
  </si>
  <si>
    <t>2x2 CITO KWS (Lot1)</t>
  </si>
  <si>
    <r>
      <t xml:space="preserve">Densité ♀  conseillée au champ </t>
    </r>
    <r>
      <rPr>
        <sz val="9"/>
        <color theme="1"/>
        <rFont val="Calibri"/>
        <family val="2"/>
        <scheme val="minor"/>
      </rPr>
      <t>(gr/ha)</t>
    </r>
  </si>
  <si>
    <t>Variétés 2021</t>
  </si>
  <si>
    <t>Genre</t>
  </si>
  <si>
    <t>Ecartement entre rangs
isolement</t>
  </si>
  <si>
    <t>MÂLE DE PRODUCTION</t>
  </si>
  <si>
    <t>MÂLE NEUTRE</t>
  </si>
  <si>
    <t>MÂLE D'ISOLEMENT</t>
  </si>
  <si>
    <r>
      <t xml:space="preserve">Surface semée en </t>
    </r>
    <r>
      <rPr>
        <b/>
        <sz val="14"/>
        <color theme="1"/>
        <rFont val="Arial Narrow"/>
        <family val="2"/>
      </rPr>
      <t>♂</t>
    </r>
  </si>
  <si>
    <r>
      <t>LIVR</t>
    </r>
    <r>
      <rPr>
        <b/>
        <sz val="12"/>
        <color theme="1"/>
        <rFont val="Arial"/>
        <family val="2"/>
      </rPr>
      <t>ÉS</t>
    </r>
  </si>
  <si>
    <r>
      <t>CONSOMM</t>
    </r>
    <r>
      <rPr>
        <b/>
        <sz val="12"/>
        <color theme="1"/>
        <rFont val="Arial"/>
        <family val="2"/>
      </rPr>
      <t>ÉS</t>
    </r>
  </si>
  <si>
    <r>
      <rPr>
        <b/>
        <sz val="12"/>
        <color theme="1"/>
        <rFont val="Calibri"/>
        <family val="2"/>
        <scheme val="minor"/>
      </rPr>
      <t>ESTIM</t>
    </r>
    <r>
      <rPr>
        <b/>
        <sz val="12"/>
        <color theme="1"/>
        <rFont val="Arial"/>
        <family val="2"/>
      </rPr>
      <t>ÉS</t>
    </r>
    <r>
      <rPr>
        <b/>
        <sz val="11"/>
        <color theme="1"/>
        <rFont val="Arial"/>
        <family val="2"/>
      </rPr>
      <t xml:space="preserve"> (</t>
    </r>
    <r>
      <rPr>
        <sz val="11"/>
        <color theme="1"/>
        <rFont val="Arial"/>
        <family val="2"/>
      </rPr>
      <t>selon conseil</t>
    </r>
    <r>
      <rPr>
        <b/>
        <sz val="11"/>
        <color theme="1"/>
        <rFont val="Arial"/>
        <family val="2"/>
      </rPr>
      <t>)</t>
    </r>
  </si>
  <si>
    <r>
      <t>Largeur planche ♀</t>
    </r>
    <r>
      <rPr>
        <sz val="9"/>
        <color rgb="FF00B050"/>
        <rFont val="Calibri"/>
        <family val="2"/>
        <scheme val="minor"/>
      </rPr>
      <t xml:space="preserve"> (m)</t>
    </r>
  </si>
  <si>
    <r>
      <t xml:space="preserve">Largeur planche ♀ </t>
    </r>
    <r>
      <rPr>
        <sz val="9"/>
        <color rgb="FF00B050"/>
        <rFont val="Calibri"/>
        <family val="2"/>
        <scheme val="minor"/>
      </rPr>
      <t>(m)</t>
    </r>
  </si>
  <si>
    <r>
      <t xml:space="preserve">Ecart entre rangs ♀ </t>
    </r>
    <r>
      <rPr>
        <sz val="9"/>
        <color rgb="FF00B050"/>
        <rFont val="Calibri"/>
        <family val="2"/>
        <scheme val="minor"/>
      </rPr>
      <t>(m)</t>
    </r>
  </si>
  <si>
    <t>Part ♀</t>
  </si>
  <si>
    <r>
      <t xml:space="preserve">Ecart moyen des rangs ♂ au champ
</t>
    </r>
    <r>
      <rPr>
        <sz val="9"/>
        <color rgb="FFFF0000"/>
        <rFont val="Calibri"/>
        <family val="2"/>
        <scheme val="minor"/>
      </rPr>
      <t>(m)</t>
    </r>
  </si>
  <si>
    <r>
      <t xml:space="preserve">Ecart moyen des rangs ♀ au champ
</t>
    </r>
    <r>
      <rPr>
        <sz val="9"/>
        <color rgb="FF00B050"/>
        <rFont val="Calibri"/>
        <family val="2"/>
        <scheme val="minor"/>
      </rPr>
      <t>(m)</t>
    </r>
  </si>
  <si>
    <r>
      <t xml:space="preserve">Largeur planche ♂ </t>
    </r>
    <r>
      <rPr>
        <sz val="9"/>
        <color rgb="FFFF0000"/>
        <rFont val="Calibri"/>
        <family val="2"/>
        <scheme val="minor"/>
      </rPr>
      <t>(m)</t>
    </r>
  </si>
  <si>
    <r>
      <t>Largeur planche ♂</t>
    </r>
    <r>
      <rPr>
        <b/>
        <sz val="11"/>
        <color rgb="FFFF0000"/>
        <rFont val="Calibri"/>
        <family val="2"/>
        <scheme val="minor"/>
      </rPr>
      <t xml:space="preserve"> </t>
    </r>
    <r>
      <rPr>
        <sz val="9"/>
        <color rgb="FFFF0000"/>
        <rFont val="Calibri"/>
        <family val="2"/>
        <scheme val="minor"/>
      </rPr>
      <t>(m)</t>
    </r>
  </si>
  <si>
    <r>
      <t xml:space="preserve">Ecart entre rangs ♂ </t>
    </r>
    <r>
      <rPr>
        <sz val="9"/>
        <color rgb="FFFF0000"/>
        <rFont val="Calibri"/>
        <family val="2"/>
        <scheme val="minor"/>
      </rPr>
      <t>(m)</t>
    </r>
  </si>
  <si>
    <t>Part ♂</t>
  </si>
  <si>
    <t>MESURÉ</t>
  </si>
  <si>
    <r>
      <t>TH</t>
    </r>
    <r>
      <rPr>
        <b/>
        <sz val="12"/>
        <color rgb="FF00B050"/>
        <rFont val="Arial"/>
        <family val="2"/>
      </rPr>
      <t>ÉORIQUE</t>
    </r>
  </si>
  <si>
    <r>
      <t>TH</t>
    </r>
    <r>
      <rPr>
        <b/>
        <sz val="12"/>
        <color rgb="FFFF0000"/>
        <rFont val="Arial"/>
        <family val="2"/>
      </rPr>
      <t>ÉORIQUE</t>
    </r>
  </si>
  <si>
    <t>Nb rang femelles</t>
  </si>
  <si>
    <r>
      <t xml:space="preserve">Nb de graines </t>
    </r>
    <r>
      <rPr>
        <b/>
        <sz val="14"/>
        <color theme="1"/>
        <rFont val="Arial Narrow"/>
        <family val="2"/>
      </rPr>
      <t>♂</t>
    </r>
    <r>
      <rPr>
        <b/>
        <sz val="11"/>
        <color theme="1"/>
        <rFont val="Arial Narrow"/>
        <family val="2"/>
      </rPr>
      <t xml:space="preserve"> </t>
    </r>
    <r>
      <rPr>
        <b/>
        <sz val="11"/>
        <color theme="1"/>
        <rFont val="Calibri"/>
        <family val="2"/>
        <scheme val="minor"/>
      </rPr>
      <t>TOTAL à semer</t>
    </r>
  </si>
  <si>
    <r>
      <t xml:space="preserve">Nb de graines </t>
    </r>
    <r>
      <rPr>
        <b/>
        <sz val="14"/>
        <color theme="1"/>
        <rFont val="Arial Narrow"/>
        <family val="2"/>
      </rPr>
      <t>♂</t>
    </r>
    <r>
      <rPr>
        <b/>
        <sz val="11"/>
        <color theme="1"/>
        <rFont val="Calibri"/>
        <family val="2"/>
        <scheme val="minor"/>
      </rPr>
      <t xml:space="preserve"> à semer</t>
    </r>
  </si>
  <si>
    <r>
      <t xml:space="preserve">Nb de graines </t>
    </r>
    <r>
      <rPr>
        <b/>
        <sz val="14"/>
        <color theme="1"/>
        <rFont val="Arial Narrow"/>
        <family val="2"/>
      </rPr>
      <t>♂</t>
    </r>
    <r>
      <rPr>
        <b/>
        <sz val="11"/>
        <color theme="1"/>
        <rFont val="Calibri"/>
        <family val="2"/>
        <scheme val="minor"/>
      </rPr>
      <t xml:space="preserve"> TOTAL à semer</t>
    </r>
  </si>
  <si>
    <r>
      <t xml:space="preserve">Nb de graines </t>
    </r>
    <r>
      <rPr>
        <b/>
        <sz val="14"/>
        <color theme="1"/>
        <rFont val="Arial Narrow"/>
        <family val="2"/>
      </rPr>
      <t>♂</t>
    </r>
    <r>
      <rPr>
        <b/>
        <sz val="11"/>
        <color theme="1"/>
        <rFont val="Calibri"/>
        <family val="2"/>
        <scheme val="minor"/>
      </rPr>
      <t>1 estimé à semer</t>
    </r>
  </si>
  <si>
    <r>
      <t xml:space="preserve">Nb de graines </t>
    </r>
    <r>
      <rPr>
        <b/>
        <sz val="14"/>
        <color theme="1"/>
        <rFont val="Arial Narrow"/>
        <family val="2"/>
      </rPr>
      <t>♂</t>
    </r>
    <r>
      <rPr>
        <b/>
        <sz val="11"/>
        <color theme="1"/>
        <rFont val="Calibri"/>
        <family val="2"/>
        <scheme val="minor"/>
      </rPr>
      <t>2 estimé à semer</t>
    </r>
  </si>
  <si>
    <r>
      <t xml:space="preserve">Espacement entre graines </t>
    </r>
    <r>
      <rPr>
        <b/>
        <sz val="14"/>
        <color theme="1"/>
        <rFont val="Arial Narrow"/>
        <family val="2"/>
      </rPr>
      <t>♂</t>
    </r>
    <r>
      <rPr>
        <b/>
        <sz val="11"/>
        <color theme="1"/>
        <rFont val="Calibri"/>
        <family val="2"/>
        <scheme val="minor"/>
      </rPr>
      <t xml:space="preserve">1 sur le rang conseillé </t>
    </r>
    <r>
      <rPr>
        <sz val="11"/>
        <color theme="1"/>
        <rFont val="Calibri"/>
        <family val="2"/>
        <scheme val="minor"/>
      </rPr>
      <t>(m)</t>
    </r>
  </si>
  <si>
    <r>
      <t xml:space="preserve">Espacement entre graines </t>
    </r>
    <r>
      <rPr>
        <b/>
        <sz val="14"/>
        <color theme="1"/>
        <rFont val="Arial Narrow"/>
        <family val="2"/>
      </rPr>
      <t>♂</t>
    </r>
    <r>
      <rPr>
        <b/>
        <sz val="11"/>
        <color theme="1"/>
        <rFont val="Calibri"/>
        <family val="2"/>
        <scheme val="minor"/>
      </rPr>
      <t xml:space="preserve">2 sur le rang conseillé </t>
    </r>
    <r>
      <rPr>
        <sz val="11"/>
        <color theme="1"/>
        <rFont val="Calibri"/>
        <family val="2"/>
        <scheme val="minor"/>
      </rPr>
      <t>(m)</t>
    </r>
  </si>
  <si>
    <r>
      <t xml:space="preserve">Espacement entre graines </t>
    </r>
    <r>
      <rPr>
        <b/>
        <sz val="14"/>
        <color theme="1"/>
        <rFont val="Arial Narrow"/>
        <family val="2"/>
      </rPr>
      <t>♂</t>
    </r>
    <r>
      <rPr>
        <b/>
        <sz val="11"/>
        <color theme="1"/>
        <rFont val="Arial Narrow"/>
        <family val="2"/>
      </rPr>
      <t>3</t>
    </r>
    <r>
      <rPr>
        <b/>
        <sz val="11"/>
        <color theme="1"/>
        <rFont val="Calibri"/>
        <family val="2"/>
        <scheme val="minor"/>
      </rPr>
      <t xml:space="preserve"> sur le rang conseillé </t>
    </r>
    <r>
      <rPr>
        <sz val="11"/>
        <color theme="1"/>
        <rFont val="Calibri"/>
        <family val="2"/>
        <scheme val="minor"/>
      </rPr>
      <t>(m)</t>
    </r>
  </si>
  <si>
    <r>
      <t xml:space="preserve">Nb de graines </t>
    </r>
    <r>
      <rPr>
        <b/>
        <sz val="14"/>
        <color theme="1"/>
        <rFont val="Arial Narrow"/>
        <family val="2"/>
      </rPr>
      <t>♂</t>
    </r>
    <r>
      <rPr>
        <b/>
        <sz val="11"/>
        <color theme="1"/>
        <rFont val="Calibri"/>
        <family val="2"/>
        <scheme val="minor"/>
      </rPr>
      <t>3 estimé à semer</t>
    </r>
  </si>
  <si>
    <r>
      <t xml:space="preserve">Espacement entre graines </t>
    </r>
    <r>
      <rPr>
        <b/>
        <sz val="14"/>
        <color theme="1"/>
        <rFont val="Arial Narrow"/>
        <family val="2"/>
      </rPr>
      <t>♂</t>
    </r>
    <r>
      <rPr>
        <b/>
        <sz val="11"/>
        <color theme="1"/>
        <rFont val="Arial Narrow"/>
        <family val="2"/>
      </rPr>
      <t>1</t>
    </r>
    <r>
      <rPr>
        <b/>
        <sz val="11"/>
        <color theme="1"/>
        <rFont val="Calibri"/>
        <family val="2"/>
        <scheme val="minor"/>
      </rPr>
      <t xml:space="preserve"> sur le rang conseillé </t>
    </r>
    <r>
      <rPr>
        <sz val="11"/>
        <color theme="1"/>
        <rFont val="Calibri"/>
        <family val="2"/>
        <scheme val="minor"/>
      </rPr>
      <t>(m)</t>
    </r>
  </si>
  <si>
    <r>
      <t xml:space="preserve">Nbre de graines </t>
    </r>
    <r>
      <rPr>
        <b/>
        <sz val="14"/>
        <color theme="1"/>
        <rFont val="Arial Narrow"/>
        <family val="2"/>
      </rPr>
      <t>♂</t>
    </r>
    <r>
      <rPr>
        <b/>
        <sz val="11"/>
        <color theme="1"/>
        <rFont val="Arial Narrow"/>
        <family val="2"/>
      </rPr>
      <t>1</t>
    </r>
    <r>
      <rPr>
        <b/>
        <sz val="11"/>
        <color theme="1"/>
        <rFont val="Calibri"/>
        <family val="2"/>
        <scheme val="minor"/>
      </rPr>
      <t xml:space="preserve"> estimé à semer</t>
    </r>
  </si>
  <si>
    <r>
      <t xml:space="preserve">Nb de graines </t>
    </r>
    <r>
      <rPr>
        <b/>
        <sz val="14"/>
        <color theme="1"/>
        <rFont val="Arial Narrow"/>
        <family val="2"/>
      </rPr>
      <t>♂</t>
    </r>
    <r>
      <rPr>
        <b/>
        <sz val="11"/>
        <color theme="1"/>
        <rFont val="Arial Narrow"/>
        <family val="2"/>
      </rPr>
      <t>2</t>
    </r>
    <r>
      <rPr>
        <b/>
        <sz val="11"/>
        <color theme="1"/>
        <rFont val="Calibri"/>
        <family val="2"/>
        <scheme val="minor"/>
      </rPr>
      <t xml:space="preserve"> estimé à semer</t>
    </r>
  </si>
  <si>
    <r>
      <t xml:space="preserve">Espacement entre graines </t>
    </r>
    <r>
      <rPr>
        <b/>
        <sz val="14"/>
        <color theme="1"/>
        <rFont val="Arial Narrow"/>
        <family val="2"/>
      </rPr>
      <t>♂</t>
    </r>
    <r>
      <rPr>
        <b/>
        <sz val="11"/>
        <color theme="1"/>
        <rFont val="Calibri"/>
        <family val="2"/>
        <scheme val="minor"/>
      </rPr>
      <t xml:space="preserve"> sur le rang conseillé </t>
    </r>
    <r>
      <rPr>
        <sz val="11"/>
        <color theme="1"/>
        <rFont val="Calibri"/>
        <family val="2"/>
        <scheme val="minor"/>
      </rPr>
      <t>(m)</t>
    </r>
  </si>
  <si>
    <r>
      <t xml:space="preserve">PMG </t>
    </r>
    <r>
      <rPr>
        <b/>
        <sz val="14"/>
        <color theme="1"/>
        <rFont val="Arial Narrow"/>
        <family val="2"/>
      </rPr>
      <t>♂</t>
    </r>
  </si>
  <si>
    <r>
      <t xml:space="preserve">FG
</t>
    </r>
    <r>
      <rPr>
        <b/>
        <sz val="14"/>
        <color theme="1"/>
        <rFont val="Arial Narrow"/>
        <family val="2"/>
      </rPr>
      <t>♂</t>
    </r>
  </si>
  <si>
    <t>THÉORIQUE</t>
  </si>
  <si>
    <r>
      <t>ESTIM</t>
    </r>
    <r>
      <rPr>
        <b/>
        <sz val="12"/>
        <color theme="1"/>
        <rFont val="Arial"/>
        <family val="2"/>
      </rPr>
      <t>ÉS (</t>
    </r>
    <r>
      <rPr>
        <sz val="12"/>
        <color theme="1"/>
        <rFont val="Arial"/>
        <family val="2"/>
      </rPr>
      <t>selon conseil</t>
    </r>
    <r>
      <rPr>
        <b/>
        <sz val="12"/>
        <color theme="1"/>
        <rFont val="Arial"/>
        <family val="2"/>
      </rPr>
      <t>)</t>
    </r>
  </si>
  <si>
    <r>
      <t xml:space="preserve">PMG </t>
    </r>
    <r>
      <rPr>
        <b/>
        <sz val="14"/>
        <color theme="1"/>
        <rFont val="Arial Narrow"/>
        <family val="2"/>
      </rPr>
      <t>♀</t>
    </r>
  </si>
  <si>
    <r>
      <t xml:space="preserve">FG
</t>
    </r>
    <r>
      <rPr>
        <b/>
        <sz val="14"/>
        <color theme="1"/>
        <rFont val="Arial Narrow"/>
        <family val="2"/>
      </rPr>
      <t>♀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</si>
</sst>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7">
    <numFmt numFmtId="43" formatCode="_-* #,##0.00_-;\-* #,##0.00_-;_-* &quot;-&quot;??_-;_-@_-"/>
    <numFmt numFmtId="164" formatCode="0.000"/>
    <numFmt numFmtId="165" formatCode="#,##0.0"/>
    <numFmt numFmtId="166" formatCode="#,##0.000"/>
    <numFmt numFmtId="167" formatCode="0.0%"/>
    <numFmt numFmtId="168" formatCode="0.0"/>
    <numFmt numFmtId="169" formatCode="0.0000"/>
    <numFmt numFmtId="170" formatCode="_-* #,##0_-;\-* #,##0_-;_-* &quot;-&quot;??_-;_-@_-"/>
    <numFmt numFmtId="171" formatCode="_-* #,##0.000_-;\-* #,##0.000_-;_-* &quot;-&quot;??_-;_-@_-"/>
    <numFmt numFmtId="172" formatCode="0.0&quot;  kg &quot;"/>
    <numFmt numFmtId="173" formatCode="\+\ 0.0&quot;  kg &quot;;\-\ 0.0&quot;  kg &quot;;0.0&quot;  kg &quot;"/>
    <numFmt numFmtId="174" formatCode="\+\ 0.0%;\-\ 0.0%;0.0"/>
    <numFmt numFmtId="175" formatCode="\+0.0%;\-0.0%;0.0"/>
    <numFmt numFmtId="176" formatCode="#,##0.00_ ;\-#,##0.00\ "/>
    <numFmt numFmtId="177" formatCode="\+0.00%;\-0.00%;0.00"/>
    <numFmt numFmtId="178" formatCode="0.000_ ;\-0.000\ "/>
    <numFmt numFmtId="179" formatCode="0.00_ ;\-0.00\ "/>
  </numFmts>
  <fonts count="17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indexed="8"/>
      <name val="Calibri"/>
      <family val="2"/>
    </font>
    <font>
      <sz val="9"/>
      <color theme="1"/>
      <name val="Calibri"/>
      <family val="2"/>
      <scheme val="minor"/>
    </font>
    <font>
      <sz val="8"/>
      <color indexed="8"/>
      <name val="Arial"/>
      <family val="2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sz val="16"/>
      <color theme="1"/>
      <name val="Batang"/>
      <family val="1"/>
    </font>
    <font>
      <b/>
      <sz val="24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indexed="9"/>
      <name val="Tahoma"/>
      <family val="2"/>
    </font>
    <font>
      <b/>
      <sz val="16"/>
      <color indexed="9"/>
      <name val="Tahoma"/>
      <family val="2"/>
    </font>
    <font>
      <i/>
      <sz val="16"/>
      <color theme="1"/>
      <name val="Calibri"/>
      <family val="2"/>
      <scheme val="minor"/>
    </font>
    <font>
      <b/>
      <sz val="14"/>
      <color indexed="9"/>
      <name val="Tahoma"/>
      <family val="2"/>
    </font>
    <font>
      <b/>
      <u/>
      <sz val="16"/>
      <color indexed="9"/>
      <name val="Tahoma"/>
      <family val="2"/>
    </font>
    <font>
      <b/>
      <sz val="20"/>
      <color indexed="9"/>
      <name val="Tahoma"/>
      <family val="2"/>
    </font>
    <font>
      <sz val="48"/>
      <color theme="0"/>
      <name val="Calibri"/>
      <family val="2"/>
      <scheme val="minor"/>
    </font>
    <font>
      <b/>
      <sz val="14"/>
      <color theme="1"/>
      <name val="Microsoft JhengHei"/>
      <family val="2"/>
    </font>
    <font>
      <b/>
      <sz val="12"/>
      <color theme="1"/>
      <name val="Microsoft JhengHei"/>
      <family val="2"/>
    </font>
    <font>
      <b/>
      <sz val="13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u/>
      <sz val="45"/>
      <color theme="1"/>
      <name val="Estrangelo Edessa"/>
      <family val="4"/>
    </font>
    <font>
      <b/>
      <u/>
      <sz val="11"/>
      <color indexed="9"/>
      <name val="Tahoma"/>
      <family val="2"/>
    </font>
    <font>
      <b/>
      <sz val="11"/>
      <color theme="1"/>
      <name val="Calibri"/>
      <family val="2"/>
      <scheme val="minor"/>
    </font>
    <font>
      <b/>
      <sz val="50"/>
      <color rgb="FFD7FF65"/>
      <name val="KaiTi"/>
      <family val="3"/>
    </font>
    <font>
      <b/>
      <sz val="50"/>
      <color rgb="FFFF0000"/>
      <name val="KaiTi"/>
      <family val="3"/>
    </font>
    <font>
      <b/>
      <sz val="11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5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8"/>
      <color theme="1"/>
      <name val="Microsoft JhengHei"/>
      <family val="2"/>
    </font>
    <font>
      <b/>
      <sz val="20"/>
      <color theme="1"/>
      <name val="Microsoft JhengHei"/>
      <family val="2"/>
    </font>
    <font>
      <b/>
      <i/>
      <sz val="16"/>
      <color theme="1"/>
      <name val="Calibri"/>
      <family val="2"/>
      <scheme val="minor"/>
    </font>
    <font>
      <b/>
      <sz val="18"/>
      <color theme="1"/>
      <name val="Batang"/>
      <family val="1"/>
    </font>
    <font>
      <sz val="22"/>
      <color theme="1"/>
      <name val="Calibri"/>
      <family val="2"/>
      <scheme val="minor"/>
    </font>
    <font>
      <b/>
      <sz val="36"/>
      <color theme="1"/>
      <name val="Bradley Hand ITC"/>
      <family val="4"/>
    </font>
    <font>
      <b/>
      <sz val="28"/>
      <color theme="1"/>
      <name val="Calibri"/>
      <family val="2"/>
      <scheme val="minor"/>
    </font>
    <font>
      <i/>
      <sz val="15"/>
      <color theme="1"/>
      <name val="Calibri"/>
      <family val="2"/>
      <scheme val="minor"/>
    </font>
    <font>
      <b/>
      <sz val="24"/>
      <color rgb="FFC00000"/>
      <name val="KaiTi"/>
      <family val="3"/>
    </font>
    <font>
      <b/>
      <sz val="24"/>
      <color theme="9" tint="-0.249977111117893"/>
      <name val="Wingdings 3"/>
      <family val="1"/>
      <charset val="2"/>
    </font>
    <font>
      <sz val="72"/>
      <color theme="1"/>
      <name val="Wingdings 3"/>
      <family val="1"/>
      <charset val="2"/>
    </font>
    <font>
      <b/>
      <u/>
      <sz val="26"/>
      <color theme="1"/>
      <name val="Calibri"/>
      <family val="2"/>
      <scheme val="minor"/>
    </font>
    <font>
      <sz val="12"/>
      <name val="Microsoft JhengHei"/>
      <family val="2"/>
    </font>
    <font>
      <sz val="12"/>
      <color theme="1"/>
      <name val="Microsoft JhengHei"/>
      <family val="2"/>
    </font>
    <font>
      <b/>
      <sz val="17"/>
      <color theme="1"/>
      <name val="Batang"/>
      <family val="1"/>
    </font>
    <font>
      <sz val="24"/>
      <color theme="1"/>
      <name val="Calibri"/>
      <family val="2"/>
      <scheme val="minor"/>
    </font>
    <font>
      <b/>
      <sz val="48"/>
      <color theme="1"/>
      <name val="Wingdings 3"/>
      <family val="1"/>
      <charset val="2"/>
    </font>
    <font>
      <sz val="8"/>
      <name val="Calibri"/>
      <family val="2"/>
      <scheme val="minor"/>
    </font>
    <font>
      <u/>
      <sz val="24"/>
      <color theme="1"/>
      <name val="Calibri"/>
      <family val="2"/>
      <scheme val="minor"/>
    </font>
    <font>
      <sz val="11"/>
      <name val="Calibri"/>
      <family val="2"/>
    </font>
    <font>
      <b/>
      <sz val="14"/>
      <color indexed="8"/>
      <name val="Calibri"/>
      <family val="2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24"/>
      <color theme="10"/>
      <name val="Calibri"/>
      <family val="2"/>
      <scheme val="minor"/>
    </font>
    <font>
      <b/>
      <u/>
      <sz val="22"/>
      <color theme="10"/>
      <name val="Calibri"/>
      <family val="2"/>
      <scheme val="minor"/>
    </font>
    <font>
      <b/>
      <i/>
      <sz val="20"/>
      <color theme="1"/>
      <name val="Calibri"/>
      <family val="2"/>
    </font>
    <font>
      <sz val="10"/>
      <color indexed="8"/>
      <name val="Calibri"/>
      <family val="2"/>
    </font>
    <font>
      <sz val="10"/>
      <color theme="1"/>
      <name val="Calibri"/>
      <family val="2"/>
    </font>
    <font>
      <sz val="10"/>
      <color theme="1"/>
      <name val="Arial"/>
      <family val="2"/>
    </font>
    <font>
      <sz val="10"/>
      <color rgb="FFFF0000"/>
      <name val="Calibri"/>
      <family val="2"/>
    </font>
    <font>
      <sz val="9"/>
      <color rgb="FFFF0000"/>
      <name val="Calibri"/>
      <family val="2"/>
    </font>
    <font>
      <sz val="9"/>
      <color rgb="FFFF0000"/>
      <name val="Calibri"/>
      <family val="2"/>
      <scheme val="minor"/>
    </font>
    <font>
      <b/>
      <sz val="14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24"/>
      <color theme="10"/>
      <name val="Calibri"/>
      <family val="2"/>
      <scheme val="minor"/>
    </font>
    <font>
      <b/>
      <sz val="50"/>
      <color theme="9" tint="-0.249977111117893"/>
      <name val="Wingdings 3"/>
      <family val="1"/>
      <charset val="2"/>
    </font>
    <font>
      <b/>
      <sz val="17"/>
      <color theme="1"/>
      <name val="Calibri"/>
      <family val="2"/>
    </font>
    <font>
      <u/>
      <sz val="14"/>
      <color theme="10"/>
      <name val="Calibri"/>
      <family val="2"/>
      <scheme val="minor"/>
    </font>
    <font>
      <b/>
      <sz val="18"/>
      <color theme="1"/>
      <name val="KaiTi"/>
      <family val="3"/>
    </font>
    <font>
      <b/>
      <sz val="14"/>
      <color theme="1"/>
      <name val="Calibri"/>
      <family val="2"/>
    </font>
    <font>
      <b/>
      <sz val="9"/>
      <color indexed="8"/>
      <name val="Calibri"/>
      <family val="2"/>
    </font>
    <font>
      <b/>
      <sz val="48"/>
      <color theme="0"/>
      <name val="Calibri"/>
      <family val="2"/>
      <scheme val="minor"/>
    </font>
    <font>
      <b/>
      <sz val="11.5"/>
      <color theme="1"/>
      <name val="Calibri"/>
      <family val="2"/>
      <scheme val="minor"/>
    </font>
    <font>
      <sz val="11.5"/>
      <color theme="1"/>
      <name val="Calibri"/>
      <family val="2"/>
      <scheme val="minor"/>
    </font>
    <font>
      <b/>
      <sz val="48"/>
      <color rgb="FFFF9F9F"/>
      <name val="Wingdings 3"/>
      <family val="1"/>
      <charset val="2"/>
    </font>
    <font>
      <b/>
      <sz val="48"/>
      <color rgb="FFFF9F9F"/>
      <name val="KaiTi"/>
      <family val="3"/>
    </font>
    <font>
      <b/>
      <sz val="48"/>
      <color theme="9" tint="0.39997558519241921"/>
      <name val="Wingdings 3"/>
      <family val="1"/>
      <charset val="2"/>
    </font>
    <font>
      <b/>
      <sz val="68"/>
      <color rgb="FF92D050"/>
      <name val="Wingdings 3"/>
      <family val="1"/>
      <charset val="2"/>
    </font>
    <font>
      <sz val="1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68"/>
      <color theme="9" tint="0.39997558519241921"/>
      <name val="Wingdings 3"/>
      <family val="1"/>
      <charset val="2"/>
    </font>
    <font>
      <b/>
      <sz val="68"/>
      <color rgb="FFFF9F9F"/>
      <name val="Wingdings 3"/>
      <family val="1"/>
      <charset val="2"/>
    </font>
    <font>
      <b/>
      <sz val="68"/>
      <color rgb="FFFF9F9F"/>
      <name val="KaiTi"/>
      <family val="3"/>
    </font>
    <font>
      <b/>
      <sz val="22"/>
      <color theme="0"/>
      <name val="Calibri"/>
      <family val="2"/>
      <scheme val="minor"/>
    </font>
    <font>
      <b/>
      <i/>
      <sz val="20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20"/>
      <color theme="0"/>
      <name val="Microsoft JhengHei"/>
      <family val="2"/>
    </font>
    <font>
      <b/>
      <sz val="19"/>
      <color theme="0"/>
      <name val="Calibri"/>
      <family val="2"/>
      <scheme val="minor"/>
    </font>
    <font>
      <b/>
      <sz val="19"/>
      <color theme="0"/>
      <name val="Batang"/>
      <family val="1"/>
    </font>
    <font>
      <b/>
      <i/>
      <sz val="26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b/>
      <sz val="38"/>
      <color theme="0"/>
      <name val="Tahoma"/>
      <family val="2"/>
    </font>
    <font>
      <b/>
      <sz val="18"/>
      <color theme="0"/>
      <name val="Calibri"/>
      <family val="2"/>
      <scheme val="minor"/>
    </font>
    <font>
      <b/>
      <u/>
      <sz val="42"/>
      <color theme="1"/>
      <name val="Calibri"/>
      <family val="2"/>
      <scheme val="minor"/>
    </font>
    <font>
      <b/>
      <sz val="12"/>
      <color indexed="13"/>
      <name val="Tahoma"/>
      <family val="2"/>
    </font>
    <font>
      <b/>
      <u/>
      <sz val="12"/>
      <color indexed="13"/>
      <name val="Tahoma"/>
      <family val="2"/>
    </font>
    <font>
      <u/>
      <sz val="16"/>
      <color theme="1"/>
      <name val="Calibri"/>
      <family val="2"/>
      <scheme val="minor"/>
    </font>
    <font>
      <b/>
      <sz val="16.5"/>
      <color theme="1"/>
      <name val="Calibri"/>
      <family val="2"/>
      <scheme val="minor"/>
    </font>
    <font>
      <b/>
      <sz val="48"/>
      <color rgb="FFC00000"/>
      <name val="Wingdings 3"/>
      <family val="1"/>
      <charset val="2"/>
    </font>
    <font>
      <b/>
      <sz val="48"/>
      <color rgb="FFC00000"/>
      <name val="KaiTi"/>
      <family val="3"/>
    </font>
    <font>
      <b/>
      <i/>
      <sz val="24"/>
      <color theme="1"/>
      <name val="Calibri"/>
      <family val="2"/>
      <scheme val="minor"/>
    </font>
    <font>
      <b/>
      <sz val="30"/>
      <color theme="1"/>
      <name val="Calibri"/>
      <family val="2"/>
      <scheme val="minor"/>
    </font>
    <font>
      <b/>
      <sz val="72"/>
      <color rgb="FFC00000"/>
      <name val="Wingdings 3"/>
      <family val="1"/>
      <charset val="2"/>
    </font>
    <font>
      <b/>
      <sz val="20"/>
      <color theme="1"/>
      <name val="Batang"/>
      <family val="1"/>
    </font>
    <font>
      <b/>
      <sz val="50"/>
      <color theme="0"/>
      <name val="Calibri"/>
      <family val="2"/>
      <scheme val="minor"/>
    </font>
    <font>
      <b/>
      <i/>
      <u/>
      <sz val="32"/>
      <color theme="8" tint="0.59999389629810485"/>
      <name val="Calibri"/>
      <family val="2"/>
      <scheme val="minor"/>
    </font>
    <font>
      <u/>
      <sz val="11"/>
      <color theme="8" tint="0.59999389629810485"/>
      <name val="Calibri"/>
      <family val="2"/>
      <scheme val="minor"/>
    </font>
    <font>
      <sz val="12"/>
      <color indexed="13"/>
      <name val="Tahoma"/>
      <family val="2"/>
    </font>
    <font>
      <sz val="12"/>
      <color indexed="9"/>
      <name val="Tahoma"/>
      <family val="2"/>
    </font>
    <font>
      <sz val="28"/>
      <color theme="1"/>
      <name val="Calibri"/>
      <family val="2"/>
      <scheme val="minor"/>
    </font>
    <font>
      <b/>
      <sz val="10"/>
      <color indexed="8"/>
      <name val="Calibri"/>
      <family val="2"/>
    </font>
    <font>
      <sz val="10"/>
      <color indexed="8"/>
      <name val="Arial"/>
      <family val="2"/>
    </font>
    <font>
      <sz val="10"/>
      <color rgb="FFFF0000"/>
      <name val="Calibri"/>
      <family val="2"/>
      <scheme val="minor"/>
    </font>
    <font>
      <sz val="10"/>
      <color theme="1"/>
      <name val="Batang"/>
      <family val="1"/>
    </font>
    <font>
      <b/>
      <sz val="34"/>
      <color theme="0"/>
      <name val="Tahoma"/>
      <family val="2"/>
    </font>
    <font>
      <b/>
      <sz val="11"/>
      <color rgb="FFFF0000"/>
      <name val="Calibri"/>
      <family val="2"/>
      <scheme val="minor"/>
    </font>
    <font>
      <b/>
      <sz val="48"/>
      <color rgb="FF92D050"/>
      <name val="Wingdings 3"/>
      <family val="1"/>
      <charset val="2"/>
    </font>
    <font>
      <b/>
      <sz val="11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b/>
      <sz val="14"/>
      <color theme="1"/>
      <name val="Arial Narrow"/>
      <family val="2"/>
    </font>
    <font>
      <b/>
      <sz val="11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  <font>
      <sz val="9"/>
      <color rgb="FF00B050"/>
      <name val="Calibri"/>
      <family val="2"/>
      <scheme val="minor"/>
    </font>
    <font>
      <sz val="11"/>
      <color theme="1"/>
      <name val="Calibri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rgb="FF00B050"/>
      <name val="Calibri"/>
      <family val="2"/>
      <scheme val="minor"/>
    </font>
    <font>
      <b/>
      <sz val="18"/>
      <color rgb="FF00B050"/>
      <name val="Calibri"/>
      <family val="2"/>
      <scheme val="minor"/>
    </font>
    <font>
      <b/>
      <vertAlign val="subscript"/>
      <sz val="18"/>
      <color rgb="FF00B05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vertAlign val="subscript"/>
      <sz val="18"/>
      <color rgb="FFFF0000"/>
      <name val="Calibri"/>
      <family val="2"/>
      <scheme val="minor"/>
    </font>
    <font>
      <sz val="14"/>
      <color theme="1"/>
      <name val="Calibri"/>
      <family val="2"/>
    </font>
    <font>
      <b/>
      <sz val="11"/>
      <color theme="1"/>
      <name val="Arial Narrow"/>
      <family val="2"/>
    </font>
    <font>
      <sz val="9"/>
      <color rgb="FF00B050"/>
      <name val="Calibri"/>
      <family val="2"/>
    </font>
    <font>
      <sz val="10"/>
      <color rgb="FF00B050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rgb="FF00B050"/>
      <name val="Calibri"/>
      <family val="2"/>
      <scheme val="minor"/>
    </font>
    <font>
      <b/>
      <sz val="12"/>
      <color rgb="FF00B050"/>
      <name val="Arial"/>
      <family val="2"/>
    </font>
    <font>
      <sz val="12"/>
      <color theme="1"/>
      <name val="Arial"/>
      <family val="2"/>
    </font>
    <font>
      <b/>
      <sz val="12"/>
      <color rgb="FFFF0000"/>
      <name val="Calibri"/>
      <family val="2"/>
      <scheme val="minor"/>
    </font>
    <font>
      <b/>
      <sz val="12"/>
      <color rgb="FFFF0000"/>
      <name val="Arial"/>
      <family val="2"/>
    </font>
    <font>
      <b/>
      <sz val="16"/>
      <color rgb="FF000000"/>
      <name val="Calibri"/>
      <family val="2"/>
    </font>
    <font>
      <sz val="11"/>
      <color rgb="FF000000"/>
      <name val="Calibri"/>
      <family val="2"/>
    </font>
    <font>
      <sz val="12"/>
      <color rgb="FF000000"/>
      <name val="Calibri"/>
      <family val="2"/>
    </font>
    <font>
      <b/>
      <sz val="28"/>
      <color rgb="FF000000"/>
      <name val="Calibri"/>
      <family val="2"/>
    </font>
    <font>
      <sz val="28"/>
      <color rgb="FF000000"/>
      <name val="Calibri"/>
      <family val="2"/>
    </font>
  </fonts>
  <fills count="4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92D050"/>
        <bgColor theme="1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ECD5"/>
        <bgColor indexed="64"/>
      </patternFill>
    </fill>
    <fill>
      <patternFill patternType="gray0625">
        <bgColor theme="0"/>
      </patternFill>
    </fill>
    <fill>
      <patternFill patternType="lightGray">
        <bgColor theme="0"/>
      </patternFill>
    </fill>
    <fill>
      <patternFill patternType="solid">
        <fgColor theme="5" tint="0.79998168889431442"/>
        <bgColor indexed="64"/>
      </patternFill>
    </fill>
    <fill>
      <patternFill patternType="gray0625"/>
    </fill>
    <fill>
      <patternFill patternType="solid">
        <fgColor theme="0" tint="-4.9989318521683403E-2"/>
        <bgColor indexed="64"/>
      </patternFill>
    </fill>
    <fill>
      <patternFill patternType="solid">
        <fgColor rgb="FFADDB7B"/>
        <bgColor indexed="64"/>
      </patternFill>
    </fill>
    <fill>
      <patternFill patternType="solid">
        <fgColor rgb="FFFFBDBD"/>
        <bgColor indexed="64"/>
      </patternFill>
    </fill>
    <fill>
      <gradientFill degree="90">
        <stop position="0">
          <color theme="0"/>
        </stop>
        <stop position="1">
          <color rgb="FF76B531"/>
        </stop>
      </gradientFill>
    </fill>
    <fill>
      <gradientFill degree="90">
        <stop position="0">
          <color theme="0"/>
        </stop>
        <stop position="1">
          <color rgb="FFFF0000"/>
        </stop>
      </gradientFill>
    </fill>
    <fill>
      <patternFill patternType="solid">
        <fgColor theme="0"/>
        <bgColor theme="1"/>
      </patternFill>
    </fill>
    <fill>
      <patternFill patternType="solid">
        <fgColor rgb="FF76B531"/>
        <bgColor indexed="64"/>
      </patternFill>
    </fill>
    <fill>
      <patternFill patternType="solid">
        <fgColor rgb="FFADDB7B"/>
        <bgColor auto="1"/>
      </patternFill>
    </fill>
    <fill>
      <patternFill patternType="solid">
        <fgColor rgb="FFFF9F9F"/>
        <bgColor indexed="64"/>
      </patternFill>
    </fill>
    <fill>
      <patternFill patternType="solid">
        <fgColor rgb="FFFF4F4F"/>
        <bgColor indexed="64"/>
      </patternFill>
    </fill>
    <fill>
      <patternFill patternType="solid">
        <fgColor rgb="FFFF4F4F"/>
        <bgColor theme="1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theme="0"/>
      </patternFill>
    </fill>
    <fill>
      <gradientFill>
        <stop position="0">
          <color theme="9" tint="0.80001220740379042"/>
        </stop>
        <stop position="1">
          <color rgb="FFFFFF00"/>
        </stop>
      </gradientFill>
    </fill>
    <fill>
      <gradientFill>
        <stop position="0">
          <color theme="5" tint="0.80001220740379042"/>
        </stop>
        <stop position="1">
          <color rgb="FFFFFF00"/>
        </stop>
      </gradientFill>
    </fill>
    <fill>
      <patternFill patternType="solid">
        <fgColor theme="9" tint="0.59999389629810485"/>
        <bgColor indexed="64"/>
      </patternFill>
    </fill>
    <fill>
      <patternFill patternType="gray0625">
        <fgColor theme="0"/>
        <bgColor theme="0"/>
      </patternFill>
    </fill>
    <fill>
      <patternFill patternType="solid">
        <fgColor rgb="FFFF5D5D"/>
        <bgColor indexed="64"/>
      </patternFill>
    </fill>
    <fill>
      <patternFill patternType="solid">
        <fgColor theme="9" tint="0.79998168889431442"/>
        <bgColor auto="1"/>
      </patternFill>
    </fill>
    <fill>
      <patternFill patternType="solid">
        <fgColor rgb="FFC653FF"/>
        <bgColor indexed="64"/>
      </patternFill>
    </fill>
    <fill>
      <patternFill patternType="solid">
        <fgColor rgb="FFC993FF"/>
        <bgColor indexed="64"/>
      </patternFill>
    </fill>
    <fill>
      <patternFill patternType="solid">
        <fgColor theme="5" tint="0.79998168889431442"/>
        <bgColor auto="1"/>
      </patternFill>
    </fill>
    <fill>
      <patternFill patternType="gray0625">
        <fgColor theme="0"/>
        <bgColor theme="5" tint="0.79998168889431442"/>
      </patternFill>
    </fill>
    <fill>
      <patternFill patternType="solid">
        <fgColor theme="2" tint="-0.499984740745262"/>
        <bgColor theme="0"/>
      </patternFill>
    </fill>
    <fill>
      <patternFill patternType="solid">
        <fgColor theme="2" tint="-0.499984740745262"/>
        <bgColor indexed="64"/>
      </patternFill>
    </fill>
    <fill>
      <patternFill patternType="lightGray">
        <fgColor rgb="FFFF0000"/>
        <bgColor auto="1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darkUp">
        <bgColor theme="0"/>
      </patternFill>
    </fill>
    <fill>
      <patternFill patternType="solid">
        <fgColor theme="9" tint="-0.249977111117893"/>
        <bgColor indexed="64"/>
      </patternFill>
    </fill>
    <fill>
      <gradientFill>
        <stop position="0">
          <color theme="0"/>
        </stop>
        <stop position="1">
          <color theme="9" tint="0.40000610370189521"/>
        </stop>
      </gradientFill>
    </fill>
    <fill>
      <patternFill patternType="darkUp"/>
    </fill>
    <fill>
      <patternFill patternType="solid">
        <fgColor rgb="FFCC99FF"/>
        <bgColor indexed="64"/>
      </patternFill>
    </fill>
    <fill>
      <gradientFill>
        <stop position="0">
          <color theme="0"/>
        </stop>
        <stop position="1">
          <color theme="5" tint="0.40000610370189521"/>
        </stop>
      </gradientFill>
    </fill>
    <fill>
      <patternFill patternType="solid">
        <fgColor theme="5" tint="0.59999389629810485"/>
        <bgColor indexed="64"/>
      </patternFill>
    </fill>
  </fills>
  <borders count="22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dashed">
        <color indexed="64"/>
      </left>
      <right/>
      <top/>
      <bottom/>
      <diagonal/>
    </border>
    <border>
      <left/>
      <right style="dashed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theme="9" tint="-0.24994659260841701"/>
      </left>
      <right style="thick">
        <color theme="9" tint="-0.24994659260841701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ck">
        <color theme="9" tint="-0.24994659260841701"/>
      </left>
      <right/>
      <top/>
      <bottom/>
      <diagonal/>
    </border>
    <border>
      <left/>
      <right style="thick">
        <color theme="9" tint="-0.24994659260841701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double">
        <color indexed="64"/>
      </bottom>
      <diagonal/>
    </border>
    <border>
      <left style="thick">
        <color indexed="64"/>
      </left>
      <right style="double">
        <color indexed="64"/>
      </right>
      <top style="thick">
        <color indexed="64"/>
      </top>
      <bottom style="double">
        <color indexed="64"/>
      </bottom>
      <diagonal/>
    </border>
    <border>
      <left style="thick">
        <color indexed="64"/>
      </left>
      <right style="double">
        <color indexed="64"/>
      </right>
      <top style="thick">
        <color indexed="64"/>
      </top>
      <bottom/>
      <diagonal/>
    </border>
    <border>
      <left style="thick">
        <color indexed="64"/>
      </left>
      <right style="double">
        <color indexed="64"/>
      </right>
      <top/>
      <bottom style="double">
        <color indexed="64"/>
      </bottom>
      <diagonal/>
    </border>
    <border>
      <left style="thick">
        <color indexed="64"/>
      </left>
      <right/>
      <top style="thick">
        <color indexed="64"/>
      </top>
      <bottom style="double">
        <color indexed="64"/>
      </bottom>
      <diagonal/>
    </border>
    <border>
      <left/>
      <right style="double">
        <color indexed="64"/>
      </right>
      <top style="thick">
        <color indexed="64"/>
      </top>
      <bottom style="double">
        <color indexed="64"/>
      </bottom>
      <diagonal/>
    </border>
    <border>
      <left/>
      <right/>
      <top style="thick">
        <color indexed="64"/>
      </top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ck">
        <color indexed="64"/>
      </top>
      <bottom style="double">
        <color indexed="64"/>
      </bottom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/>
      <diagonal/>
    </border>
    <border>
      <left style="mediumDashed">
        <color rgb="FFFF0000"/>
      </left>
      <right/>
      <top/>
      <bottom/>
      <diagonal/>
    </border>
    <border>
      <left style="mediumDashed">
        <color theme="9" tint="-0.24994659260841701"/>
      </left>
      <right style="mediumDashed">
        <color theme="9" tint="-0.24994659260841701"/>
      </right>
      <top/>
      <bottom/>
      <diagonal/>
    </border>
    <border>
      <left/>
      <right style="mediumDashed">
        <color theme="9" tint="-0.24994659260841701"/>
      </right>
      <top/>
      <bottom/>
      <diagonal/>
    </border>
    <border>
      <left style="mediumDashed">
        <color theme="9" tint="-0.24994659260841701"/>
      </left>
      <right/>
      <top/>
      <bottom/>
      <diagonal/>
    </border>
    <border>
      <left/>
      <right style="mediumDashed">
        <color rgb="FFFF0000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Dashed">
        <color rgb="FFFF0000"/>
      </left>
      <right style="mediumDashed">
        <color theme="9" tint="-0.24994659260841701"/>
      </right>
      <top/>
      <bottom/>
      <diagonal/>
    </border>
    <border>
      <left/>
      <right/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/>
      <diagonal/>
    </border>
    <border>
      <left style="medium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ashed">
        <color indexed="64"/>
      </left>
      <right/>
      <top/>
      <bottom style="medium">
        <color indexed="64"/>
      </bottom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 diagonalUp="1" diagonalDown="1">
      <left style="thin">
        <color indexed="64"/>
      </left>
      <right/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/>
      <top style="medium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/>
      <right style="medium">
        <color indexed="64"/>
      </right>
      <top style="dotted">
        <color indexed="64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/>
      <bottom/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auto="1"/>
      </bottom>
      <diagonal/>
    </border>
    <border>
      <left style="dashed">
        <color indexed="64"/>
      </left>
      <right/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 style="dashed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Dashed">
        <color indexed="64"/>
      </top>
      <bottom/>
      <diagonal/>
    </border>
    <border diagonalDown="1">
      <left/>
      <right style="medium">
        <color indexed="64"/>
      </right>
      <top/>
      <bottom/>
      <diagonal style="mediumDashed">
        <color indexed="64"/>
      </diagonal>
    </border>
    <border>
      <left style="dashed">
        <color indexed="64"/>
      </left>
      <right/>
      <top style="medium">
        <color indexed="64"/>
      </top>
      <bottom/>
      <diagonal/>
    </border>
    <border>
      <left/>
      <right/>
      <top style="double">
        <color indexed="64"/>
      </top>
      <bottom style="medium">
        <color indexed="64"/>
      </bottom>
      <diagonal/>
    </border>
    <border diagonalUp="1">
      <left/>
      <right style="medium">
        <color indexed="64"/>
      </right>
      <top/>
      <bottom/>
      <diagonal style="mediumDashed">
        <color indexed="64"/>
      </diagonal>
    </border>
    <border>
      <left style="medium">
        <color indexed="64"/>
      </left>
      <right style="medium">
        <color indexed="64"/>
      </right>
      <top/>
      <bottom style="mediumDashed">
        <color indexed="64"/>
      </bottom>
      <diagonal/>
    </border>
    <border>
      <left/>
      <right style="thin">
        <color auto="1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medium">
        <color indexed="64"/>
      </bottom>
      <diagonal/>
    </border>
    <border>
      <left/>
      <right style="thick">
        <color indexed="64"/>
      </right>
      <top style="thin">
        <color auto="1"/>
      </top>
      <bottom style="thin">
        <color auto="1"/>
      </bottom>
      <diagonal/>
    </border>
    <border>
      <left/>
      <right style="thick">
        <color indexed="64"/>
      </right>
      <top/>
      <bottom style="thin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dashed">
        <color indexed="64"/>
      </right>
      <top style="dashed">
        <color auto="1"/>
      </top>
      <bottom/>
      <diagonal/>
    </border>
    <border>
      <left/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ck">
        <color indexed="64"/>
      </top>
      <bottom/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dashed">
        <color indexed="64"/>
      </left>
      <right/>
      <top style="dotted">
        <color indexed="64"/>
      </top>
      <bottom/>
      <diagonal/>
    </border>
    <border>
      <left style="medium">
        <color indexed="64"/>
      </left>
      <right style="thick">
        <color indexed="64"/>
      </right>
      <top/>
      <bottom style="dashed">
        <color auto="1"/>
      </bottom>
      <diagonal/>
    </border>
    <border>
      <left style="double">
        <color indexed="64"/>
      </left>
      <right/>
      <top/>
      <bottom style="dashed">
        <color auto="1"/>
      </bottom>
      <diagonal/>
    </border>
    <border>
      <left style="dashed">
        <color indexed="64"/>
      </left>
      <right/>
      <top/>
      <bottom style="dotted">
        <color indexed="64"/>
      </bottom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dashed">
        <color indexed="64"/>
      </right>
      <top style="dotted">
        <color indexed="64"/>
      </top>
      <bottom/>
      <diagonal/>
    </border>
    <border>
      <left/>
      <right style="dashed">
        <color indexed="64"/>
      </right>
      <top/>
      <bottom style="dotted">
        <color indexed="64"/>
      </bottom>
      <diagonal/>
    </border>
    <border>
      <left style="mediumDashed">
        <color indexed="64"/>
      </left>
      <right/>
      <top style="medium">
        <color indexed="64"/>
      </top>
      <bottom/>
      <diagonal/>
    </border>
    <border>
      <left style="mediumDashed">
        <color indexed="64"/>
      </left>
      <right/>
      <top/>
      <bottom style="medium">
        <color indexed="64"/>
      </bottom>
      <diagonal/>
    </border>
    <border>
      <left/>
      <right style="mediumDashed">
        <color indexed="64"/>
      </right>
      <top style="medium">
        <color indexed="64"/>
      </top>
      <bottom/>
      <diagonal/>
    </border>
    <border>
      <left/>
      <right style="mediumDashed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Dashed">
        <color indexed="64"/>
      </bottom>
      <diagonal/>
    </border>
    <border>
      <left/>
      <right style="thick">
        <color theme="1"/>
      </right>
      <top style="medium">
        <color indexed="64"/>
      </top>
      <bottom style="medium">
        <color indexed="64"/>
      </bottom>
      <diagonal/>
    </border>
    <border>
      <left style="thick">
        <color theme="1"/>
      </left>
      <right/>
      <top/>
      <bottom/>
      <diagonal/>
    </border>
    <border diagonalUp="1">
      <left/>
      <right/>
      <top/>
      <bottom/>
      <diagonal style="mediumDashed">
        <color auto="1"/>
      </diagonal>
    </border>
    <border>
      <left style="thick">
        <color indexed="64"/>
      </left>
      <right style="thick">
        <color indexed="64"/>
      </right>
      <top/>
      <bottom/>
      <diagonal/>
    </border>
    <border>
      <left style="double">
        <color indexed="64"/>
      </left>
      <right style="thick">
        <color indexed="64"/>
      </right>
      <top style="thin">
        <color auto="1"/>
      </top>
      <bottom/>
      <diagonal/>
    </border>
    <border>
      <left style="thick">
        <color indexed="64"/>
      </left>
      <right style="thick">
        <color indexed="64"/>
      </right>
      <top style="thin">
        <color auto="1"/>
      </top>
      <bottom/>
      <diagonal/>
    </border>
    <border>
      <left style="double">
        <color indexed="64"/>
      </left>
      <right style="double">
        <color indexed="64"/>
      </right>
      <top style="thin">
        <color auto="1"/>
      </top>
      <bottom/>
      <diagonal/>
    </border>
    <border>
      <left style="medium">
        <color indexed="64"/>
      </left>
      <right style="double">
        <color indexed="64"/>
      </right>
      <top style="thin">
        <color auto="1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auto="1"/>
      </top>
      <bottom style="thin">
        <color indexed="64"/>
      </bottom>
      <diagonal/>
    </border>
    <border>
      <left style="double">
        <color indexed="64"/>
      </left>
      <right style="thick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73" fillId="0" borderId="0"/>
    <xf numFmtId="0" fontId="76" fillId="0" borderId="0" applyNumberFormat="0" applyFill="0" applyBorder="0" applyAlignment="0" applyProtection="0"/>
    <xf numFmtId="0" fontId="40" fillId="7" borderId="0">
      <alignment horizontal="left" vertical="center"/>
    </xf>
    <xf numFmtId="0" fontId="143" fillId="0" borderId="0">
      <alignment horizontal="center"/>
    </xf>
  </cellStyleXfs>
  <cellXfs count="1610">
    <xf numFmtId="0" fontId="0" fillId="0" borderId="0" xfId="0"/>
    <xf numFmtId="0" fontId="4" fillId="0" borderId="0" xfId="0" applyFont="1"/>
    <xf numFmtId="0" fontId="4" fillId="4" borderId="23" xfId="0" quotePrefix="1" applyFont="1" applyFill="1" applyBorder="1" applyAlignment="1">
      <alignment vertical="center"/>
    </xf>
    <xf numFmtId="0" fontId="4" fillId="0" borderId="0" xfId="0" applyFont="1" applyAlignment="1">
      <alignment vertical="center"/>
    </xf>
    <xf numFmtId="10" fontId="10" fillId="4" borderId="0" xfId="2" applyNumberFormat="1" applyFont="1" applyFill="1" applyBorder="1" applyAlignment="1">
      <alignment vertical="center" wrapText="1"/>
    </xf>
    <xf numFmtId="0" fontId="4" fillId="4" borderId="28" xfId="0" quotePrefix="1" applyFont="1" applyFill="1" applyBorder="1" applyAlignment="1">
      <alignment vertical="center"/>
    </xf>
    <xf numFmtId="0" fontId="4" fillId="4" borderId="26" xfId="0" quotePrefix="1" applyFont="1" applyFill="1" applyBorder="1" applyAlignment="1">
      <alignment vertical="center"/>
    </xf>
    <xf numFmtId="0" fontId="6" fillId="0" borderId="9" xfId="0" applyFont="1" applyBorder="1" applyAlignment="1">
      <alignment horizontal="right" vertical="center" wrapText="1"/>
    </xf>
    <xf numFmtId="10" fontId="6" fillId="4" borderId="44" xfId="2" applyNumberFormat="1" applyFont="1" applyFill="1" applyBorder="1" applyAlignment="1">
      <alignment horizontal="right" vertical="center"/>
    </xf>
    <xf numFmtId="10" fontId="6" fillId="4" borderId="45" xfId="2" applyNumberFormat="1" applyFont="1" applyFill="1" applyBorder="1" applyAlignment="1">
      <alignment horizontal="left" vertical="center"/>
    </xf>
    <xf numFmtId="0" fontId="4" fillId="0" borderId="0" xfId="0" applyFont="1" applyAlignment="1">
      <alignment wrapText="1"/>
    </xf>
    <xf numFmtId="0" fontId="4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4" fillId="0" borderId="0" xfId="0" applyFont="1" applyAlignment="1">
      <alignment vertical="center" wrapText="1"/>
    </xf>
    <xf numFmtId="0" fontId="6" fillId="0" borderId="0" xfId="0" applyFont="1" applyAlignment="1">
      <alignment vertical="center"/>
    </xf>
    <xf numFmtId="1" fontId="4" fillId="0" borderId="0" xfId="0" applyNumberFormat="1" applyFont="1" applyAlignment="1">
      <alignment vertical="center"/>
    </xf>
    <xf numFmtId="2" fontId="6" fillId="0" borderId="0" xfId="0" applyNumberFormat="1" applyFont="1" applyAlignment="1">
      <alignment vertical="center"/>
    </xf>
    <xf numFmtId="1" fontId="6" fillId="0" borderId="0" xfId="0" applyNumberFormat="1" applyFont="1" applyAlignment="1">
      <alignment vertical="center"/>
    </xf>
    <xf numFmtId="0" fontId="11" fillId="0" borderId="0" xfId="0" quotePrefix="1" applyFont="1" applyAlignment="1">
      <alignment horizontal="right" vertical="center"/>
    </xf>
    <xf numFmtId="2" fontId="15" fillId="0" borderId="0" xfId="0" applyNumberFormat="1" applyFont="1" applyAlignment="1">
      <alignment horizontal="right" vertical="center"/>
    </xf>
    <xf numFmtId="2" fontId="4" fillId="0" borderId="0" xfId="0" applyNumberFormat="1" applyFont="1" applyAlignment="1">
      <alignment horizontal="left" vertical="center"/>
    </xf>
    <xf numFmtId="0" fontId="0" fillId="0" borderId="0" xfId="0" applyAlignment="1">
      <alignment vertical="center"/>
    </xf>
    <xf numFmtId="0" fontId="0" fillId="4" borderId="0" xfId="0" applyFill="1" applyBorder="1"/>
    <xf numFmtId="164" fontId="1" fillId="4" borderId="0" xfId="2" applyNumberFormat="1" applyFont="1" applyFill="1" applyBorder="1" applyAlignment="1">
      <alignment vertical="center"/>
    </xf>
    <xf numFmtId="2" fontId="0" fillId="4" borderId="41" xfId="0" applyNumberForma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2" fontId="9" fillId="4" borderId="0" xfId="0" applyNumberFormat="1" applyFont="1" applyFill="1" applyBorder="1" applyAlignment="1">
      <alignment vertical="center"/>
    </xf>
    <xf numFmtId="0" fontId="8" fillId="4" borderId="0" xfId="0" applyFont="1" applyFill="1" applyBorder="1" applyAlignment="1">
      <alignment horizontal="center" vertical="center" textRotation="90"/>
    </xf>
    <xf numFmtId="0" fontId="6" fillId="0" borderId="49" xfId="0" applyFont="1" applyBorder="1" applyAlignment="1">
      <alignment horizontal="right" vertical="center" wrapText="1"/>
    </xf>
    <xf numFmtId="0" fontId="4" fillId="8" borderId="0" xfId="0" applyFont="1" applyFill="1" applyBorder="1"/>
    <xf numFmtId="0" fontId="4" fillId="0" borderId="0" xfId="0" applyFont="1" applyFill="1" applyBorder="1"/>
    <xf numFmtId="0" fontId="6" fillId="0" borderId="0" xfId="0" applyFont="1" applyFill="1" applyBorder="1" applyAlignment="1">
      <alignment vertical="center"/>
    </xf>
    <xf numFmtId="1" fontId="4" fillId="0" borderId="0" xfId="0" applyNumberFormat="1" applyFont="1" applyFill="1" applyBorder="1" applyAlignment="1">
      <alignment vertical="center" textRotation="180"/>
    </xf>
    <xf numFmtId="1" fontId="4" fillId="0" borderId="0" xfId="0" applyNumberFormat="1" applyFont="1" applyFill="1" applyBorder="1" applyAlignment="1">
      <alignment vertical="center" textRotation="180" wrapText="1"/>
    </xf>
    <xf numFmtId="0" fontId="11" fillId="0" borderId="0" xfId="0" applyFont="1" applyFill="1" applyBorder="1" applyAlignment="1">
      <alignment horizontal="right" vertical="center"/>
    </xf>
    <xf numFmtId="1" fontId="4" fillId="0" borderId="0" xfId="0" applyNumberFormat="1" applyFont="1" applyFill="1" applyBorder="1" applyAlignment="1">
      <alignment vertical="center"/>
    </xf>
    <xf numFmtId="2" fontId="15" fillId="0" borderId="0" xfId="0" applyNumberFormat="1" applyFont="1" applyFill="1" applyBorder="1" applyAlignment="1">
      <alignment vertical="center"/>
    </xf>
    <xf numFmtId="2" fontId="15" fillId="0" borderId="0" xfId="0" applyNumberFormat="1" applyFont="1" applyFill="1" applyBorder="1" applyAlignment="1">
      <alignment horizontal="left"/>
    </xf>
    <xf numFmtId="1" fontId="4" fillId="0" borderId="0" xfId="0" applyNumberFormat="1" applyFont="1" applyFill="1" applyBorder="1" applyAlignment="1">
      <alignment horizontal="center" vertical="center" textRotation="180" wrapText="1"/>
    </xf>
    <xf numFmtId="1" fontId="6" fillId="0" borderId="0" xfId="0" applyNumberFormat="1" applyFont="1" applyFill="1" applyBorder="1" applyAlignment="1">
      <alignment horizontal="center" vertical="center" wrapText="1"/>
    </xf>
    <xf numFmtId="2" fontId="6" fillId="0" borderId="0" xfId="0" applyNumberFormat="1" applyFont="1" applyFill="1" applyBorder="1" applyAlignment="1">
      <alignment horizontal="center" vertical="center" wrapText="1"/>
    </xf>
    <xf numFmtId="2" fontId="6" fillId="0" borderId="0" xfId="0" applyNumberFormat="1" applyFont="1" applyFill="1" applyBorder="1" applyAlignment="1">
      <alignment horizontal="center"/>
    </xf>
    <xf numFmtId="0" fontId="4" fillId="0" borderId="0" xfId="0" applyFont="1" applyFill="1"/>
    <xf numFmtId="0" fontId="0" fillId="0" borderId="0" xfId="0" applyFill="1"/>
    <xf numFmtId="0" fontId="0" fillId="0" borderId="0" xfId="0" applyFill="1" applyBorder="1"/>
    <xf numFmtId="0" fontId="15" fillId="0" borderId="0" xfId="0" applyFont="1" applyFill="1" applyAlignment="1">
      <alignment horizontal="right" vertical="top"/>
    </xf>
    <xf numFmtId="10" fontId="11" fillId="0" borderId="0" xfId="2" applyNumberFormat="1" applyFont="1" applyFill="1" applyAlignment="1">
      <alignment horizontal="right" vertical="top"/>
    </xf>
    <xf numFmtId="10" fontId="15" fillId="0" borderId="0" xfId="2" applyNumberFormat="1" applyFont="1" applyFill="1" applyAlignment="1">
      <alignment horizontal="left" vertical="top"/>
    </xf>
    <xf numFmtId="0" fontId="6" fillId="0" borderId="0" xfId="0" applyFont="1" applyFill="1" applyAlignment="1">
      <alignment vertical="center" wrapText="1"/>
    </xf>
    <xf numFmtId="166" fontId="6" fillId="0" borderId="0" xfId="0" applyNumberFormat="1" applyFont="1" applyFill="1" applyAlignment="1">
      <alignment horizontal="center" vertical="center"/>
    </xf>
    <xf numFmtId="164" fontId="6" fillId="0" borderId="0" xfId="0" applyNumberFormat="1" applyFont="1" applyFill="1" applyAlignment="1">
      <alignment vertical="center"/>
    </xf>
    <xf numFmtId="1" fontId="6" fillId="0" borderId="0" xfId="0" applyNumberFormat="1" applyFont="1" applyFill="1" applyAlignment="1">
      <alignment vertical="center" wrapText="1"/>
    </xf>
    <xf numFmtId="0" fontId="4" fillId="0" borderId="0" xfId="0" applyFont="1" applyFill="1" applyAlignment="1">
      <alignment horizontal="center"/>
    </xf>
    <xf numFmtId="0" fontId="6" fillId="0" borderId="0" xfId="0" applyFont="1" applyFill="1"/>
    <xf numFmtId="1" fontId="4" fillId="0" borderId="0" xfId="0" applyNumberFormat="1" applyFont="1" applyFill="1" applyAlignment="1">
      <alignment vertical="center"/>
    </xf>
    <xf numFmtId="2" fontId="4" fillId="0" borderId="0" xfId="0" applyNumberFormat="1" applyFont="1" applyFill="1"/>
    <xf numFmtId="2" fontId="6" fillId="0" borderId="0" xfId="0" applyNumberFormat="1" applyFont="1" applyFill="1"/>
    <xf numFmtId="0" fontId="0" fillId="4" borderId="33" xfId="0" applyFill="1" applyBorder="1"/>
    <xf numFmtId="3" fontId="26" fillId="4" borderId="40" xfId="0" applyNumberFormat="1" applyFont="1" applyFill="1" applyBorder="1" applyAlignment="1">
      <alignment horizontal="right" vertical="center"/>
    </xf>
    <xf numFmtId="164" fontId="16" fillId="4" borderId="0" xfId="0" applyNumberFormat="1" applyFont="1" applyFill="1" applyBorder="1" applyAlignment="1">
      <alignment horizontal="center" textRotation="90"/>
    </xf>
    <xf numFmtId="2" fontId="0" fillId="4" borderId="0" xfId="0" applyNumberFormat="1" applyFill="1" applyBorder="1" applyAlignment="1">
      <alignment horizontal="center" vertical="center"/>
    </xf>
    <xf numFmtId="0" fontId="0" fillId="4" borderId="0" xfId="0" applyFill="1" applyBorder="1" applyAlignment="1"/>
    <xf numFmtId="2" fontId="0" fillId="4" borderId="0" xfId="0" applyNumberFormat="1" applyFill="1" applyBorder="1" applyAlignment="1">
      <alignment vertical="center"/>
    </xf>
    <xf numFmtId="3" fontId="4" fillId="0" borderId="58" xfId="0" applyNumberFormat="1" applyFont="1" applyBorder="1" applyAlignment="1">
      <alignment horizontal="right" vertical="center"/>
    </xf>
    <xf numFmtId="0" fontId="4" fillId="4" borderId="35" xfId="0" applyFont="1" applyFill="1" applyBorder="1" applyAlignment="1">
      <alignment vertical="center"/>
    </xf>
    <xf numFmtId="0" fontId="0" fillId="0" borderId="0" xfId="0" applyFill="1" applyBorder="1" applyAlignment="1"/>
    <xf numFmtId="0" fontId="4" fillId="4" borderId="0" xfId="0" applyFont="1" applyFill="1" applyBorder="1"/>
    <xf numFmtId="9" fontId="30" fillId="4" borderId="24" xfId="2" applyFont="1" applyFill="1" applyBorder="1" applyAlignment="1">
      <alignment vertical="center"/>
    </xf>
    <xf numFmtId="9" fontId="4" fillId="4" borderId="23" xfId="2" applyFont="1" applyFill="1" applyBorder="1"/>
    <xf numFmtId="3" fontId="15" fillId="4" borderId="4" xfId="0" applyNumberFormat="1" applyFont="1" applyFill="1" applyBorder="1" applyAlignment="1">
      <alignment horizontal="left" vertical="center"/>
    </xf>
    <xf numFmtId="3" fontId="15" fillId="4" borderId="45" xfId="0" applyNumberFormat="1" applyFont="1" applyFill="1" applyBorder="1" applyAlignment="1">
      <alignment horizontal="left" vertical="center"/>
    </xf>
    <xf numFmtId="2" fontId="15" fillId="4" borderId="45" xfId="0" applyNumberFormat="1" applyFont="1" applyFill="1" applyBorder="1" applyAlignment="1">
      <alignment horizontal="left" vertical="center"/>
    </xf>
    <xf numFmtId="166" fontId="23" fillId="4" borderId="11" xfId="0" applyNumberFormat="1" applyFont="1" applyFill="1" applyBorder="1" applyAlignment="1">
      <alignment vertical="center"/>
    </xf>
    <xf numFmtId="0" fontId="0" fillId="0" borderId="0" xfId="0" applyAlignment="1">
      <alignment horizontal="center"/>
    </xf>
    <xf numFmtId="2" fontId="9" fillId="4" borderId="21" xfId="0" applyNumberFormat="1" applyFont="1" applyFill="1" applyBorder="1" applyAlignment="1">
      <alignment horizontal="center" vertical="center"/>
    </xf>
    <xf numFmtId="164" fontId="1" fillId="4" borderId="21" xfId="2" applyNumberFormat="1" applyFont="1" applyFill="1" applyBorder="1" applyAlignment="1">
      <alignment horizontal="center" vertical="center"/>
    </xf>
    <xf numFmtId="0" fontId="4" fillId="4" borderId="21" xfId="0" applyFont="1" applyFill="1" applyBorder="1" applyAlignment="1">
      <alignment horizontal="center"/>
    </xf>
    <xf numFmtId="0" fontId="4" fillId="0" borderId="36" xfId="0" applyFont="1" applyBorder="1" applyAlignment="1">
      <alignment horizontal="right" vertical="center"/>
    </xf>
    <xf numFmtId="0" fontId="4" fillId="13" borderId="4" xfId="0" applyFont="1" applyFill="1" applyBorder="1" applyAlignment="1" applyProtection="1">
      <alignment vertical="center"/>
      <protection locked="0"/>
    </xf>
    <xf numFmtId="0" fontId="4" fillId="14" borderId="47" xfId="0" applyFont="1" applyFill="1" applyBorder="1" applyAlignment="1">
      <alignment horizontal="right" vertical="center"/>
    </xf>
    <xf numFmtId="0" fontId="6" fillId="14" borderId="4" xfId="0" applyFont="1" applyFill="1" applyBorder="1" applyAlignment="1">
      <alignment horizontal="left" vertical="center"/>
    </xf>
    <xf numFmtId="0" fontId="4" fillId="15" borderId="79" xfId="0" applyFont="1" applyFill="1" applyBorder="1" applyAlignment="1">
      <alignment horizontal="right" vertical="center"/>
    </xf>
    <xf numFmtId="0" fontId="6" fillId="15" borderId="16" xfId="0" applyFont="1" applyFill="1" applyBorder="1" applyAlignment="1">
      <alignment horizontal="left" vertical="center"/>
    </xf>
    <xf numFmtId="0" fontId="4" fillId="14" borderId="29" xfId="0" applyFont="1" applyFill="1" applyBorder="1" applyAlignment="1">
      <alignment horizontal="right" vertical="center"/>
    </xf>
    <xf numFmtId="0" fontId="6" fillId="14" borderId="31" xfId="0" applyFont="1" applyFill="1" applyBorder="1" applyAlignment="1">
      <alignment vertical="center"/>
    </xf>
    <xf numFmtId="0" fontId="47" fillId="15" borderId="79" xfId="0" applyFont="1" applyFill="1" applyBorder="1" applyAlignment="1">
      <alignment horizontal="right" vertical="center"/>
    </xf>
    <xf numFmtId="0" fontId="48" fillId="15" borderId="16" xfId="0" applyFont="1" applyFill="1" applyBorder="1" applyAlignment="1">
      <alignment vertical="center"/>
    </xf>
    <xf numFmtId="0" fontId="4" fillId="14" borderId="79" xfId="0" applyFont="1" applyFill="1" applyBorder="1" applyAlignment="1">
      <alignment horizontal="right" vertical="center"/>
    </xf>
    <xf numFmtId="0" fontId="6" fillId="14" borderId="16" xfId="0" applyFont="1" applyFill="1" applyBorder="1" applyAlignment="1">
      <alignment vertical="center"/>
    </xf>
    <xf numFmtId="0" fontId="4" fillId="0" borderId="29" xfId="0" applyFont="1" applyBorder="1" applyAlignment="1">
      <alignment horizontal="right" vertical="center"/>
    </xf>
    <xf numFmtId="0" fontId="6" fillId="15" borderId="16" xfId="0" applyFont="1" applyFill="1" applyBorder="1" applyAlignment="1">
      <alignment vertical="center"/>
    </xf>
    <xf numFmtId="10" fontId="6" fillId="14" borderId="0" xfId="2" applyNumberFormat="1" applyFont="1" applyFill="1" applyBorder="1" applyAlignment="1" applyProtection="1">
      <alignment horizontal="right" vertical="center"/>
      <protection locked="0"/>
    </xf>
    <xf numFmtId="0" fontId="47" fillId="15" borderId="19" xfId="0" applyFont="1" applyFill="1" applyBorder="1" applyAlignment="1">
      <alignment horizontal="right" vertical="center"/>
    </xf>
    <xf numFmtId="10" fontId="6" fillId="15" borderId="33" xfId="2" applyNumberFormat="1" applyFont="1" applyFill="1" applyBorder="1" applyAlignment="1" applyProtection="1">
      <alignment horizontal="right" vertical="center"/>
      <protection locked="0"/>
    </xf>
    <xf numFmtId="0" fontId="11" fillId="15" borderId="35" xfId="0" applyFont="1" applyFill="1" applyBorder="1" applyAlignment="1">
      <alignment vertical="center"/>
    </xf>
    <xf numFmtId="0" fontId="26" fillId="17" borderId="36" xfId="0" applyFont="1" applyFill="1" applyBorder="1" applyAlignment="1">
      <alignment vertical="center"/>
    </xf>
    <xf numFmtId="0" fontId="26" fillId="17" borderId="5" xfId="0" applyFont="1" applyFill="1" applyBorder="1" applyAlignment="1">
      <alignment vertical="center"/>
    </xf>
    <xf numFmtId="0" fontId="26" fillId="17" borderId="4" xfId="0" applyFont="1" applyFill="1" applyBorder="1" applyAlignment="1">
      <alignment vertical="center"/>
    </xf>
    <xf numFmtId="0" fontId="3" fillId="19" borderId="6" xfId="0" applyFont="1" applyFill="1" applyBorder="1" applyAlignment="1">
      <alignment horizontal="center" vertical="center"/>
    </xf>
    <xf numFmtId="0" fontId="3" fillId="19" borderId="7" xfId="0" applyFont="1" applyFill="1" applyBorder="1" applyAlignment="1">
      <alignment horizontal="center" vertical="center"/>
    </xf>
    <xf numFmtId="0" fontId="3" fillId="19" borderId="8" xfId="0" applyFont="1" applyFill="1" applyBorder="1" applyAlignment="1">
      <alignment horizontal="center" vertical="center"/>
    </xf>
    <xf numFmtId="0" fontId="4" fillId="4" borderId="26" xfId="0" applyFont="1" applyFill="1" applyBorder="1" applyAlignment="1">
      <alignment vertical="center"/>
    </xf>
    <xf numFmtId="0" fontId="20" fillId="14" borderId="29" xfId="0" applyFont="1" applyFill="1" applyBorder="1" applyAlignment="1">
      <alignment horizontal="right" vertical="center" wrapText="1"/>
    </xf>
    <xf numFmtId="0" fontId="20" fillId="14" borderId="28" xfId="0" applyFont="1" applyFill="1" applyBorder="1" applyAlignment="1">
      <alignment vertical="center"/>
    </xf>
    <xf numFmtId="0" fontId="20" fillId="14" borderId="13" xfId="0" applyFont="1" applyFill="1" applyBorder="1" applyAlignment="1">
      <alignment horizontal="right" vertical="center" wrapText="1"/>
    </xf>
    <xf numFmtId="0" fontId="20" fillId="14" borderId="45" xfId="0" applyFont="1" applyFill="1" applyBorder="1" applyAlignment="1">
      <alignment vertical="center"/>
    </xf>
    <xf numFmtId="0" fontId="3" fillId="7" borderId="6" xfId="0" applyFont="1" applyFill="1" applyBorder="1" applyAlignment="1">
      <alignment horizontal="center" vertical="center"/>
    </xf>
    <xf numFmtId="0" fontId="3" fillId="7" borderId="7" xfId="0" applyFont="1" applyFill="1" applyBorder="1" applyAlignment="1">
      <alignment horizontal="center" vertical="center"/>
    </xf>
    <xf numFmtId="0" fontId="3" fillId="7" borderId="8" xfId="0" applyFont="1" applyFill="1" applyBorder="1" applyAlignment="1">
      <alignment horizontal="center" vertical="center"/>
    </xf>
    <xf numFmtId="0" fontId="20" fillId="15" borderId="29" xfId="0" applyFont="1" applyFill="1" applyBorder="1" applyAlignment="1">
      <alignment horizontal="right" vertical="center" wrapText="1"/>
    </xf>
    <xf numFmtId="0" fontId="20" fillId="15" borderId="28" xfId="0" applyFont="1" applyFill="1" applyBorder="1" applyAlignment="1">
      <alignment vertical="center"/>
    </xf>
    <xf numFmtId="0" fontId="20" fillId="15" borderId="13" xfId="0" applyFont="1" applyFill="1" applyBorder="1" applyAlignment="1">
      <alignment horizontal="right" vertical="center" wrapText="1"/>
    </xf>
    <xf numFmtId="0" fontId="20" fillId="15" borderId="45" xfId="0" applyFont="1" applyFill="1" applyBorder="1" applyAlignment="1">
      <alignment vertical="center"/>
    </xf>
    <xf numFmtId="0" fontId="21" fillId="0" borderId="0" xfId="0" applyFont="1"/>
    <xf numFmtId="0" fontId="4" fillId="4" borderId="16" xfId="0" quotePrefix="1" applyFont="1" applyFill="1" applyBorder="1" applyAlignment="1">
      <alignment vertical="center"/>
    </xf>
    <xf numFmtId="0" fontId="6" fillId="4" borderId="49" xfId="0" applyFont="1" applyFill="1" applyBorder="1" applyAlignment="1">
      <alignment horizontal="right" vertical="center" wrapText="1"/>
    </xf>
    <xf numFmtId="0" fontId="0" fillId="4" borderId="21" xfId="0" applyFill="1" applyBorder="1" applyAlignment="1">
      <alignment horizontal="center"/>
    </xf>
    <xf numFmtId="10" fontId="27" fillId="4" borderId="0" xfId="2" applyNumberFormat="1" applyFont="1" applyFill="1" applyBorder="1" applyAlignment="1">
      <alignment horizontal="center"/>
    </xf>
    <xf numFmtId="167" fontId="27" fillId="4" borderId="0" xfId="2" applyNumberFormat="1" applyFont="1" applyFill="1" applyBorder="1" applyAlignment="1">
      <alignment horizontal="center"/>
    </xf>
    <xf numFmtId="3" fontId="4" fillId="0" borderId="83" xfId="0" applyNumberFormat="1" applyFont="1" applyBorder="1" applyAlignment="1">
      <alignment horizontal="right" vertical="center"/>
    </xf>
    <xf numFmtId="0" fontId="6" fillId="4" borderId="23" xfId="0" applyFont="1" applyFill="1" applyBorder="1" applyAlignment="1">
      <alignment horizontal="center" vertical="center"/>
    </xf>
    <xf numFmtId="10" fontId="30" fillId="4" borderId="24" xfId="2" applyNumberFormat="1" applyFont="1" applyFill="1" applyBorder="1" applyAlignment="1">
      <alignment horizontal="right" vertical="center"/>
    </xf>
    <xf numFmtId="0" fontId="4" fillId="0" borderId="19" xfId="0" applyFont="1" applyBorder="1" applyAlignment="1">
      <alignment horizontal="right" vertical="center"/>
    </xf>
    <xf numFmtId="164" fontId="4" fillId="4" borderId="33" xfId="0" applyNumberFormat="1" applyFont="1" applyFill="1" applyBorder="1" applyAlignment="1">
      <alignment horizontal="right" vertical="center"/>
    </xf>
    <xf numFmtId="0" fontId="4" fillId="4" borderId="0" xfId="0" applyFont="1" applyFill="1" applyBorder="1" applyAlignment="1">
      <alignment vertical="center"/>
    </xf>
    <xf numFmtId="10" fontId="4" fillId="4" borderId="0" xfId="2" applyNumberFormat="1" applyFont="1" applyFill="1" applyBorder="1" applyAlignment="1">
      <alignment horizontal="center"/>
    </xf>
    <xf numFmtId="10" fontId="4" fillId="4" borderId="0" xfId="2" applyNumberFormat="1" applyFont="1" applyFill="1" applyBorder="1" applyAlignment="1">
      <alignment horizontal="center" vertical="center"/>
    </xf>
    <xf numFmtId="164" fontId="13" fillId="4" borderId="0" xfId="0" applyNumberFormat="1" applyFont="1" applyFill="1" applyBorder="1" applyAlignment="1">
      <alignment vertical="center" textRotation="90" wrapText="1"/>
    </xf>
    <xf numFmtId="2" fontId="52" fillId="6" borderId="35" xfId="0" applyNumberFormat="1" applyFont="1" applyFill="1" applyBorder="1" applyAlignment="1">
      <alignment horizontal="left" vertical="center"/>
    </xf>
    <xf numFmtId="0" fontId="4" fillId="14" borderId="5" xfId="0" applyFont="1" applyFill="1" applyBorder="1" applyAlignment="1" applyProtection="1">
      <alignment horizontal="right" vertical="center"/>
    </xf>
    <xf numFmtId="0" fontId="13" fillId="4" borderId="0" xfId="0" applyFont="1" applyFill="1" applyBorder="1" applyAlignment="1">
      <alignment horizontal="center" vertical="center" textRotation="90" wrapText="1"/>
    </xf>
    <xf numFmtId="2" fontId="34" fillId="4" borderId="0" xfId="0" applyNumberFormat="1" applyFont="1" applyFill="1" applyBorder="1" applyAlignment="1">
      <alignment horizontal="center" vertical="center" textRotation="90"/>
    </xf>
    <xf numFmtId="0" fontId="4" fillId="4" borderId="0" xfId="0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34" fillId="4" borderId="0" xfId="0" applyFont="1" applyFill="1" applyBorder="1" applyAlignment="1">
      <alignment horizontal="center" vertical="center" textRotation="90"/>
    </xf>
    <xf numFmtId="164" fontId="1" fillId="4" borderId="0" xfId="2" applyNumberFormat="1" applyFont="1" applyFill="1" applyBorder="1" applyAlignment="1">
      <alignment horizontal="center" vertical="center"/>
    </xf>
    <xf numFmtId="2" fontId="9" fillId="4" borderId="0" xfId="0" applyNumberFormat="1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0" borderId="43" xfId="0" applyFont="1" applyBorder="1" applyAlignment="1">
      <alignment horizontal="right" vertical="center" wrapText="1"/>
    </xf>
    <xf numFmtId="0" fontId="0" fillId="0" borderId="13" xfId="0" applyBorder="1" applyAlignment="1">
      <alignment horizontal="right" vertical="center"/>
    </xf>
    <xf numFmtId="0" fontId="4" fillId="0" borderId="13" xfId="0" applyFont="1" applyBorder="1" applyAlignment="1">
      <alignment horizontal="right" vertical="center"/>
    </xf>
    <xf numFmtId="10" fontId="4" fillId="4" borderId="45" xfId="2" applyNumberFormat="1" applyFont="1" applyFill="1" applyBorder="1" applyAlignment="1">
      <alignment horizontal="left" vertical="center"/>
    </xf>
    <xf numFmtId="0" fontId="4" fillId="4" borderId="35" xfId="0" quotePrefix="1" applyFont="1" applyFill="1" applyBorder="1" applyAlignment="1">
      <alignment vertical="center"/>
    </xf>
    <xf numFmtId="164" fontId="4" fillId="4" borderId="83" xfId="0" applyNumberFormat="1" applyFont="1" applyFill="1" applyBorder="1" applyAlignment="1">
      <alignment horizontal="right" vertical="center"/>
    </xf>
    <xf numFmtId="3" fontId="4" fillId="0" borderId="33" xfId="0" applyNumberFormat="1" applyFont="1" applyBorder="1" applyAlignment="1">
      <alignment horizontal="right" vertical="center"/>
    </xf>
    <xf numFmtId="3" fontId="15" fillId="4" borderId="23" xfId="0" applyNumberFormat="1" applyFont="1" applyFill="1" applyBorder="1" applyAlignment="1">
      <alignment horizontal="left" vertical="center"/>
    </xf>
    <xf numFmtId="0" fontId="15" fillId="4" borderId="23" xfId="0" applyFont="1" applyFill="1" applyBorder="1" applyAlignment="1">
      <alignment horizontal="left" vertical="center"/>
    </xf>
    <xf numFmtId="0" fontId="11" fillId="0" borderId="56" xfId="0" applyFont="1" applyBorder="1" applyAlignment="1">
      <alignment horizontal="right" vertical="center"/>
    </xf>
    <xf numFmtId="0" fontId="11" fillId="0" borderId="48" xfId="0" applyFont="1" applyBorder="1" applyAlignment="1">
      <alignment horizontal="right" vertical="center"/>
    </xf>
    <xf numFmtId="3" fontId="4" fillId="0" borderId="30" xfId="0" applyNumberFormat="1" applyFont="1" applyBorder="1" applyAlignment="1">
      <alignment vertical="center"/>
    </xf>
    <xf numFmtId="0" fontId="4" fillId="6" borderId="16" xfId="0" applyFont="1" applyFill="1" applyBorder="1"/>
    <xf numFmtId="0" fontId="6" fillId="4" borderId="35" xfId="0" quotePrefix="1" applyFont="1" applyFill="1" applyBorder="1" applyAlignment="1">
      <alignment vertical="center"/>
    </xf>
    <xf numFmtId="0" fontId="15" fillId="4" borderId="16" xfId="0" quotePrefix="1" applyFont="1" applyFill="1" applyBorder="1" applyAlignment="1">
      <alignment vertical="center"/>
    </xf>
    <xf numFmtId="3" fontId="15" fillId="0" borderId="0" xfId="0" applyNumberFormat="1" applyFont="1" applyBorder="1" applyAlignment="1">
      <alignment vertical="center"/>
    </xf>
    <xf numFmtId="0" fontId="4" fillId="0" borderId="0" xfId="0" applyFont="1" applyBorder="1"/>
    <xf numFmtId="0" fontId="4" fillId="0" borderId="0" xfId="0" applyFont="1" applyBorder="1" applyAlignment="1">
      <alignment horizontal="center"/>
    </xf>
    <xf numFmtId="0" fontId="4" fillId="4" borderId="0" xfId="0" applyFont="1" applyFill="1" applyBorder="1" applyAlignment="1"/>
    <xf numFmtId="0" fontId="4" fillId="4" borderId="33" xfId="0" applyFont="1" applyFill="1" applyBorder="1" applyAlignment="1"/>
    <xf numFmtId="0" fontId="25" fillId="0" borderId="0" xfId="0" applyFont="1" applyFill="1" applyBorder="1" applyAlignment="1">
      <alignment vertical="center" textRotation="90"/>
    </xf>
    <xf numFmtId="2" fontId="15" fillId="4" borderId="101" xfId="0" applyNumberFormat="1" applyFont="1" applyFill="1" applyBorder="1" applyAlignment="1">
      <alignment horizontal="left" vertical="center"/>
    </xf>
    <xf numFmtId="0" fontId="0" fillId="0" borderId="0" xfId="0" applyBorder="1" applyAlignment="1"/>
    <xf numFmtId="0" fontId="39" fillId="4" borderId="0" xfId="0" applyFont="1" applyFill="1" applyBorder="1" applyAlignment="1">
      <alignment horizontal="center" vertical="center"/>
    </xf>
    <xf numFmtId="0" fontId="4" fillId="8" borderId="92" xfId="0" applyFont="1" applyFill="1" applyBorder="1"/>
    <xf numFmtId="0" fontId="45" fillId="0" borderId="0" xfId="0" applyFont="1" applyFill="1" applyBorder="1" applyAlignment="1">
      <alignment vertical="center"/>
    </xf>
    <xf numFmtId="3" fontId="4" fillId="6" borderId="0" xfId="0" applyNumberFormat="1" applyFont="1" applyFill="1" applyBorder="1" applyAlignment="1">
      <alignment vertical="center" wrapText="1"/>
    </xf>
    <xf numFmtId="0" fontId="4" fillId="0" borderId="0" xfId="0" applyFont="1" applyFill="1" applyAlignment="1">
      <alignment wrapText="1"/>
    </xf>
    <xf numFmtId="0" fontId="4" fillId="0" borderId="0" xfId="0" applyFont="1" applyFill="1" applyAlignment="1">
      <alignment vertical="center" wrapText="1"/>
    </xf>
    <xf numFmtId="2" fontId="6" fillId="0" borderId="0" xfId="0" applyNumberFormat="1" applyFont="1" applyFill="1" applyAlignment="1">
      <alignment vertical="center" wrapText="1"/>
    </xf>
    <xf numFmtId="3" fontId="4" fillId="0" borderId="0" xfId="0" applyNumberFormat="1" applyFont="1" applyFill="1" applyAlignment="1">
      <alignment vertical="center" wrapText="1"/>
    </xf>
    <xf numFmtId="0" fontId="0" fillId="6" borderId="16" xfId="0" applyFont="1" applyFill="1" applyBorder="1" applyAlignment="1">
      <alignment vertical="center"/>
    </xf>
    <xf numFmtId="0" fontId="0" fillId="4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5" fillId="4" borderId="26" xfId="0" quotePrefix="1" applyFont="1" applyFill="1" applyBorder="1" applyAlignment="1">
      <alignment horizontal="left" vertical="center"/>
    </xf>
    <xf numFmtId="0" fontId="15" fillId="4" borderId="45" xfId="0" applyFont="1" applyFill="1" applyBorder="1" applyAlignment="1">
      <alignment vertical="center"/>
    </xf>
    <xf numFmtId="0" fontId="15" fillId="4" borderId="94" xfId="0" applyFont="1" applyFill="1" applyBorder="1" applyAlignment="1">
      <alignment vertical="center"/>
    </xf>
    <xf numFmtId="2" fontId="15" fillId="4" borderId="94" xfId="0" applyNumberFormat="1" applyFont="1" applyFill="1" applyBorder="1" applyAlignment="1">
      <alignment horizontal="left" vertical="center"/>
    </xf>
    <xf numFmtId="2" fontId="15" fillId="4" borderId="16" xfId="0" applyNumberFormat="1" applyFont="1" applyFill="1" applyBorder="1" applyAlignment="1">
      <alignment horizontal="left" vertical="center"/>
    </xf>
    <xf numFmtId="0" fontId="6" fillId="0" borderId="23" xfId="0" applyFont="1" applyBorder="1" applyAlignment="1">
      <alignment horizontal="left" vertical="center"/>
    </xf>
    <xf numFmtId="0" fontId="6" fillId="0" borderId="112" xfId="0" applyFont="1" applyBorder="1" applyAlignment="1">
      <alignment horizontal="left" vertical="center"/>
    </xf>
    <xf numFmtId="0" fontId="4" fillId="11" borderId="5" xfId="0" applyFont="1" applyFill="1" applyBorder="1"/>
    <xf numFmtId="0" fontId="4" fillId="11" borderId="0" xfId="0" applyFont="1" applyFill="1" applyBorder="1"/>
    <xf numFmtId="3" fontId="4" fillId="11" borderId="0" xfId="0" applyNumberFormat="1" applyFont="1" applyFill="1" applyBorder="1" applyAlignment="1">
      <alignment vertical="center"/>
    </xf>
    <xf numFmtId="1" fontId="4" fillId="11" borderId="0" xfId="0" applyNumberFormat="1" applyFont="1" applyFill="1" applyBorder="1" applyAlignment="1">
      <alignment horizontal="center" vertical="center" textRotation="180" wrapText="1"/>
    </xf>
    <xf numFmtId="1" fontId="4" fillId="11" borderId="102" xfId="0" applyNumberFormat="1" applyFont="1" applyFill="1" applyBorder="1" applyAlignment="1">
      <alignment horizontal="center" vertical="center" textRotation="180" wrapText="1"/>
    </xf>
    <xf numFmtId="0" fontId="4" fillId="11" borderId="102" xfId="0" applyFont="1" applyFill="1" applyBorder="1"/>
    <xf numFmtId="0" fontId="45" fillId="11" borderId="0" xfId="0" applyFont="1" applyFill="1" applyBorder="1" applyAlignment="1">
      <alignment vertical="center"/>
    </xf>
    <xf numFmtId="0" fontId="4" fillId="11" borderId="92" xfId="0" applyFont="1" applyFill="1" applyBorder="1"/>
    <xf numFmtId="0" fontId="4" fillId="11" borderId="33" xfId="0" applyFont="1" applyFill="1" applyBorder="1"/>
    <xf numFmtId="0" fontId="4" fillId="24" borderId="0" xfId="0" applyFont="1" applyFill="1" applyBorder="1" applyAlignment="1">
      <alignment vertical="center"/>
    </xf>
    <xf numFmtId="0" fontId="4" fillId="24" borderId="0" xfId="0" applyFont="1" applyFill="1" applyBorder="1"/>
    <xf numFmtId="3" fontId="61" fillId="4" borderId="5" xfId="0" applyNumberFormat="1" applyFont="1" applyFill="1" applyBorder="1" applyAlignment="1">
      <alignment horizontal="right" vertical="center"/>
    </xf>
    <xf numFmtId="0" fontId="15" fillId="4" borderId="4" xfId="0" applyFont="1" applyFill="1" applyBorder="1" applyAlignment="1">
      <alignment vertical="center"/>
    </xf>
    <xf numFmtId="2" fontId="56" fillId="21" borderId="68" xfId="0" applyNumberFormat="1" applyFont="1" applyFill="1" applyBorder="1" applyAlignment="1">
      <alignment vertical="center"/>
    </xf>
    <xf numFmtId="0" fontId="56" fillId="21" borderId="4" xfId="0" applyFont="1" applyFill="1" applyBorder="1" applyAlignment="1">
      <alignment vertical="center"/>
    </xf>
    <xf numFmtId="0" fontId="0" fillId="4" borderId="0" xfId="0" applyFill="1" applyBorder="1" applyAlignment="1">
      <alignment horizontal="center"/>
    </xf>
    <xf numFmtId="0" fontId="20" fillId="0" borderId="47" xfId="0" applyFont="1" applyBorder="1" applyAlignment="1">
      <alignment horizontal="right" vertical="center" wrapText="1"/>
    </xf>
    <xf numFmtId="0" fontId="4" fillId="6" borderId="114" xfId="0" applyFont="1" applyFill="1" applyBorder="1"/>
    <xf numFmtId="0" fontId="4" fillId="6" borderId="115" xfId="0" applyFont="1" applyFill="1" applyBorder="1"/>
    <xf numFmtId="0" fontId="0" fillId="6" borderId="16" xfId="0" applyFont="1" applyFill="1" applyBorder="1" applyAlignment="1">
      <alignment horizontal="left" vertical="center"/>
    </xf>
    <xf numFmtId="0" fontId="0" fillId="4" borderId="0" xfId="0" applyFill="1" applyBorder="1" applyAlignment="1">
      <alignment vertical="center"/>
    </xf>
    <xf numFmtId="2" fontId="6" fillId="14" borderId="5" xfId="0" applyNumberFormat="1" applyFont="1" applyFill="1" applyBorder="1" applyAlignment="1" applyProtection="1">
      <alignment horizontal="right" vertical="center"/>
      <protection locked="0"/>
    </xf>
    <xf numFmtId="0" fontId="6" fillId="14" borderId="4" xfId="0" applyFont="1" applyFill="1" applyBorder="1" applyAlignment="1">
      <alignment vertical="center"/>
    </xf>
    <xf numFmtId="2" fontId="6" fillId="15" borderId="0" xfId="0" applyNumberFormat="1" applyFont="1" applyFill="1" applyBorder="1" applyAlignment="1" applyProtection="1">
      <alignment horizontal="right" vertical="center"/>
      <protection locked="0"/>
    </xf>
    <xf numFmtId="3" fontId="20" fillId="15" borderId="58" xfId="0" applyNumberFormat="1" applyFont="1" applyFill="1" applyBorder="1" applyAlignment="1">
      <alignment horizontal="right" vertical="center"/>
    </xf>
    <xf numFmtId="3" fontId="20" fillId="20" borderId="58" xfId="0" applyNumberFormat="1" applyFont="1" applyFill="1" applyBorder="1" applyAlignment="1">
      <alignment horizontal="right" vertical="center"/>
    </xf>
    <xf numFmtId="0" fontId="6" fillId="4" borderId="46" xfId="0" applyFont="1" applyFill="1" applyBorder="1" applyAlignment="1">
      <alignment horizontal="right" vertical="center"/>
    </xf>
    <xf numFmtId="0" fontId="50" fillId="22" borderId="118" xfId="0" applyFont="1" applyFill="1" applyBorder="1" applyAlignment="1">
      <alignment horizontal="right" vertical="center"/>
    </xf>
    <xf numFmtId="0" fontId="0" fillId="4" borderId="0" xfId="0" applyFill="1"/>
    <xf numFmtId="0" fontId="0" fillId="25" borderId="0" xfId="0" applyFill="1"/>
    <xf numFmtId="164" fontId="2" fillId="25" borderId="0" xfId="0" applyNumberFormat="1" applyFont="1" applyFill="1" applyBorder="1" applyAlignment="1"/>
    <xf numFmtId="0" fontId="0" fillId="4" borderId="0" xfId="0" applyFill="1" applyAlignment="1">
      <alignment horizontal="center" vertical="center"/>
    </xf>
    <xf numFmtId="0" fontId="0" fillId="4" borderId="102" xfId="0" applyFill="1" applyBorder="1" applyAlignment="1">
      <alignment horizontal="center" vertical="center"/>
    </xf>
    <xf numFmtId="0" fontId="0" fillId="4" borderId="102" xfId="0" applyFill="1" applyBorder="1"/>
    <xf numFmtId="0" fontId="6" fillId="4" borderId="0" xfId="0" applyFont="1" applyFill="1" applyAlignment="1">
      <alignment vertical="center" wrapText="1"/>
    </xf>
    <xf numFmtId="0" fontId="4" fillId="4" borderId="0" xfId="0" applyFont="1" applyFill="1"/>
    <xf numFmtId="0" fontId="20" fillId="4" borderId="0" xfId="0" applyFont="1" applyFill="1" applyBorder="1" applyAlignment="1">
      <alignment horizontal="right" vertical="center" wrapText="1"/>
    </xf>
    <xf numFmtId="4" fontId="22" fillId="4" borderId="0" xfId="0" applyNumberFormat="1" applyFont="1" applyFill="1" applyBorder="1" applyAlignment="1">
      <alignment horizontal="right" vertical="center"/>
    </xf>
    <xf numFmtId="0" fontId="20" fillId="4" borderId="0" xfId="0" applyFont="1" applyFill="1" applyBorder="1" applyAlignment="1">
      <alignment vertical="center"/>
    </xf>
    <xf numFmtId="0" fontId="0" fillId="4" borderId="0" xfId="0" applyFont="1" applyFill="1" applyBorder="1" applyAlignment="1">
      <alignment horizontal="right" vertical="center"/>
    </xf>
    <xf numFmtId="2" fontId="0" fillId="4" borderId="0" xfId="0" applyNumberFormat="1" applyFont="1" applyFill="1" applyBorder="1" applyAlignment="1">
      <alignment vertical="center"/>
    </xf>
    <xf numFmtId="10" fontId="27" fillId="4" borderId="44" xfId="2" applyNumberFormat="1" applyFont="1" applyFill="1" applyBorder="1" applyAlignment="1">
      <alignment horizontal="right" vertical="center"/>
    </xf>
    <xf numFmtId="10" fontId="27" fillId="4" borderId="45" xfId="2" applyNumberFormat="1" applyFont="1" applyFill="1" applyBorder="1" applyAlignment="1">
      <alignment horizontal="left" vertical="center"/>
    </xf>
    <xf numFmtId="1" fontId="27" fillId="4" borderId="44" xfId="1" applyNumberFormat="1" applyFont="1" applyFill="1" applyBorder="1" applyAlignment="1">
      <alignment horizontal="right" vertical="center"/>
    </xf>
    <xf numFmtId="10" fontId="27" fillId="4" borderId="45" xfId="0" quotePrefix="1" applyNumberFormat="1" applyFont="1" applyFill="1" applyBorder="1" applyAlignment="1">
      <alignment horizontal="left" vertical="center"/>
    </xf>
    <xf numFmtId="0" fontId="69" fillId="0" borderId="0" xfId="0" applyFont="1" applyAlignment="1">
      <alignment wrapText="1"/>
    </xf>
    <xf numFmtId="1" fontId="5" fillId="6" borderId="16" xfId="0" applyNumberFormat="1" applyFont="1" applyFill="1" applyBorder="1" applyAlignment="1">
      <alignment horizontal="left" vertical="center"/>
    </xf>
    <xf numFmtId="2" fontId="2" fillId="6" borderId="0" xfId="0" applyNumberFormat="1" applyFont="1" applyFill="1" applyBorder="1" applyAlignment="1">
      <alignment horizontal="right" vertical="center"/>
    </xf>
    <xf numFmtId="0" fontId="20" fillId="0" borderId="12" xfId="3" applyFont="1" applyBorder="1" applyAlignment="1">
      <alignment horizontal="center" vertical="center"/>
    </xf>
    <xf numFmtId="0" fontId="27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76" fillId="0" borderId="0" xfId="5" quotePrefix="1" applyAlignment="1">
      <alignment wrapText="1"/>
    </xf>
    <xf numFmtId="10" fontId="30" fillId="4" borderId="58" xfId="2" applyNumberFormat="1" applyFont="1" applyFill="1" applyBorder="1" applyAlignment="1">
      <alignment horizontal="right" vertical="center" wrapText="1"/>
    </xf>
    <xf numFmtId="0" fontId="58" fillId="0" borderId="0" xfId="0" applyFont="1" applyFill="1" applyBorder="1" applyAlignment="1">
      <alignment vertical="center" wrapText="1"/>
    </xf>
    <xf numFmtId="0" fontId="38" fillId="0" borderId="0" xfId="0" applyFont="1" applyFill="1" applyBorder="1" applyAlignment="1">
      <alignment vertical="center"/>
    </xf>
    <xf numFmtId="0" fontId="70" fillId="0" borderId="0" xfId="0" applyFont="1" applyFill="1" applyBorder="1" applyAlignment="1">
      <alignment vertical="center"/>
    </xf>
    <xf numFmtId="0" fontId="38" fillId="0" borderId="0" xfId="0" applyFont="1" applyFill="1" applyBorder="1" applyAlignment="1">
      <alignment vertical="center" wrapText="1"/>
    </xf>
    <xf numFmtId="0" fontId="21" fillId="0" borderId="0" xfId="0" applyFont="1" applyFill="1" applyBorder="1" applyAlignment="1">
      <alignment vertical="center" wrapText="1"/>
    </xf>
    <xf numFmtId="0" fontId="58" fillId="0" borderId="0" xfId="0" applyFont="1" applyFill="1" applyBorder="1" applyAlignment="1">
      <alignment wrapText="1"/>
    </xf>
    <xf numFmtId="0" fontId="78" fillId="0" borderId="0" xfId="5" applyFont="1" applyFill="1" applyBorder="1" applyAlignment="1">
      <alignment wrapText="1"/>
    </xf>
    <xf numFmtId="0" fontId="78" fillId="0" borderId="0" xfId="5" applyFont="1" applyFill="1" applyBorder="1" applyAlignment="1">
      <alignment vertical="center" wrapText="1"/>
    </xf>
    <xf numFmtId="0" fontId="8" fillId="0" borderId="0" xfId="0" applyFont="1" applyFill="1" applyBorder="1" applyAlignment="1">
      <alignment vertical="top"/>
    </xf>
    <xf numFmtId="0" fontId="13" fillId="0" borderId="0" xfId="0" applyFont="1" applyFill="1" applyBorder="1" applyAlignment="1">
      <alignment vertical="top" wrapText="1"/>
    </xf>
    <xf numFmtId="0" fontId="8" fillId="0" borderId="0" xfId="0" applyFont="1" applyFill="1" applyBorder="1" applyAlignment="1">
      <alignment vertical="center"/>
    </xf>
    <xf numFmtId="0" fontId="13" fillId="0" borderId="0" xfId="0" applyFont="1" applyFill="1" applyBorder="1" applyAlignment="1">
      <alignment vertical="center" wrapText="1"/>
    </xf>
    <xf numFmtId="0" fontId="86" fillId="0" borderId="12" xfId="0" applyFont="1" applyBorder="1" applyAlignment="1">
      <alignment horizontal="center" vertical="center"/>
    </xf>
    <xf numFmtId="0" fontId="27" fillId="0" borderId="12" xfId="0" applyFont="1" applyBorder="1" applyAlignment="1">
      <alignment horizontal="center" vertical="center"/>
    </xf>
    <xf numFmtId="49" fontId="19" fillId="0" borderId="0" xfId="0" applyNumberFormat="1" applyFont="1" applyAlignment="1">
      <alignment horizontal="left" vertical="center" wrapText="1"/>
    </xf>
    <xf numFmtId="49" fontId="87" fillId="0" borderId="12" xfId="3" applyNumberFormat="1" applyFont="1" applyBorder="1" applyAlignment="1">
      <alignment horizontal="left" vertical="center" wrapText="1"/>
    </xf>
    <xf numFmtId="0" fontId="27" fillId="0" borderId="12" xfId="3" applyFont="1" applyBorder="1" applyAlignment="1">
      <alignment horizontal="center" vertical="center"/>
    </xf>
    <xf numFmtId="2" fontId="0" fillId="0" borderId="0" xfId="0" applyNumberFormat="1" applyAlignment="1">
      <alignment vertical="center"/>
    </xf>
    <xf numFmtId="49" fontId="17" fillId="0" borderId="0" xfId="3" applyNumberFormat="1" applyFont="1" applyFill="1" applyBorder="1" applyAlignment="1">
      <alignment horizontal="left" vertical="center" wrapText="1"/>
    </xf>
    <xf numFmtId="49" fontId="87" fillId="0" borderId="12" xfId="0" applyNumberFormat="1" applyFont="1" applyBorder="1" applyAlignment="1">
      <alignment horizontal="left" vertical="center" wrapText="1"/>
    </xf>
    <xf numFmtId="49" fontId="17" fillId="0" borderId="0" xfId="3" applyNumberFormat="1" applyFont="1" applyAlignment="1">
      <alignment horizontal="left" vertical="center" wrapText="1"/>
    </xf>
    <xf numFmtId="0" fontId="27" fillId="0" borderId="12" xfId="4" applyFont="1" applyBorder="1" applyAlignment="1">
      <alignment vertical="center"/>
    </xf>
    <xf numFmtId="49" fontId="80" fillId="2" borderId="121" xfId="3" applyNumberFormat="1" applyFont="1" applyFill="1" applyBorder="1" applyAlignment="1">
      <alignment horizontal="left" vertical="center" wrapText="1"/>
    </xf>
    <xf numFmtId="0" fontId="81" fillId="2" borderId="121" xfId="0" applyFont="1" applyFill="1" applyBorder="1" applyAlignment="1">
      <alignment horizontal="center" vertical="center"/>
    </xf>
    <xf numFmtId="49" fontId="87" fillId="0" borderId="121" xfId="3" applyNumberFormat="1" applyFont="1" applyBorder="1" applyAlignment="1">
      <alignment horizontal="left" vertical="center" wrapText="1"/>
    </xf>
    <xf numFmtId="0" fontId="27" fillId="0" borderId="121" xfId="3" applyFont="1" applyBorder="1" applyAlignment="1">
      <alignment horizontal="center" vertical="center"/>
    </xf>
    <xf numFmtId="49" fontId="80" fillId="2" borderId="12" xfId="3" applyNumberFormat="1" applyFont="1" applyFill="1" applyBorder="1" applyAlignment="1">
      <alignment horizontal="left" vertical="center" wrapText="1"/>
    </xf>
    <xf numFmtId="0" fontId="27" fillId="0" borderId="12" xfId="3" applyFont="1" applyFill="1" applyBorder="1" applyAlignment="1">
      <alignment horizontal="center" vertical="center"/>
    </xf>
    <xf numFmtId="49" fontId="80" fillId="2" borderId="12" xfId="3" applyNumberFormat="1" applyFont="1" applyFill="1" applyBorder="1" applyAlignment="1">
      <alignment horizontal="left" vertical="center"/>
    </xf>
    <xf numFmtId="0" fontId="81" fillId="2" borderId="12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ont="1" applyAlignment="1">
      <alignment vertical="center"/>
    </xf>
    <xf numFmtId="0" fontId="75" fillId="0" borderId="0" xfId="0" applyFont="1" applyFill="1" applyAlignment="1">
      <alignment horizontal="center" vertical="center"/>
    </xf>
    <xf numFmtId="9" fontId="84" fillId="0" borderId="0" xfId="3" applyNumberFormat="1" applyFont="1" applyFill="1" applyBorder="1" applyAlignment="1">
      <alignment horizontal="center" vertical="center" wrapText="1"/>
    </xf>
    <xf numFmtId="3" fontId="85" fillId="0" borderId="0" xfId="0" applyNumberFormat="1" applyFont="1" applyFill="1" applyAlignment="1">
      <alignment horizontal="center" vertical="center"/>
    </xf>
    <xf numFmtId="0" fontId="84" fillId="0" borderId="0" xfId="0" applyFont="1" applyFill="1" applyAlignment="1">
      <alignment horizontal="center" vertical="center"/>
    </xf>
    <xf numFmtId="3" fontId="27" fillId="0" borderId="12" xfId="0" applyNumberFormat="1" applyFont="1" applyFill="1" applyBorder="1" applyAlignment="1">
      <alignment horizontal="center" vertical="center"/>
    </xf>
    <xf numFmtId="1" fontId="81" fillId="0" borderId="12" xfId="0" applyNumberFormat="1" applyFont="1" applyFill="1" applyBorder="1" applyAlignment="1">
      <alignment horizontal="center" vertical="center"/>
    </xf>
    <xf numFmtId="3" fontId="27" fillId="0" borderId="121" xfId="0" applyNumberFormat="1" applyFont="1" applyFill="1" applyBorder="1" applyAlignment="1">
      <alignment horizontal="center" vertical="center"/>
    </xf>
    <xf numFmtId="1" fontId="81" fillId="0" borderId="121" xfId="0" applyNumberFormat="1" applyFont="1" applyFill="1" applyBorder="1" applyAlignment="1">
      <alignment horizontal="center" vertical="center"/>
    </xf>
    <xf numFmtId="49" fontId="80" fillId="2" borderId="122" xfId="3" applyNumberFormat="1" applyFont="1" applyFill="1" applyBorder="1" applyAlignment="1">
      <alignment horizontal="left" vertical="center" wrapText="1"/>
    </xf>
    <xf numFmtId="49" fontId="19" fillId="0" borderId="0" xfId="0" applyNumberFormat="1" applyFont="1" applyBorder="1" applyAlignment="1">
      <alignment horizontal="left" vertical="center" wrapText="1"/>
    </xf>
    <xf numFmtId="0" fontId="4" fillId="11" borderId="0" xfId="0" applyFont="1" applyFill="1" applyAlignment="1">
      <alignment vertical="center"/>
    </xf>
    <xf numFmtId="0" fontId="0" fillId="0" borderId="0" xfId="0" applyFont="1" applyBorder="1" applyAlignment="1">
      <alignment horizontal="right" vertical="center"/>
    </xf>
    <xf numFmtId="168" fontId="0" fillId="4" borderId="0" xfId="0" applyNumberFormat="1" applyFont="1" applyFill="1" applyBorder="1" applyAlignment="1">
      <alignment vertical="center"/>
    </xf>
    <xf numFmtId="0" fontId="4" fillId="0" borderId="6" xfId="0" applyFont="1" applyBorder="1" applyAlignment="1">
      <alignment horizontal="right" vertical="center" wrapText="1"/>
    </xf>
    <xf numFmtId="2" fontId="21" fillId="4" borderId="55" xfId="0" applyNumberFormat="1" applyFont="1" applyFill="1" applyBorder="1" applyAlignment="1">
      <alignment horizontal="right" vertical="center"/>
    </xf>
    <xf numFmtId="0" fontId="21" fillId="4" borderId="11" xfId="0" applyFont="1" applyFill="1" applyBorder="1" applyAlignment="1">
      <alignment vertical="center"/>
    </xf>
    <xf numFmtId="165" fontId="25" fillId="0" borderId="68" xfId="0" applyNumberFormat="1" applyFont="1" applyBorder="1" applyAlignment="1">
      <alignment horizontal="right" vertical="center"/>
    </xf>
    <xf numFmtId="165" fontId="25" fillId="4" borderId="4" xfId="0" applyNumberFormat="1" applyFont="1" applyFill="1" applyBorder="1" applyAlignment="1">
      <alignment horizontal="left" vertical="center"/>
    </xf>
    <xf numFmtId="165" fontId="25" fillId="0" borderId="68" xfId="0" applyNumberFormat="1" applyFont="1" applyBorder="1" applyAlignment="1">
      <alignment vertical="center"/>
    </xf>
    <xf numFmtId="165" fontId="25" fillId="4" borderId="4" xfId="0" applyNumberFormat="1" applyFont="1" applyFill="1" applyBorder="1" applyAlignment="1">
      <alignment vertical="center"/>
    </xf>
    <xf numFmtId="0" fontId="4" fillId="0" borderId="29" xfId="0" applyFont="1" applyBorder="1" applyAlignment="1">
      <alignment vertical="center"/>
    </xf>
    <xf numFmtId="3" fontId="3" fillId="4" borderId="44" xfId="1" applyNumberFormat="1" applyFont="1" applyFill="1" applyBorder="1" applyAlignment="1">
      <alignment horizontal="right" vertical="center"/>
    </xf>
    <xf numFmtId="3" fontId="3" fillId="0" borderId="44" xfId="0" applyNumberFormat="1" applyFont="1" applyBorder="1" applyAlignment="1">
      <alignment horizontal="right" vertical="center"/>
    </xf>
    <xf numFmtId="0" fontId="3" fillId="4" borderId="45" xfId="0" quotePrefix="1" applyFont="1" applyFill="1" applyBorder="1" applyAlignment="1">
      <alignment horizontal="left" vertical="center"/>
    </xf>
    <xf numFmtId="0" fontId="4" fillId="0" borderId="39" xfId="0" applyFont="1" applyBorder="1" applyAlignment="1">
      <alignment vertical="center"/>
    </xf>
    <xf numFmtId="9" fontId="4" fillId="0" borderId="25" xfId="1" applyNumberFormat="1" applyFont="1" applyBorder="1" applyAlignment="1">
      <alignment vertical="center"/>
    </xf>
    <xf numFmtId="0" fontId="0" fillId="0" borderId="38" xfId="0" applyBorder="1" applyAlignment="1">
      <alignment vertical="center"/>
    </xf>
    <xf numFmtId="0" fontId="0" fillId="4" borderId="26" xfId="0" applyFill="1" applyBorder="1" applyAlignment="1">
      <alignment vertical="center"/>
    </xf>
    <xf numFmtId="9" fontId="4" fillId="4" borderId="25" xfId="1" applyNumberFormat="1" applyFont="1" applyFill="1" applyBorder="1" applyAlignment="1">
      <alignment vertical="center"/>
    </xf>
    <xf numFmtId="9" fontId="4" fillId="4" borderId="26" xfId="1" applyNumberFormat="1" applyFont="1" applyFill="1" applyBorder="1" applyAlignment="1">
      <alignment vertical="center"/>
    </xf>
    <xf numFmtId="0" fontId="0" fillId="4" borderId="1" xfId="0" applyFill="1" applyBorder="1"/>
    <xf numFmtId="0" fontId="6" fillId="0" borderId="33" xfId="0" applyFont="1" applyBorder="1" applyAlignment="1">
      <alignment vertical="center"/>
    </xf>
    <xf numFmtId="0" fontId="6" fillId="0" borderId="35" xfId="0" applyFont="1" applyBorder="1" applyAlignment="1">
      <alignment vertical="center"/>
    </xf>
    <xf numFmtId="3" fontId="0" fillId="4" borderId="128" xfId="0" applyNumberFormat="1" applyFill="1" applyBorder="1" applyAlignment="1">
      <alignment horizontal="center" vertical="center"/>
    </xf>
    <xf numFmtId="167" fontId="27" fillId="0" borderId="0" xfId="2" applyNumberFormat="1" applyFont="1" applyFill="1" applyBorder="1" applyAlignment="1">
      <alignment horizontal="center" vertical="center"/>
    </xf>
    <xf numFmtId="0" fontId="40" fillId="4" borderId="0" xfId="0" applyFont="1" applyFill="1" applyBorder="1" applyAlignment="1">
      <alignment vertical="center"/>
    </xf>
    <xf numFmtId="9" fontId="75" fillId="0" borderId="0" xfId="2" applyFont="1" applyFill="1" applyAlignment="1">
      <alignment horizontal="center" vertical="center"/>
    </xf>
    <xf numFmtId="9" fontId="81" fillId="0" borderId="12" xfId="2" applyFont="1" applyFill="1" applyBorder="1" applyAlignment="1">
      <alignment horizontal="center" vertical="center" wrapText="1"/>
    </xf>
    <xf numFmtId="9" fontId="81" fillId="0" borderId="121" xfId="2" applyFont="1" applyFill="1" applyBorder="1" applyAlignment="1">
      <alignment horizontal="center" vertical="center" wrapText="1"/>
    </xf>
    <xf numFmtId="9" fontId="27" fillId="0" borderId="12" xfId="2" applyFont="1" applyFill="1" applyBorder="1" applyAlignment="1">
      <alignment horizontal="center" vertical="center"/>
    </xf>
    <xf numFmtId="49" fontId="81" fillId="0" borderId="12" xfId="3" applyNumberFormat="1" applyFont="1" applyFill="1" applyBorder="1" applyAlignment="1">
      <alignment horizontal="center" vertical="center" wrapText="1"/>
    </xf>
    <xf numFmtId="1" fontId="81" fillId="0" borderId="12" xfId="3" applyNumberFormat="1" applyFont="1" applyFill="1" applyBorder="1" applyAlignment="1">
      <alignment horizontal="center" vertical="center" wrapText="1"/>
    </xf>
    <xf numFmtId="9" fontId="81" fillId="0" borderId="12" xfId="3" applyNumberFormat="1" applyFont="1" applyFill="1" applyBorder="1" applyAlignment="1">
      <alignment horizontal="center" vertical="center" wrapText="1"/>
    </xf>
    <xf numFmtId="1" fontId="75" fillId="0" borderId="0" xfId="0" applyNumberFormat="1" applyFont="1" applyFill="1" applyAlignment="1">
      <alignment horizontal="center" vertical="center"/>
    </xf>
    <xf numFmtId="0" fontId="27" fillId="0" borderId="12" xfId="0" applyFont="1" applyFill="1" applyBorder="1" applyAlignment="1">
      <alignment horizontal="center" vertical="center"/>
    </xf>
    <xf numFmtId="49" fontId="81" fillId="0" borderId="121" xfId="3" applyNumberFormat="1" applyFont="1" applyFill="1" applyBorder="1" applyAlignment="1">
      <alignment horizontal="center" vertical="center" wrapText="1"/>
    </xf>
    <xf numFmtId="0" fontId="93" fillId="0" borderId="12" xfId="0" applyFont="1" applyFill="1" applyBorder="1" applyAlignment="1">
      <alignment horizontal="center" vertical="center"/>
    </xf>
    <xf numFmtId="1" fontId="93" fillId="0" borderId="12" xfId="0" applyNumberFormat="1" applyFont="1" applyFill="1" applyBorder="1" applyAlignment="1">
      <alignment horizontal="center" vertical="center"/>
    </xf>
    <xf numFmtId="9" fontId="93" fillId="0" borderId="12" xfId="0" applyNumberFormat="1" applyFont="1" applyFill="1" applyBorder="1" applyAlignment="1">
      <alignment horizontal="center" vertical="center"/>
    </xf>
    <xf numFmtId="9" fontId="93" fillId="0" borderId="12" xfId="2" applyFont="1" applyFill="1" applyBorder="1" applyAlignment="1">
      <alignment horizontal="center" vertical="center"/>
    </xf>
    <xf numFmtId="3" fontId="93" fillId="0" borderId="0" xfId="0" applyNumberFormat="1" applyFont="1" applyFill="1" applyAlignment="1">
      <alignment horizontal="center" vertical="center"/>
    </xf>
    <xf numFmtId="3" fontId="0" fillId="4" borderId="129" xfId="0" applyNumberFormat="1" applyFill="1" applyBorder="1" applyAlignment="1">
      <alignment horizontal="center" vertical="center"/>
    </xf>
    <xf numFmtId="0" fontId="0" fillId="4" borderId="23" xfId="0" applyFill="1" applyBorder="1" applyAlignment="1">
      <alignment vertical="center"/>
    </xf>
    <xf numFmtId="1" fontId="4" fillId="11" borderId="0" xfId="0" applyNumberFormat="1" applyFont="1" applyFill="1" applyBorder="1"/>
    <xf numFmtId="43" fontId="4" fillId="11" borderId="102" xfId="1" applyFont="1" applyFill="1" applyBorder="1" applyAlignment="1">
      <alignment horizontal="center" vertical="center" textRotation="180" wrapText="1"/>
    </xf>
    <xf numFmtId="170" fontId="4" fillId="11" borderId="0" xfId="1" applyNumberFormat="1" applyFont="1" applyFill="1" applyBorder="1" applyAlignment="1">
      <alignment horizontal="center" vertical="center" wrapText="1"/>
    </xf>
    <xf numFmtId="170" fontId="4" fillId="11" borderId="0" xfId="1" applyNumberFormat="1" applyFont="1" applyFill="1" applyBorder="1" applyAlignment="1">
      <alignment vertical="center" textRotation="180" wrapText="1"/>
    </xf>
    <xf numFmtId="170" fontId="4" fillId="11" borderId="0" xfId="1" applyNumberFormat="1" applyFont="1" applyFill="1" applyBorder="1" applyAlignment="1">
      <alignment vertical="center" wrapText="1"/>
    </xf>
    <xf numFmtId="10" fontId="4" fillId="11" borderId="5" xfId="0" applyNumberFormat="1" applyFont="1" applyFill="1" applyBorder="1"/>
    <xf numFmtId="171" fontId="27" fillId="0" borderId="0" xfId="1" applyNumberFormat="1" applyFont="1" applyFill="1" applyBorder="1" applyAlignment="1">
      <alignment horizontal="center" vertical="center"/>
    </xf>
    <xf numFmtId="3" fontId="20" fillId="0" borderId="121" xfId="0" applyNumberFormat="1" applyFont="1" applyFill="1" applyBorder="1" applyAlignment="1">
      <alignment horizontal="center" vertical="center"/>
    </xf>
    <xf numFmtId="0" fontId="25" fillId="0" borderId="124" xfId="0" applyFont="1" applyFill="1" applyBorder="1" applyAlignment="1">
      <alignment vertical="center"/>
    </xf>
    <xf numFmtId="0" fontId="74" fillId="0" borderId="12" xfId="0" applyFont="1" applyBorder="1" applyAlignment="1">
      <alignment horizontal="center" vertical="center" wrapText="1"/>
    </xf>
    <xf numFmtId="20" fontId="58" fillId="0" borderId="0" xfId="0" applyNumberFormat="1" applyFont="1" applyFill="1" applyBorder="1" applyAlignment="1">
      <alignment wrapText="1"/>
    </xf>
    <xf numFmtId="0" fontId="0" fillId="0" borderId="0" xfId="0" applyFill="1" applyBorder="1" applyAlignment="1">
      <alignment horizontal="left"/>
    </xf>
    <xf numFmtId="0" fontId="8" fillId="0" borderId="0" xfId="0" applyFont="1" applyFill="1" applyBorder="1" applyAlignment="1"/>
    <xf numFmtId="0" fontId="13" fillId="0" borderId="0" xfId="0" applyFont="1" applyFill="1" applyBorder="1" applyAlignment="1">
      <alignment wrapText="1"/>
    </xf>
    <xf numFmtId="0" fontId="58" fillId="0" borderId="0" xfId="0" applyFont="1" applyFill="1" applyBorder="1" applyAlignment="1">
      <alignment horizontal="left" vertical="center" wrapText="1"/>
    </xf>
    <xf numFmtId="0" fontId="58" fillId="0" borderId="0" xfId="0" quotePrefix="1" applyFont="1" applyFill="1" applyBorder="1" applyAlignment="1"/>
    <xf numFmtId="165" fontId="58" fillId="0" borderId="0" xfId="0" applyNumberFormat="1" applyFont="1" applyFill="1" applyBorder="1" applyAlignment="1">
      <alignment vertical="center"/>
    </xf>
    <xf numFmtId="0" fontId="77" fillId="0" borderId="0" xfId="5" applyFont="1" applyFill="1" applyBorder="1" applyAlignment="1">
      <alignment wrapText="1"/>
    </xf>
    <xf numFmtId="0" fontId="69" fillId="0" borderId="0" xfId="0" applyFont="1" applyFill="1" applyBorder="1" applyAlignment="1">
      <alignment wrapText="1"/>
    </xf>
    <xf numFmtId="0" fontId="72" fillId="0" borderId="0" xfId="0" applyFont="1" applyFill="1" applyBorder="1" applyAlignment="1">
      <alignment vertical="center" wrapText="1"/>
    </xf>
    <xf numFmtId="165" fontId="91" fillId="0" borderId="0" xfId="5" applyNumberFormat="1" applyFont="1" applyFill="1" applyBorder="1" applyAlignment="1">
      <alignment vertical="center"/>
    </xf>
    <xf numFmtId="0" fontId="34" fillId="4" borderId="0" xfId="0" applyFont="1" applyFill="1" applyBorder="1" applyAlignment="1">
      <alignment horizontal="center" vertical="center" textRotation="90"/>
    </xf>
    <xf numFmtId="0" fontId="13" fillId="4" borderId="0" xfId="0" applyFont="1" applyFill="1" applyBorder="1" applyAlignment="1">
      <alignment horizontal="center" vertical="center" textRotation="90" wrapText="1"/>
    </xf>
    <xf numFmtId="0" fontId="0" fillId="4" borderId="0" xfId="0" applyFill="1" applyAlignment="1">
      <alignment horizontal="center"/>
    </xf>
    <xf numFmtId="168" fontId="4" fillId="11" borderId="0" xfId="0" applyNumberFormat="1" applyFont="1" applyFill="1" applyBorder="1"/>
    <xf numFmtId="0" fontId="4" fillId="6" borderId="0" xfId="0" applyFont="1" applyFill="1" applyBorder="1"/>
    <xf numFmtId="0" fontId="4" fillId="11" borderId="0" xfId="0" applyFont="1" applyFill="1" applyBorder="1" applyAlignment="1">
      <alignment horizontal="center"/>
    </xf>
    <xf numFmtId="2" fontId="6" fillId="0" borderId="0" xfId="0" applyNumberFormat="1" applyFont="1" applyFill="1" applyAlignment="1">
      <alignment vertical="center"/>
    </xf>
    <xf numFmtId="2" fontId="4" fillId="0" borderId="0" xfId="0" applyNumberFormat="1" applyFont="1" applyFill="1" applyAlignment="1">
      <alignment horizontal="left" vertical="center"/>
    </xf>
    <xf numFmtId="10" fontId="27" fillId="4" borderId="0" xfId="2" applyNumberFormat="1" applyFont="1" applyFill="1" applyBorder="1" applyAlignment="1">
      <alignment horizontal="center" vertical="center"/>
    </xf>
    <xf numFmtId="2" fontId="6" fillId="11" borderId="0" xfId="0" applyNumberFormat="1" applyFont="1" applyFill="1" applyBorder="1" applyAlignment="1">
      <alignment vertical="center"/>
    </xf>
    <xf numFmtId="0" fontId="4" fillId="11" borderId="0" xfId="0" applyFont="1" applyFill="1" applyBorder="1" applyAlignment="1"/>
    <xf numFmtId="0" fontId="4" fillId="11" borderId="103" xfId="0" applyFont="1" applyFill="1" applyBorder="1"/>
    <xf numFmtId="0" fontId="4" fillId="11" borderId="104" xfId="0" applyFont="1" applyFill="1" applyBorder="1"/>
    <xf numFmtId="0" fontId="4" fillId="11" borderId="104" xfId="0" applyFont="1" applyFill="1" applyBorder="1" applyAlignment="1">
      <alignment vertical="center"/>
    </xf>
    <xf numFmtId="0" fontId="4" fillId="11" borderId="0" xfId="0" applyFont="1" applyFill="1" applyBorder="1" applyAlignment="1">
      <alignment wrapText="1"/>
    </xf>
    <xf numFmtId="0" fontId="6" fillId="11" borderId="0" xfId="0" applyFont="1" applyFill="1" applyBorder="1" applyAlignment="1">
      <alignment horizontal="center" vertical="center" wrapText="1"/>
    </xf>
    <xf numFmtId="0" fontId="4" fillId="11" borderId="104" xfId="0" applyFont="1" applyFill="1" applyBorder="1" applyAlignment="1">
      <alignment horizontal="center"/>
    </xf>
    <xf numFmtId="0" fontId="4" fillId="11" borderId="102" xfId="0" applyFont="1" applyFill="1" applyBorder="1" applyAlignment="1">
      <alignment vertical="center" wrapText="1"/>
    </xf>
    <xf numFmtId="0" fontId="4" fillId="11" borderId="97" xfId="0" applyFont="1" applyFill="1" applyBorder="1"/>
    <xf numFmtId="0" fontId="88" fillId="4" borderId="0" xfId="5" applyFont="1" applyFill="1" applyBorder="1" applyAlignment="1">
      <alignment horizontal="center" vertical="center"/>
    </xf>
    <xf numFmtId="2" fontId="23" fillId="6" borderId="33" xfId="0" applyNumberFormat="1" applyFont="1" applyFill="1" applyBorder="1" applyAlignment="1">
      <alignment horizontal="right" vertical="center"/>
    </xf>
    <xf numFmtId="3" fontId="22" fillId="6" borderId="0" xfId="0" applyNumberFormat="1" applyFont="1" applyFill="1" applyBorder="1" applyAlignment="1">
      <alignment horizontal="right" vertical="center"/>
    </xf>
    <xf numFmtId="0" fontId="22" fillId="6" borderId="16" xfId="0" applyFont="1" applyFill="1" applyBorder="1" applyAlignment="1">
      <alignment vertical="center"/>
    </xf>
    <xf numFmtId="0" fontId="25" fillId="4" borderId="0" xfId="0" applyFont="1" applyFill="1" applyBorder="1" applyAlignment="1">
      <alignment vertical="center" textRotation="90"/>
    </xf>
    <xf numFmtId="0" fontId="4" fillId="4" borderId="0" xfId="0" applyFont="1" applyFill="1" applyAlignment="1">
      <alignment vertical="center" wrapText="1"/>
    </xf>
    <xf numFmtId="0" fontId="25" fillId="4" borderId="0" xfId="0" applyFont="1" applyFill="1" applyBorder="1" applyAlignment="1">
      <alignment vertical="center"/>
    </xf>
    <xf numFmtId="0" fontId="4" fillId="4" borderId="0" xfId="0" applyFont="1" applyFill="1" applyAlignment="1">
      <alignment wrapText="1"/>
    </xf>
    <xf numFmtId="0" fontId="51" fillId="4" borderId="0" xfId="0" applyFont="1" applyFill="1" applyBorder="1" applyAlignment="1">
      <alignment horizontal="right"/>
    </xf>
    <xf numFmtId="2" fontId="21" fillId="4" borderId="0" xfId="0" applyNumberFormat="1" applyFont="1" applyFill="1" applyBorder="1" applyAlignment="1">
      <alignment horizontal="right"/>
    </xf>
    <xf numFmtId="2" fontId="21" fillId="4" borderId="0" xfId="0" applyNumberFormat="1" applyFont="1" applyFill="1" applyBorder="1" applyAlignment="1">
      <alignment horizontal="left"/>
    </xf>
    <xf numFmtId="0" fontId="6" fillId="0" borderId="0" xfId="0" applyFont="1" applyAlignment="1">
      <alignment horizontal="center" vertical="center" wrapText="1"/>
    </xf>
    <xf numFmtId="2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1" fontId="7" fillId="0" borderId="0" xfId="0" applyNumberFormat="1" applyFont="1" applyAlignment="1">
      <alignment horizontal="center" vertical="center"/>
    </xf>
    <xf numFmtId="1" fontId="17" fillId="0" borderId="0" xfId="3" applyNumberFormat="1" applyFont="1" applyAlignment="1">
      <alignment horizontal="left" vertical="center" wrapText="1"/>
    </xf>
    <xf numFmtId="3" fontId="27" fillId="4" borderId="30" xfId="0" applyNumberFormat="1" applyFont="1" applyFill="1" applyBorder="1" applyAlignment="1">
      <alignment horizontal="right" vertical="center"/>
    </xf>
    <xf numFmtId="170" fontId="27" fillId="0" borderId="54" xfId="1" applyNumberFormat="1" applyFont="1" applyBorder="1" applyAlignment="1">
      <alignment horizontal="right" vertical="center"/>
    </xf>
    <xf numFmtId="0" fontId="27" fillId="4" borderId="4" xfId="0" applyFont="1" applyFill="1" applyBorder="1" applyAlignment="1">
      <alignment vertical="center"/>
    </xf>
    <xf numFmtId="4" fontId="20" fillId="20" borderId="50" xfId="0" applyNumberFormat="1" applyFont="1" applyFill="1" applyBorder="1" applyAlignment="1">
      <alignment horizontal="right" vertical="center"/>
    </xf>
    <xf numFmtId="4" fontId="20" fillId="15" borderId="50" xfId="0" applyNumberFormat="1" applyFont="1" applyFill="1" applyBorder="1" applyAlignment="1">
      <alignment horizontal="right" vertical="center"/>
    </xf>
    <xf numFmtId="49" fontId="87" fillId="0" borderId="0" xfId="0" applyNumberFormat="1" applyFont="1" applyBorder="1" applyAlignment="1">
      <alignment horizontal="left" vertical="center" wrapText="1"/>
    </xf>
    <xf numFmtId="0" fontId="27" fillId="0" borderId="0" xfId="3" applyFont="1" applyBorder="1" applyAlignment="1">
      <alignment horizontal="center" vertical="center"/>
    </xf>
    <xf numFmtId="0" fontId="27" fillId="0" borderId="0" xfId="3" applyFont="1" applyBorder="1" applyAlignment="1">
      <alignment vertical="center"/>
    </xf>
    <xf numFmtId="49" fontId="81" fillId="0" borderId="0" xfId="3" applyNumberFormat="1" applyFont="1" applyFill="1" applyBorder="1" applyAlignment="1">
      <alignment horizontal="center" vertical="center" wrapText="1"/>
    </xf>
    <xf numFmtId="49" fontId="81" fillId="0" borderId="0" xfId="3" applyNumberFormat="1" applyFont="1" applyFill="1" applyBorder="1" applyAlignment="1">
      <alignment horizontal="left" vertical="center" wrapText="1"/>
    </xf>
    <xf numFmtId="1" fontId="81" fillId="0" borderId="0" xfId="3" applyNumberFormat="1" applyFont="1" applyFill="1" applyBorder="1" applyAlignment="1">
      <alignment horizontal="center" vertical="center" wrapText="1"/>
    </xf>
    <xf numFmtId="9" fontId="81" fillId="0" borderId="0" xfId="3" applyNumberFormat="1" applyFont="1" applyFill="1" applyBorder="1" applyAlignment="1">
      <alignment horizontal="center" vertical="center" wrapText="1"/>
    </xf>
    <xf numFmtId="9" fontId="81" fillId="0" borderId="0" xfId="2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3" fontId="4" fillId="6" borderId="0" xfId="0" applyNumberFormat="1" applyFont="1" applyFill="1" applyBorder="1" applyAlignment="1">
      <alignment vertical="center"/>
    </xf>
    <xf numFmtId="3" fontId="4" fillId="6" borderId="0" xfId="0" applyNumberFormat="1" applyFont="1" applyFill="1" applyAlignment="1">
      <alignment vertical="center"/>
    </xf>
    <xf numFmtId="0" fontId="6" fillId="0" borderId="56" xfId="0" applyFont="1" applyBorder="1" applyAlignment="1">
      <alignment horizontal="right" vertical="center"/>
    </xf>
    <xf numFmtId="2" fontId="15" fillId="4" borderId="35" xfId="0" applyNumberFormat="1" applyFont="1" applyFill="1" applyBorder="1" applyAlignment="1">
      <alignment horizontal="left" vertical="center"/>
    </xf>
    <xf numFmtId="4" fontId="2" fillId="6" borderId="138" xfId="0" applyNumberFormat="1" applyFont="1" applyFill="1" applyBorder="1" applyAlignment="1">
      <alignment vertical="center"/>
    </xf>
    <xf numFmtId="0" fontId="4" fillId="24" borderId="0" xfId="0" applyFont="1" applyFill="1"/>
    <xf numFmtId="3" fontId="15" fillId="11" borderId="0" xfId="0" applyNumberFormat="1" applyFont="1" applyFill="1" applyBorder="1" applyAlignment="1">
      <alignment horizontal="left" vertical="center"/>
    </xf>
    <xf numFmtId="0" fontId="15" fillId="11" borderId="0" xfId="0" applyFont="1" applyFill="1" applyBorder="1" applyAlignment="1">
      <alignment horizontal="left" vertical="center"/>
    </xf>
    <xf numFmtId="2" fontId="15" fillId="11" borderId="0" xfId="0" applyNumberFormat="1" applyFont="1" applyFill="1" applyBorder="1" applyAlignment="1">
      <alignment horizontal="left" vertical="center"/>
    </xf>
    <xf numFmtId="0" fontId="15" fillId="4" borderId="31" xfId="0" quotePrefix="1" applyFont="1" applyFill="1" applyBorder="1" applyAlignment="1">
      <alignment vertical="center"/>
    </xf>
    <xf numFmtId="2" fontId="52" fillId="6" borderId="33" xfId="0" applyNumberFormat="1" applyFont="1" applyFill="1" applyBorder="1" applyAlignment="1">
      <alignment horizontal="left" vertical="center"/>
    </xf>
    <xf numFmtId="0" fontId="4" fillId="6" borderId="0" xfId="0" applyFont="1" applyFill="1" applyBorder="1" applyAlignment="1"/>
    <xf numFmtId="0" fontId="52" fillId="6" borderId="35" xfId="0" applyFont="1" applyFill="1" applyBorder="1" applyAlignment="1">
      <alignment vertical="center"/>
    </xf>
    <xf numFmtId="0" fontId="93" fillId="0" borderId="122" xfId="0" applyFont="1" applyFill="1" applyBorder="1" applyAlignment="1">
      <alignment horizontal="center" vertical="center" wrapText="1"/>
    </xf>
    <xf numFmtId="0" fontId="93" fillId="0" borderId="127" xfId="0" applyFont="1" applyFill="1" applyBorder="1" applyAlignment="1">
      <alignment horizontal="center" vertical="center" wrapText="1"/>
    </xf>
    <xf numFmtId="0" fontId="43" fillId="0" borderId="0" xfId="0" applyFont="1" applyAlignment="1">
      <alignment horizontal="center" vertical="center" wrapText="1"/>
    </xf>
    <xf numFmtId="3" fontId="15" fillId="4" borderId="11" xfId="0" applyNumberFormat="1" applyFont="1" applyFill="1" applyBorder="1" applyAlignment="1">
      <alignment horizontal="left" vertical="center"/>
    </xf>
    <xf numFmtId="2" fontId="4" fillId="4" borderId="52" xfId="0" applyNumberFormat="1" applyFont="1" applyFill="1" applyBorder="1" applyAlignment="1">
      <alignment horizontal="right" vertical="center" indent="1"/>
    </xf>
    <xf numFmtId="2" fontId="6" fillId="4" borderId="32" xfId="0" applyNumberFormat="1" applyFont="1" applyFill="1" applyBorder="1" applyAlignment="1">
      <alignment horizontal="right" vertical="center" indent="1"/>
    </xf>
    <xf numFmtId="2" fontId="4" fillId="4" borderId="143" xfId="0" applyNumberFormat="1" applyFont="1" applyFill="1" applyBorder="1" applyAlignment="1">
      <alignment horizontal="right" vertical="center" indent="1"/>
    </xf>
    <xf numFmtId="3" fontId="4" fillId="4" borderId="144" xfId="0" applyNumberFormat="1" applyFont="1" applyFill="1" applyBorder="1" applyAlignment="1">
      <alignment horizontal="right" vertical="center" indent="1"/>
    </xf>
    <xf numFmtId="3" fontId="4" fillId="0" borderId="5" xfId="0" applyNumberFormat="1" applyFont="1" applyBorder="1" applyAlignment="1">
      <alignment horizontal="right" vertical="center" indent="1"/>
    </xf>
    <xf numFmtId="0" fontId="6" fillId="0" borderId="48" xfId="0" applyFont="1" applyBorder="1" applyAlignment="1">
      <alignment horizontal="right" vertical="center" wrapText="1"/>
    </xf>
    <xf numFmtId="0" fontId="0" fillId="6" borderId="0" xfId="0" applyFont="1" applyFill="1" applyBorder="1" applyAlignment="1">
      <alignment vertical="center"/>
    </xf>
    <xf numFmtId="0" fontId="4" fillId="6" borderId="5" xfId="0" applyFont="1" applyFill="1" applyBorder="1"/>
    <xf numFmtId="3" fontId="15" fillId="4" borderId="25" xfId="0" applyNumberFormat="1" applyFont="1" applyFill="1" applyBorder="1" applyAlignment="1">
      <alignment vertical="center"/>
    </xf>
    <xf numFmtId="0" fontId="15" fillId="4" borderId="26" xfId="0" quotePrefix="1" applyFont="1" applyFill="1" applyBorder="1" applyAlignment="1">
      <alignment vertical="center"/>
    </xf>
    <xf numFmtId="3" fontId="15" fillId="4" borderId="33" xfId="0" applyNumberFormat="1" applyFont="1" applyFill="1" applyBorder="1" applyAlignment="1">
      <alignment horizontal="right" vertical="center"/>
    </xf>
    <xf numFmtId="3" fontId="15" fillId="4" borderId="50" xfId="0" applyNumberFormat="1" applyFont="1" applyFill="1" applyBorder="1" applyAlignment="1">
      <alignment horizontal="right" vertical="center"/>
    </xf>
    <xf numFmtId="0" fontId="15" fillId="4" borderId="35" xfId="0" quotePrefix="1" applyFont="1" applyFill="1" applyBorder="1" applyAlignment="1">
      <alignment vertical="center"/>
    </xf>
    <xf numFmtId="0" fontId="44" fillId="24" borderId="147" xfId="0" applyFont="1" applyFill="1" applyBorder="1" applyAlignment="1">
      <alignment vertical="center"/>
    </xf>
    <xf numFmtId="0" fontId="63" fillId="24" borderId="148" xfId="0" applyFont="1" applyFill="1" applyBorder="1" applyAlignment="1">
      <alignment horizontal="center" vertical="center"/>
    </xf>
    <xf numFmtId="1" fontId="0" fillId="0" borderId="12" xfId="0" applyNumberFormat="1" applyBorder="1" applyAlignment="1">
      <alignment horizontal="center" vertical="center"/>
    </xf>
    <xf numFmtId="0" fontId="4" fillId="11" borderId="0" xfId="0" applyFont="1" applyFill="1"/>
    <xf numFmtId="0" fontId="3" fillId="11" borderId="0" xfId="0" applyFont="1" applyFill="1" applyBorder="1" applyAlignment="1">
      <alignment horizontal="left" vertical="center"/>
    </xf>
    <xf numFmtId="0" fontId="15" fillId="11" borderId="33" xfId="0" applyFont="1" applyFill="1" applyBorder="1" applyAlignment="1">
      <alignment horizontal="left" vertical="center"/>
    </xf>
    <xf numFmtId="3" fontId="4" fillId="0" borderId="38" xfId="0" applyNumberFormat="1" applyFont="1" applyBorder="1" applyAlignment="1">
      <alignment horizontal="right" vertical="center" indent="1"/>
    </xf>
    <xf numFmtId="2" fontId="4" fillId="0" borderId="0" xfId="0" applyNumberFormat="1" applyFont="1" applyAlignment="1">
      <alignment horizontal="right" vertical="center" indent="1"/>
    </xf>
    <xf numFmtId="2" fontId="6" fillId="4" borderId="43" xfId="0" applyNumberFormat="1" applyFont="1" applyFill="1" applyBorder="1" applyAlignment="1">
      <alignment horizontal="right" vertical="center" indent="1"/>
    </xf>
    <xf numFmtId="2" fontId="5" fillId="4" borderId="10" xfId="0" applyNumberFormat="1" applyFont="1" applyFill="1" applyBorder="1" applyAlignment="1">
      <alignment horizontal="right" vertical="center" indent="1"/>
    </xf>
    <xf numFmtId="0" fontId="6" fillId="4" borderId="118" xfId="0" applyFont="1" applyFill="1" applyBorder="1" applyAlignment="1">
      <alignment horizontal="right" vertical="center"/>
    </xf>
    <xf numFmtId="3" fontId="26" fillId="4" borderId="150" xfId="0" applyNumberFormat="1" applyFont="1" applyFill="1" applyBorder="1" applyAlignment="1">
      <alignment horizontal="right" vertical="center"/>
    </xf>
    <xf numFmtId="10" fontId="6" fillId="4" borderId="50" xfId="2" applyNumberFormat="1" applyFont="1" applyFill="1" applyBorder="1" applyAlignment="1">
      <alignment horizontal="right" vertical="center"/>
    </xf>
    <xf numFmtId="0" fontId="4" fillId="24" borderId="151" xfId="0" applyFont="1" applyFill="1" applyBorder="1" applyAlignment="1">
      <alignment vertical="center"/>
    </xf>
    <xf numFmtId="2" fontId="56" fillId="28" borderId="68" xfId="0" applyNumberFormat="1" applyFont="1" applyFill="1" applyBorder="1" applyAlignment="1">
      <alignment vertical="center"/>
    </xf>
    <xf numFmtId="0" fontId="3" fillId="28" borderId="4" xfId="0" applyFont="1" applyFill="1" applyBorder="1" applyAlignment="1">
      <alignment vertical="center"/>
    </xf>
    <xf numFmtId="0" fontId="4" fillId="4" borderId="0" xfId="0" applyFont="1" applyFill="1" applyAlignment="1">
      <alignment horizontal="center"/>
    </xf>
    <xf numFmtId="0" fontId="27" fillId="0" borderId="12" xfId="0" applyFont="1" applyBorder="1" applyAlignment="1">
      <alignment vertical="center"/>
    </xf>
    <xf numFmtId="0" fontId="102" fillId="0" borderId="12" xfId="0" applyFont="1" applyBorder="1" applyAlignment="1">
      <alignment vertical="center"/>
    </xf>
    <xf numFmtId="10" fontId="30" fillId="4" borderId="67" xfId="2" applyNumberFormat="1" applyFont="1" applyFill="1" applyBorder="1" applyAlignment="1">
      <alignment horizontal="right" vertical="center" wrapText="1"/>
    </xf>
    <xf numFmtId="3" fontId="4" fillId="0" borderId="67" xfId="0" applyNumberFormat="1" applyFont="1" applyBorder="1" applyAlignment="1">
      <alignment horizontal="right" vertical="center"/>
    </xf>
    <xf numFmtId="10" fontId="30" fillId="4" borderId="137" xfId="2" applyNumberFormat="1" applyFont="1" applyFill="1" applyBorder="1" applyAlignment="1">
      <alignment horizontal="right" vertical="center"/>
    </xf>
    <xf numFmtId="165" fontId="3" fillId="4" borderId="4" xfId="0" applyNumberFormat="1" applyFont="1" applyFill="1" applyBorder="1" applyAlignment="1">
      <alignment vertical="center"/>
    </xf>
    <xf numFmtId="0" fontId="2" fillId="4" borderId="11" xfId="0" applyFont="1" applyFill="1" applyBorder="1" applyAlignment="1">
      <alignment vertical="center"/>
    </xf>
    <xf numFmtId="0" fontId="4" fillId="6" borderId="33" xfId="0" applyFont="1" applyFill="1" applyBorder="1"/>
    <xf numFmtId="0" fontId="2" fillId="0" borderId="10" xfId="0" applyFont="1" applyFill="1" applyBorder="1" applyAlignment="1">
      <alignment horizontal="right" vertical="center"/>
    </xf>
    <xf numFmtId="2" fontId="4" fillId="0" borderId="52" xfId="0" applyNumberFormat="1" applyFont="1" applyBorder="1" applyAlignment="1">
      <alignment horizontal="right" vertical="center" indent="1"/>
    </xf>
    <xf numFmtId="3" fontId="4" fillId="0" borderId="142" xfId="0" applyNumberFormat="1" applyFont="1" applyBorder="1" applyAlignment="1">
      <alignment horizontal="right" vertical="center" indent="1"/>
    </xf>
    <xf numFmtId="2" fontId="4" fillId="0" borderId="143" xfId="0" applyNumberFormat="1" applyFont="1" applyBorder="1" applyAlignment="1">
      <alignment horizontal="right" vertical="center" indent="1"/>
    </xf>
    <xf numFmtId="2" fontId="5" fillId="0" borderId="149" xfId="0" applyNumberFormat="1" applyFont="1" applyBorder="1" applyAlignment="1">
      <alignment horizontal="right" vertical="center" indent="1"/>
    </xf>
    <xf numFmtId="2" fontId="4" fillId="4" borderId="149" xfId="0" applyNumberFormat="1" applyFont="1" applyFill="1" applyBorder="1" applyAlignment="1">
      <alignment horizontal="right" vertical="center" indent="1"/>
    </xf>
    <xf numFmtId="2" fontId="6" fillId="0" borderId="91" xfId="0" applyNumberFormat="1" applyFont="1" applyBorder="1" applyAlignment="1">
      <alignment horizontal="right" vertical="center" indent="1"/>
    </xf>
    <xf numFmtId="164" fontId="4" fillId="4" borderId="0" xfId="0" applyNumberFormat="1" applyFont="1" applyFill="1" applyBorder="1" applyAlignment="1">
      <alignment horizontal="right" vertical="center"/>
    </xf>
    <xf numFmtId="0" fontId="4" fillId="4" borderId="16" xfId="0" applyFont="1" applyFill="1" applyBorder="1" applyAlignment="1">
      <alignment vertical="center"/>
    </xf>
    <xf numFmtId="0" fontId="6" fillId="4" borderId="31" xfId="0" quotePrefix="1" applyFont="1" applyFill="1" applyBorder="1" applyAlignment="1">
      <alignment horizontal="left" vertical="center"/>
    </xf>
    <xf numFmtId="0" fontId="6" fillId="0" borderId="56" xfId="0" applyFont="1" applyBorder="1" applyAlignment="1">
      <alignment horizontal="right" vertical="center" wrapText="1"/>
    </xf>
    <xf numFmtId="0" fontId="6" fillId="4" borderId="49" xfId="0" applyFont="1" applyFill="1" applyBorder="1" applyAlignment="1">
      <alignment horizontal="right" vertical="center"/>
    </xf>
    <xf numFmtId="2" fontId="6" fillId="0" borderId="167" xfId="0" applyNumberFormat="1" applyFont="1" applyBorder="1" applyAlignment="1">
      <alignment horizontal="right" vertical="center" indent="1"/>
    </xf>
    <xf numFmtId="0" fontId="6" fillId="0" borderId="172" xfId="0" applyFont="1" applyBorder="1" applyAlignment="1">
      <alignment horizontal="right" vertical="center" wrapText="1"/>
    </xf>
    <xf numFmtId="3" fontId="15" fillId="4" borderId="28" xfId="0" applyNumberFormat="1" applyFont="1" applyFill="1" applyBorder="1" applyAlignment="1">
      <alignment horizontal="left" vertical="center"/>
    </xf>
    <xf numFmtId="0" fontId="6" fillId="0" borderId="118" xfId="0" applyFont="1" applyBorder="1" applyAlignment="1">
      <alignment horizontal="right" vertical="center"/>
    </xf>
    <xf numFmtId="0" fontId="15" fillId="4" borderId="11" xfId="0" applyFont="1" applyFill="1" applyBorder="1" applyAlignment="1">
      <alignment horizontal="left" vertical="center"/>
    </xf>
    <xf numFmtId="3" fontId="0" fillId="6" borderId="0" xfId="0" applyNumberFormat="1" applyFont="1" applyFill="1" applyBorder="1" applyAlignment="1">
      <alignment vertical="center"/>
    </xf>
    <xf numFmtId="4" fontId="6" fillId="4" borderId="142" xfId="0" applyNumberFormat="1" applyFont="1" applyFill="1" applyBorder="1" applyAlignment="1">
      <alignment horizontal="right" vertical="center" indent="1"/>
    </xf>
    <xf numFmtId="0" fontId="6" fillId="4" borderId="10" xfId="0" applyFont="1" applyFill="1" applyBorder="1" applyAlignment="1">
      <alignment horizontal="right" vertical="center"/>
    </xf>
    <xf numFmtId="2" fontId="107" fillId="30" borderId="10" xfId="0" applyNumberFormat="1" applyFont="1" applyFill="1" applyBorder="1" applyAlignment="1">
      <alignment horizontal="right" vertical="center" indent="1"/>
    </xf>
    <xf numFmtId="2" fontId="107" fillId="30" borderId="142" xfId="0" applyNumberFormat="1" applyFont="1" applyFill="1" applyBorder="1" applyAlignment="1">
      <alignment horizontal="right" vertical="center" indent="1"/>
    </xf>
    <xf numFmtId="166" fontId="108" fillId="30" borderId="11" xfId="0" applyNumberFormat="1" applyFont="1" applyFill="1" applyBorder="1" applyAlignment="1">
      <alignment vertical="center"/>
    </xf>
    <xf numFmtId="0" fontId="111" fillId="22" borderId="118" xfId="0" applyFont="1" applyFill="1" applyBorder="1" applyAlignment="1">
      <alignment horizontal="right" vertical="center"/>
    </xf>
    <xf numFmtId="165" fontId="109" fillId="2" borderId="10" xfId="0" applyNumberFormat="1" applyFont="1" applyFill="1" applyBorder="1" applyAlignment="1">
      <alignment horizontal="right" vertical="center" indent="1"/>
    </xf>
    <xf numFmtId="165" fontId="109" fillId="2" borderId="142" xfId="0" applyNumberFormat="1" applyFont="1" applyFill="1" applyBorder="1" applyAlignment="1">
      <alignment horizontal="right" vertical="center" indent="1"/>
    </xf>
    <xf numFmtId="166" fontId="113" fillId="2" borderId="11" xfId="0" applyNumberFormat="1" applyFont="1" applyFill="1" applyBorder="1" applyAlignment="1">
      <alignment vertical="center"/>
    </xf>
    <xf numFmtId="0" fontId="103" fillId="2" borderId="118" xfId="0" applyFont="1" applyFill="1" applyBorder="1" applyAlignment="1">
      <alignment horizontal="right" vertical="center"/>
    </xf>
    <xf numFmtId="0" fontId="114" fillId="2" borderId="46" xfId="0" applyFont="1" applyFill="1" applyBorder="1" applyAlignment="1">
      <alignment horizontal="right" vertical="center"/>
    </xf>
    <xf numFmtId="2" fontId="115" fillId="2" borderId="32" xfId="0" applyNumberFormat="1" applyFont="1" applyFill="1" applyBorder="1" applyAlignment="1">
      <alignment horizontal="right" vertical="center" indent="1"/>
    </xf>
    <xf numFmtId="2" fontId="115" fillId="2" borderId="91" xfId="0" applyNumberFormat="1" applyFont="1" applyFill="1" applyBorder="1" applyAlignment="1">
      <alignment horizontal="right" vertical="center" indent="1"/>
    </xf>
    <xf numFmtId="2" fontId="116" fillId="2" borderId="35" xfId="0" applyNumberFormat="1" applyFont="1" applyFill="1" applyBorder="1" applyAlignment="1">
      <alignment horizontal="left" vertical="center"/>
    </xf>
    <xf numFmtId="0" fontId="114" fillId="22" borderId="46" xfId="0" applyFont="1" applyFill="1" applyBorder="1" applyAlignment="1">
      <alignment horizontal="right" vertical="center"/>
    </xf>
    <xf numFmtId="2" fontId="115" fillId="22" borderId="43" xfId="0" applyNumberFormat="1" applyFont="1" applyFill="1" applyBorder="1" applyAlignment="1">
      <alignment horizontal="right" vertical="center" indent="1"/>
    </xf>
    <xf numFmtId="2" fontId="115" fillId="22" borderId="167" xfId="0" applyNumberFormat="1" applyFont="1" applyFill="1" applyBorder="1" applyAlignment="1">
      <alignment horizontal="right" vertical="center" indent="1"/>
    </xf>
    <xf numFmtId="2" fontId="116" fillId="22" borderId="45" xfId="0" applyNumberFormat="1" applyFont="1" applyFill="1" applyBorder="1" applyAlignment="1">
      <alignment horizontal="left" vertical="center"/>
    </xf>
    <xf numFmtId="3" fontId="15" fillId="4" borderId="30" xfId="0" applyNumberFormat="1" applyFont="1" applyFill="1" applyBorder="1" applyAlignment="1">
      <alignment horizontal="right" vertical="center"/>
    </xf>
    <xf numFmtId="3" fontId="15" fillId="4" borderId="44" xfId="0" applyNumberFormat="1" applyFont="1" applyFill="1" applyBorder="1" applyAlignment="1">
      <alignment horizontal="right" vertical="center"/>
    </xf>
    <xf numFmtId="0" fontId="15" fillId="4" borderId="45" xfId="0" quotePrefix="1" applyFont="1" applyFill="1" applyBorder="1" applyAlignment="1">
      <alignment vertical="center"/>
    </xf>
    <xf numFmtId="0" fontId="96" fillId="6" borderId="33" xfId="0" applyFont="1" applyFill="1" applyBorder="1" applyAlignment="1">
      <alignment wrapText="1"/>
    </xf>
    <xf numFmtId="0" fontId="4" fillId="24" borderId="92" xfId="0" applyFont="1" applyFill="1" applyBorder="1" applyAlignment="1"/>
    <xf numFmtId="0" fontId="4" fillId="24" borderId="0" xfId="0" applyFont="1" applyFill="1" applyBorder="1" applyAlignment="1"/>
    <xf numFmtId="0" fontId="4" fillId="24" borderId="102" xfId="0" applyFont="1" applyFill="1" applyBorder="1" applyAlignment="1"/>
    <xf numFmtId="0" fontId="4" fillId="24" borderId="0" xfId="0" applyFont="1" applyFill="1" applyBorder="1" applyAlignment="1">
      <alignment horizontal="center"/>
    </xf>
    <xf numFmtId="0" fontId="4" fillId="24" borderId="92" xfId="0" applyFont="1" applyFill="1" applyBorder="1"/>
    <xf numFmtId="0" fontId="4" fillId="24" borderId="92" xfId="0" applyFont="1" applyFill="1" applyBorder="1" applyAlignment="1">
      <alignment horizontal="center"/>
    </xf>
    <xf numFmtId="0" fontId="11" fillId="0" borderId="118" xfId="0" applyFont="1" applyBorder="1" applyAlignment="1">
      <alignment horizontal="right" vertical="center"/>
    </xf>
    <xf numFmtId="0" fontId="45" fillId="8" borderId="87" xfId="0" applyFont="1" applyFill="1" applyBorder="1" applyAlignment="1">
      <alignment vertical="center"/>
    </xf>
    <xf numFmtId="0" fontId="4" fillId="8" borderId="87" xfId="0" applyFont="1" applyFill="1" applyBorder="1"/>
    <xf numFmtId="0" fontId="4" fillId="8" borderId="87" xfId="0" applyFont="1" applyFill="1" applyBorder="1" applyAlignment="1">
      <alignment horizontal="center"/>
    </xf>
    <xf numFmtId="0" fontId="4" fillId="11" borderId="151" xfId="0" applyFont="1" applyFill="1" applyBorder="1"/>
    <xf numFmtId="49" fontId="82" fillId="0" borderId="12" xfId="0" applyNumberFormat="1" applyFont="1" applyFill="1" applyBorder="1" applyAlignment="1">
      <alignment horizontal="center" vertical="center" wrapText="1"/>
    </xf>
    <xf numFmtId="0" fontId="80" fillId="2" borderId="12" xfId="3" applyNumberFormat="1" applyFont="1" applyFill="1" applyBorder="1" applyAlignment="1">
      <alignment horizontal="left" vertical="center" wrapText="1"/>
    </xf>
    <xf numFmtId="0" fontId="27" fillId="0" borderId="121" xfId="0" applyFont="1" applyBorder="1" applyAlignment="1">
      <alignment horizontal="center" vertical="center"/>
    </xf>
    <xf numFmtId="0" fontId="117" fillId="4" borderId="0" xfId="6" applyFont="1" applyFill="1" applyBorder="1" applyAlignment="1">
      <alignment horizontal="left" vertical="center"/>
    </xf>
    <xf numFmtId="0" fontId="79" fillId="4" borderId="0" xfId="0" applyFont="1" applyFill="1" applyBorder="1" applyAlignment="1">
      <alignment horizontal="right" vertical="center"/>
    </xf>
    <xf numFmtId="0" fontId="41" fillId="4" borderId="0" xfId="0" applyFont="1" applyFill="1" applyBorder="1" applyAlignment="1">
      <alignment vertical="center"/>
    </xf>
    <xf numFmtId="0" fontId="118" fillId="4" borderId="0" xfId="0" applyFont="1" applyFill="1" applyBorder="1" applyAlignment="1">
      <alignment horizontal="right" vertical="center"/>
    </xf>
    <xf numFmtId="0" fontId="118" fillId="29" borderId="124" xfId="0" applyFont="1" applyFill="1" applyBorder="1" applyAlignment="1">
      <alignment horizontal="center" vertical="center"/>
    </xf>
    <xf numFmtId="0" fontId="11" fillId="4" borderId="11" xfId="0" applyFont="1" applyFill="1" applyBorder="1" applyAlignment="1">
      <alignment vertical="center"/>
    </xf>
    <xf numFmtId="0" fontId="11" fillId="4" borderId="11" xfId="0" applyFont="1" applyFill="1" applyBorder="1" applyAlignment="1">
      <alignment horizontal="left"/>
    </xf>
    <xf numFmtId="164" fontId="6" fillId="14" borderId="82" xfId="0" applyNumberFormat="1" applyFont="1" applyFill="1" applyBorder="1" applyAlignment="1" applyProtection="1">
      <alignment horizontal="right" vertical="center"/>
      <protection locked="0"/>
    </xf>
    <xf numFmtId="2" fontId="52" fillId="6" borderId="33" xfId="0" applyNumberFormat="1" applyFont="1" applyFill="1" applyBorder="1" applyAlignment="1">
      <alignment horizontal="right" vertical="center"/>
    </xf>
    <xf numFmtId="2" fontId="52" fillId="6" borderId="33" xfId="0" applyNumberFormat="1" applyFont="1" applyFill="1" applyBorder="1" applyAlignment="1">
      <alignment vertical="center"/>
    </xf>
    <xf numFmtId="0" fontId="4" fillId="6" borderId="0" xfId="0" applyFont="1" applyFill="1" applyBorder="1" applyAlignment="1">
      <alignment horizontal="right" vertical="center"/>
    </xf>
    <xf numFmtId="0" fontId="96" fillId="6" borderId="33" xfId="0" applyFont="1" applyFill="1" applyBorder="1" applyAlignment="1">
      <alignment horizontal="right" wrapText="1"/>
    </xf>
    <xf numFmtId="0" fontId="13" fillId="4" borderId="0" xfId="0" applyFont="1" applyFill="1" applyBorder="1" applyAlignment="1">
      <alignment horizontal="center" vertical="center" textRotation="90" wrapText="1"/>
    </xf>
    <xf numFmtId="0" fontId="34" fillId="4" borderId="0" xfId="0" applyFont="1" applyFill="1" applyBorder="1" applyAlignment="1">
      <alignment horizontal="center" vertical="center" textRotation="90"/>
    </xf>
    <xf numFmtId="0" fontId="96" fillId="6" borderId="91" xfId="0" applyFont="1" applyFill="1" applyBorder="1" applyAlignment="1">
      <alignment horizontal="right" wrapText="1"/>
    </xf>
    <xf numFmtId="0" fontId="6" fillId="4" borderId="110" xfId="0" applyFont="1" applyFill="1" applyBorder="1" applyAlignment="1">
      <alignment horizontal="right" vertical="center"/>
    </xf>
    <xf numFmtId="0" fontId="6" fillId="0" borderId="99" xfId="0" applyFont="1" applyBorder="1" applyAlignment="1">
      <alignment horizontal="right" vertical="center"/>
    </xf>
    <xf numFmtId="0" fontId="6" fillId="0" borderId="126" xfId="0" applyFont="1" applyBorder="1" applyAlignment="1">
      <alignment horizontal="right" vertical="center" wrapText="1"/>
    </xf>
    <xf numFmtId="0" fontId="2" fillId="22" borderId="100" xfId="0" applyFont="1" applyFill="1" applyBorder="1" applyAlignment="1">
      <alignment horizontal="right" vertical="center"/>
    </xf>
    <xf numFmtId="0" fontId="4" fillId="4" borderId="0" xfId="0" applyFont="1" applyFill="1" applyBorder="1" applyAlignment="1">
      <alignment horizontal="center" vertical="center"/>
    </xf>
    <xf numFmtId="0" fontId="4" fillId="6" borderId="37" xfId="0" applyFont="1" applyFill="1" applyBorder="1" applyAlignment="1">
      <alignment horizontal="right" vertical="center"/>
    </xf>
    <xf numFmtId="0" fontId="4" fillId="6" borderId="37" xfId="0" applyFont="1" applyFill="1" applyBorder="1" applyAlignment="1">
      <alignment horizontal="right" vertical="top"/>
    </xf>
    <xf numFmtId="0" fontId="50" fillId="31" borderId="0" xfId="0" applyFont="1" applyFill="1" applyBorder="1" applyAlignment="1">
      <alignment horizontal="right" vertical="center" textRotation="90"/>
    </xf>
    <xf numFmtId="2" fontId="21" fillId="24" borderId="0" xfId="0" applyNumberFormat="1" applyFont="1" applyFill="1" applyBorder="1" applyAlignment="1">
      <alignment horizontal="right" vertical="center" wrapText="1"/>
    </xf>
    <xf numFmtId="2" fontId="52" fillId="24" borderId="0" xfId="0" applyNumberFormat="1" applyFont="1" applyFill="1" applyBorder="1" applyAlignment="1">
      <alignment horizontal="right"/>
    </xf>
    <xf numFmtId="0" fontId="52" fillId="24" borderId="0" xfId="0" applyFont="1" applyFill="1" applyBorder="1" applyAlignment="1"/>
    <xf numFmtId="0" fontId="4" fillId="6" borderId="0" xfId="0" applyFont="1" applyFill="1" applyBorder="1" applyAlignment="1">
      <alignment horizontal="center"/>
    </xf>
    <xf numFmtId="0" fontId="97" fillId="6" borderId="0" xfId="0" applyFont="1" applyFill="1" applyBorder="1" applyAlignment="1">
      <alignment wrapText="1"/>
    </xf>
    <xf numFmtId="0" fontId="0" fillId="6" borderId="0" xfId="0" applyFont="1" applyFill="1" applyBorder="1" applyAlignment="1">
      <alignment horizontal="left" vertical="center"/>
    </xf>
    <xf numFmtId="0" fontId="4" fillId="6" borderId="22" xfId="0" applyFont="1" applyFill="1" applyBorder="1"/>
    <xf numFmtId="0" fontId="97" fillId="6" borderId="0" xfId="0" applyFont="1" applyFill="1" applyBorder="1" applyAlignment="1">
      <alignment horizontal="right" wrapText="1"/>
    </xf>
    <xf numFmtId="0" fontId="4" fillId="6" borderId="114" xfId="0" applyFont="1" applyFill="1" applyBorder="1" applyAlignment="1">
      <alignment horizontal="center"/>
    </xf>
    <xf numFmtId="0" fontId="97" fillId="6" borderId="21" xfId="0" applyFont="1" applyFill="1" applyBorder="1" applyAlignment="1">
      <alignment horizontal="right" wrapText="1"/>
    </xf>
    <xf numFmtId="0" fontId="4" fillId="24" borderId="102" xfId="0" applyFont="1" applyFill="1" applyBorder="1"/>
    <xf numFmtId="0" fontId="4" fillId="6" borderId="4" xfId="0" applyFont="1" applyFill="1" applyBorder="1"/>
    <xf numFmtId="1" fontId="0" fillId="6" borderId="37" xfId="0" applyNumberFormat="1" applyFont="1" applyFill="1" applyBorder="1" applyAlignment="1">
      <alignment vertical="center"/>
    </xf>
    <xf numFmtId="0" fontId="4" fillId="6" borderId="174" xfId="0" applyFont="1" applyFill="1" applyBorder="1"/>
    <xf numFmtId="0" fontId="4" fillId="6" borderId="35" xfId="0" applyFont="1" applyFill="1" applyBorder="1"/>
    <xf numFmtId="0" fontId="4" fillId="6" borderId="37" xfId="0" applyFont="1" applyFill="1" applyBorder="1"/>
    <xf numFmtId="0" fontId="4" fillId="6" borderId="32" xfId="0" applyFont="1" applyFill="1" applyBorder="1"/>
    <xf numFmtId="0" fontId="52" fillId="6" borderId="33" xfId="0" applyFont="1" applyFill="1" applyBorder="1" applyAlignment="1">
      <alignment vertical="center"/>
    </xf>
    <xf numFmtId="1" fontId="0" fillId="6" borderId="21" xfId="0" applyNumberFormat="1" applyFont="1" applyFill="1" applyBorder="1" applyAlignment="1">
      <alignment horizontal="right" vertical="center"/>
    </xf>
    <xf numFmtId="0" fontId="0" fillId="6" borderId="16" xfId="0" applyFont="1" applyFill="1" applyBorder="1" applyAlignment="1">
      <alignment horizontal="left" vertical="center"/>
    </xf>
    <xf numFmtId="3" fontId="0" fillId="6" borderId="114" xfId="0" applyNumberFormat="1" applyFont="1" applyFill="1" applyBorder="1" applyAlignment="1">
      <alignment vertical="center" wrapText="1"/>
    </xf>
    <xf numFmtId="0" fontId="0" fillId="6" borderId="115" xfId="0" applyFont="1" applyFill="1" applyBorder="1" applyAlignment="1">
      <alignment horizontal="left" vertical="center"/>
    </xf>
    <xf numFmtId="0" fontId="4" fillId="6" borderId="5" xfId="0" applyFont="1" applyFill="1" applyBorder="1" applyAlignment="1">
      <alignment horizontal="center"/>
    </xf>
    <xf numFmtId="0" fontId="6" fillId="6" borderId="0" xfId="0" applyFont="1" applyFill="1" applyBorder="1"/>
    <xf numFmtId="0" fontId="52" fillId="24" borderId="0" xfId="0" applyFont="1" applyFill="1" applyBorder="1" applyAlignment="1">
      <alignment vertical="center"/>
    </xf>
    <xf numFmtId="3" fontId="56" fillId="6" borderId="0" xfId="0" applyNumberFormat="1" applyFont="1" applyFill="1" applyBorder="1" applyAlignment="1">
      <alignment horizontal="right"/>
    </xf>
    <xf numFmtId="0" fontId="56" fillId="6" borderId="0" xfId="0" applyFont="1" applyFill="1" applyBorder="1" applyAlignment="1"/>
    <xf numFmtId="3" fontId="56" fillId="6" borderId="0" xfId="0" applyNumberFormat="1" applyFont="1" applyFill="1" applyBorder="1"/>
    <xf numFmtId="0" fontId="56" fillId="6" borderId="16" xfId="0" applyFont="1" applyFill="1" applyBorder="1" applyAlignment="1"/>
    <xf numFmtId="3" fontId="6" fillId="33" borderId="146" xfId="0" applyNumberFormat="1" applyFont="1" applyFill="1" applyBorder="1" applyAlignment="1">
      <alignment horizontal="right" indent="1"/>
    </xf>
    <xf numFmtId="3" fontId="6" fillId="33" borderId="166" xfId="0" applyNumberFormat="1" applyFont="1" applyFill="1" applyBorder="1" applyAlignment="1">
      <alignment horizontal="right" indent="1"/>
    </xf>
    <xf numFmtId="3" fontId="6" fillId="32" borderId="5" xfId="0" applyNumberFormat="1" applyFont="1" applyFill="1" applyBorder="1" applyAlignment="1">
      <alignment horizontal="right" indent="1"/>
    </xf>
    <xf numFmtId="2" fontId="52" fillId="6" borderId="0" xfId="0" applyNumberFormat="1" applyFont="1" applyFill="1" applyBorder="1" applyAlignment="1">
      <alignment horizontal="right" vertical="top" wrapText="1"/>
    </xf>
    <xf numFmtId="0" fontId="4" fillId="6" borderId="0" xfId="0" applyFont="1" applyFill="1" applyBorder="1" applyAlignment="1">
      <alignment horizontal="center" vertical="top"/>
    </xf>
    <xf numFmtId="0" fontId="52" fillId="6" borderId="16" xfId="0" applyFont="1" applyFill="1" applyBorder="1" applyAlignment="1">
      <alignment vertical="top"/>
    </xf>
    <xf numFmtId="0" fontId="4" fillId="6" borderId="33" xfId="0" applyFont="1" applyFill="1" applyBorder="1" applyAlignment="1">
      <alignment horizontal="center" vertical="top"/>
    </xf>
    <xf numFmtId="0" fontId="52" fillId="6" borderId="35" xfId="0" applyFont="1" applyFill="1" applyBorder="1" applyAlignment="1">
      <alignment vertical="top"/>
    </xf>
    <xf numFmtId="3" fontId="6" fillId="32" borderId="84" xfId="0" applyNumberFormat="1" applyFont="1" applyFill="1" applyBorder="1" applyAlignment="1">
      <alignment horizontal="right" indent="1"/>
    </xf>
    <xf numFmtId="2" fontId="6" fillId="33" borderId="37" xfId="0" applyNumberFormat="1" applyFont="1" applyFill="1" applyBorder="1" applyAlignment="1">
      <alignment horizontal="right" vertical="center"/>
    </xf>
    <xf numFmtId="2" fontId="6" fillId="33" borderId="0" xfId="0" applyNumberFormat="1" applyFont="1" applyFill="1" applyBorder="1" applyAlignment="1">
      <alignment horizontal="right" vertical="center"/>
    </xf>
    <xf numFmtId="2" fontId="6" fillId="32" borderId="21" xfId="0" applyNumberFormat="1" applyFont="1" applyFill="1" applyBorder="1" applyAlignment="1">
      <alignment horizontal="right" vertical="center"/>
    </xf>
    <xf numFmtId="0" fontId="0" fillId="6" borderId="115" xfId="0" applyFont="1" applyFill="1" applyBorder="1" applyAlignment="1">
      <alignment vertical="center"/>
    </xf>
    <xf numFmtId="0" fontId="0" fillId="6" borderId="114" xfId="0" applyFont="1" applyFill="1" applyBorder="1" applyAlignment="1">
      <alignment vertical="center"/>
    </xf>
    <xf numFmtId="0" fontId="4" fillId="6" borderId="145" xfId="0" applyFont="1" applyFill="1" applyBorder="1"/>
    <xf numFmtId="0" fontId="4" fillId="6" borderId="21" xfId="0" applyFont="1" applyFill="1" applyBorder="1"/>
    <xf numFmtId="0" fontId="4" fillId="6" borderId="116" xfId="0" applyFont="1" applyFill="1" applyBorder="1"/>
    <xf numFmtId="0" fontId="4" fillId="6" borderId="91" xfId="0" applyFont="1" applyFill="1" applyBorder="1"/>
    <xf numFmtId="0" fontId="4" fillId="6" borderId="175" xfId="0" applyFont="1" applyFill="1" applyBorder="1"/>
    <xf numFmtId="0" fontId="2" fillId="34" borderId="0" xfId="0" applyFont="1" applyFill="1" applyBorder="1" applyAlignment="1">
      <alignment vertical="center" textRotation="90" wrapText="1"/>
    </xf>
    <xf numFmtId="0" fontId="4" fillId="32" borderId="114" xfId="0" applyFont="1" applyFill="1" applyBorder="1"/>
    <xf numFmtId="0" fontId="2" fillId="34" borderId="0" xfId="0" applyFont="1" applyFill="1" applyBorder="1" applyAlignment="1">
      <alignment vertical="center" textRotation="90"/>
    </xf>
    <xf numFmtId="1" fontId="23" fillId="6" borderId="132" xfId="0" applyNumberFormat="1" applyFont="1" applyFill="1" applyBorder="1" applyAlignment="1">
      <alignment horizontal="left" vertical="center"/>
    </xf>
    <xf numFmtId="1" fontId="23" fillId="6" borderId="131" xfId="0" applyNumberFormat="1" applyFont="1" applyFill="1" applyBorder="1" applyAlignment="1">
      <alignment horizontal="left" vertical="center"/>
    </xf>
    <xf numFmtId="2" fontId="23" fillId="6" borderId="33" xfId="0" applyNumberFormat="1" applyFont="1" applyFill="1" applyBorder="1" applyAlignment="1">
      <alignment horizontal="right" vertical="top"/>
    </xf>
    <xf numFmtId="0" fontId="39" fillId="4" borderId="5" xfId="0" applyFont="1" applyFill="1" applyBorder="1" applyAlignment="1">
      <alignment vertical="center"/>
    </xf>
    <xf numFmtId="0" fontId="39" fillId="0" borderId="5" xfId="0" applyFont="1" applyFill="1" applyBorder="1" applyAlignment="1">
      <alignment vertical="center"/>
    </xf>
    <xf numFmtId="0" fontId="4" fillId="4" borderId="5" xfId="0" applyFont="1" applyFill="1" applyBorder="1"/>
    <xf numFmtId="0" fontId="39" fillId="4" borderId="33" xfId="0" applyFont="1" applyFill="1" applyBorder="1" applyAlignment="1">
      <alignment horizontal="center" vertical="center"/>
    </xf>
    <xf numFmtId="0" fontId="4" fillId="4" borderId="33" xfId="0" applyFont="1" applyFill="1" applyBorder="1"/>
    <xf numFmtId="0" fontId="4" fillId="4" borderId="4" xfId="0" applyFont="1" applyFill="1" applyBorder="1"/>
    <xf numFmtId="0" fontId="4" fillId="4" borderId="16" xfId="0" applyFont="1" applyFill="1" applyBorder="1"/>
    <xf numFmtId="0" fontId="4" fillId="4" borderId="35" xfId="0" applyFont="1" applyFill="1" applyBorder="1"/>
    <xf numFmtId="0" fontId="11" fillId="11" borderId="0" xfId="0" applyFont="1" applyFill="1" applyBorder="1" applyAlignment="1">
      <alignment horizontal="left"/>
    </xf>
    <xf numFmtId="166" fontId="23" fillId="11" borderId="0" xfId="0" applyNumberFormat="1" applyFont="1" applyFill="1" applyBorder="1" applyAlignment="1">
      <alignment horizontal="left" vertical="center"/>
    </xf>
    <xf numFmtId="166" fontId="108" fillId="11" borderId="0" xfId="0" applyNumberFormat="1" applyFont="1" applyFill="1" applyBorder="1" applyAlignment="1">
      <alignment vertical="center"/>
    </xf>
    <xf numFmtId="2" fontId="116" fillId="11" borderId="0" xfId="0" applyNumberFormat="1" applyFont="1" applyFill="1" applyBorder="1" applyAlignment="1">
      <alignment horizontal="left" vertical="center"/>
    </xf>
    <xf numFmtId="0" fontId="22" fillId="6" borderId="0" xfId="0" applyFont="1" applyFill="1" applyBorder="1" applyAlignment="1">
      <alignment vertical="center"/>
    </xf>
    <xf numFmtId="1" fontId="4" fillId="6" borderId="0" xfId="0" applyNumberFormat="1" applyFont="1" applyFill="1" applyBorder="1" applyAlignment="1">
      <alignment vertical="center"/>
    </xf>
    <xf numFmtId="3" fontId="4" fillId="6" borderId="33" xfId="0" applyNumberFormat="1" applyFont="1" applyFill="1" applyBorder="1" applyAlignment="1">
      <alignment vertical="center"/>
    </xf>
    <xf numFmtId="0" fontId="3" fillId="0" borderId="57" xfId="0" applyFont="1" applyBorder="1" applyAlignment="1">
      <alignment horizontal="left" vertical="center"/>
    </xf>
    <xf numFmtId="4" fontId="5" fillId="0" borderId="146" xfId="0" applyNumberFormat="1" applyFont="1" applyBorder="1" applyAlignment="1">
      <alignment horizontal="right" indent="1"/>
    </xf>
    <xf numFmtId="4" fontId="5" fillId="0" borderId="84" xfId="0" applyNumberFormat="1" applyFont="1" applyBorder="1" applyAlignment="1">
      <alignment horizontal="right" indent="1"/>
    </xf>
    <xf numFmtId="4" fontId="6" fillId="0" borderId="179" xfId="0" applyNumberFormat="1" applyFont="1" applyBorder="1" applyAlignment="1">
      <alignment horizontal="right" vertical="center" indent="1"/>
    </xf>
    <xf numFmtId="4" fontId="6" fillId="0" borderId="0" xfId="0" applyNumberFormat="1" applyFont="1" applyBorder="1" applyAlignment="1">
      <alignment horizontal="right" vertical="center" indent="1"/>
    </xf>
    <xf numFmtId="4" fontId="5" fillId="4" borderId="146" xfId="0" applyNumberFormat="1" applyFont="1" applyFill="1" applyBorder="1" applyAlignment="1">
      <alignment horizontal="right" vertical="center" indent="1"/>
    </xf>
    <xf numFmtId="4" fontId="5" fillId="4" borderId="84" xfId="0" applyNumberFormat="1" applyFont="1" applyFill="1" applyBorder="1" applyAlignment="1">
      <alignment horizontal="right" vertical="center" indent="1"/>
    </xf>
    <xf numFmtId="4" fontId="6" fillId="4" borderId="176" xfId="0" applyNumberFormat="1" applyFont="1" applyFill="1" applyBorder="1" applyAlignment="1">
      <alignment horizontal="right" vertical="center" indent="1"/>
    </xf>
    <xf numFmtId="4" fontId="6" fillId="4" borderId="177" xfId="0" applyNumberFormat="1" applyFont="1" applyFill="1" applyBorder="1" applyAlignment="1">
      <alignment horizontal="right" vertical="center" indent="1"/>
    </xf>
    <xf numFmtId="0" fontId="6" fillId="11" borderId="37" xfId="0" applyFont="1" applyFill="1" applyBorder="1" applyAlignment="1">
      <alignment horizontal="left" vertical="center"/>
    </xf>
    <xf numFmtId="0" fontId="15" fillId="11" borderId="37" xfId="0" applyFont="1" applyFill="1" applyBorder="1" applyAlignment="1">
      <alignment vertical="center"/>
    </xf>
    <xf numFmtId="2" fontId="15" fillId="11" borderId="37" xfId="0" applyNumberFormat="1" applyFont="1" applyFill="1" applyBorder="1" applyAlignment="1">
      <alignment horizontal="left" vertical="center"/>
    </xf>
    <xf numFmtId="0" fontId="60" fillId="35" borderId="102" xfId="0" applyFont="1" applyFill="1" applyBorder="1" applyAlignment="1">
      <alignment horizontal="center" vertical="center"/>
    </xf>
    <xf numFmtId="0" fontId="7" fillId="11" borderId="0" xfId="0" applyFont="1" applyFill="1" applyBorder="1"/>
    <xf numFmtId="0" fontId="4" fillId="11" borderId="105" xfId="0" applyFont="1" applyFill="1" applyBorder="1"/>
    <xf numFmtId="2" fontId="3" fillId="4" borderId="182" xfId="0" applyNumberFormat="1" applyFont="1" applyFill="1" applyBorder="1" applyAlignment="1">
      <alignment horizontal="left" vertical="center"/>
    </xf>
    <xf numFmtId="0" fontId="6" fillId="4" borderId="183" xfId="0" applyFont="1" applyFill="1" applyBorder="1"/>
    <xf numFmtId="0" fontId="6" fillId="4" borderId="107" xfId="0" applyFont="1" applyFill="1" applyBorder="1" applyAlignment="1">
      <alignment horizontal="right" vertical="center" wrapText="1"/>
    </xf>
    <xf numFmtId="0" fontId="6" fillId="4" borderId="184" xfId="0" applyFont="1" applyFill="1" applyBorder="1" applyAlignment="1">
      <alignment horizontal="right" vertical="center" wrapText="1"/>
    </xf>
    <xf numFmtId="0" fontId="11" fillId="4" borderId="95" xfId="0" applyFont="1" applyFill="1" applyBorder="1" applyAlignment="1">
      <alignment horizontal="left"/>
    </xf>
    <xf numFmtId="0" fontId="4" fillId="0" borderId="0" xfId="0" applyFont="1" applyBorder="1" applyAlignment="1">
      <alignment vertical="center"/>
    </xf>
    <xf numFmtId="0" fontId="3" fillId="11" borderId="102" xfId="0" applyFont="1" applyFill="1" applyBorder="1" applyAlignment="1">
      <alignment horizontal="center" vertical="center" wrapText="1"/>
    </xf>
    <xf numFmtId="1" fontId="4" fillId="11" borderId="97" xfId="0" applyNumberFormat="1" applyFont="1" applyFill="1" applyBorder="1" applyAlignment="1">
      <alignment horizontal="center" vertical="center" textRotation="180" wrapText="1"/>
    </xf>
    <xf numFmtId="0" fontId="15" fillId="4" borderId="93" xfId="0" quotePrefix="1" applyFont="1" applyFill="1" applyBorder="1" applyAlignment="1">
      <alignment horizontal="left" vertical="center"/>
    </xf>
    <xf numFmtId="4" fontId="6" fillId="0" borderId="50" xfId="0" applyNumberFormat="1" applyFont="1" applyBorder="1" applyAlignment="1">
      <alignment vertical="center"/>
    </xf>
    <xf numFmtId="2" fontId="6" fillId="4" borderId="178" xfId="0" applyNumberFormat="1" applyFont="1" applyFill="1" applyBorder="1" applyAlignment="1">
      <alignment vertical="center"/>
    </xf>
    <xf numFmtId="2" fontId="4" fillId="4" borderId="185" xfId="0" applyNumberFormat="1" applyFont="1" applyFill="1" applyBorder="1" applyAlignment="1">
      <alignment vertical="center"/>
    </xf>
    <xf numFmtId="0" fontId="15" fillId="4" borderId="104" xfId="0" applyFont="1" applyFill="1" applyBorder="1" applyAlignment="1">
      <alignment vertical="center"/>
    </xf>
    <xf numFmtId="0" fontId="59" fillId="11" borderId="0" xfId="0" applyFont="1" applyFill="1" applyBorder="1" applyAlignment="1">
      <alignment horizontal="center" vertical="center"/>
    </xf>
    <xf numFmtId="0" fontId="4" fillId="11" borderId="111" xfId="0" applyFont="1" applyFill="1" applyBorder="1"/>
    <xf numFmtId="0" fontId="4" fillId="11" borderId="186" xfId="0" applyFont="1" applyFill="1" applyBorder="1"/>
    <xf numFmtId="2" fontId="107" fillId="22" borderId="146" xfId="0" applyNumberFormat="1" applyFont="1" applyFill="1" applyBorder="1" applyAlignment="1">
      <alignment vertical="center"/>
    </xf>
    <xf numFmtId="4" fontId="107" fillId="22" borderId="84" xfId="0" applyNumberFormat="1" applyFont="1" applyFill="1" applyBorder="1" applyAlignment="1">
      <alignment vertical="center"/>
    </xf>
    <xf numFmtId="170" fontId="27" fillId="0" borderId="0" xfId="1" applyNumberFormat="1" applyFont="1" applyFill="1" applyBorder="1" applyAlignment="1">
      <alignment horizontal="center" vertical="center"/>
    </xf>
    <xf numFmtId="1" fontId="5" fillId="6" borderId="0" xfId="0" applyNumberFormat="1" applyFont="1" applyFill="1" applyBorder="1" applyAlignment="1">
      <alignment horizontal="left" vertical="center"/>
    </xf>
    <xf numFmtId="0" fontId="4" fillId="6" borderId="21" xfId="0" applyFont="1" applyFill="1" applyBorder="1" applyAlignment="1">
      <alignment horizontal="right" vertical="center"/>
    </xf>
    <xf numFmtId="0" fontId="4" fillId="6" borderId="21" xfId="0" applyFont="1" applyFill="1" applyBorder="1" applyAlignment="1">
      <alignment horizontal="right" vertical="top"/>
    </xf>
    <xf numFmtId="1" fontId="6" fillId="4" borderId="30" xfId="0" applyNumberFormat="1" applyFont="1" applyFill="1" applyBorder="1" applyAlignment="1">
      <alignment horizontal="center" vertical="center" wrapText="1"/>
    </xf>
    <xf numFmtId="1" fontId="6" fillId="4" borderId="82" xfId="0" applyNumberFormat="1" applyFont="1" applyFill="1" applyBorder="1" applyAlignment="1">
      <alignment horizontal="center" vertical="center" wrapText="1"/>
    </xf>
    <xf numFmtId="1" fontId="6" fillId="4" borderId="119" xfId="0" applyNumberFormat="1" applyFont="1" applyFill="1" applyBorder="1" applyAlignment="1">
      <alignment horizontal="center" vertical="center" wrapText="1"/>
    </xf>
    <xf numFmtId="1" fontId="6" fillId="4" borderId="58" xfId="0" applyNumberFormat="1" applyFont="1" applyFill="1" applyBorder="1" applyAlignment="1">
      <alignment horizontal="center" vertical="center" wrapText="1"/>
    </xf>
    <xf numFmtId="1" fontId="6" fillId="4" borderId="67" xfId="0" applyNumberFormat="1" applyFont="1" applyFill="1" applyBorder="1" applyAlignment="1">
      <alignment horizontal="center" vertical="center" wrapText="1"/>
    </xf>
    <xf numFmtId="1" fontId="6" fillId="4" borderId="120" xfId="0" applyNumberFormat="1" applyFont="1" applyFill="1" applyBorder="1" applyAlignment="1">
      <alignment horizontal="center" vertical="center" wrapText="1"/>
    </xf>
    <xf numFmtId="0" fontId="50" fillId="11" borderId="0" xfId="0" applyFont="1" applyFill="1" applyBorder="1" applyAlignment="1">
      <alignment wrapText="1"/>
    </xf>
    <xf numFmtId="0" fontId="4" fillId="24" borderId="104" xfId="0" applyFont="1" applyFill="1" applyBorder="1"/>
    <xf numFmtId="0" fontId="4" fillId="24" borderId="103" xfId="0" applyFont="1" applyFill="1" applyBorder="1"/>
    <xf numFmtId="0" fontId="4" fillId="24" borderId="33" xfId="0" applyFont="1" applyFill="1" applyBorder="1"/>
    <xf numFmtId="0" fontId="4" fillId="24" borderId="104" xfId="0" applyFont="1" applyFill="1" applyBorder="1" applyAlignment="1">
      <alignment vertical="center"/>
    </xf>
    <xf numFmtId="0" fontId="122" fillId="11" borderId="0" xfId="0" applyFont="1" applyFill="1" applyBorder="1" applyAlignment="1">
      <alignment wrapText="1"/>
    </xf>
    <xf numFmtId="0" fontId="4" fillId="11" borderId="0" xfId="0" applyFont="1" applyFill="1" applyBorder="1" applyAlignment="1">
      <alignment vertical="center"/>
    </xf>
    <xf numFmtId="0" fontId="22" fillId="11" borderId="0" xfId="0" applyFont="1" applyFill="1" applyBorder="1" applyAlignment="1">
      <alignment horizontal="center" vertical="center"/>
    </xf>
    <xf numFmtId="10" fontId="22" fillId="11" borderId="0" xfId="2" applyNumberFormat="1" applyFont="1" applyFill="1" applyBorder="1" applyAlignment="1">
      <alignment horizontal="right" vertical="center"/>
    </xf>
    <xf numFmtId="10" fontId="22" fillId="11" borderId="0" xfId="0" applyNumberFormat="1" applyFont="1" applyFill="1" applyBorder="1" applyAlignment="1">
      <alignment horizontal="left" vertical="center"/>
    </xf>
    <xf numFmtId="2" fontId="107" fillId="36" borderId="61" xfId="0" applyNumberFormat="1" applyFont="1" applyFill="1" applyBorder="1" applyAlignment="1">
      <alignment vertical="center"/>
    </xf>
    <xf numFmtId="168" fontId="103" fillId="36" borderId="61" xfId="0" applyNumberFormat="1" applyFont="1" applyFill="1" applyBorder="1" applyAlignment="1">
      <alignment vertical="center"/>
    </xf>
    <xf numFmtId="4" fontId="107" fillId="36" borderId="61" xfId="0" applyNumberFormat="1" applyFont="1" applyFill="1" applyBorder="1" applyAlignment="1">
      <alignment vertical="center"/>
    </xf>
    <xf numFmtId="165" fontId="118" fillId="36" borderId="61" xfId="0" applyNumberFormat="1" applyFont="1" applyFill="1" applyBorder="1" applyAlignment="1">
      <alignment horizontal="right" vertical="center"/>
    </xf>
    <xf numFmtId="165" fontId="103" fillId="36" borderId="61" xfId="0" applyNumberFormat="1" applyFont="1" applyFill="1" applyBorder="1" applyAlignment="1">
      <alignment horizontal="right" vertical="center"/>
    </xf>
    <xf numFmtId="2" fontId="107" fillId="36" borderId="62" xfId="0" applyNumberFormat="1" applyFont="1" applyFill="1" applyBorder="1" applyAlignment="1">
      <alignment horizontal="right" vertical="center"/>
    </xf>
    <xf numFmtId="169" fontId="118" fillId="36" borderId="90" xfId="0" applyNumberFormat="1" applyFont="1" applyFill="1" applyBorder="1" applyAlignment="1">
      <alignment horizontal="right"/>
    </xf>
    <xf numFmtId="2" fontId="103" fillId="36" borderId="61" xfId="0" applyNumberFormat="1" applyFont="1" applyFill="1" applyBorder="1" applyAlignment="1">
      <alignment vertical="center"/>
    </xf>
    <xf numFmtId="3" fontId="115" fillId="36" borderId="61" xfId="0" applyNumberFormat="1" applyFont="1" applyFill="1" applyBorder="1" applyAlignment="1">
      <alignment vertical="center"/>
    </xf>
    <xf numFmtId="3" fontId="115" fillId="36" borderId="61" xfId="0" applyNumberFormat="1" applyFont="1" applyFill="1" applyBorder="1" applyAlignment="1">
      <alignment horizontal="right" vertical="center"/>
    </xf>
    <xf numFmtId="49" fontId="87" fillId="0" borderId="121" xfId="0" applyNumberFormat="1" applyFont="1" applyBorder="1" applyAlignment="1">
      <alignment horizontal="left" vertical="center" wrapText="1"/>
    </xf>
    <xf numFmtId="49" fontId="80" fillId="2" borderId="121" xfId="3" applyNumberFormat="1" applyFont="1" applyFill="1" applyBorder="1" applyAlignment="1">
      <alignment horizontal="left" vertical="center"/>
    </xf>
    <xf numFmtId="49" fontId="87" fillId="0" borderId="12" xfId="3" applyNumberFormat="1" applyFont="1" applyFill="1" applyBorder="1" applyAlignment="1">
      <alignment horizontal="left" vertical="center" wrapText="1"/>
    </xf>
    <xf numFmtId="0" fontId="82" fillId="0" borderId="12" xfId="0" applyFont="1" applyFill="1" applyBorder="1" applyAlignment="1">
      <alignment horizontal="center" vertical="center"/>
    </xf>
    <xf numFmtId="9" fontId="83" fillId="0" borderId="12" xfId="2" applyFont="1" applyFill="1" applyBorder="1" applyAlignment="1">
      <alignment horizontal="center" vertical="center" wrapText="1"/>
    </xf>
    <xf numFmtId="3" fontId="81" fillId="0" borderId="12" xfId="0" applyNumberFormat="1" applyFont="1" applyFill="1" applyBorder="1" applyAlignment="1">
      <alignment horizontal="center" vertical="center"/>
    </xf>
    <xf numFmtId="1" fontId="0" fillId="0" borderId="12" xfId="0" applyNumberFormat="1" applyFill="1" applyBorder="1" applyAlignment="1">
      <alignment horizontal="center" vertical="center"/>
    </xf>
    <xf numFmtId="49" fontId="81" fillId="0" borderId="122" xfId="3" applyNumberFormat="1" applyFont="1" applyFill="1" applyBorder="1" applyAlignment="1">
      <alignment horizontal="center" vertical="center" wrapText="1"/>
    </xf>
    <xf numFmtId="49" fontId="83" fillId="0" borderId="12" xfId="3" applyNumberFormat="1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right" vertical="center" wrapText="1"/>
    </xf>
    <xf numFmtId="2" fontId="21" fillId="4" borderId="0" xfId="0" applyNumberFormat="1" applyFont="1" applyFill="1" applyBorder="1" applyAlignment="1">
      <alignment horizontal="right" vertical="center"/>
    </xf>
    <xf numFmtId="0" fontId="21" fillId="4" borderId="0" xfId="0" applyFont="1" applyFill="1" applyBorder="1" applyAlignment="1">
      <alignment vertical="center"/>
    </xf>
    <xf numFmtId="0" fontId="0" fillId="0" borderId="197" xfId="0" applyFont="1" applyBorder="1" applyAlignment="1">
      <alignment horizontal="right" vertical="center"/>
    </xf>
    <xf numFmtId="0" fontId="0" fillId="4" borderId="198" xfId="0" applyFill="1" applyBorder="1"/>
    <xf numFmtId="0" fontId="21" fillId="4" borderId="198" xfId="0" applyFont="1" applyFill="1" applyBorder="1"/>
    <xf numFmtId="2" fontId="0" fillId="4" borderId="199" xfId="0" applyNumberFormat="1" applyFont="1" applyFill="1" applyBorder="1" applyAlignment="1">
      <alignment vertical="center"/>
    </xf>
    <xf numFmtId="0" fontId="21" fillId="4" borderId="200" xfId="0" applyFont="1" applyFill="1" applyBorder="1"/>
    <xf numFmtId="0" fontId="0" fillId="4" borderId="200" xfId="0" applyFill="1" applyBorder="1"/>
    <xf numFmtId="0" fontId="21" fillId="4" borderId="10" xfId="0" applyFont="1" applyFill="1" applyBorder="1"/>
    <xf numFmtId="0" fontId="21" fillId="0" borderId="10" xfId="0" applyFont="1" applyBorder="1"/>
    <xf numFmtId="0" fontId="0" fillId="4" borderId="10" xfId="0" applyFill="1" applyBorder="1"/>
    <xf numFmtId="0" fontId="2" fillId="6" borderId="116" xfId="0" applyFont="1" applyFill="1" applyBorder="1" applyAlignment="1">
      <alignment horizontal="left" vertical="center"/>
    </xf>
    <xf numFmtId="0" fontId="2" fillId="6" borderId="114" xfId="0" applyFont="1" applyFill="1" applyBorder="1" applyAlignment="1">
      <alignment horizontal="left" vertical="center"/>
    </xf>
    <xf numFmtId="0" fontId="2" fillId="6" borderId="117" xfId="0" applyFont="1" applyFill="1" applyBorder="1" applyAlignment="1">
      <alignment horizontal="left" vertical="center"/>
    </xf>
    <xf numFmtId="0" fontId="2" fillId="6" borderId="115" xfId="0" applyFont="1" applyFill="1" applyBorder="1" applyAlignment="1">
      <alignment horizontal="left" vertical="center"/>
    </xf>
    <xf numFmtId="0" fontId="27" fillId="4" borderId="31" xfId="0" quotePrefix="1" applyFont="1" applyFill="1" applyBorder="1" applyAlignment="1">
      <alignment horizontal="left" vertical="center"/>
    </xf>
    <xf numFmtId="0" fontId="26" fillId="38" borderId="36" xfId="0" applyFont="1" applyFill="1" applyBorder="1" applyAlignment="1">
      <alignment vertical="center"/>
    </xf>
    <xf numFmtId="0" fontId="26" fillId="38" borderId="5" xfId="0" applyFont="1" applyFill="1" applyBorder="1" applyAlignment="1">
      <alignment vertical="center"/>
    </xf>
    <xf numFmtId="0" fontId="26" fillId="38" borderId="4" xfId="0" applyFont="1" applyFill="1" applyBorder="1" applyAlignment="1">
      <alignment vertical="center"/>
    </xf>
    <xf numFmtId="165" fontId="0" fillId="6" borderId="0" xfId="0" applyNumberFormat="1" applyFont="1" applyFill="1" applyBorder="1" applyAlignment="1">
      <alignment vertical="center"/>
    </xf>
    <xf numFmtId="2" fontId="4" fillId="13" borderId="68" xfId="0" applyNumberFormat="1" applyFont="1" applyFill="1" applyBorder="1" applyAlignment="1" applyProtection="1">
      <alignment vertical="center"/>
      <protection locked="0"/>
    </xf>
    <xf numFmtId="0" fontId="4" fillId="24" borderId="92" xfId="0" applyFont="1" applyFill="1" applyBorder="1" applyAlignment="1">
      <alignment vertical="center"/>
    </xf>
    <xf numFmtId="0" fontId="0" fillId="0" borderId="0" xfId="0" applyBorder="1" applyAlignment="1">
      <alignment horizontal="center"/>
    </xf>
    <xf numFmtId="0" fontId="50" fillId="2" borderId="51" xfId="0" applyFont="1" applyFill="1" applyBorder="1" applyAlignment="1">
      <alignment horizontal="center" vertical="center"/>
    </xf>
    <xf numFmtId="0" fontId="50" fillId="2" borderId="80" xfId="0" applyFont="1" applyFill="1" applyBorder="1" applyAlignment="1">
      <alignment horizontal="center" vertical="center"/>
    </xf>
    <xf numFmtId="49" fontId="87" fillId="39" borderId="12" xfId="0" applyNumberFormat="1" applyFont="1" applyFill="1" applyBorder="1" applyAlignment="1">
      <alignment horizontal="left" vertical="center" wrapText="1"/>
    </xf>
    <xf numFmtId="49" fontId="87" fillId="39" borderId="12" xfId="0" applyNumberFormat="1" applyFont="1" applyFill="1" applyBorder="1" applyAlignment="1">
      <alignment horizontal="center" vertical="center" wrapText="1"/>
    </xf>
    <xf numFmtId="1" fontId="87" fillId="39" borderId="12" xfId="0" applyNumberFormat="1" applyFont="1" applyFill="1" applyBorder="1" applyAlignment="1">
      <alignment horizontal="center" vertical="center" wrapText="1"/>
    </xf>
    <xf numFmtId="9" fontId="87" fillId="39" borderId="12" xfId="2" applyFont="1" applyFill="1" applyBorder="1" applyAlignment="1">
      <alignment horizontal="center" vertical="center" wrapText="1"/>
    </xf>
    <xf numFmtId="9" fontId="81" fillId="39" borderId="12" xfId="2" applyFont="1" applyFill="1" applyBorder="1" applyAlignment="1">
      <alignment horizontal="center" vertical="center" wrapText="1"/>
    </xf>
    <xf numFmtId="3" fontId="27" fillId="39" borderId="12" xfId="0" applyNumberFormat="1" applyFont="1" applyFill="1" applyBorder="1" applyAlignment="1">
      <alignment horizontal="center" vertical="center"/>
    </xf>
    <xf numFmtId="49" fontId="81" fillId="39" borderId="12" xfId="3" applyNumberFormat="1" applyFont="1" applyFill="1" applyBorder="1" applyAlignment="1">
      <alignment horizontal="center" vertical="center" wrapText="1"/>
    </xf>
    <xf numFmtId="1" fontId="81" fillId="39" borderId="12" xfId="3" applyNumberFormat="1" applyFont="1" applyFill="1" applyBorder="1" applyAlignment="1">
      <alignment horizontal="center" vertical="center" wrapText="1"/>
    </xf>
    <xf numFmtId="9" fontId="81" fillId="39" borderId="12" xfId="3" applyNumberFormat="1" applyFont="1" applyFill="1" applyBorder="1" applyAlignment="1">
      <alignment horizontal="center" vertical="center" wrapText="1"/>
    </xf>
    <xf numFmtId="0" fontId="27" fillId="39" borderId="12" xfId="0" applyFont="1" applyFill="1" applyBorder="1" applyAlignment="1">
      <alignment horizontal="center" vertical="center"/>
    </xf>
    <xf numFmtId="9" fontId="83" fillId="39" borderId="12" xfId="2" applyFont="1" applyFill="1" applyBorder="1" applyAlignment="1">
      <alignment horizontal="center" vertical="center" wrapText="1"/>
    </xf>
    <xf numFmtId="3" fontId="81" fillId="39" borderId="12" xfId="0" applyNumberFormat="1" applyFont="1" applyFill="1" applyBorder="1" applyAlignment="1">
      <alignment horizontal="center" vertical="center"/>
    </xf>
    <xf numFmtId="0" fontId="80" fillId="0" borderId="12" xfId="3" applyNumberFormat="1" applyFont="1" applyFill="1" applyBorder="1" applyAlignment="1">
      <alignment horizontal="left" vertical="center" wrapText="1"/>
    </xf>
    <xf numFmtId="0" fontId="81" fillId="0" borderId="12" xfId="0" applyFont="1" applyFill="1" applyBorder="1" applyAlignment="1">
      <alignment horizontal="center" vertical="center"/>
    </xf>
    <xf numFmtId="49" fontId="80" fillId="0" borderId="12" xfId="3" applyNumberFormat="1" applyFont="1" applyFill="1" applyBorder="1" applyAlignment="1">
      <alignment horizontal="left" vertical="center" wrapText="1"/>
    </xf>
    <xf numFmtId="49" fontId="87" fillId="39" borderId="121" xfId="0" applyNumberFormat="1" applyFont="1" applyFill="1" applyBorder="1" applyAlignment="1">
      <alignment horizontal="center" vertical="center" wrapText="1"/>
    </xf>
    <xf numFmtId="1" fontId="87" fillId="39" borderId="121" xfId="0" applyNumberFormat="1" applyFont="1" applyFill="1" applyBorder="1" applyAlignment="1">
      <alignment horizontal="center" vertical="center" wrapText="1"/>
    </xf>
    <xf numFmtId="9" fontId="87" fillId="39" borderId="121" xfId="2" applyFont="1" applyFill="1" applyBorder="1" applyAlignment="1">
      <alignment horizontal="center" vertical="center" wrapText="1"/>
    </xf>
    <xf numFmtId="9" fontId="81" fillId="39" borderId="121" xfId="2" applyFont="1" applyFill="1" applyBorder="1" applyAlignment="1">
      <alignment horizontal="center" vertical="center" wrapText="1"/>
    </xf>
    <xf numFmtId="3" fontId="27" fillId="39" borderId="121" xfId="0" applyNumberFormat="1" applyFont="1" applyFill="1" applyBorder="1" applyAlignment="1">
      <alignment horizontal="center" vertical="center"/>
    </xf>
    <xf numFmtId="0" fontId="27" fillId="0" borderId="121" xfId="0" applyFont="1" applyFill="1" applyBorder="1" applyAlignment="1">
      <alignment horizontal="center" vertical="center"/>
    </xf>
    <xf numFmtId="49" fontId="87" fillId="39" borderId="12" xfId="3" applyNumberFormat="1" applyFont="1" applyFill="1" applyBorder="1" applyAlignment="1">
      <alignment horizontal="left" vertical="center" wrapText="1"/>
    </xf>
    <xf numFmtId="9" fontId="27" fillId="39" borderId="12" xfId="2" applyFont="1" applyFill="1" applyBorder="1" applyAlignment="1">
      <alignment horizontal="center" vertical="center"/>
    </xf>
    <xf numFmtId="49" fontId="87" fillId="0" borderId="12" xfId="0" applyNumberFormat="1" applyFont="1" applyFill="1" applyBorder="1" applyAlignment="1">
      <alignment horizontal="left" vertical="center" wrapText="1"/>
    </xf>
    <xf numFmtId="49" fontId="81" fillId="39" borderId="121" xfId="3" applyNumberFormat="1" applyFont="1" applyFill="1" applyBorder="1" applyAlignment="1">
      <alignment horizontal="center" vertical="center" wrapText="1"/>
    </xf>
    <xf numFmtId="0" fontId="27" fillId="0" borderId="122" xfId="3" applyFont="1" applyBorder="1" applyAlignment="1">
      <alignment horizontal="center" vertical="center"/>
    </xf>
    <xf numFmtId="1" fontId="81" fillId="0" borderId="0" xfId="0" applyNumberFormat="1" applyFont="1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3" fontId="27" fillId="0" borderId="0" xfId="0" applyNumberFormat="1" applyFont="1" applyFill="1" applyBorder="1" applyAlignment="1">
      <alignment horizontal="center" vertical="center"/>
    </xf>
    <xf numFmtId="49" fontId="82" fillId="0" borderId="0" xfId="3" applyNumberFormat="1" applyFont="1" applyFill="1" applyBorder="1" applyAlignment="1">
      <alignment horizontal="center" vertical="center" wrapText="1"/>
    </xf>
    <xf numFmtId="49" fontId="87" fillId="0" borderId="0" xfId="3" applyNumberFormat="1" applyFont="1" applyFill="1" applyBorder="1" applyAlignment="1">
      <alignment horizontal="left" vertical="center" wrapText="1"/>
    </xf>
    <xf numFmtId="0" fontId="82" fillId="0" borderId="0" xfId="0" applyFont="1" applyFill="1" applyBorder="1" applyAlignment="1">
      <alignment horizontal="center" vertical="center"/>
    </xf>
    <xf numFmtId="9" fontId="83" fillId="0" borderId="0" xfId="2" applyFont="1" applyFill="1" applyBorder="1" applyAlignment="1">
      <alignment horizontal="center" vertical="center" wrapText="1"/>
    </xf>
    <xf numFmtId="3" fontId="81" fillId="0" borderId="0" xfId="0" applyNumberFormat="1" applyFont="1" applyFill="1" applyBorder="1" applyAlignment="1">
      <alignment horizontal="center" vertical="center"/>
    </xf>
    <xf numFmtId="49" fontId="82" fillId="0" borderId="0" xfId="0" applyNumberFormat="1" applyFont="1" applyFill="1" applyBorder="1" applyAlignment="1">
      <alignment horizontal="center" vertical="center" wrapText="1"/>
    </xf>
    <xf numFmtId="0" fontId="80" fillId="0" borderId="0" xfId="3" applyNumberFormat="1" applyFont="1" applyFill="1" applyBorder="1" applyAlignment="1">
      <alignment horizontal="left" vertical="center" wrapText="1"/>
    </xf>
    <xf numFmtId="0" fontId="81" fillId="0" borderId="0" xfId="0" applyFont="1" applyFill="1" applyBorder="1" applyAlignment="1">
      <alignment horizontal="center" vertical="center"/>
    </xf>
    <xf numFmtId="0" fontId="27" fillId="0" borderId="0" xfId="4" applyFont="1" applyFill="1" applyBorder="1" applyAlignment="1">
      <alignment vertical="center"/>
    </xf>
    <xf numFmtId="0" fontId="27" fillId="0" borderId="0" xfId="3" applyFont="1" applyFill="1" applyBorder="1" applyAlignment="1">
      <alignment horizontal="center" vertical="center"/>
    </xf>
    <xf numFmtId="49" fontId="80" fillId="0" borderId="0" xfId="3" applyNumberFormat="1" applyFont="1" applyFill="1" applyBorder="1" applyAlignment="1">
      <alignment horizontal="left" vertical="center" wrapText="1"/>
    </xf>
    <xf numFmtId="2" fontId="0" fillId="0" borderId="0" xfId="0" applyNumberFormat="1" applyFill="1" applyBorder="1" applyAlignment="1">
      <alignment vertical="center"/>
    </xf>
    <xf numFmtId="49" fontId="87" fillId="0" borderId="0" xfId="0" applyNumberFormat="1" applyFont="1" applyFill="1" applyBorder="1" applyAlignment="1">
      <alignment horizontal="center" vertical="center" wrapText="1"/>
    </xf>
    <xf numFmtId="1" fontId="87" fillId="0" borderId="0" xfId="0" applyNumberFormat="1" applyFont="1" applyFill="1" applyBorder="1" applyAlignment="1">
      <alignment horizontal="center" vertical="center" wrapText="1"/>
    </xf>
    <xf numFmtId="9" fontId="87" fillId="0" borderId="0" xfId="2" applyFont="1" applyFill="1" applyBorder="1" applyAlignment="1">
      <alignment horizontal="center" vertical="center" wrapText="1"/>
    </xf>
    <xf numFmtId="49" fontId="87" fillId="0" borderId="0" xfId="0" applyNumberFormat="1" applyFont="1" applyFill="1" applyBorder="1" applyAlignment="1">
      <alignment horizontal="left" vertical="center" wrapText="1"/>
    </xf>
    <xf numFmtId="49" fontId="80" fillId="0" borderId="0" xfId="3" applyNumberFormat="1" applyFont="1" applyFill="1" applyBorder="1" applyAlignment="1">
      <alignment horizontal="left" vertical="center"/>
    </xf>
    <xf numFmtId="0" fontId="27" fillId="0" borderId="12" xfId="4" applyFont="1" applyFill="1" applyBorder="1" applyAlignment="1">
      <alignment vertical="center"/>
    </xf>
    <xf numFmtId="49" fontId="87" fillId="0" borderId="12" xfId="0" applyNumberFormat="1" applyFont="1" applyFill="1" applyBorder="1" applyAlignment="1">
      <alignment horizontal="center" vertical="center" wrapText="1"/>
    </xf>
    <xf numFmtId="1" fontId="87" fillId="0" borderId="12" xfId="0" applyNumberFormat="1" applyFont="1" applyFill="1" applyBorder="1" applyAlignment="1">
      <alignment horizontal="center" vertical="center" wrapText="1"/>
    </xf>
    <xf numFmtId="9" fontId="87" fillId="0" borderId="12" xfId="2" applyFont="1" applyFill="1" applyBorder="1" applyAlignment="1">
      <alignment horizontal="center" vertical="center" wrapText="1"/>
    </xf>
    <xf numFmtId="0" fontId="81" fillId="0" borderId="121" xfId="0" applyFont="1" applyFill="1" applyBorder="1" applyAlignment="1">
      <alignment horizontal="center" vertical="center"/>
    </xf>
    <xf numFmtId="49" fontId="87" fillId="0" borderId="121" xfId="3" applyNumberFormat="1" applyFont="1" applyFill="1" applyBorder="1" applyAlignment="1">
      <alignment horizontal="left" vertical="center" wrapText="1"/>
    </xf>
    <xf numFmtId="0" fontId="27" fillId="0" borderId="121" xfId="3" applyFont="1" applyFill="1" applyBorder="1" applyAlignment="1">
      <alignment horizontal="center" vertical="center"/>
    </xf>
    <xf numFmtId="49" fontId="80" fillId="0" borderId="121" xfId="3" applyNumberFormat="1" applyFont="1" applyFill="1" applyBorder="1" applyAlignment="1">
      <alignment horizontal="left" vertical="center" wrapText="1"/>
    </xf>
    <xf numFmtId="49" fontId="87" fillId="0" borderId="121" xfId="0" applyNumberFormat="1" applyFont="1" applyFill="1" applyBorder="1" applyAlignment="1">
      <alignment horizontal="center" vertical="center" wrapText="1"/>
    </xf>
    <xf numFmtId="1" fontId="87" fillId="0" borderId="121" xfId="0" applyNumberFormat="1" applyFont="1" applyFill="1" applyBorder="1" applyAlignment="1">
      <alignment horizontal="center" vertical="center" wrapText="1"/>
    </xf>
    <xf numFmtId="9" fontId="87" fillId="0" borderId="121" xfId="2" applyFont="1" applyFill="1" applyBorder="1" applyAlignment="1">
      <alignment horizontal="center" vertical="center" wrapText="1"/>
    </xf>
    <xf numFmtId="49" fontId="87" fillId="0" borderId="121" xfId="0" applyNumberFormat="1" applyFont="1" applyFill="1" applyBorder="1" applyAlignment="1">
      <alignment horizontal="left" vertical="center" wrapText="1"/>
    </xf>
    <xf numFmtId="49" fontId="94" fillId="0" borderId="0" xfId="3" applyNumberFormat="1" applyFont="1" applyFill="1" applyBorder="1" applyAlignment="1">
      <alignment horizontal="left" vertical="center" wrapText="1"/>
    </xf>
    <xf numFmtId="0" fontId="27" fillId="0" borderId="12" xfId="0" applyFont="1" applyFill="1" applyBorder="1" applyAlignment="1">
      <alignment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ont="1" applyFill="1" applyBorder="1" applyAlignment="1">
      <alignment vertical="center"/>
    </xf>
    <xf numFmtId="0" fontId="75" fillId="0" borderId="0" xfId="0" applyFont="1" applyFill="1" applyBorder="1" applyAlignment="1">
      <alignment horizontal="center" vertical="center"/>
    </xf>
    <xf numFmtId="1" fontId="75" fillId="0" borderId="0" xfId="0" applyNumberFormat="1" applyFont="1" applyFill="1" applyBorder="1" applyAlignment="1">
      <alignment horizontal="center" vertical="center"/>
    </xf>
    <xf numFmtId="9" fontId="75" fillId="0" borderId="0" xfId="2" applyFont="1" applyFill="1" applyBorder="1" applyAlignment="1">
      <alignment horizontal="center" vertical="center"/>
    </xf>
    <xf numFmtId="3" fontId="85" fillId="0" borderId="0" xfId="0" applyNumberFormat="1" applyFont="1" applyFill="1" applyBorder="1" applyAlignment="1">
      <alignment horizontal="center" vertical="center"/>
    </xf>
    <xf numFmtId="2" fontId="84" fillId="0" borderId="0" xfId="0" applyNumberFormat="1" applyFont="1" applyFill="1" applyBorder="1" applyAlignment="1">
      <alignment horizontal="center" vertical="center"/>
    </xf>
    <xf numFmtId="0" fontId="18" fillId="0" borderId="0" xfId="3" applyFont="1" applyFill="1" applyBorder="1" applyAlignment="1">
      <alignment horizontal="center" vertical="center"/>
    </xf>
    <xf numFmtId="0" fontId="18" fillId="0" borderId="0" xfId="3" applyFont="1" applyFill="1" applyBorder="1" applyAlignment="1">
      <alignment vertical="center"/>
    </xf>
    <xf numFmtId="49" fontId="84" fillId="0" borderId="0" xfId="3" applyNumberFormat="1" applyFont="1" applyFill="1" applyBorder="1" applyAlignment="1">
      <alignment horizontal="center" vertical="center" wrapText="1"/>
    </xf>
    <xf numFmtId="1" fontId="84" fillId="0" borderId="0" xfId="3" applyNumberFormat="1" applyFont="1" applyFill="1" applyBorder="1" applyAlignment="1">
      <alignment horizontal="center" vertical="center" wrapText="1"/>
    </xf>
    <xf numFmtId="9" fontId="84" fillId="0" borderId="0" xfId="2" applyFont="1" applyFill="1" applyBorder="1" applyAlignment="1">
      <alignment horizontal="center" vertical="center" wrapText="1"/>
    </xf>
    <xf numFmtId="3" fontId="84" fillId="0" borderId="0" xfId="0" applyNumberFormat="1" applyFont="1" applyFill="1" applyBorder="1" applyAlignment="1">
      <alignment horizontal="center" vertical="center"/>
    </xf>
    <xf numFmtId="1" fontId="84" fillId="0" borderId="0" xfId="0" applyNumberFormat="1" applyFont="1" applyFill="1" applyBorder="1" applyAlignment="1">
      <alignment horizontal="center" vertical="center"/>
    </xf>
    <xf numFmtId="0" fontId="8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27" fillId="0" borderId="0" xfId="0" applyFont="1" applyFill="1" applyBorder="1" applyAlignment="1">
      <alignment vertical="center"/>
    </xf>
    <xf numFmtId="0" fontId="102" fillId="0" borderId="0" xfId="0" applyFont="1" applyFill="1" applyBorder="1" applyAlignment="1">
      <alignment vertical="center"/>
    </xf>
    <xf numFmtId="1" fontId="81" fillId="39" borderId="121" xfId="3" applyNumberFormat="1" applyFont="1" applyFill="1" applyBorder="1" applyAlignment="1">
      <alignment horizontal="center" vertical="center" wrapText="1"/>
    </xf>
    <xf numFmtId="49" fontId="87" fillId="0" borderId="122" xfId="0" applyNumberFormat="1" applyFont="1" applyBorder="1" applyAlignment="1">
      <alignment horizontal="left" vertical="center" wrapText="1"/>
    </xf>
    <xf numFmtId="49" fontId="81" fillId="39" borderId="127" xfId="3" applyNumberFormat="1" applyFont="1" applyFill="1" applyBorder="1" applyAlignment="1">
      <alignment horizontal="center" vertical="center" wrapText="1"/>
    </xf>
    <xf numFmtId="49" fontId="81" fillId="39" borderId="122" xfId="3" applyNumberFormat="1" applyFont="1" applyFill="1" applyBorder="1" applyAlignment="1">
      <alignment horizontal="center" vertical="center" wrapText="1"/>
    </xf>
    <xf numFmtId="1" fontId="81" fillId="39" borderId="122" xfId="3" applyNumberFormat="1" applyFont="1" applyFill="1" applyBorder="1" applyAlignment="1">
      <alignment horizontal="center" vertical="center" wrapText="1"/>
    </xf>
    <xf numFmtId="9" fontId="81" fillId="39" borderId="122" xfId="3" applyNumberFormat="1" applyFont="1" applyFill="1" applyBorder="1" applyAlignment="1">
      <alignment horizontal="center" vertical="center" wrapText="1"/>
    </xf>
    <xf numFmtId="9" fontId="81" fillId="39" borderId="122" xfId="2" applyFont="1" applyFill="1" applyBorder="1" applyAlignment="1">
      <alignment horizontal="center" vertical="center" wrapText="1"/>
    </xf>
    <xf numFmtId="0" fontId="80" fillId="2" borderId="122" xfId="3" applyNumberFormat="1" applyFont="1" applyFill="1" applyBorder="1" applyAlignment="1">
      <alignment horizontal="left" vertical="center" wrapText="1"/>
    </xf>
    <xf numFmtId="0" fontId="81" fillId="2" borderId="122" xfId="0" applyFont="1" applyFill="1" applyBorder="1" applyAlignment="1">
      <alignment horizontal="center" vertical="center"/>
    </xf>
    <xf numFmtId="0" fontId="27" fillId="0" borderId="122" xfId="4" applyFont="1" applyBorder="1" applyAlignment="1">
      <alignment vertical="center"/>
    </xf>
    <xf numFmtId="49" fontId="87" fillId="39" borderId="122" xfId="0" applyNumberFormat="1" applyFont="1" applyFill="1" applyBorder="1" applyAlignment="1">
      <alignment horizontal="center" vertical="center" wrapText="1"/>
    </xf>
    <xf numFmtId="0" fontId="27" fillId="0" borderId="122" xfId="0" applyFont="1" applyFill="1" applyBorder="1" applyAlignment="1">
      <alignment horizontal="center" vertical="center"/>
    </xf>
    <xf numFmtId="1" fontId="87" fillId="39" borderId="122" xfId="0" applyNumberFormat="1" applyFont="1" applyFill="1" applyBorder="1" applyAlignment="1">
      <alignment horizontal="center" vertical="center" wrapText="1"/>
    </xf>
    <xf numFmtId="9" fontId="87" fillId="39" borderId="122" xfId="2" applyFont="1" applyFill="1" applyBorder="1" applyAlignment="1">
      <alignment horizontal="center" vertical="center" wrapText="1"/>
    </xf>
    <xf numFmtId="0" fontId="80" fillId="2" borderId="121" xfId="3" applyNumberFormat="1" applyFont="1" applyFill="1" applyBorder="1" applyAlignment="1">
      <alignment horizontal="left" vertical="center" wrapText="1"/>
    </xf>
    <xf numFmtId="43" fontId="27" fillId="0" borderId="0" xfId="1" applyFont="1" applyFill="1" applyBorder="1" applyAlignment="1">
      <alignment horizontal="center" vertical="center"/>
    </xf>
    <xf numFmtId="0" fontId="93" fillId="0" borderId="12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27" fillId="0" borderId="0" xfId="0" applyFont="1" applyAlignment="1">
      <alignment vertical="center"/>
    </xf>
    <xf numFmtId="1" fontId="27" fillId="0" borderId="12" xfId="0" applyNumberFormat="1" applyFont="1" applyFill="1" applyBorder="1" applyAlignment="1">
      <alignment horizontal="center" vertical="center"/>
    </xf>
    <xf numFmtId="0" fontId="27" fillId="0" borderId="0" xfId="0" applyFont="1" applyAlignment="1">
      <alignment horizontal="center" vertical="center"/>
    </xf>
    <xf numFmtId="49" fontId="137" fillId="0" borderId="0" xfId="0" applyNumberFormat="1" applyFont="1" applyAlignment="1">
      <alignment horizontal="left" vertical="center" wrapText="1"/>
    </xf>
    <xf numFmtId="49" fontId="80" fillId="0" borderId="0" xfId="3" applyNumberFormat="1" applyFont="1" applyAlignment="1">
      <alignment horizontal="left" vertical="center" wrapText="1"/>
    </xf>
    <xf numFmtId="2" fontId="27" fillId="0" borderId="0" xfId="0" applyNumberFormat="1" applyFont="1" applyAlignment="1">
      <alignment horizontal="center" vertical="center"/>
    </xf>
    <xf numFmtId="1" fontId="27" fillId="0" borderId="0" xfId="0" applyNumberFormat="1" applyFont="1" applyAlignment="1">
      <alignment horizontal="center" vertical="center"/>
    </xf>
    <xf numFmtId="49" fontId="137" fillId="0" borderId="0" xfId="0" applyNumberFormat="1" applyFont="1" applyBorder="1" applyAlignment="1">
      <alignment horizontal="left" vertical="center" wrapText="1"/>
    </xf>
    <xf numFmtId="0" fontId="27" fillId="0" borderId="0" xfId="0" applyFont="1" applyFill="1" applyAlignment="1">
      <alignment horizontal="center" vertical="center"/>
    </xf>
    <xf numFmtId="1" fontId="80" fillId="0" borderId="0" xfId="3" applyNumberFormat="1" applyFont="1" applyAlignment="1">
      <alignment horizontal="left" vertical="center" wrapText="1"/>
    </xf>
    <xf numFmtId="1" fontId="27" fillId="0" borderId="122" xfId="0" applyNumberFormat="1" applyFont="1" applyFill="1" applyBorder="1" applyAlignment="1">
      <alignment horizontal="center" vertical="center"/>
    </xf>
    <xf numFmtId="1" fontId="27" fillId="0" borderId="121" xfId="0" applyNumberFormat="1" applyFont="1" applyFill="1" applyBorder="1" applyAlignment="1">
      <alignment horizontal="center" vertical="center"/>
    </xf>
    <xf numFmtId="0" fontId="27" fillId="0" borderId="0" xfId="0" applyFont="1" applyAlignment="1">
      <alignment horizontal="left" vertical="center"/>
    </xf>
    <xf numFmtId="0" fontId="138" fillId="0" borderId="0" xfId="0" applyFont="1" applyFill="1" applyAlignment="1">
      <alignment horizontal="center" vertical="center"/>
    </xf>
    <xf numFmtId="1" fontId="138" fillId="0" borderId="0" xfId="0" applyNumberFormat="1" applyFont="1" applyFill="1" applyAlignment="1">
      <alignment horizontal="center" vertical="center"/>
    </xf>
    <xf numFmtId="9" fontId="83" fillId="0" borderId="0" xfId="3" applyNumberFormat="1" applyFont="1" applyFill="1" applyBorder="1" applyAlignment="1">
      <alignment horizontal="center" vertical="center" wrapText="1"/>
    </xf>
    <xf numFmtId="9" fontId="138" fillId="0" borderId="0" xfId="2" applyFont="1" applyFill="1" applyAlignment="1">
      <alignment horizontal="center" vertical="center"/>
    </xf>
    <xf numFmtId="3" fontId="138" fillId="0" borderId="0" xfId="0" applyNumberFormat="1" applyFont="1" applyFill="1" applyAlignment="1">
      <alignment horizontal="center" vertical="center"/>
    </xf>
    <xf numFmtId="2" fontId="83" fillId="0" borderId="0" xfId="0" applyNumberFormat="1" applyFont="1" applyFill="1" applyAlignment="1">
      <alignment horizontal="center" vertical="center"/>
    </xf>
    <xf numFmtId="49" fontId="80" fillId="4" borderId="0" xfId="3" applyNumberFormat="1" applyFont="1" applyFill="1" applyBorder="1" applyAlignment="1">
      <alignment horizontal="left" vertical="center" wrapText="1"/>
    </xf>
    <xf numFmtId="0" fontId="27" fillId="0" borderId="0" xfId="3" applyFont="1" applyAlignment="1">
      <alignment horizontal="center" vertical="center"/>
    </xf>
    <xf numFmtId="0" fontId="27" fillId="0" borderId="0" xfId="3" applyFont="1" applyAlignment="1">
      <alignment vertical="center"/>
    </xf>
    <xf numFmtId="49" fontId="83" fillId="0" borderId="0" xfId="3" applyNumberFormat="1" applyFont="1" applyFill="1" applyAlignment="1">
      <alignment horizontal="center" vertical="center" wrapText="1"/>
    </xf>
    <xf numFmtId="1" fontId="83" fillId="0" borderId="0" xfId="3" applyNumberFormat="1" applyFont="1" applyFill="1" applyAlignment="1">
      <alignment horizontal="center" vertical="center" wrapText="1"/>
    </xf>
    <xf numFmtId="9" fontId="83" fillId="0" borderId="0" xfId="3" applyNumberFormat="1" applyFont="1" applyFill="1" applyAlignment="1">
      <alignment horizontal="center" vertical="center" wrapText="1"/>
    </xf>
    <xf numFmtId="9" fontId="83" fillId="0" borderId="0" xfId="2" applyFont="1" applyFill="1" applyAlignment="1">
      <alignment horizontal="center" vertical="center" wrapText="1"/>
    </xf>
    <xf numFmtId="3" fontId="83" fillId="0" borderId="0" xfId="0" applyNumberFormat="1" applyFont="1" applyFill="1" applyAlignment="1">
      <alignment horizontal="center" vertical="center"/>
    </xf>
    <xf numFmtId="1" fontId="83" fillId="0" borderId="0" xfId="0" applyNumberFormat="1" applyFont="1" applyFill="1" applyAlignment="1">
      <alignment horizontal="center" vertical="center"/>
    </xf>
    <xf numFmtId="0" fontId="83" fillId="0" borderId="0" xfId="0" applyFont="1" applyFill="1" applyAlignment="1">
      <alignment horizontal="center" vertical="center"/>
    </xf>
    <xf numFmtId="49" fontId="136" fillId="4" borderId="0" xfId="3" applyNumberFormat="1" applyFont="1" applyFill="1" applyBorder="1" applyAlignment="1">
      <alignment horizontal="left" vertical="center" wrapText="1"/>
    </xf>
    <xf numFmtId="0" fontId="27" fillId="0" borderId="12" xfId="0" applyFont="1" applyBorder="1" applyAlignment="1">
      <alignment horizontal="center" vertical="center" wrapText="1"/>
    </xf>
    <xf numFmtId="0" fontId="27" fillId="2" borderId="12" xfId="0" applyFont="1" applyFill="1" applyBorder="1" applyAlignment="1">
      <alignment vertical="center"/>
    </xf>
    <xf numFmtId="0" fontId="27" fillId="39" borderId="12" xfId="0" applyFont="1" applyFill="1" applyBorder="1" applyAlignment="1">
      <alignment vertical="center"/>
    </xf>
    <xf numFmtId="2" fontId="27" fillId="0" borderId="12" xfId="0" applyNumberFormat="1" applyFont="1" applyFill="1" applyBorder="1" applyAlignment="1">
      <alignment horizontal="center" vertical="center"/>
    </xf>
    <xf numFmtId="0" fontId="0" fillId="0" borderId="0" xfId="0" applyBorder="1"/>
    <xf numFmtId="0" fontId="4" fillId="11" borderId="203" xfId="0" applyFont="1" applyFill="1" applyBorder="1" applyAlignment="1"/>
    <xf numFmtId="166" fontId="108" fillId="22" borderId="202" xfId="0" applyNumberFormat="1" applyFont="1" applyFill="1" applyBorder="1" applyAlignment="1">
      <alignment vertical="center"/>
    </xf>
    <xf numFmtId="0" fontId="6" fillId="28" borderId="46" xfId="0" applyFont="1" applyFill="1" applyBorder="1" applyAlignment="1">
      <alignment horizontal="right" vertical="center"/>
    </xf>
    <xf numFmtId="2" fontId="20" fillId="0" borderId="140" xfId="0" applyNumberFormat="1" applyFont="1" applyFill="1" applyBorder="1" applyAlignment="1">
      <alignment horizontal="right" vertical="center" indent="1"/>
    </xf>
    <xf numFmtId="2" fontId="20" fillId="0" borderId="33" xfId="0" applyNumberFormat="1" applyFont="1" applyFill="1" applyBorder="1" applyAlignment="1">
      <alignment horizontal="right" vertical="center" indent="1"/>
    </xf>
    <xf numFmtId="2" fontId="22" fillId="0" borderId="35" xfId="0" applyNumberFormat="1" applyFont="1" applyFill="1" applyBorder="1" applyAlignment="1">
      <alignment horizontal="left" vertical="center"/>
    </xf>
    <xf numFmtId="0" fontId="4" fillId="24" borderId="148" xfId="0" applyFont="1" applyFill="1" applyBorder="1" applyAlignment="1"/>
    <xf numFmtId="0" fontId="64" fillId="11" borderId="0" xfId="0" applyFont="1" applyFill="1" applyBorder="1" applyAlignment="1">
      <alignment vertical="center"/>
    </xf>
    <xf numFmtId="0" fontId="64" fillId="11" borderId="147" xfId="0" applyFont="1" applyFill="1" applyBorder="1" applyAlignment="1">
      <alignment vertical="center"/>
    </xf>
    <xf numFmtId="2" fontId="27" fillId="0" borderId="121" xfId="0" applyNumberFormat="1" applyFont="1" applyFill="1" applyBorder="1" applyAlignment="1">
      <alignment horizontal="center" vertical="center"/>
    </xf>
    <xf numFmtId="0" fontId="21" fillId="4" borderId="197" xfId="0" applyFont="1" applyFill="1" applyBorder="1"/>
    <xf numFmtId="0" fontId="21" fillId="4" borderId="5" xfId="0" applyFont="1" applyFill="1" applyBorder="1"/>
    <xf numFmtId="0" fontId="21" fillId="4" borderId="199" xfId="0" applyFont="1" applyFill="1" applyBorder="1"/>
    <xf numFmtId="0" fontId="21" fillId="4" borderId="33" xfId="0" applyFont="1" applyFill="1" applyBorder="1"/>
    <xf numFmtId="0" fontId="26" fillId="0" borderId="0" xfId="0" applyFont="1" applyFill="1" applyBorder="1" applyAlignment="1">
      <alignment horizontal="center"/>
    </xf>
    <xf numFmtId="0" fontId="2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quotePrefix="1" applyFont="1" applyFill="1" applyBorder="1" applyAlignment="1">
      <alignment horizontal="left" vertical="center"/>
    </xf>
    <xf numFmtId="0" fontId="0" fillId="0" borderId="0" xfId="0" applyFill="1" applyBorder="1" applyAlignment="1">
      <alignment horizontal="center"/>
    </xf>
    <xf numFmtId="0" fontId="43" fillId="0" borderId="0" xfId="0" applyFont="1" applyFill="1" applyBorder="1"/>
    <xf numFmtId="0" fontId="6" fillId="0" borderId="0" xfId="0" quotePrefix="1" applyFont="1" applyBorder="1"/>
    <xf numFmtId="0" fontId="46" fillId="0" borderId="0" xfId="0" applyFont="1" applyBorder="1" applyAlignment="1">
      <alignment horizontal="center"/>
    </xf>
    <xf numFmtId="0" fontId="6" fillId="0" borderId="0" xfId="0" applyFont="1" applyBorder="1"/>
    <xf numFmtId="0" fontId="0" fillId="4" borderId="0" xfId="0" applyFill="1" applyBorder="1" applyAlignment="1">
      <alignment horizontal="center"/>
    </xf>
    <xf numFmtId="0" fontId="4" fillId="0" borderId="43" xfId="0" applyFont="1" applyBorder="1" applyAlignment="1">
      <alignment horizontal="right" vertical="center"/>
    </xf>
    <xf numFmtId="0" fontId="0" fillId="0" borderId="0" xfId="0" applyBorder="1" applyAlignment="1">
      <alignment horizontal="center"/>
    </xf>
    <xf numFmtId="3" fontId="27" fillId="0" borderId="127" xfId="0" applyNumberFormat="1" applyFont="1" applyFill="1" applyBorder="1" applyAlignment="1">
      <alignment horizontal="center" vertical="center"/>
    </xf>
    <xf numFmtId="0" fontId="93" fillId="41" borderId="205" xfId="7" applyFont="1" applyFill="1" applyBorder="1" applyAlignment="1">
      <alignment horizontal="center" vertical="center" textRotation="90" wrapText="1"/>
    </xf>
    <xf numFmtId="175" fontId="0" fillId="41" borderId="207" xfId="2" applyNumberFormat="1" applyFont="1" applyFill="1" applyBorder="1" applyAlignment="1">
      <alignment horizontal="center" vertical="center"/>
    </xf>
    <xf numFmtId="3" fontId="43" fillId="24" borderId="25" xfId="0" applyNumberFormat="1" applyFont="1" applyFill="1" applyBorder="1" applyAlignment="1">
      <alignment horizontal="center" vertical="center"/>
    </xf>
    <xf numFmtId="164" fontId="148" fillId="4" borderId="25" xfId="2" applyNumberFormat="1" applyFont="1" applyFill="1" applyBorder="1" applyAlignment="1">
      <alignment horizontal="center" vertical="center"/>
    </xf>
    <xf numFmtId="3" fontId="43" fillId="24" borderId="162" xfId="0" applyNumberFormat="1" applyFont="1" applyFill="1" applyBorder="1" applyAlignment="1">
      <alignment horizontal="center" vertical="center"/>
    </xf>
    <xf numFmtId="164" fontId="148" fillId="0" borderId="136" xfId="0" applyNumberFormat="1" applyFont="1" applyBorder="1" applyAlignment="1">
      <alignment horizontal="center" vertical="center"/>
    </xf>
    <xf numFmtId="3" fontId="0" fillId="24" borderId="162" xfId="0" applyNumberFormat="1" applyFill="1" applyBorder="1" applyAlignment="1">
      <alignment horizontal="center" vertical="center"/>
    </xf>
    <xf numFmtId="3" fontId="43" fillId="4" borderId="209" xfId="0" applyNumberFormat="1" applyFont="1" applyFill="1" applyBorder="1" applyAlignment="1">
      <alignment horizontal="center" vertical="center"/>
    </xf>
    <xf numFmtId="164" fontId="148" fillId="0" borderId="12" xfId="0" applyNumberFormat="1" applyFont="1" applyBorder="1" applyAlignment="1">
      <alignment horizontal="center" vertical="center"/>
    </xf>
    <xf numFmtId="2" fontId="75" fillId="0" borderId="12" xfId="2" applyNumberFormat="1" applyFont="1" applyFill="1" applyBorder="1" applyAlignment="1">
      <alignment horizontal="center" vertical="center"/>
    </xf>
    <xf numFmtId="2" fontId="75" fillId="0" borderId="12" xfId="0" applyNumberFormat="1" applyFont="1" applyBorder="1" applyAlignment="1">
      <alignment horizontal="center" vertical="center"/>
    </xf>
    <xf numFmtId="176" fontId="1" fillId="0" borderId="25" xfId="1" applyNumberFormat="1" applyFont="1" applyFill="1" applyBorder="1" applyAlignment="1">
      <alignment horizontal="center" vertical="center"/>
    </xf>
    <xf numFmtId="2" fontId="148" fillId="0" borderId="136" xfId="0" applyNumberFormat="1" applyFont="1" applyBorder="1" applyAlignment="1">
      <alignment horizontal="center" vertical="center"/>
    </xf>
    <xf numFmtId="176" fontId="1" fillId="0" borderId="211" xfId="1" applyNumberFormat="1" applyFont="1" applyFill="1" applyBorder="1" applyAlignment="1">
      <alignment horizontal="center" vertical="center"/>
    </xf>
    <xf numFmtId="2" fontId="150" fillId="0" borderId="25" xfId="4" applyNumberFormat="1" applyFont="1" applyBorder="1" applyAlignment="1">
      <alignment horizontal="center" vertical="center"/>
    </xf>
    <xf numFmtId="1" fontId="150" fillId="0" borderId="89" xfId="4" applyNumberFormat="1" applyFont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3" fontId="1" fillId="6" borderId="12" xfId="0" applyNumberFormat="1" applyFont="1" applyFill="1" applyBorder="1" applyAlignment="1">
      <alignment horizontal="center" vertical="center"/>
    </xf>
    <xf numFmtId="3" fontId="0" fillId="6" borderId="12" xfId="0" applyNumberFormat="1" applyFill="1" applyBorder="1" applyAlignment="1">
      <alignment horizontal="center" vertical="center"/>
    </xf>
    <xf numFmtId="166" fontId="148" fillId="6" borderId="89" xfId="0" applyNumberFormat="1" applyFont="1" applyFill="1" applyBorder="1" applyAlignment="1">
      <alignment horizontal="center" vertical="center"/>
    </xf>
    <xf numFmtId="0" fontId="148" fillId="6" borderId="161" xfId="0" applyFont="1" applyFill="1" applyBorder="1" applyAlignment="1">
      <alignment horizontal="center" vertical="center"/>
    </xf>
    <xf numFmtId="1" fontId="75" fillId="6" borderId="136" xfId="2" applyNumberFormat="1" applyFont="1" applyFill="1" applyBorder="1" applyAlignment="1">
      <alignment horizontal="center" vertical="center"/>
    </xf>
    <xf numFmtId="2" fontId="148" fillId="6" borderId="89" xfId="0" applyNumberFormat="1" applyFont="1" applyFill="1" applyBorder="1" applyAlignment="1">
      <alignment horizontal="center" vertical="center"/>
    </xf>
    <xf numFmtId="2" fontId="75" fillId="6" borderId="12" xfId="0" applyNumberFormat="1" applyFont="1" applyFill="1" applyBorder="1" applyAlignment="1">
      <alignment horizontal="center" vertical="center"/>
    </xf>
    <xf numFmtId="0" fontId="26" fillId="4" borderId="0" xfId="0" applyFont="1" applyFill="1" applyBorder="1"/>
    <xf numFmtId="0" fontId="26" fillId="4" borderId="0" xfId="0" applyFont="1" applyFill="1" applyBorder="1" applyAlignment="1">
      <alignment horizontal="center"/>
    </xf>
    <xf numFmtId="0" fontId="4" fillId="15" borderId="0" xfId="0" applyFont="1" applyFill="1" applyBorder="1" applyAlignment="1" applyProtection="1">
      <alignment horizontal="right" vertical="center"/>
    </xf>
    <xf numFmtId="164" fontId="48" fillId="15" borderId="0" xfId="0" applyNumberFormat="1" applyFont="1" applyFill="1" applyBorder="1" applyAlignment="1">
      <alignment horizontal="right" vertical="center"/>
    </xf>
    <xf numFmtId="0" fontId="26" fillId="4" borderId="0" xfId="0" applyFont="1" applyFill="1" applyBorder="1" applyAlignment="1">
      <alignment horizontal="center" vertical="center"/>
    </xf>
    <xf numFmtId="0" fontId="4" fillId="4" borderId="0" xfId="0" quotePrefix="1" applyFont="1" applyFill="1" applyBorder="1"/>
    <xf numFmtId="0" fontId="4" fillId="4" borderId="0" xfId="0" quotePrefix="1" applyFont="1" applyFill="1" applyBorder="1" applyAlignment="1">
      <alignment horizontal="center"/>
    </xf>
    <xf numFmtId="165" fontId="26" fillId="4" borderId="0" xfId="0" applyNumberFormat="1" applyFont="1" applyFill="1" applyBorder="1" applyAlignment="1">
      <alignment horizontal="left" vertical="center"/>
    </xf>
    <xf numFmtId="0" fontId="6" fillId="4" borderId="0" xfId="0" quotePrefix="1" applyFont="1" applyFill="1" applyBorder="1"/>
    <xf numFmtId="0" fontId="63" fillId="4" borderId="0" xfId="0" applyFont="1" applyFill="1" applyBorder="1" applyAlignment="1">
      <alignment vertical="center"/>
    </xf>
    <xf numFmtId="0" fontId="6" fillId="4" borderId="0" xfId="0" quotePrefix="1" applyFont="1" applyFill="1" applyBorder="1" applyAlignment="1">
      <alignment horizontal="left" vertical="center"/>
    </xf>
    <xf numFmtId="0" fontId="6" fillId="4" borderId="0" xfId="0" applyFont="1" applyFill="1" applyBorder="1"/>
    <xf numFmtId="0" fontId="43" fillId="4" borderId="0" xfId="0" applyFont="1" applyFill="1" applyBorder="1" applyAlignment="1">
      <alignment wrapText="1"/>
    </xf>
    <xf numFmtId="2" fontId="26" fillId="4" borderId="0" xfId="0" applyNumberFormat="1" applyFont="1" applyFill="1" applyBorder="1" applyAlignment="1">
      <alignment horizontal="right"/>
    </xf>
    <xf numFmtId="0" fontId="6" fillId="4" borderId="0" xfId="0" applyFont="1" applyFill="1" applyBorder="1" applyAlignment="1">
      <alignment horizontal="center"/>
    </xf>
    <xf numFmtId="0" fontId="43" fillId="4" borderId="0" xfId="0" applyFont="1" applyFill="1" applyBorder="1"/>
    <xf numFmtId="0" fontId="15" fillId="4" borderId="0" xfId="0" applyFont="1" applyFill="1" applyBorder="1" applyAlignment="1">
      <alignment horizontal="center" vertical="center"/>
    </xf>
    <xf numFmtId="0" fontId="43" fillId="4" borderId="0" xfId="0" applyFont="1" applyFill="1" applyBorder="1" applyAlignment="1">
      <alignment horizontal="center"/>
    </xf>
    <xf numFmtId="0" fontId="46" fillId="4" borderId="0" xfId="0" applyFont="1" applyFill="1" applyBorder="1" applyAlignment="1">
      <alignment horizontal="center"/>
    </xf>
    <xf numFmtId="0" fontId="21" fillId="4" borderId="0" xfId="0" applyFont="1" applyFill="1" applyBorder="1"/>
    <xf numFmtId="0" fontId="62" fillId="4" borderId="0" xfId="0" applyFont="1" applyFill="1" applyBorder="1" applyAlignment="1">
      <alignment vertical="center"/>
    </xf>
    <xf numFmtId="0" fontId="76" fillId="0" borderId="0" xfId="5" applyFill="1" applyBorder="1" applyAlignment="1">
      <alignment wrapText="1"/>
    </xf>
    <xf numFmtId="0" fontId="1" fillId="6" borderId="12" xfId="0" applyFont="1" applyFill="1" applyBorder="1" applyAlignment="1">
      <alignment horizontal="left" vertical="center"/>
    </xf>
    <xf numFmtId="2" fontId="1" fillId="6" borderId="12" xfId="0" applyNumberFormat="1" applyFont="1" applyFill="1" applyBorder="1" applyAlignment="1">
      <alignment horizontal="center" vertical="center"/>
    </xf>
    <xf numFmtId="1" fontId="0" fillId="24" borderId="12" xfId="0" applyNumberFormat="1" applyFill="1" applyBorder="1" applyAlignment="1">
      <alignment horizontal="center" vertical="center"/>
    </xf>
    <xf numFmtId="1" fontId="150" fillId="24" borderId="12" xfId="4" applyNumberFormat="1" applyFont="1" applyFill="1" applyBorder="1" applyAlignment="1">
      <alignment horizontal="center" vertical="center"/>
    </xf>
    <xf numFmtId="1" fontId="43" fillId="24" borderId="12" xfId="0" applyNumberFormat="1" applyFont="1" applyFill="1" applyBorder="1" applyAlignment="1">
      <alignment horizontal="center" vertical="center"/>
    </xf>
    <xf numFmtId="172" fontId="43" fillId="40" borderId="25" xfId="1" applyNumberFormat="1" applyFont="1" applyFill="1" applyBorder="1" applyAlignment="1">
      <alignment horizontal="right" vertical="center"/>
    </xf>
    <xf numFmtId="172" fontId="43" fillId="40" borderId="12" xfId="0" applyNumberFormat="1" applyFont="1" applyFill="1" applyBorder="1" applyAlignment="1">
      <alignment horizontal="right" vertical="center"/>
    </xf>
    <xf numFmtId="0" fontId="144" fillId="0" borderId="89" xfId="7" applyFont="1" applyBorder="1" applyAlignment="1">
      <alignment horizontal="center" vertical="center" wrapText="1"/>
    </xf>
    <xf numFmtId="0" fontId="144" fillId="24" borderId="12" xfId="7" applyFont="1" applyFill="1" applyBorder="1" applyAlignment="1">
      <alignment horizontal="center" vertical="center" wrapText="1"/>
    </xf>
    <xf numFmtId="0" fontId="144" fillId="40" borderId="25" xfId="7" applyFont="1" applyFill="1" applyBorder="1" applyAlignment="1">
      <alignment horizontal="center" vertical="center" wrapText="1"/>
    </xf>
    <xf numFmtId="0" fontId="9" fillId="40" borderId="25" xfId="0" applyFont="1" applyFill="1" applyBorder="1" applyAlignment="1">
      <alignment horizontal="center" vertical="center" wrapText="1"/>
    </xf>
    <xf numFmtId="0" fontId="144" fillId="40" borderId="211" xfId="7" applyFont="1" applyFill="1" applyBorder="1" applyAlignment="1">
      <alignment horizontal="center" vertical="center" wrapText="1"/>
    </xf>
    <xf numFmtId="172" fontId="43" fillId="40" borderId="25" xfId="0" applyNumberFormat="1" applyFont="1" applyFill="1" applyBorder="1" applyAlignment="1">
      <alignment horizontal="right" vertical="center"/>
    </xf>
    <xf numFmtId="173" fontId="144" fillId="40" borderId="25" xfId="4" applyNumberFormat="1" applyFont="1" applyFill="1" applyBorder="1" applyAlignment="1">
      <alignment horizontal="right" vertical="center"/>
    </xf>
    <xf numFmtId="1" fontId="1" fillId="24" borderId="12" xfId="1" applyNumberFormat="1" applyFont="1" applyFill="1" applyBorder="1" applyAlignment="1">
      <alignment horizontal="center" vertical="center"/>
    </xf>
    <xf numFmtId="1" fontId="0" fillId="0" borderId="89" xfId="2" applyNumberFormat="1" applyFont="1" applyFill="1" applyBorder="1" applyAlignment="1">
      <alignment horizontal="center" vertical="center"/>
    </xf>
    <xf numFmtId="0" fontId="144" fillId="0" borderId="136" xfId="7" applyFont="1" applyBorder="1" applyAlignment="1">
      <alignment horizontal="center" vertical="center" wrapText="1"/>
    </xf>
    <xf numFmtId="1" fontId="0" fillId="0" borderId="136" xfId="0" applyNumberFormat="1" applyBorder="1" applyAlignment="1">
      <alignment horizontal="center" vertical="center"/>
    </xf>
    <xf numFmtId="0" fontId="0" fillId="44" borderId="205" xfId="0" applyFill="1" applyBorder="1" applyAlignment="1">
      <alignment horizontal="center" vertical="center"/>
    </xf>
    <xf numFmtId="2" fontId="150" fillId="0" borderId="126" xfId="4" applyNumberFormat="1" applyFont="1" applyBorder="1" applyAlignment="1">
      <alignment horizontal="center" vertical="center"/>
    </xf>
    <xf numFmtId="175" fontId="0" fillId="41" borderId="217" xfId="2" applyNumberFormat="1" applyFont="1" applyFill="1" applyBorder="1" applyAlignment="1">
      <alignment horizontal="center" vertical="center"/>
    </xf>
    <xf numFmtId="2" fontId="147" fillId="0" borderId="136" xfId="0" applyNumberFormat="1" applyFont="1" applyBorder="1" applyAlignment="1">
      <alignment horizontal="center" vertical="center"/>
    </xf>
    <xf numFmtId="167" fontId="148" fillId="0" borderId="211" xfId="2" applyNumberFormat="1" applyFont="1" applyFill="1" applyBorder="1" applyAlignment="1">
      <alignment horizontal="center" vertical="center"/>
    </xf>
    <xf numFmtId="167" fontId="75" fillId="0" borderId="211" xfId="2" applyNumberFormat="1" applyFont="1" applyFill="1" applyBorder="1" applyAlignment="1">
      <alignment horizontal="center" vertical="center"/>
    </xf>
    <xf numFmtId="2" fontId="141" fillId="0" borderId="136" xfId="2" applyNumberFormat="1" applyFont="1" applyFill="1" applyBorder="1" applyAlignment="1">
      <alignment horizontal="center" vertical="center"/>
    </xf>
    <xf numFmtId="167" fontId="75" fillId="0" borderId="154" xfId="2" applyNumberFormat="1" applyFont="1" applyFill="1" applyBorder="1" applyAlignment="1">
      <alignment horizontal="center" vertical="center"/>
    </xf>
    <xf numFmtId="2" fontId="75" fillId="0" borderId="25" xfId="2" applyNumberFormat="1" applyFont="1" applyFill="1" applyBorder="1" applyAlignment="1">
      <alignment horizontal="center" vertical="center"/>
    </xf>
    <xf numFmtId="164" fontId="148" fillId="0" borderId="12" xfId="2" applyNumberFormat="1" applyFont="1" applyFill="1" applyBorder="1" applyAlignment="1">
      <alignment horizontal="center" vertical="center"/>
    </xf>
    <xf numFmtId="10" fontId="148" fillId="0" borderId="154" xfId="2" applyNumberFormat="1" applyFont="1" applyFill="1" applyBorder="1" applyAlignment="1">
      <alignment horizontal="center" vertical="center"/>
    </xf>
    <xf numFmtId="0" fontId="0" fillId="4" borderId="69" xfId="0" applyFill="1" applyBorder="1" applyAlignment="1">
      <alignment horizontal="center" vertical="center"/>
    </xf>
    <xf numFmtId="0" fontId="0" fillId="4" borderId="127" xfId="0" applyFill="1" applyBorder="1" applyAlignment="1">
      <alignment horizontal="center" vertical="center"/>
    </xf>
    <xf numFmtId="0" fontId="0" fillId="45" borderId="214" xfId="0" applyFill="1" applyBorder="1" applyAlignment="1">
      <alignment horizontal="center" vertical="center"/>
    </xf>
    <xf numFmtId="0" fontId="0" fillId="45" borderId="0" xfId="0" applyFill="1" applyAlignment="1">
      <alignment horizontal="center" vertical="center"/>
    </xf>
    <xf numFmtId="0" fontId="0" fillId="4" borderId="54" xfId="0" applyFill="1" applyBorder="1" applyAlignment="1">
      <alignment horizontal="center" vertical="center"/>
    </xf>
    <xf numFmtId="0" fontId="0" fillId="24" borderId="54" xfId="0" applyFill="1" applyBorder="1" applyAlignment="1">
      <alignment horizontal="center" vertical="center"/>
    </xf>
    <xf numFmtId="0" fontId="0" fillId="4" borderId="37" xfId="0" applyFill="1" applyBorder="1" applyAlignment="1">
      <alignment horizontal="center" vertical="center"/>
    </xf>
    <xf numFmtId="0" fontId="0" fillId="24" borderId="0" xfId="0" applyFill="1" applyAlignment="1">
      <alignment horizontal="center" vertical="center"/>
    </xf>
    <xf numFmtId="0" fontId="0" fillId="45" borderId="215" xfId="0" applyFill="1" applyBorder="1" applyAlignment="1">
      <alignment horizontal="center" vertical="center"/>
    </xf>
    <xf numFmtId="0" fontId="0" fillId="42" borderId="37" xfId="0" applyFill="1" applyBorder="1" applyAlignment="1">
      <alignment horizontal="center" vertical="center"/>
    </xf>
    <xf numFmtId="0" fontId="0" fillId="4" borderId="105" xfId="0" applyFill="1" applyBorder="1" applyAlignment="1">
      <alignment horizontal="center" vertical="center"/>
    </xf>
    <xf numFmtId="0" fontId="0" fillId="0" borderId="105" xfId="0" applyBorder="1" applyAlignment="1">
      <alignment horizontal="center" vertical="center"/>
    </xf>
    <xf numFmtId="0" fontId="143" fillId="4" borderId="69" xfId="3" applyFont="1" applyFill="1" applyBorder="1" applyAlignment="1">
      <alignment horizontal="center" vertical="center" wrapText="1"/>
    </xf>
    <xf numFmtId="0" fontId="143" fillId="4" borderId="127" xfId="7" applyFill="1" applyBorder="1" applyAlignment="1">
      <alignment horizontal="center" vertical="center" wrapText="1"/>
    </xf>
    <xf numFmtId="0" fontId="144" fillId="4" borderId="127" xfId="7" applyFont="1" applyFill="1" applyBorder="1" applyAlignment="1">
      <alignment horizontal="center" vertical="center" wrapText="1"/>
    </xf>
    <xf numFmtId="0" fontId="144" fillId="4" borderId="17" xfId="7" applyFont="1" applyFill="1" applyBorder="1" applyAlignment="1">
      <alignment horizontal="center" vertical="center" wrapText="1"/>
    </xf>
    <xf numFmtId="0" fontId="12" fillId="45" borderId="214" xfId="0" applyFont="1" applyFill="1" applyBorder="1" applyAlignment="1">
      <alignment horizontal="center" vertical="center" textRotation="90" wrapText="1"/>
    </xf>
    <xf numFmtId="0" fontId="158" fillId="45" borderId="0" xfId="7" applyFont="1" applyFill="1" applyAlignment="1">
      <alignment horizontal="center" vertical="center" textRotation="90" wrapText="1"/>
    </xf>
    <xf numFmtId="0" fontId="144" fillId="4" borderId="0" xfId="7" applyFont="1" applyFill="1" applyAlignment="1">
      <alignment horizontal="center" vertical="top" wrapText="1"/>
    </xf>
    <xf numFmtId="0" fontId="43" fillId="4" borderId="121" xfId="0" applyFont="1" applyFill="1" applyBorder="1" applyAlignment="1">
      <alignment horizontal="center" vertical="top" wrapText="1"/>
    </xf>
    <xf numFmtId="0" fontId="43" fillId="24" borderId="17" xfId="0" applyFont="1" applyFill="1" applyBorder="1" applyAlignment="1">
      <alignment horizontal="center" vertical="top" wrapText="1"/>
    </xf>
    <xf numFmtId="0" fontId="43" fillId="4" borderId="0" xfId="0" applyFont="1" applyFill="1" applyAlignment="1">
      <alignment horizontal="center" vertical="top" wrapText="1"/>
    </xf>
    <xf numFmtId="0" fontId="43" fillId="24" borderId="58" xfId="0" applyFont="1" applyFill="1" applyBorder="1" applyAlignment="1">
      <alignment horizontal="center" vertical="top" wrapText="1"/>
    </xf>
    <xf numFmtId="0" fontId="4" fillId="45" borderId="214" xfId="0" applyFont="1" applyFill="1" applyBorder="1" applyAlignment="1">
      <alignment horizontal="center" vertical="center" textRotation="90" wrapText="1"/>
    </xf>
    <xf numFmtId="0" fontId="6" fillId="45" borderId="214" xfId="0" applyFont="1" applyFill="1" applyBorder="1" applyAlignment="1">
      <alignment horizontal="center" vertical="center" textRotation="90" wrapText="1"/>
    </xf>
    <xf numFmtId="0" fontId="43" fillId="24" borderId="0" xfId="0" applyFont="1" applyFill="1" applyAlignment="1">
      <alignment horizontal="center" vertical="top" wrapText="1"/>
    </xf>
    <xf numFmtId="0" fontId="6" fillId="45" borderId="215" xfId="0" applyFont="1" applyFill="1" applyBorder="1" applyAlignment="1">
      <alignment horizontal="center" vertical="center" textRotation="90" wrapText="1"/>
    </xf>
    <xf numFmtId="0" fontId="46" fillId="42" borderId="37" xfId="0" applyFont="1" applyFill="1" applyBorder="1" applyAlignment="1">
      <alignment horizontal="center" vertical="center" wrapText="1"/>
    </xf>
    <xf numFmtId="0" fontId="6" fillId="45" borderId="212" xfId="0" applyFont="1" applyFill="1" applyBorder="1" applyAlignment="1">
      <alignment horizontal="center" vertical="center" textRotation="90" wrapText="1"/>
    </xf>
    <xf numFmtId="0" fontId="147" fillId="4" borderId="0" xfId="0" applyFont="1" applyFill="1" applyAlignment="1">
      <alignment horizontal="center" vertical="center" wrapText="1"/>
    </xf>
    <xf numFmtId="0" fontId="147" fillId="4" borderId="127" xfId="0" applyFont="1" applyFill="1" applyBorder="1" applyAlignment="1">
      <alignment horizontal="center" vertical="center" wrapText="1"/>
    </xf>
    <xf numFmtId="0" fontId="147" fillId="4" borderId="16" xfId="0" applyFont="1" applyFill="1" applyBorder="1" applyAlignment="1">
      <alignment horizontal="center" vertical="center" wrapText="1"/>
    </xf>
    <xf numFmtId="0" fontId="147" fillId="4" borderId="104" xfId="0" applyFont="1" applyFill="1" applyBorder="1" applyAlignment="1">
      <alignment horizontal="center" vertical="center" wrapText="1"/>
    </xf>
    <xf numFmtId="0" fontId="141" fillId="4" borderId="0" xfId="0" applyFont="1" applyFill="1" applyAlignment="1">
      <alignment horizontal="center" vertical="center" wrapText="1"/>
    </xf>
    <xf numFmtId="0" fontId="141" fillId="4" borderId="127" xfId="0" applyFont="1" applyFill="1" applyBorder="1" applyAlignment="1">
      <alignment horizontal="center" vertical="center" wrapText="1"/>
    </xf>
    <xf numFmtId="0" fontId="141" fillId="4" borderId="16" xfId="0" applyFont="1" applyFill="1" applyBorder="1" applyAlignment="1">
      <alignment horizontal="center" vertical="center" wrapText="1"/>
    </xf>
    <xf numFmtId="0" fontId="141" fillId="4" borderId="104" xfId="0" applyFont="1" applyFill="1" applyBorder="1" applyAlignment="1">
      <alignment horizontal="center" vertical="center" wrapText="1"/>
    </xf>
    <xf numFmtId="0" fontId="154" fillId="4" borderId="0" xfId="0" applyFont="1" applyFill="1" applyAlignment="1">
      <alignment horizontal="center" vertical="top" textRotation="90" wrapText="1"/>
    </xf>
    <xf numFmtId="0" fontId="156" fillId="4" borderId="127" xfId="0" applyFont="1" applyFill="1" applyBorder="1" applyAlignment="1">
      <alignment horizontal="center" vertical="top" textRotation="90" wrapText="1"/>
    </xf>
    <xf numFmtId="0" fontId="0" fillId="4" borderId="0" xfId="0" applyFill="1" applyAlignment="1">
      <alignment horizontal="center" vertical="top" textRotation="90" wrapText="1"/>
    </xf>
    <xf numFmtId="0" fontId="43" fillId="45" borderId="213" xfId="0" applyFont="1" applyFill="1" applyBorder="1" applyAlignment="1">
      <alignment horizontal="center" vertical="center" wrapText="1"/>
    </xf>
    <xf numFmtId="0" fontId="0" fillId="4" borderId="104" xfId="0" applyFill="1" applyBorder="1" applyAlignment="1">
      <alignment horizontal="center" vertical="top" textRotation="90" wrapText="1"/>
    </xf>
    <xf numFmtId="0" fontId="1" fillId="0" borderId="12" xfId="3" applyBorder="1" applyAlignment="1">
      <alignment vertical="center"/>
    </xf>
    <xf numFmtId="0" fontId="1" fillId="0" borderId="12" xfId="0" applyFont="1" applyBorder="1" applyAlignment="1">
      <alignment horizontal="left" vertical="center"/>
    </xf>
    <xf numFmtId="0" fontId="1" fillId="0" borderId="12" xfId="0" applyFont="1" applyBorder="1" applyAlignment="1">
      <alignment horizontal="center" vertical="center"/>
    </xf>
    <xf numFmtId="2" fontId="1" fillId="0" borderId="12" xfId="0" applyNumberFormat="1" applyFont="1" applyBorder="1" applyAlignment="1">
      <alignment horizontal="center" vertical="center"/>
    </xf>
    <xf numFmtId="3" fontId="1" fillId="0" borderId="12" xfId="0" applyNumberFormat="1" applyFont="1" applyBorder="1" applyAlignment="1">
      <alignment horizontal="center" vertical="center"/>
    </xf>
    <xf numFmtId="9" fontId="1" fillId="0" borderId="154" xfId="2" applyFont="1" applyFill="1" applyBorder="1" applyAlignment="1">
      <alignment horizontal="center" vertical="center"/>
    </xf>
    <xf numFmtId="174" fontId="1" fillId="45" borderId="208" xfId="2" applyNumberFormat="1" applyFont="1" applyFill="1" applyBorder="1" applyAlignment="1">
      <alignment horizontal="center" vertical="center"/>
    </xf>
    <xf numFmtId="173" fontId="0" fillId="45" borderId="210" xfId="1" applyNumberFormat="1" applyFont="1" applyFill="1" applyBorder="1" applyAlignment="1">
      <alignment horizontal="right" vertical="center"/>
    </xf>
    <xf numFmtId="174" fontId="0" fillId="45" borderId="206" xfId="2" applyNumberFormat="1" applyFont="1" applyFill="1" applyBorder="1" applyAlignment="1">
      <alignment horizontal="center" vertical="center"/>
    </xf>
    <xf numFmtId="3" fontId="0" fillId="0" borderId="12" xfId="0" applyNumberFormat="1" applyBorder="1" applyAlignment="1">
      <alignment horizontal="center" vertical="center"/>
    </xf>
    <xf numFmtId="166" fontId="148" fillId="0" borderId="89" xfId="0" applyNumberFormat="1" applyFont="1" applyBorder="1" applyAlignment="1">
      <alignment horizontal="center" vertical="center"/>
    </xf>
    <xf numFmtId="175" fontId="0" fillId="45" borderId="210" xfId="2" applyNumberFormat="1" applyFont="1" applyFill="1" applyBorder="1" applyAlignment="1">
      <alignment horizontal="center" vertical="center"/>
    </xf>
    <xf numFmtId="175" fontId="0" fillId="45" borderId="218" xfId="2" applyNumberFormat="1" applyFont="1" applyFill="1" applyBorder="1" applyAlignment="1">
      <alignment horizontal="center" vertical="center"/>
    </xf>
    <xf numFmtId="175" fontId="0" fillId="45" borderId="169" xfId="2" applyNumberFormat="1" applyFont="1" applyFill="1" applyBorder="1" applyAlignment="1">
      <alignment horizontal="center" vertical="center"/>
    </xf>
    <xf numFmtId="0" fontId="148" fillId="0" borderId="161" xfId="0" applyFont="1" applyBorder="1" applyAlignment="1">
      <alignment horizontal="center" vertical="center"/>
    </xf>
    <xf numFmtId="2" fontId="148" fillId="0" borderId="12" xfId="0" applyNumberFormat="1" applyFont="1" applyBorder="1" applyAlignment="1">
      <alignment horizontal="center" vertical="center"/>
    </xf>
    <xf numFmtId="1" fontId="75" fillId="0" borderId="136" xfId="2" applyNumberFormat="1" applyFont="1" applyFill="1" applyBorder="1" applyAlignment="1">
      <alignment horizontal="center" vertical="center"/>
    </xf>
    <xf numFmtId="2" fontId="148" fillId="0" borderId="89" xfId="0" applyNumberFormat="1" applyFont="1" applyBorder="1" applyAlignment="1">
      <alignment horizontal="center" vertical="center"/>
    </xf>
    <xf numFmtId="177" fontId="1" fillId="45" borderId="210" xfId="2" applyNumberFormat="1" applyFont="1" applyFill="1" applyBorder="1" applyAlignment="1">
      <alignment horizontal="center" vertical="center"/>
    </xf>
    <xf numFmtId="0" fontId="144" fillId="11" borderId="12" xfId="7" applyFont="1" applyFill="1" applyBorder="1" applyAlignment="1">
      <alignment horizontal="center" vertical="center" wrapText="1"/>
    </xf>
    <xf numFmtId="1" fontId="0" fillId="11" borderId="12" xfId="0" applyNumberFormat="1" applyFill="1" applyBorder="1" applyAlignment="1">
      <alignment horizontal="center" vertical="center"/>
    </xf>
    <xf numFmtId="1" fontId="150" fillId="11" borderId="12" xfId="4" applyNumberFormat="1" applyFont="1" applyFill="1" applyBorder="1" applyAlignment="1">
      <alignment horizontal="center" vertical="center"/>
    </xf>
    <xf numFmtId="1" fontId="1" fillId="11" borderId="12" xfId="1" applyNumberFormat="1" applyFont="1" applyFill="1" applyBorder="1" applyAlignment="1">
      <alignment horizontal="center" vertical="center"/>
    </xf>
    <xf numFmtId="1" fontId="43" fillId="11" borderId="12" xfId="0" applyNumberFormat="1" applyFont="1" applyFill="1" applyBorder="1" applyAlignment="1">
      <alignment horizontal="center" vertical="center"/>
    </xf>
    <xf numFmtId="0" fontId="144" fillId="5" borderId="211" xfId="7" applyFont="1" applyFill="1" applyBorder="1" applyAlignment="1">
      <alignment horizontal="center" vertical="center" wrapText="1"/>
    </xf>
    <xf numFmtId="172" fontId="43" fillId="5" borderId="12" xfId="0" applyNumberFormat="1" applyFont="1" applyFill="1" applyBorder="1" applyAlignment="1">
      <alignment horizontal="right" vertical="center"/>
    </xf>
    <xf numFmtId="0" fontId="9" fillId="5" borderId="25" xfId="0" applyFont="1" applyFill="1" applyBorder="1" applyAlignment="1">
      <alignment horizontal="center" vertical="center" wrapText="1"/>
    </xf>
    <xf numFmtId="172" fontId="43" fillId="5" borderId="25" xfId="1" applyNumberFormat="1" applyFont="1" applyFill="1" applyBorder="1" applyAlignment="1">
      <alignment horizontal="right" vertical="center"/>
    </xf>
    <xf numFmtId="0" fontId="144" fillId="5" borderId="25" xfId="7" applyFont="1" applyFill="1" applyBorder="1" applyAlignment="1">
      <alignment horizontal="center" vertical="center" wrapText="1"/>
    </xf>
    <xf numFmtId="173" fontId="144" fillId="5" borderId="25" xfId="4" applyNumberFormat="1" applyFont="1" applyFill="1" applyBorder="1" applyAlignment="1">
      <alignment horizontal="right" vertical="center"/>
    </xf>
    <xf numFmtId="172" fontId="43" fillId="5" borderId="25" xfId="0" applyNumberFormat="1" applyFont="1" applyFill="1" applyBorder="1" applyAlignment="1">
      <alignment horizontal="right" vertical="center"/>
    </xf>
    <xf numFmtId="175" fontId="1" fillId="41" borderId="205" xfId="2" applyNumberFormat="1" applyFont="1" applyFill="1" applyBorder="1" applyAlignment="1">
      <alignment horizontal="center" vertical="center"/>
    </xf>
    <xf numFmtId="0" fontId="148" fillId="0" borderId="12" xfId="0" applyFont="1" applyBorder="1" applyAlignment="1">
      <alignment horizontal="center" vertical="center"/>
    </xf>
    <xf numFmtId="166" fontId="75" fillId="0" borderId="162" xfId="0" applyNumberFormat="1" applyFont="1" applyBorder="1" applyAlignment="1">
      <alignment horizontal="center" vertical="center"/>
    </xf>
    <xf numFmtId="3" fontId="0" fillId="11" borderId="12" xfId="0" applyNumberFormat="1" applyFill="1" applyBorder="1" applyAlignment="1">
      <alignment horizontal="center" vertical="center"/>
    </xf>
    <xf numFmtId="0" fontId="160" fillId="0" borderId="0" xfId="3" applyFont="1" applyAlignment="1">
      <alignment horizontal="center" vertical="center"/>
    </xf>
    <xf numFmtId="0" fontId="148" fillId="0" borderId="0" xfId="0" applyFont="1"/>
    <xf numFmtId="0" fontId="153" fillId="0" borderId="0" xfId="0" applyFont="1"/>
    <xf numFmtId="0" fontId="161" fillId="0" borderId="0" xfId="0" applyFont="1"/>
    <xf numFmtId="0" fontId="148" fillId="4" borderId="0" xfId="0" applyFont="1" applyFill="1"/>
    <xf numFmtId="0" fontId="147" fillId="41" borderId="205" xfId="0" applyFont="1" applyFill="1" applyBorder="1" applyAlignment="1">
      <alignment horizontal="center" vertical="top" wrapText="1"/>
    </xf>
    <xf numFmtId="0" fontId="43" fillId="11" borderId="127" xfId="0" applyFont="1" applyFill="1" applyBorder="1" applyAlignment="1">
      <alignment horizontal="center" vertical="center" wrapText="1"/>
    </xf>
    <xf numFmtId="0" fontId="43" fillId="11" borderId="54" xfId="0" applyFont="1" applyFill="1" applyBorder="1" applyAlignment="1">
      <alignment horizontal="center" vertical="center" wrapText="1"/>
    </xf>
    <xf numFmtId="179" fontId="75" fillId="0" borderId="12" xfId="0" applyNumberFormat="1" applyFont="1" applyBorder="1" applyAlignment="1">
      <alignment horizontal="center" vertical="center"/>
    </xf>
    <xf numFmtId="179" fontId="75" fillId="0" borderId="89" xfId="0" applyNumberFormat="1" applyFont="1" applyBorder="1" applyAlignment="1">
      <alignment horizontal="center" vertical="center"/>
    </xf>
    <xf numFmtId="3" fontId="0" fillId="11" borderId="25" xfId="0" applyNumberFormat="1" applyFill="1" applyBorder="1" applyAlignment="1">
      <alignment horizontal="center" vertical="center"/>
    </xf>
    <xf numFmtId="179" fontId="75" fillId="0" borderId="89" xfId="2" applyNumberFormat="1" applyFont="1" applyFill="1" applyBorder="1" applyAlignment="1">
      <alignment horizontal="center" vertical="center"/>
    </xf>
    <xf numFmtId="3" fontId="1" fillId="11" borderId="83" xfId="2" applyNumberFormat="1" applyFont="1" applyFill="1" applyBorder="1" applyAlignment="1">
      <alignment horizontal="center" vertical="center"/>
    </xf>
    <xf numFmtId="3" fontId="43" fillId="47" borderId="221" xfId="2" applyNumberFormat="1" applyFont="1" applyFill="1" applyBorder="1" applyAlignment="1">
      <alignment horizontal="center" vertical="center"/>
    </xf>
    <xf numFmtId="175" fontId="1" fillId="41" borderId="207" xfId="2" applyNumberFormat="1" applyFont="1" applyFill="1" applyBorder="1" applyAlignment="1">
      <alignment horizontal="center" vertical="center"/>
    </xf>
    <xf numFmtId="0" fontId="148" fillId="4" borderId="127" xfId="0" applyFont="1" applyFill="1" applyBorder="1" applyAlignment="1">
      <alignment horizontal="center" vertical="center" wrapText="1"/>
    </xf>
    <xf numFmtId="0" fontId="148" fillId="41" borderId="205" xfId="0" applyFont="1" applyFill="1" applyBorder="1"/>
    <xf numFmtId="0" fontId="1" fillId="6" borderId="12" xfId="3" applyFill="1" applyBorder="1" applyAlignment="1">
      <alignment vertical="center"/>
    </xf>
    <xf numFmtId="9" fontId="1" fillId="6" borderId="154" xfId="2" applyFont="1" applyFill="1" applyBorder="1" applyAlignment="1">
      <alignment horizontal="center" vertical="center"/>
    </xf>
    <xf numFmtId="0" fontId="74" fillId="0" borderId="12" xfId="0" applyFont="1" applyBorder="1" applyAlignment="1">
      <alignment horizontal="center" vertical="center"/>
    </xf>
    <xf numFmtId="0" fontId="20" fillId="0" borderId="0" xfId="0" applyFont="1" applyAlignment="1">
      <alignment horizontal="center" vertical="center" wrapText="1"/>
    </xf>
    <xf numFmtId="0" fontId="12" fillId="0" borderId="12" xfId="0" applyFont="1" applyBorder="1" applyAlignment="1">
      <alignment horizontal="center" vertical="center"/>
    </xf>
    <xf numFmtId="4" fontId="75" fillId="0" borderId="12" xfId="0" applyNumberFormat="1" applyFont="1" applyBorder="1" applyAlignment="1">
      <alignment horizontal="center" vertical="center"/>
    </xf>
    <xf numFmtId="4" fontId="75" fillId="0" borderId="89" xfId="0" applyNumberFormat="1" applyFont="1" applyBorder="1" applyAlignment="1">
      <alignment horizontal="center" vertical="center"/>
    </xf>
    <xf numFmtId="3" fontId="43" fillId="47" borderId="222" xfId="2" applyNumberFormat="1" applyFont="1" applyFill="1" applyBorder="1" applyAlignment="1">
      <alignment horizontal="center" vertical="center"/>
    </xf>
    <xf numFmtId="178" fontId="75" fillId="0" borderId="0" xfId="2" applyNumberFormat="1" applyFont="1" applyFill="1" applyBorder="1" applyAlignment="1">
      <alignment vertical="center"/>
    </xf>
    <xf numFmtId="178" fontId="75" fillId="0" borderId="0" xfId="2" applyNumberFormat="1" applyFont="1" applyFill="1" applyBorder="1" applyAlignment="1">
      <alignment horizontal="center" vertical="center"/>
    </xf>
    <xf numFmtId="2" fontId="150" fillId="0" borderId="0" xfId="4" applyNumberFormat="1" applyFont="1" applyFill="1" applyBorder="1" applyAlignment="1">
      <alignment vertical="center"/>
    </xf>
    <xf numFmtId="178" fontId="75" fillId="0" borderId="0" xfId="0" applyNumberFormat="1" applyFont="1" applyFill="1" applyBorder="1" applyAlignment="1">
      <alignment vertical="center"/>
    </xf>
    <xf numFmtId="3" fontId="0" fillId="0" borderId="0" xfId="0" applyNumberFormat="1" applyFill="1" applyBorder="1" applyAlignment="1">
      <alignment vertical="center"/>
    </xf>
    <xf numFmtId="3" fontId="1" fillId="0" borderId="0" xfId="2" applyNumberFormat="1" applyFont="1" applyFill="1" applyBorder="1" applyAlignment="1">
      <alignment vertical="center"/>
    </xf>
    <xf numFmtId="3" fontId="43" fillId="0" borderId="0" xfId="2" applyNumberFormat="1" applyFont="1" applyFill="1" applyBorder="1" applyAlignment="1">
      <alignment vertical="center"/>
    </xf>
    <xf numFmtId="2" fontId="150" fillId="0" borderId="0" xfId="4" applyNumberFormat="1" applyFont="1" applyFill="1" applyBorder="1" applyAlignment="1">
      <alignment horizontal="center" vertical="center"/>
    </xf>
    <xf numFmtId="0" fontId="148" fillId="0" borderId="0" xfId="0" applyFont="1" applyFill="1" applyBorder="1" applyAlignment="1">
      <alignment horizontal="center" vertical="center"/>
    </xf>
    <xf numFmtId="166" fontId="75" fillId="0" borderId="0" xfId="0" applyNumberFormat="1" applyFont="1" applyFill="1" applyBorder="1" applyAlignment="1">
      <alignment horizontal="center" vertical="center"/>
    </xf>
    <xf numFmtId="3" fontId="0" fillId="0" borderId="0" xfId="0" applyNumberFormat="1" applyFill="1" applyBorder="1" applyAlignment="1">
      <alignment horizontal="center" vertical="center"/>
    </xf>
    <xf numFmtId="3" fontId="43" fillId="0" borderId="0" xfId="2" applyNumberFormat="1" applyFont="1" applyFill="1" applyBorder="1" applyAlignment="1">
      <alignment horizontal="center" vertical="center"/>
    </xf>
    <xf numFmtId="3" fontId="1" fillId="0" borderId="0" xfId="2" applyNumberFormat="1" applyFont="1" applyFill="1" applyBorder="1" applyAlignment="1">
      <alignment horizontal="center" vertical="center"/>
    </xf>
    <xf numFmtId="175" fontId="1" fillId="0" borderId="0" xfId="2" applyNumberFormat="1" applyFont="1" applyFill="1" applyBorder="1" applyAlignment="1">
      <alignment horizontal="center" vertical="center"/>
    </xf>
    <xf numFmtId="166" fontId="75" fillId="0" borderId="0" xfId="0" applyNumberFormat="1" applyFont="1" applyFill="1" applyBorder="1" applyAlignment="1">
      <alignment vertical="center"/>
    </xf>
    <xf numFmtId="178" fontId="75" fillId="0" borderId="0" xfId="0" applyNumberFormat="1" applyFont="1" applyFill="1" applyBorder="1" applyAlignment="1">
      <alignment horizontal="center" vertical="center"/>
    </xf>
    <xf numFmtId="0" fontId="148" fillId="0" borderId="0" xfId="0" applyFont="1" applyFill="1" applyBorder="1" applyAlignment="1">
      <alignment vertical="center"/>
    </xf>
    <xf numFmtId="0" fontId="148" fillId="0" borderId="0" xfId="0" applyFont="1" applyFill="1" applyBorder="1"/>
    <xf numFmtId="179" fontId="75" fillId="6" borderId="12" xfId="0" applyNumberFormat="1" applyFont="1" applyFill="1" applyBorder="1" applyAlignment="1">
      <alignment horizontal="center" vertical="center"/>
    </xf>
    <xf numFmtId="2" fontId="150" fillId="6" borderId="25" xfId="4" applyNumberFormat="1" applyFont="1" applyFill="1" applyBorder="1" applyAlignment="1">
      <alignment horizontal="center" vertical="center"/>
    </xf>
    <xf numFmtId="0" fontId="148" fillId="6" borderId="12" xfId="0" applyFont="1" applyFill="1" applyBorder="1" applyAlignment="1">
      <alignment horizontal="center" vertical="center"/>
    </xf>
    <xf numFmtId="4" fontId="75" fillId="6" borderId="12" xfId="0" applyNumberFormat="1" applyFont="1" applyFill="1" applyBorder="1" applyAlignment="1">
      <alignment horizontal="center" vertical="center"/>
    </xf>
    <xf numFmtId="4" fontId="75" fillId="6" borderId="89" xfId="0" applyNumberFormat="1" applyFont="1" applyFill="1" applyBorder="1" applyAlignment="1">
      <alignment horizontal="center" vertical="center"/>
    </xf>
    <xf numFmtId="0" fontId="43" fillId="4" borderId="79" xfId="0" applyFont="1" applyFill="1" applyBorder="1" applyAlignment="1">
      <alignment horizontal="center" vertical="center" wrapText="1"/>
    </xf>
    <xf numFmtId="0" fontId="43" fillId="4" borderId="127" xfId="0" applyFont="1" applyFill="1" applyBorder="1" applyAlignment="1">
      <alignment horizontal="center" vertical="center" wrapText="1"/>
    </xf>
    <xf numFmtId="0" fontId="144" fillId="4" borderId="105" xfId="7" applyFont="1" applyFill="1" applyBorder="1" applyAlignment="1">
      <alignment horizontal="center" vertical="center" wrapText="1"/>
    </xf>
    <xf numFmtId="0" fontId="144" fillId="4" borderId="37" xfId="7" applyFont="1" applyFill="1" applyBorder="1" applyAlignment="1">
      <alignment horizontal="center" vertical="center" wrapText="1"/>
    </xf>
    <xf numFmtId="0" fontId="43" fillId="4" borderId="37" xfId="0" applyFont="1" applyFill="1" applyBorder="1" applyAlignment="1">
      <alignment horizontal="center" vertical="center" wrapText="1"/>
    </xf>
    <xf numFmtId="0" fontId="43" fillId="47" borderId="220" xfId="0" applyFont="1" applyFill="1" applyBorder="1" applyAlignment="1">
      <alignment horizontal="center" vertical="center" wrapText="1"/>
    </xf>
    <xf numFmtId="0" fontId="144" fillId="4" borderId="54" xfId="7" applyFont="1" applyFill="1" applyBorder="1" applyAlignment="1">
      <alignment horizontal="center" vertical="center" wrapText="1"/>
    </xf>
    <xf numFmtId="0" fontId="43" fillId="4" borderId="219" xfId="0" applyFont="1" applyFill="1" applyBorder="1" applyAlignment="1">
      <alignment horizontal="center" vertical="center" wrapText="1"/>
    </xf>
    <xf numFmtId="0" fontId="43" fillId="47" borderId="212" xfId="0" applyFont="1" applyFill="1" applyBorder="1" applyAlignment="1">
      <alignment horizontal="center" vertical="center" wrapText="1"/>
    </xf>
    <xf numFmtId="179" fontId="75" fillId="6" borderId="89" xfId="0" applyNumberFormat="1" applyFont="1" applyFill="1" applyBorder="1" applyAlignment="1">
      <alignment horizontal="center" vertical="center"/>
    </xf>
    <xf numFmtId="179" fontId="75" fillId="6" borderId="89" xfId="2" applyNumberFormat="1" applyFont="1" applyFill="1" applyBorder="1" applyAlignment="1">
      <alignment horizontal="center" vertical="center"/>
    </xf>
    <xf numFmtId="0" fontId="64" fillId="11" borderId="204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/>
    </xf>
    <xf numFmtId="0" fontId="4" fillId="6" borderId="149" xfId="0" applyFont="1" applyFill="1" applyBorder="1" applyAlignment="1">
      <alignment horizontal="right" vertical="center"/>
    </xf>
    <xf numFmtId="0" fontId="4" fillId="6" borderId="175" xfId="0" applyFont="1" applyFill="1" applyBorder="1" applyAlignment="1">
      <alignment horizontal="right" vertical="center"/>
    </xf>
    <xf numFmtId="0" fontId="0" fillId="6" borderId="5" xfId="0" applyFont="1" applyFill="1" applyBorder="1" applyAlignment="1">
      <alignment horizontal="center" vertical="center"/>
    </xf>
    <xf numFmtId="0" fontId="0" fillId="6" borderId="4" xfId="0" applyFont="1" applyFill="1" applyBorder="1" applyAlignment="1">
      <alignment horizontal="center" vertical="center"/>
    </xf>
    <xf numFmtId="0" fontId="0" fillId="6" borderId="116" xfId="0" applyFont="1" applyFill="1" applyBorder="1" applyAlignment="1">
      <alignment horizontal="center" vertical="center"/>
    </xf>
    <xf numFmtId="0" fontId="0" fillId="6" borderId="117" xfId="0" applyFont="1" applyFill="1" applyBorder="1" applyAlignment="1">
      <alignment horizontal="center" vertical="center"/>
    </xf>
    <xf numFmtId="1" fontId="12" fillId="6" borderId="188" xfId="0" applyNumberFormat="1" applyFont="1" applyFill="1" applyBorder="1" applyAlignment="1">
      <alignment horizontal="right" vertical="center" wrapText="1"/>
    </xf>
    <xf numFmtId="1" fontId="12" fillId="6" borderId="91" xfId="0" applyNumberFormat="1" applyFont="1" applyFill="1" applyBorder="1" applyAlignment="1">
      <alignment horizontal="right" vertical="center" wrapText="1"/>
    </xf>
    <xf numFmtId="1" fontId="4" fillId="6" borderId="188" xfId="0" applyNumberFormat="1" applyFont="1" applyFill="1" applyBorder="1" applyAlignment="1">
      <alignment horizontal="right" vertical="center" wrapText="1"/>
    </xf>
    <xf numFmtId="1" fontId="4" fillId="6" borderId="191" xfId="0" applyNumberFormat="1" applyFont="1" applyFill="1" applyBorder="1" applyAlignment="1">
      <alignment horizontal="right" vertical="center" wrapText="1"/>
    </xf>
    <xf numFmtId="1" fontId="12" fillId="6" borderId="133" xfId="0" applyNumberFormat="1" applyFont="1" applyFill="1" applyBorder="1" applyAlignment="1">
      <alignment horizontal="right" vertical="center" wrapText="1"/>
    </xf>
    <xf numFmtId="1" fontId="12" fillId="6" borderId="32" xfId="0" applyNumberFormat="1" applyFont="1" applyFill="1" applyBorder="1" applyAlignment="1">
      <alignment horizontal="right" vertical="center" wrapText="1"/>
    </xf>
    <xf numFmtId="1" fontId="4" fillId="6" borderId="133" xfId="0" applyNumberFormat="1" applyFont="1" applyFill="1" applyBorder="1" applyAlignment="1">
      <alignment horizontal="right" vertical="center" wrapText="1"/>
    </xf>
    <xf numFmtId="1" fontId="4" fillId="6" borderId="192" xfId="0" applyNumberFormat="1" applyFont="1" applyFill="1" applyBorder="1" applyAlignment="1">
      <alignment horizontal="right" vertical="center" wrapText="1"/>
    </xf>
    <xf numFmtId="0" fontId="52" fillId="6" borderId="135" xfId="0" applyFont="1" applyFill="1" applyBorder="1" applyAlignment="1">
      <alignment horizontal="right"/>
    </xf>
    <xf numFmtId="0" fontId="52" fillId="6" borderId="35" xfId="0" applyFont="1" applyFill="1" applyBorder="1" applyAlignment="1">
      <alignment horizontal="right"/>
    </xf>
    <xf numFmtId="0" fontId="52" fillId="6" borderId="135" xfId="0" applyFont="1" applyFill="1" applyBorder="1" applyAlignment="1">
      <alignment horizontal="left"/>
    </xf>
    <xf numFmtId="0" fontId="52" fillId="6" borderId="193" xfId="0" applyFont="1" applyFill="1" applyBorder="1" applyAlignment="1">
      <alignment horizontal="left"/>
    </xf>
    <xf numFmtId="165" fontId="52" fillId="6" borderId="134" xfId="0" applyNumberFormat="1" applyFont="1" applyFill="1" applyBorder="1" applyAlignment="1">
      <alignment horizontal="right"/>
    </xf>
    <xf numFmtId="165" fontId="52" fillId="6" borderId="194" xfId="0" applyNumberFormat="1" applyFont="1" applyFill="1" applyBorder="1" applyAlignment="1">
      <alignment horizontal="right"/>
    </xf>
    <xf numFmtId="165" fontId="52" fillId="6" borderId="33" xfId="0" applyNumberFormat="1" applyFont="1" applyFill="1" applyBorder="1" applyAlignment="1">
      <alignment horizontal="right"/>
    </xf>
    <xf numFmtId="0" fontId="52" fillId="6" borderId="195" xfId="0" applyFont="1" applyFill="1" applyBorder="1" applyAlignment="1">
      <alignment horizontal="right"/>
    </xf>
    <xf numFmtId="0" fontId="52" fillId="6" borderId="174" xfId="0" applyFont="1" applyFill="1" applyBorder="1" applyAlignment="1">
      <alignment horizontal="right"/>
    </xf>
    <xf numFmtId="0" fontId="52" fillId="6" borderId="195" xfId="0" applyFont="1" applyFill="1" applyBorder="1" applyAlignment="1">
      <alignment horizontal="left"/>
    </xf>
    <xf numFmtId="0" fontId="52" fillId="6" borderId="196" xfId="0" applyFont="1" applyFill="1" applyBorder="1" applyAlignment="1">
      <alignment horizontal="left"/>
    </xf>
    <xf numFmtId="0" fontId="6" fillId="0" borderId="52" xfId="0" applyFont="1" applyBorder="1" applyAlignment="1">
      <alignment horizontal="right" vertical="center"/>
    </xf>
    <xf numFmtId="0" fontId="6" fillId="0" borderId="137" xfId="0" applyFont="1" applyBorder="1" applyAlignment="1">
      <alignment horizontal="right" vertical="center"/>
    </xf>
    <xf numFmtId="0" fontId="6" fillId="0" borderId="141" xfId="0" applyFont="1" applyBorder="1" applyAlignment="1">
      <alignment horizontal="right" vertical="center"/>
    </xf>
    <xf numFmtId="0" fontId="6" fillId="0" borderId="43" xfId="0" applyFont="1" applyBorder="1" applyAlignment="1">
      <alignment horizontal="right" vertical="center"/>
    </xf>
    <xf numFmtId="0" fontId="6" fillId="0" borderId="50" xfId="0" applyFont="1" applyBorder="1" applyAlignment="1">
      <alignment horizontal="right" vertical="center"/>
    </xf>
    <xf numFmtId="0" fontId="6" fillId="0" borderId="53" xfId="0" applyFont="1" applyBorder="1" applyAlignment="1">
      <alignment horizontal="right" vertical="center"/>
    </xf>
    <xf numFmtId="0" fontId="115" fillId="36" borderId="106" xfId="0" applyFont="1" applyFill="1" applyBorder="1" applyAlignment="1">
      <alignment horizontal="center" vertical="center" wrapText="1"/>
    </xf>
    <xf numFmtId="0" fontId="115" fillId="36" borderId="92" xfId="0" applyFont="1" applyFill="1" applyBorder="1" applyAlignment="1">
      <alignment horizontal="center" vertical="center" wrapText="1"/>
    </xf>
    <xf numFmtId="0" fontId="115" fillId="36" borderId="155" xfId="0" applyFont="1" applyFill="1" applyBorder="1" applyAlignment="1">
      <alignment horizontal="center" vertical="center" wrapText="1"/>
    </xf>
    <xf numFmtId="0" fontId="115" fillId="36" borderId="156" xfId="0" applyFont="1" applyFill="1" applyBorder="1" applyAlignment="1">
      <alignment horizontal="center" vertical="center" wrapText="1"/>
    </xf>
    <xf numFmtId="0" fontId="115" fillId="36" borderId="157" xfId="0" applyFont="1" applyFill="1" applyBorder="1" applyAlignment="1">
      <alignment horizontal="center" vertical="center" wrapText="1"/>
    </xf>
    <xf numFmtId="0" fontId="115" fillId="36" borderId="158" xfId="0" applyFont="1" applyFill="1" applyBorder="1" applyAlignment="1">
      <alignment horizontal="center" vertical="center" wrapText="1"/>
    </xf>
    <xf numFmtId="0" fontId="6" fillId="0" borderId="59" xfId="0" applyFont="1" applyBorder="1" applyAlignment="1">
      <alignment horizontal="right" vertical="center"/>
    </xf>
    <xf numFmtId="0" fontId="6" fillId="0" borderId="67" xfId="0" applyFont="1" applyBorder="1" applyAlignment="1">
      <alignment horizontal="right" vertical="center"/>
    </xf>
    <xf numFmtId="0" fontId="6" fillId="0" borderId="170" xfId="0" applyFont="1" applyBorder="1" applyAlignment="1">
      <alignment horizontal="right" vertical="center"/>
    </xf>
    <xf numFmtId="0" fontId="6" fillId="0" borderId="38" xfId="0" applyFont="1" applyFill="1" applyBorder="1" applyAlignment="1">
      <alignment horizontal="right" vertical="center"/>
    </xf>
    <xf numFmtId="0" fontId="6" fillId="0" borderId="83" xfId="0" applyFont="1" applyFill="1" applyBorder="1" applyAlignment="1">
      <alignment horizontal="right" vertical="center"/>
    </xf>
    <xf numFmtId="0" fontId="6" fillId="0" borderId="136" xfId="0" applyFont="1" applyFill="1" applyBorder="1" applyAlignment="1">
      <alignment horizontal="right" vertical="center"/>
    </xf>
    <xf numFmtId="0" fontId="6" fillId="0" borderId="38" xfId="0" applyFont="1" applyBorder="1" applyAlignment="1">
      <alignment horizontal="right" vertical="center"/>
    </xf>
    <xf numFmtId="0" fontId="6" fillId="0" borderId="83" xfId="0" applyFont="1" applyBorder="1" applyAlignment="1">
      <alignment horizontal="right" vertical="center"/>
    </xf>
    <xf numFmtId="0" fontId="6" fillId="0" borderId="136" xfId="0" applyFont="1" applyBorder="1" applyAlignment="1">
      <alignment horizontal="right" vertical="center"/>
    </xf>
    <xf numFmtId="3" fontId="4" fillId="4" borderId="52" xfId="0" applyNumberFormat="1" applyFont="1" applyFill="1" applyBorder="1" applyAlignment="1">
      <alignment horizontal="center" vertical="center"/>
    </xf>
    <xf numFmtId="3" fontId="4" fillId="4" borderId="137" xfId="0" applyNumberFormat="1" applyFont="1" applyFill="1" applyBorder="1" applyAlignment="1">
      <alignment horizontal="center" vertical="center"/>
    </xf>
    <xf numFmtId="0" fontId="127" fillId="22" borderId="98" xfId="0" applyFont="1" applyFill="1" applyBorder="1" applyAlignment="1">
      <alignment horizontal="center" vertical="center" wrapText="1"/>
    </xf>
    <xf numFmtId="0" fontId="127" fillId="22" borderId="32" xfId="0" applyFont="1" applyFill="1" applyBorder="1" applyAlignment="1">
      <alignment horizontal="center" vertical="center" wrapText="1"/>
    </xf>
    <xf numFmtId="2" fontId="15" fillId="11" borderId="96" xfId="0" applyNumberFormat="1" applyFont="1" applyFill="1" applyBorder="1" applyAlignment="1">
      <alignment horizontal="center" vertical="center"/>
    </xf>
    <xf numFmtId="2" fontId="15" fillId="11" borderId="102" xfId="0" applyNumberFormat="1" applyFont="1" applyFill="1" applyBorder="1" applyAlignment="1">
      <alignment horizontal="center" vertical="center"/>
    </xf>
    <xf numFmtId="0" fontId="15" fillId="11" borderId="37" xfId="0" quotePrefix="1" applyFont="1" applyFill="1" applyBorder="1" applyAlignment="1">
      <alignment horizontal="center" vertical="center"/>
    </xf>
    <xf numFmtId="0" fontId="15" fillId="11" borderId="0" xfId="0" quotePrefix="1" applyFont="1" applyFill="1" applyBorder="1" applyAlignment="1">
      <alignment horizontal="center" vertical="center"/>
    </xf>
    <xf numFmtId="3" fontId="4" fillId="4" borderId="43" xfId="0" applyNumberFormat="1" applyFont="1" applyFill="1" applyBorder="1" applyAlignment="1">
      <alignment horizontal="center" vertical="center"/>
    </xf>
    <xf numFmtId="3" fontId="4" fillId="4" borderId="50" xfId="0" applyNumberFormat="1" applyFont="1" applyFill="1" applyBorder="1" applyAlignment="1">
      <alignment horizontal="center" vertical="center"/>
    </xf>
    <xf numFmtId="0" fontId="2" fillId="27" borderId="16" xfId="0" applyFont="1" applyFill="1" applyBorder="1" applyAlignment="1">
      <alignment horizontal="right" vertical="center" textRotation="90"/>
    </xf>
    <xf numFmtId="1" fontId="2" fillId="6" borderId="138" xfId="0" applyNumberFormat="1" applyFont="1" applyFill="1" applyBorder="1" applyAlignment="1">
      <alignment horizontal="left" vertical="center" wrapText="1"/>
    </xf>
    <xf numFmtId="1" fontId="2" fillId="6" borderId="190" xfId="0" applyNumberFormat="1" applyFont="1" applyFill="1" applyBorder="1" applyAlignment="1">
      <alignment horizontal="left" vertical="center" wrapText="1"/>
    </xf>
    <xf numFmtId="2" fontId="103" fillId="36" borderId="62" xfId="0" applyNumberFormat="1" applyFont="1" applyFill="1" applyBorder="1" applyAlignment="1">
      <alignment horizontal="right" vertical="center" wrapText="1"/>
    </xf>
    <xf numFmtId="2" fontId="103" fillId="36" borderId="63" xfId="0" applyNumberFormat="1" applyFont="1" applyFill="1" applyBorder="1" applyAlignment="1">
      <alignment horizontal="right" vertical="center" wrapText="1"/>
    </xf>
    <xf numFmtId="2" fontId="53" fillId="6" borderId="187" xfId="0" applyNumberFormat="1" applyFont="1" applyFill="1" applyBorder="1" applyAlignment="1">
      <alignment horizontal="right" vertical="center" wrapText="1"/>
    </xf>
    <xf numFmtId="2" fontId="53" fillId="6" borderId="189" xfId="0" applyNumberFormat="1" applyFont="1" applyFill="1" applyBorder="1" applyAlignment="1">
      <alignment horizontal="right" vertical="center" wrapText="1"/>
    </xf>
    <xf numFmtId="0" fontId="128" fillId="8" borderId="37" xfId="0" applyFont="1" applyFill="1" applyBorder="1" applyAlignment="1">
      <alignment horizontal="center" vertical="center"/>
    </xf>
    <xf numFmtId="0" fontId="128" fillId="8" borderId="0" xfId="0" applyFont="1" applyFill="1" applyBorder="1" applyAlignment="1">
      <alignment horizontal="center" vertical="center"/>
    </xf>
    <xf numFmtId="0" fontId="128" fillId="8" borderId="16" xfId="0" applyFont="1" applyFill="1" applyBorder="1" applyAlignment="1">
      <alignment horizontal="center" vertical="center"/>
    </xf>
    <xf numFmtId="3" fontId="4" fillId="4" borderId="180" xfId="0" applyNumberFormat="1" applyFont="1" applyFill="1" applyBorder="1" applyAlignment="1">
      <alignment horizontal="center" vertical="center"/>
    </xf>
    <xf numFmtId="3" fontId="4" fillId="4" borderId="181" xfId="0" applyNumberFormat="1" applyFont="1" applyFill="1" applyBorder="1" applyAlignment="1">
      <alignment horizontal="center" vertical="center"/>
    </xf>
    <xf numFmtId="0" fontId="6" fillId="4" borderId="107" xfId="0" applyFont="1" applyFill="1" applyBorder="1" applyAlignment="1">
      <alignment horizontal="center"/>
    </xf>
    <xf numFmtId="0" fontId="6" fillId="4" borderId="94" xfId="0" applyFont="1" applyFill="1" applyBorder="1" applyAlignment="1">
      <alignment horizontal="center"/>
    </xf>
    <xf numFmtId="0" fontId="5" fillId="0" borderId="108" xfId="0" applyFont="1" applyFill="1" applyBorder="1" applyAlignment="1">
      <alignment horizontal="center" vertical="center"/>
    </xf>
    <xf numFmtId="0" fontId="5" fillId="0" borderId="109" xfId="0" applyFont="1" applyFill="1" applyBorder="1" applyAlignment="1">
      <alignment horizontal="center" vertical="center"/>
    </xf>
    <xf numFmtId="0" fontId="103" fillId="22" borderId="36" xfId="0" applyFont="1" applyFill="1" applyBorder="1" applyAlignment="1">
      <alignment horizontal="center" vertical="center" wrapText="1"/>
    </xf>
    <xf numFmtId="0" fontId="103" fillId="22" borderId="5" xfId="0" applyFont="1" applyFill="1" applyBorder="1" applyAlignment="1">
      <alignment horizontal="center" vertical="center" wrapText="1"/>
    </xf>
    <xf numFmtId="0" fontId="103" fillId="22" borderId="93" xfId="0" applyFont="1" applyFill="1" applyBorder="1" applyAlignment="1">
      <alignment horizontal="center" vertical="center" wrapText="1"/>
    </xf>
    <xf numFmtId="0" fontId="103" fillId="22" borderId="37" xfId="0" applyFont="1" applyFill="1" applyBorder="1" applyAlignment="1">
      <alignment horizontal="center" vertical="center" wrapText="1"/>
    </xf>
    <xf numFmtId="0" fontId="103" fillId="22" borderId="0" xfId="0" applyFont="1" applyFill="1" applyBorder="1" applyAlignment="1">
      <alignment horizontal="center" vertical="center" wrapText="1"/>
    </xf>
    <xf numFmtId="0" fontId="103" fillId="22" borderId="104" xfId="0" applyFont="1" applyFill="1" applyBorder="1" applyAlignment="1">
      <alignment horizontal="center" vertical="center" wrapText="1"/>
    </xf>
    <xf numFmtId="0" fontId="130" fillId="36" borderId="106" xfId="0" applyFont="1" applyFill="1" applyBorder="1" applyAlignment="1">
      <alignment horizontal="center" vertical="center"/>
    </xf>
    <xf numFmtId="0" fontId="130" fillId="36" borderId="155" xfId="0" applyFont="1" applyFill="1" applyBorder="1" applyAlignment="1">
      <alignment horizontal="center" vertical="center"/>
    </xf>
    <xf numFmtId="0" fontId="130" fillId="36" borderId="156" xfId="0" applyFont="1" applyFill="1" applyBorder="1" applyAlignment="1">
      <alignment horizontal="center" vertical="center"/>
    </xf>
    <xf numFmtId="0" fontId="130" fillId="36" borderId="158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97" fillId="6" borderId="21" xfId="0" applyFont="1" applyFill="1" applyBorder="1" applyAlignment="1">
      <alignment horizontal="right" wrapText="1"/>
    </xf>
    <xf numFmtId="0" fontId="97" fillId="6" borderId="0" xfId="0" applyFont="1" applyFill="1" applyBorder="1" applyAlignment="1">
      <alignment horizontal="right" wrapText="1"/>
    </xf>
    <xf numFmtId="0" fontId="9" fillId="6" borderId="91" xfId="0" applyFont="1" applyFill="1" applyBorder="1" applyAlignment="1">
      <alignment horizontal="right" vertical="center" wrapText="1"/>
    </xf>
    <xf numFmtId="0" fontId="9" fillId="6" borderId="33" xfId="0" applyFont="1" applyFill="1" applyBorder="1" applyAlignment="1">
      <alignment horizontal="right" vertical="center" wrapText="1"/>
    </xf>
    <xf numFmtId="2" fontId="6" fillId="32" borderId="0" xfId="0" applyNumberFormat="1" applyFont="1" applyFill="1" applyBorder="1" applyAlignment="1">
      <alignment horizontal="right" vertical="center"/>
    </xf>
    <xf numFmtId="0" fontId="4" fillId="6" borderId="5" xfId="0" applyFont="1" applyFill="1" applyBorder="1" applyAlignment="1">
      <alignment horizontal="right" vertical="center"/>
    </xf>
    <xf numFmtId="0" fontId="53" fillId="6" borderId="33" xfId="0" applyFont="1" applyFill="1" applyBorder="1" applyAlignment="1">
      <alignment horizontal="right" vertical="center"/>
    </xf>
    <xf numFmtId="0" fontId="0" fillId="6" borderId="0" xfId="0" applyFont="1" applyFill="1" applyBorder="1" applyAlignment="1">
      <alignment horizontal="right" vertical="center" wrapText="1"/>
    </xf>
    <xf numFmtId="0" fontId="0" fillId="6" borderId="116" xfId="0" applyFont="1" applyFill="1" applyBorder="1" applyAlignment="1">
      <alignment horizontal="right" vertical="center" wrapText="1"/>
    </xf>
    <xf numFmtId="0" fontId="140" fillId="0" borderId="37" xfId="6" applyFont="1" applyFill="1" applyBorder="1" applyAlignment="1">
      <alignment horizontal="left" vertical="center"/>
    </xf>
    <xf numFmtId="0" fontId="140" fillId="0" borderId="0" xfId="6" applyFont="1" applyFill="1" applyBorder="1" applyAlignment="1">
      <alignment horizontal="left" vertical="center"/>
    </xf>
    <xf numFmtId="0" fontId="140" fillId="0" borderId="32" xfId="6" applyFont="1" applyFill="1" applyBorder="1" applyAlignment="1">
      <alignment horizontal="left" vertical="center"/>
    </xf>
    <xf numFmtId="0" fontId="140" fillId="0" borderId="33" xfId="6" applyFont="1" applyFill="1" applyBorder="1" applyAlignment="1">
      <alignment horizontal="left" vertical="center"/>
    </xf>
    <xf numFmtId="0" fontId="60" fillId="22" borderId="36" xfId="0" applyFont="1" applyFill="1" applyBorder="1" applyAlignment="1">
      <alignment horizontal="center" vertical="center"/>
    </xf>
    <xf numFmtId="0" fontId="60" fillId="22" borderId="5" xfId="0" applyFont="1" applyFill="1" applyBorder="1" applyAlignment="1">
      <alignment horizontal="center" vertical="center"/>
    </xf>
    <xf numFmtId="0" fontId="60" fillId="22" borderId="4" xfId="0" applyFont="1" applyFill="1" applyBorder="1" applyAlignment="1">
      <alignment horizontal="center" vertical="center"/>
    </xf>
    <xf numFmtId="0" fontId="60" fillId="22" borderId="37" xfId="0" applyFont="1" applyFill="1" applyBorder="1" applyAlignment="1">
      <alignment horizontal="center" vertical="center"/>
    </xf>
    <xf numFmtId="0" fontId="60" fillId="22" borderId="0" xfId="0" applyFont="1" applyFill="1" applyBorder="1" applyAlignment="1">
      <alignment horizontal="center" vertical="center"/>
    </xf>
    <xf numFmtId="0" fontId="60" fillId="22" borderId="16" xfId="0" applyFont="1" applyFill="1" applyBorder="1" applyAlignment="1">
      <alignment horizontal="center" vertical="center"/>
    </xf>
    <xf numFmtId="0" fontId="5" fillId="23" borderId="10" xfId="0" applyFont="1" applyFill="1" applyBorder="1" applyAlignment="1">
      <alignment horizontal="center" vertical="center"/>
    </xf>
    <xf numFmtId="0" fontId="5" fillId="23" borderId="84" xfId="0" applyFont="1" applyFill="1" applyBorder="1" applyAlignment="1">
      <alignment horizontal="center" vertical="center"/>
    </xf>
    <xf numFmtId="0" fontId="5" fillId="23" borderId="5" xfId="0" applyFont="1" applyFill="1" applyBorder="1" applyAlignment="1">
      <alignment horizontal="center" vertical="center"/>
    </xf>
    <xf numFmtId="0" fontId="5" fillId="23" borderId="11" xfId="0" applyFont="1" applyFill="1" applyBorder="1" applyAlignment="1">
      <alignment horizontal="center" vertical="center"/>
    </xf>
    <xf numFmtId="0" fontId="6" fillId="0" borderId="169" xfId="0" applyFont="1" applyBorder="1" applyAlignment="1">
      <alignment horizontal="right" vertical="center"/>
    </xf>
    <xf numFmtId="0" fontId="6" fillId="0" borderId="39" xfId="0" applyFont="1" applyBorder="1" applyAlignment="1">
      <alignment horizontal="right" vertical="center"/>
    </xf>
    <xf numFmtId="0" fontId="6" fillId="0" borderId="82" xfId="0" applyFont="1" applyBorder="1" applyAlignment="1">
      <alignment horizontal="right" vertical="center"/>
    </xf>
    <xf numFmtId="0" fontId="6" fillId="0" borderId="119" xfId="0" applyFont="1" applyBorder="1" applyAlignment="1">
      <alignment horizontal="right" vertical="center"/>
    </xf>
    <xf numFmtId="0" fontId="6" fillId="0" borderId="13" xfId="0" applyFont="1" applyBorder="1" applyAlignment="1">
      <alignment horizontal="right" vertical="center"/>
    </xf>
    <xf numFmtId="0" fontId="6" fillId="0" borderId="14" xfId="0" applyFont="1" applyBorder="1" applyAlignment="1">
      <alignment horizontal="right" vertical="center"/>
    </xf>
    <xf numFmtId="0" fontId="6" fillId="0" borderId="15" xfId="0" applyFont="1" applyBorder="1" applyAlignment="1">
      <alignment horizontal="right" vertical="center"/>
    </xf>
    <xf numFmtId="0" fontId="4" fillId="0" borderId="89" xfId="0" applyFont="1" applyBorder="1" applyAlignment="1">
      <alignment horizontal="right" vertical="center"/>
    </xf>
    <xf numFmtId="0" fontId="4" fillId="0" borderId="12" xfId="0" applyFont="1" applyBorder="1" applyAlignment="1">
      <alignment horizontal="right" vertical="center"/>
    </xf>
    <xf numFmtId="0" fontId="4" fillId="0" borderId="154" xfId="0" applyFont="1" applyBorder="1" applyAlignment="1">
      <alignment horizontal="right" vertical="center"/>
    </xf>
    <xf numFmtId="0" fontId="6" fillId="0" borderId="89" xfId="0" applyFont="1" applyFill="1" applyBorder="1" applyAlignment="1">
      <alignment horizontal="right" vertical="center"/>
    </xf>
    <xf numFmtId="0" fontId="6" fillId="0" borderId="12" xfId="0" applyFont="1" applyFill="1" applyBorder="1" applyAlignment="1">
      <alignment horizontal="right" vertical="center"/>
    </xf>
    <xf numFmtId="0" fontId="6" fillId="0" borderId="154" xfId="0" applyFont="1" applyFill="1" applyBorder="1" applyAlignment="1">
      <alignment horizontal="right" vertical="center"/>
    </xf>
    <xf numFmtId="0" fontId="6" fillId="0" borderId="89" xfId="0" applyFont="1" applyBorder="1" applyAlignment="1">
      <alignment horizontal="right" vertical="center"/>
    </xf>
    <xf numFmtId="0" fontId="6" fillId="0" borderId="12" xfId="0" applyFont="1" applyBorder="1" applyAlignment="1">
      <alignment horizontal="right" vertical="center"/>
    </xf>
    <xf numFmtId="0" fontId="6" fillId="0" borderId="154" xfId="0" applyFont="1" applyBorder="1" applyAlignment="1">
      <alignment horizontal="right" vertical="center"/>
    </xf>
    <xf numFmtId="0" fontId="6" fillId="0" borderId="1" xfId="0" applyFont="1" applyFill="1" applyBorder="1" applyAlignment="1">
      <alignment horizontal="right" vertical="center"/>
    </xf>
    <xf numFmtId="0" fontId="6" fillId="0" borderId="2" xfId="0" applyFont="1" applyFill="1" applyBorder="1" applyAlignment="1">
      <alignment horizontal="right" vertical="center"/>
    </xf>
    <xf numFmtId="0" fontId="6" fillId="0" borderId="3" xfId="0" applyFont="1" applyFill="1" applyBorder="1" applyAlignment="1">
      <alignment horizontal="right" vertical="center"/>
    </xf>
    <xf numFmtId="0" fontId="6" fillId="0" borderId="37" xfId="0" applyFont="1" applyBorder="1" applyAlignment="1">
      <alignment horizontal="right" vertical="center"/>
    </xf>
    <xf numFmtId="0" fontId="6" fillId="0" borderId="0" xfId="0" applyFont="1" applyBorder="1" applyAlignment="1">
      <alignment horizontal="right" vertical="center"/>
    </xf>
    <xf numFmtId="0" fontId="6" fillId="0" borderId="104" xfId="0" applyFont="1" applyBorder="1" applyAlignment="1">
      <alignment horizontal="right" vertical="center"/>
    </xf>
    <xf numFmtId="0" fontId="4" fillId="0" borderId="32" xfId="0" applyFont="1" applyBorder="1" applyAlignment="1">
      <alignment horizontal="right" vertical="center"/>
    </xf>
    <xf numFmtId="0" fontId="4" fillId="0" borderId="111" xfId="0" applyFont="1" applyBorder="1" applyAlignment="1">
      <alignment horizontal="right" vertical="center"/>
    </xf>
    <xf numFmtId="0" fontId="4" fillId="6" borderId="86" xfId="0" applyFont="1" applyFill="1" applyBorder="1" applyAlignment="1">
      <alignment horizontal="right" vertical="center"/>
    </xf>
    <xf numFmtId="0" fontId="4" fillId="6" borderId="116" xfId="0" applyFont="1" applyFill="1" applyBorder="1" applyAlignment="1">
      <alignment horizontal="right" vertical="center"/>
    </xf>
    <xf numFmtId="9" fontId="115" fillId="36" borderId="64" xfId="2" applyFont="1" applyFill="1" applyBorder="1" applyAlignment="1">
      <alignment horizontal="center" vertical="center"/>
    </xf>
    <xf numFmtId="9" fontId="115" fillId="36" borderId="65" xfId="2" applyFont="1" applyFill="1" applyBorder="1" applyAlignment="1">
      <alignment horizontal="center" vertical="center"/>
    </xf>
    <xf numFmtId="0" fontId="2" fillId="27" borderId="0" xfId="0" applyFont="1" applyFill="1" applyBorder="1" applyAlignment="1">
      <alignment horizontal="right" vertical="center" textRotation="90"/>
    </xf>
    <xf numFmtId="0" fontId="9" fillId="6" borderId="32" xfId="0" applyFont="1" applyFill="1" applyBorder="1" applyAlignment="1">
      <alignment horizontal="right" vertical="center" wrapText="1"/>
    </xf>
    <xf numFmtId="0" fontId="97" fillId="6" borderId="37" xfId="0" applyFont="1" applyFill="1" applyBorder="1" applyAlignment="1">
      <alignment horizontal="right" wrapText="1"/>
    </xf>
    <xf numFmtId="165" fontId="118" fillId="36" borderId="64" xfId="0" applyNumberFormat="1" applyFont="1" applyFill="1" applyBorder="1" applyAlignment="1">
      <alignment horizontal="center" vertical="center"/>
    </xf>
    <xf numFmtId="165" fontId="118" fillId="36" borderId="65" xfId="0" applyNumberFormat="1" applyFont="1" applyFill="1" applyBorder="1" applyAlignment="1">
      <alignment horizontal="center" vertical="center"/>
    </xf>
    <xf numFmtId="2" fontId="6" fillId="33" borderId="85" xfId="0" applyNumberFormat="1" applyFont="1" applyFill="1" applyBorder="1" applyAlignment="1">
      <alignment horizontal="right" vertical="center"/>
    </xf>
    <xf numFmtId="2" fontId="6" fillId="33" borderId="114" xfId="0" applyNumberFormat="1" applyFont="1" applyFill="1" applyBorder="1" applyAlignment="1">
      <alignment horizontal="right" vertical="center"/>
    </xf>
    <xf numFmtId="0" fontId="123" fillId="27" borderId="16" xfId="0" applyFont="1" applyFill="1" applyBorder="1" applyAlignment="1">
      <alignment horizontal="right" vertical="center" textRotation="90" wrapText="1"/>
    </xf>
    <xf numFmtId="0" fontId="0" fillId="6" borderId="36" xfId="0" applyFont="1" applyFill="1" applyBorder="1" applyAlignment="1">
      <alignment horizontal="center" vertical="center" wrapText="1"/>
    </xf>
    <xf numFmtId="0" fontId="43" fillId="6" borderId="5" xfId="0" applyFont="1" applyFill="1" applyBorder="1" applyAlignment="1">
      <alignment horizontal="center" vertical="center" wrapText="1"/>
    </xf>
    <xf numFmtId="0" fontId="53" fillId="6" borderId="130" xfId="0" applyFont="1" applyFill="1" applyBorder="1" applyAlignment="1">
      <alignment horizontal="right" vertical="center"/>
    </xf>
    <xf numFmtId="0" fontId="53" fillId="6" borderId="131" xfId="0" applyFont="1" applyFill="1" applyBorder="1" applyAlignment="1">
      <alignment horizontal="right" vertical="center"/>
    </xf>
    <xf numFmtId="2" fontId="14" fillId="4" borderId="149" xfId="0" applyNumberFormat="1" applyFont="1" applyFill="1" applyBorder="1" applyAlignment="1">
      <alignment horizontal="right" vertical="center" indent="1"/>
    </xf>
    <xf numFmtId="2" fontId="14" fillId="4" borderId="91" xfId="0" applyNumberFormat="1" applyFont="1" applyFill="1" applyBorder="1" applyAlignment="1">
      <alignment horizontal="right" vertical="center" indent="1"/>
    </xf>
    <xf numFmtId="0" fontId="0" fillId="6" borderId="85" xfId="0" applyFont="1" applyFill="1" applyBorder="1" applyAlignment="1">
      <alignment horizontal="right" vertical="center" wrapText="1"/>
    </xf>
    <xf numFmtId="0" fontId="0" fillId="6" borderId="114" xfId="0" applyFont="1" applyFill="1" applyBorder="1" applyAlignment="1">
      <alignment horizontal="right" vertical="center" wrapText="1"/>
    </xf>
    <xf numFmtId="0" fontId="0" fillId="6" borderId="86" xfId="0" applyFont="1" applyFill="1" applyBorder="1" applyAlignment="1">
      <alignment horizontal="right" vertical="center" wrapText="1"/>
    </xf>
    <xf numFmtId="0" fontId="122" fillId="6" borderId="37" xfId="0" applyFont="1" applyFill="1" applyBorder="1" applyAlignment="1">
      <alignment horizontal="center" wrapText="1"/>
    </xf>
    <xf numFmtId="0" fontId="122" fillId="6" borderId="0" xfId="0" applyFont="1" applyFill="1" applyBorder="1" applyAlignment="1">
      <alignment horizontal="center" wrapText="1"/>
    </xf>
    <xf numFmtId="0" fontId="122" fillId="6" borderId="16" xfId="0" applyFont="1" applyFill="1" applyBorder="1" applyAlignment="1">
      <alignment horizontal="center" wrapText="1"/>
    </xf>
    <xf numFmtId="0" fontId="2" fillId="6" borderId="37" xfId="0" applyFont="1" applyFill="1" applyBorder="1" applyAlignment="1">
      <alignment horizontal="center" wrapText="1"/>
    </xf>
    <xf numFmtId="0" fontId="2" fillId="6" borderId="0" xfId="0" applyFont="1" applyFill="1" applyBorder="1" applyAlignment="1">
      <alignment horizontal="center" wrapText="1"/>
    </xf>
    <xf numFmtId="0" fontId="2" fillId="6" borderId="16" xfId="0" applyFont="1" applyFill="1" applyBorder="1" applyAlignment="1">
      <alignment horizontal="center" wrapText="1"/>
    </xf>
    <xf numFmtId="0" fontId="4" fillId="6" borderId="37" xfId="0" applyFont="1" applyFill="1" applyBorder="1" applyAlignment="1">
      <alignment horizontal="right" vertical="center"/>
    </xf>
    <xf numFmtId="0" fontId="4" fillId="6" borderId="0" xfId="0" applyFont="1" applyFill="1" applyBorder="1" applyAlignment="1">
      <alignment horizontal="right" vertical="center"/>
    </xf>
    <xf numFmtId="2" fontId="6" fillId="33" borderId="37" xfId="0" applyNumberFormat="1" applyFont="1" applyFill="1" applyBorder="1" applyAlignment="1">
      <alignment horizontal="right" vertical="center"/>
    </xf>
    <xf numFmtId="2" fontId="6" fillId="33" borderId="0" xfId="0" applyNumberFormat="1" applyFont="1" applyFill="1" applyBorder="1" applyAlignment="1">
      <alignment horizontal="right" vertical="center"/>
    </xf>
    <xf numFmtId="2" fontId="6" fillId="32" borderId="114" xfId="0" applyNumberFormat="1" applyFont="1" applyFill="1" applyBorder="1" applyAlignment="1">
      <alignment horizontal="right" vertical="center"/>
    </xf>
    <xf numFmtId="0" fontId="12" fillId="6" borderId="5" xfId="0" applyFont="1" applyFill="1" applyBorder="1" applyAlignment="1">
      <alignment horizontal="right" vertical="center"/>
    </xf>
    <xf numFmtId="0" fontId="12" fillId="6" borderId="116" xfId="0" applyFont="1" applyFill="1" applyBorder="1" applyAlignment="1">
      <alignment horizontal="right" vertical="center"/>
    </xf>
    <xf numFmtId="10" fontId="22" fillId="4" borderId="4" xfId="0" applyNumberFormat="1" applyFont="1" applyFill="1" applyBorder="1" applyAlignment="1">
      <alignment horizontal="left" vertical="center"/>
    </xf>
    <xf numFmtId="10" fontId="22" fillId="4" borderId="35" xfId="0" applyNumberFormat="1" applyFont="1" applyFill="1" applyBorder="1" applyAlignment="1">
      <alignment horizontal="left" vertical="center"/>
    </xf>
    <xf numFmtId="0" fontId="22" fillId="0" borderId="36" xfId="0" applyFont="1" applyBorder="1" applyAlignment="1">
      <alignment horizontal="center" vertical="center"/>
    </xf>
    <xf numFmtId="0" fontId="22" fillId="0" borderId="5" xfId="0" applyFont="1" applyBorder="1" applyAlignment="1">
      <alignment horizontal="center" vertical="center"/>
    </xf>
    <xf numFmtId="0" fontId="22" fillId="0" borderId="153" xfId="0" applyFont="1" applyBorder="1" applyAlignment="1">
      <alignment horizontal="center" vertical="center"/>
    </xf>
    <xf numFmtId="0" fontId="22" fillId="0" borderId="32" xfId="0" applyFont="1" applyBorder="1" applyAlignment="1">
      <alignment horizontal="center" vertical="center"/>
    </xf>
    <xf numFmtId="0" fontId="22" fillId="0" borderId="33" xfId="0" applyFont="1" applyBorder="1" applyAlignment="1">
      <alignment horizontal="center" vertical="center"/>
    </xf>
    <xf numFmtId="0" fontId="22" fillId="0" borderId="171" xfId="0" applyFont="1" applyBorder="1" applyAlignment="1">
      <alignment horizontal="center" vertical="center"/>
    </xf>
    <xf numFmtId="2" fontId="12" fillId="10" borderId="73" xfId="0" applyNumberFormat="1" applyFont="1" applyFill="1" applyBorder="1" applyAlignment="1">
      <alignment horizontal="center" vertical="center" textRotation="90"/>
    </xf>
    <xf numFmtId="2" fontId="12" fillId="10" borderId="72" xfId="0" applyNumberFormat="1" applyFont="1" applyFill="1" applyBorder="1" applyAlignment="1">
      <alignment horizontal="center" vertical="center" textRotation="90"/>
    </xf>
    <xf numFmtId="10" fontId="22" fillId="4" borderId="5" xfId="2" applyNumberFormat="1" applyFont="1" applyFill="1" applyBorder="1" applyAlignment="1">
      <alignment horizontal="right" vertical="center"/>
    </xf>
    <xf numFmtId="10" fontId="22" fillId="4" borderId="33" xfId="2" applyNumberFormat="1" applyFont="1" applyFill="1" applyBorder="1" applyAlignment="1">
      <alignment horizontal="right" vertical="center"/>
    </xf>
    <xf numFmtId="0" fontId="0" fillId="4" borderId="0" xfId="0" applyFill="1" applyBorder="1" applyAlignment="1">
      <alignment horizontal="center"/>
    </xf>
    <xf numFmtId="10" fontId="4" fillId="5" borderId="21" xfId="2" applyNumberFormat="1" applyFont="1" applyFill="1" applyBorder="1" applyAlignment="1">
      <alignment horizontal="center" vertical="center" wrapText="1"/>
    </xf>
    <xf numFmtId="10" fontId="4" fillId="5" borderId="0" xfId="2" applyNumberFormat="1" applyFont="1" applyFill="1" applyBorder="1" applyAlignment="1">
      <alignment horizontal="center" vertical="center" wrapText="1"/>
    </xf>
    <xf numFmtId="10" fontId="4" fillId="5" borderId="22" xfId="2" applyNumberFormat="1" applyFont="1" applyFill="1" applyBorder="1" applyAlignment="1">
      <alignment horizontal="center" vertical="center" wrapText="1"/>
    </xf>
    <xf numFmtId="164" fontId="12" fillId="12" borderId="75" xfId="0" applyNumberFormat="1" applyFont="1" applyFill="1" applyBorder="1" applyAlignment="1">
      <alignment horizontal="center" vertical="center" textRotation="90"/>
    </xf>
    <xf numFmtId="164" fontId="12" fillId="9" borderId="81" xfId="0" applyNumberFormat="1" applyFont="1" applyFill="1" applyBorder="1" applyAlignment="1">
      <alignment horizontal="center" vertical="center" textRotation="90"/>
    </xf>
    <xf numFmtId="164" fontId="12" fillId="12" borderId="74" xfId="0" applyNumberFormat="1" applyFont="1" applyFill="1" applyBorder="1" applyAlignment="1">
      <alignment horizontal="center" vertical="center" textRotation="90"/>
    </xf>
    <xf numFmtId="164" fontId="12" fillId="12" borderId="0" xfId="0" applyNumberFormat="1" applyFont="1" applyFill="1" applyBorder="1" applyAlignment="1">
      <alignment horizontal="center" vertical="center" textRotation="90"/>
    </xf>
    <xf numFmtId="164" fontId="12" fillId="12" borderId="78" xfId="0" applyNumberFormat="1" applyFont="1" applyFill="1" applyBorder="1" applyAlignment="1">
      <alignment horizontal="center" vertical="center" textRotation="90"/>
    </xf>
    <xf numFmtId="164" fontId="12" fillId="12" borderId="77" xfId="0" applyNumberFormat="1" applyFont="1" applyFill="1" applyBorder="1" applyAlignment="1">
      <alignment horizontal="center" vertical="center" textRotation="90"/>
    </xf>
    <xf numFmtId="164" fontId="12" fillId="12" borderId="76" xfId="0" applyNumberFormat="1" applyFont="1" applyFill="1" applyBorder="1" applyAlignment="1">
      <alignment horizontal="center" vertical="center" textRotation="90"/>
    </xf>
    <xf numFmtId="164" fontId="3" fillId="2" borderId="21" xfId="1" applyNumberFormat="1" applyFont="1" applyFill="1" applyBorder="1" applyAlignment="1">
      <alignment horizontal="center" vertical="center"/>
    </xf>
    <xf numFmtId="164" fontId="3" fillId="2" borderId="0" xfId="1" applyNumberFormat="1" applyFont="1" applyFill="1" applyBorder="1" applyAlignment="1">
      <alignment horizontal="center" vertical="center"/>
    </xf>
    <xf numFmtId="164" fontId="3" fillId="2" borderId="22" xfId="1" applyNumberFormat="1" applyFont="1" applyFill="1" applyBorder="1" applyAlignment="1">
      <alignment horizontal="center" vertical="center"/>
    </xf>
    <xf numFmtId="0" fontId="13" fillId="4" borderId="0" xfId="0" applyFont="1" applyFill="1" applyBorder="1" applyAlignment="1">
      <alignment horizontal="center" vertical="center" textRotation="90" wrapText="1"/>
    </xf>
    <xf numFmtId="164" fontId="3" fillId="2" borderId="21" xfId="0" applyNumberFormat="1" applyFont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164" fontId="3" fillId="2" borderId="22" xfId="0" applyNumberFormat="1" applyFont="1" applyFill="1" applyBorder="1" applyAlignment="1">
      <alignment horizontal="center" vertical="center"/>
    </xf>
    <xf numFmtId="10" fontId="4" fillId="2" borderId="21" xfId="2" applyNumberFormat="1" applyFont="1" applyFill="1" applyBorder="1" applyAlignment="1">
      <alignment horizontal="center" vertical="center"/>
    </xf>
    <xf numFmtId="10" fontId="4" fillId="2" borderId="0" xfId="2" applyNumberFormat="1" applyFont="1" applyFill="1" applyBorder="1" applyAlignment="1">
      <alignment horizontal="center" vertical="center"/>
    </xf>
    <xf numFmtId="10" fontId="4" fillId="2" borderId="22" xfId="2" applyNumberFormat="1" applyFont="1" applyFill="1" applyBorder="1" applyAlignment="1">
      <alignment horizontal="center" vertical="center"/>
    </xf>
    <xf numFmtId="10" fontId="4" fillId="5" borderId="21" xfId="2" applyNumberFormat="1" applyFont="1" applyFill="1" applyBorder="1" applyAlignment="1">
      <alignment horizontal="center" vertical="center"/>
    </xf>
    <xf numFmtId="10" fontId="4" fillId="5" borderId="0" xfId="2" applyNumberFormat="1" applyFont="1" applyFill="1" applyBorder="1" applyAlignment="1">
      <alignment horizontal="center" vertical="center"/>
    </xf>
    <xf numFmtId="10" fontId="4" fillId="5" borderId="22" xfId="2" applyNumberFormat="1" applyFont="1" applyFill="1" applyBorder="1" applyAlignment="1">
      <alignment horizontal="center" vertical="center"/>
    </xf>
    <xf numFmtId="164" fontId="12" fillId="9" borderId="75" xfId="0" applyNumberFormat="1" applyFont="1" applyFill="1" applyBorder="1" applyAlignment="1">
      <alignment horizontal="center" vertical="center" textRotation="90"/>
    </xf>
    <xf numFmtId="164" fontId="13" fillId="4" borderId="0" xfId="0" applyNumberFormat="1" applyFont="1" applyFill="1" applyBorder="1" applyAlignment="1">
      <alignment horizontal="center" vertical="center" textRotation="90" wrapText="1"/>
    </xf>
    <xf numFmtId="2" fontId="3" fillId="5" borderId="21" xfId="0" applyNumberFormat="1" applyFont="1" applyFill="1" applyBorder="1" applyAlignment="1">
      <alignment horizontal="center" vertical="center"/>
    </xf>
    <xf numFmtId="2" fontId="3" fillId="5" borderId="0" xfId="0" applyNumberFormat="1" applyFont="1" applyFill="1" applyBorder="1" applyAlignment="1">
      <alignment horizontal="center" vertical="center"/>
    </xf>
    <xf numFmtId="2" fontId="3" fillId="5" borderId="22" xfId="0" applyNumberFormat="1" applyFont="1" applyFill="1" applyBorder="1" applyAlignment="1">
      <alignment horizontal="center" vertical="center"/>
    </xf>
    <xf numFmtId="164" fontId="2" fillId="4" borderId="21" xfId="0" applyNumberFormat="1" applyFont="1" applyFill="1" applyBorder="1" applyAlignment="1">
      <alignment horizontal="center"/>
    </xf>
    <xf numFmtId="164" fontId="2" fillId="4" borderId="0" xfId="0" applyNumberFormat="1" applyFont="1" applyFill="1" applyBorder="1" applyAlignment="1">
      <alignment horizontal="center"/>
    </xf>
    <xf numFmtId="164" fontId="2" fillId="4" borderId="22" xfId="0" applyNumberFormat="1" applyFont="1" applyFill="1" applyBorder="1" applyAlignment="1">
      <alignment horizontal="center"/>
    </xf>
    <xf numFmtId="0" fontId="124" fillId="8" borderId="18" xfId="0" applyFont="1" applyFill="1" applyBorder="1" applyAlignment="1">
      <alignment horizontal="center" vertical="center"/>
    </xf>
    <xf numFmtId="0" fontId="125" fillId="8" borderId="18" xfId="0" applyFont="1" applyFill="1" applyBorder="1" applyAlignment="1">
      <alignment horizontal="center" vertical="center"/>
    </xf>
    <xf numFmtId="0" fontId="125" fillId="8" borderId="88" xfId="0" applyFont="1" applyFill="1" applyBorder="1" applyAlignment="1">
      <alignment horizontal="center" vertical="center"/>
    </xf>
    <xf numFmtId="0" fontId="98" fillId="11" borderId="87" xfId="0" applyFont="1" applyFill="1" applyBorder="1" applyAlignment="1">
      <alignment horizontal="center" vertical="center"/>
    </xf>
    <xf numFmtId="0" fontId="99" fillId="11" borderId="18" xfId="0" applyFont="1" applyFill="1" applyBorder="1" applyAlignment="1">
      <alignment horizontal="center" vertical="center"/>
    </xf>
    <xf numFmtId="0" fontId="99" fillId="11" borderId="88" xfId="0" applyFont="1" applyFill="1" applyBorder="1" applyAlignment="1">
      <alignment horizontal="center" vertical="center"/>
    </xf>
    <xf numFmtId="0" fontId="105" fillId="11" borderId="18" xfId="0" applyFont="1" applyFill="1" applyBorder="1" applyAlignment="1">
      <alignment horizontal="center" vertical="center"/>
    </xf>
    <xf numFmtId="0" fontId="106" fillId="11" borderId="18" xfId="0" applyFont="1" applyFill="1" applyBorder="1" applyAlignment="1">
      <alignment horizontal="center" vertical="center"/>
    </xf>
    <xf numFmtId="0" fontId="106" fillId="11" borderId="152" xfId="0" applyFont="1" applyFill="1" applyBorder="1" applyAlignment="1">
      <alignment horizontal="center" vertical="center"/>
    </xf>
    <xf numFmtId="164" fontId="16" fillId="4" borderId="0" xfId="0" applyNumberFormat="1" applyFont="1" applyFill="1" applyBorder="1" applyAlignment="1">
      <alignment horizontal="center" textRotation="90"/>
    </xf>
    <xf numFmtId="0" fontId="6" fillId="0" borderId="17" xfId="0" applyFont="1" applyBorder="1" applyAlignment="1">
      <alignment horizontal="center" vertical="center" wrapText="1"/>
    </xf>
    <xf numFmtId="0" fontId="6" fillId="0" borderId="20" xfId="0" applyFont="1" applyBorder="1" applyAlignment="1">
      <alignment horizontal="center" vertical="center" wrapText="1"/>
    </xf>
    <xf numFmtId="0" fontId="20" fillId="21" borderId="52" xfId="0" applyFont="1" applyFill="1" applyBorder="1" applyAlignment="1">
      <alignment horizontal="right" vertical="center" wrapText="1"/>
    </xf>
    <xf numFmtId="0" fontId="20" fillId="21" borderId="141" xfId="0" applyFont="1" applyFill="1" applyBorder="1" applyAlignment="1">
      <alignment horizontal="right" vertical="center" wrapText="1"/>
    </xf>
    <xf numFmtId="0" fontId="6" fillId="0" borderId="52" xfId="0" applyFont="1" applyFill="1" applyBorder="1" applyAlignment="1">
      <alignment horizontal="right" vertical="center"/>
    </xf>
    <xf numFmtId="0" fontId="6" fillId="0" borderId="137" xfId="0" applyFont="1" applyFill="1" applyBorder="1" applyAlignment="1">
      <alignment horizontal="right" vertical="center"/>
    </xf>
    <xf numFmtId="0" fontId="6" fillId="0" borderId="141" xfId="0" applyFont="1" applyFill="1" applyBorder="1" applyAlignment="1">
      <alignment horizontal="right" vertical="center"/>
    </xf>
    <xf numFmtId="0" fontId="4" fillId="0" borderId="43" xfId="0" applyFont="1" applyBorder="1" applyAlignment="1">
      <alignment horizontal="right" vertical="center"/>
    </xf>
    <xf numFmtId="0" fontId="4" fillId="0" borderId="50" xfId="0" applyFont="1" applyBorder="1" applyAlignment="1">
      <alignment horizontal="right" vertical="center"/>
    </xf>
    <xf numFmtId="0" fontId="4" fillId="0" borderId="53" xfId="0" applyFont="1" applyBorder="1" applyAlignment="1">
      <alignment horizontal="right" vertical="center"/>
    </xf>
    <xf numFmtId="0" fontId="4" fillId="0" borderId="39" xfId="0" applyFont="1" applyBorder="1" applyAlignment="1">
      <alignment horizontal="right" vertical="center"/>
    </xf>
    <xf numFmtId="0" fontId="4" fillId="0" borderId="82" xfId="0" applyFont="1" applyBorder="1" applyAlignment="1">
      <alignment horizontal="right" vertical="center"/>
    </xf>
    <xf numFmtId="0" fontId="4" fillId="0" borderId="119" xfId="0" applyFont="1" applyBorder="1" applyAlignment="1">
      <alignment horizontal="right" vertical="center"/>
    </xf>
    <xf numFmtId="0" fontId="6" fillId="4" borderId="38" xfId="0" applyFont="1" applyFill="1" applyBorder="1" applyAlignment="1">
      <alignment horizontal="right" vertical="center" wrapText="1"/>
    </xf>
    <xf numFmtId="0" fontId="6" fillId="4" borderId="136" xfId="0" applyFont="1" applyFill="1" applyBorder="1" applyAlignment="1">
      <alignment horizontal="right" vertical="center" wrapText="1"/>
    </xf>
    <xf numFmtId="0" fontId="6" fillId="4" borderId="43" xfId="0" applyFont="1" applyFill="1" applyBorder="1" applyAlignment="1">
      <alignment horizontal="right" vertical="center"/>
    </xf>
    <xf numFmtId="0" fontId="6" fillId="4" borderId="53" xfId="0" applyFont="1" applyFill="1" applyBorder="1" applyAlignment="1">
      <alignment horizontal="right" vertical="center"/>
    </xf>
    <xf numFmtId="0" fontId="124" fillId="11" borderId="18" xfId="0" applyFont="1" applyFill="1" applyBorder="1" applyAlignment="1">
      <alignment horizontal="center" vertical="center"/>
    </xf>
    <xf numFmtId="0" fontId="125" fillId="11" borderId="18" xfId="0" applyFont="1" applyFill="1" applyBorder="1" applyAlignment="1">
      <alignment horizontal="center" vertical="center"/>
    </xf>
    <xf numFmtId="0" fontId="125" fillId="11" borderId="88" xfId="0" applyFont="1" applyFill="1" applyBorder="1" applyAlignment="1">
      <alignment horizontal="center" vertical="center"/>
    </xf>
    <xf numFmtId="0" fontId="95" fillId="4" borderId="0" xfId="0" applyFont="1" applyFill="1" applyBorder="1" applyAlignment="1">
      <alignment horizontal="center" vertical="center" textRotation="90"/>
    </xf>
    <xf numFmtId="164" fontId="12" fillId="9" borderId="34" xfId="0" applyNumberFormat="1" applyFont="1" applyFill="1" applyBorder="1" applyAlignment="1">
      <alignment horizontal="center" vertical="center" textRotation="90"/>
    </xf>
    <xf numFmtId="0" fontId="21" fillId="4" borderId="0" xfId="0" applyFont="1" applyFill="1" applyBorder="1" applyAlignment="1">
      <alignment horizontal="center" vertical="center" textRotation="90" wrapText="1"/>
    </xf>
    <xf numFmtId="164" fontId="3" fillId="5" borderId="21" xfId="0" applyNumberFormat="1" applyFont="1" applyFill="1" applyBorder="1" applyAlignment="1">
      <alignment horizontal="center" vertical="center"/>
    </xf>
    <xf numFmtId="164" fontId="3" fillId="5" borderId="0" xfId="0" applyNumberFormat="1" applyFont="1" applyFill="1" applyBorder="1" applyAlignment="1">
      <alignment horizontal="center" vertical="center"/>
    </xf>
    <xf numFmtId="164" fontId="3" fillId="5" borderId="22" xfId="0" applyNumberFormat="1" applyFont="1" applyFill="1" applyBorder="1" applyAlignment="1">
      <alignment horizontal="center" vertical="center"/>
    </xf>
    <xf numFmtId="164" fontId="2" fillId="4" borderId="21" xfId="0" applyNumberFormat="1" applyFont="1" applyFill="1" applyBorder="1" applyAlignment="1">
      <alignment horizontal="center" vertical="center"/>
    </xf>
    <xf numFmtId="164" fontId="2" fillId="4" borderId="0" xfId="0" applyNumberFormat="1" applyFont="1" applyFill="1" applyBorder="1" applyAlignment="1">
      <alignment horizontal="center" vertical="center"/>
    </xf>
    <xf numFmtId="164" fontId="2" fillId="4" borderId="22" xfId="0" applyNumberFormat="1" applyFont="1" applyFill="1" applyBorder="1" applyAlignment="1">
      <alignment horizontal="center" vertical="center"/>
    </xf>
    <xf numFmtId="164" fontId="12" fillId="10" borderId="73" xfId="0" applyNumberFormat="1" applyFont="1" applyFill="1" applyBorder="1" applyAlignment="1">
      <alignment horizontal="center" vertical="center" textRotation="90"/>
    </xf>
    <xf numFmtId="164" fontId="12" fillId="10" borderId="72" xfId="0" applyNumberFormat="1" applyFont="1" applyFill="1" applyBorder="1" applyAlignment="1">
      <alignment horizontal="center" vertical="center" textRotation="90"/>
    </xf>
    <xf numFmtId="164" fontId="12" fillId="10" borderId="41" xfId="0" applyNumberFormat="1" applyFont="1" applyFill="1" applyBorder="1" applyAlignment="1">
      <alignment horizontal="center" vertical="center" textRotation="90"/>
    </xf>
    <xf numFmtId="167" fontId="4" fillId="5" borderId="21" xfId="2" applyNumberFormat="1" applyFont="1" applyFill="1" applyBorder="1" applyAlignment="1">
      <alignment horizontal="center" vertical="center" wrapText="1"/>
    </xf>
    <xf numFmtId="167" fontId="4" fillId="5" borderId="0" xfId="2" applyNumberFormat="1" applyFont="1" applyFill="1" applyBorder="1" applyAlignment="1">
      <alignment horizontal="center" vertical="center" wrapText="1"/>
    </xf>
    <xf numFmtId="167" fontId="4" fillId="5" borderId="22" xfId="2" applyNumberFormat="1" applyFont="1" applyFill="1" applyBorder="1" applyAlignment="1">
      <alignment horizontal="center" vertical="center" wrapText="1"/>
    </xf>
    <xf numFmtId="164" fontId="12" fillId="10" borderId="42" xfId="0" applyNumberFormat="1" applyFont="1" applyFill="1" applyBorder="1" applyAlignment="1">
      <alignment horizontal="center" vertical="center" textRotation="90"/>
    </xf>
    <xf numFmtId="0" fontId="34" fillId="0" borderId="0" xfId="0" applyFont="1" applyBorder="1" applyAlignment="1">
      <alignment horizontal="center" vertical="center" textRotation="90"/>
    </xf>
    <xf numFmtId="0" fontId="0" fillId="0" borderId="0" xfId="0" applyBorder="1" applyAlignment="1">
      <alignment horizontal="center"/>
    </xf>
    <xf numFmtId="0" fontId="0" fillId="0" borderId="22" xfId="0" applyBorder="1" applyAlignment="1">
      <alignment horizontal="center"/>
    </xf>
    <xf numFmtId="2" fontId="3" fillId="2" borderId="21" xfId="0" applyNumberFormat="1" applyFont="1" applyFill="1" applyBorder="1" applyAlignment="1">
      <alignment horizontal="center" vertical="center"/>
    </xf>
    <xf numFmtId="2" fontId="3" fillId="2" borderId="0" xfId="0" applyNumberFormat="1" applyFont="1" applyFill="1" applyBorder="1" applyAlignment="1">
      <alignment horizontal="center" vertical="center"/>
    </xf>
    <xf numFmtId="2" fontId="3" fillId="2" borderId="22" xfId="0" applyNumberFormat="1" applyFont="1" applyFill="1" applyBorder="1" applyAlignment="1">
      <alignment horizontal="center" vertical="center"/>
    </xf>
    <xf numFmtId="164" fontId="12" fillId="12" borderId="81" xfId="0" applyNumberFormat="1" applyFont="1" applyFill="1" applyBorder="1" applyAlignment="1">
      <alignment horizontal="center" vertical="center" textRotation="90"/>
    </xf>
    <xf numFmtId="164" fontId="12" fillId="9" borderId="77" xfId="0" applyNumberFormat="1" applyFont="1" applyFill="1" applyBorder="1" applyAlignment="1">
      <alignment horizontal="center" vertical="center" textRotation="90"/>
    </xf>
    <xf numFmtId="164" fontId="12" fillId="9" borderId="0" xfId="0" applyNumberFormat="1" applyFont="1" applyFill="1" applyBorder="1" applyAlignment="1">
      <alignment horizontal="center" vertical="center" textRotation="90"/>
    </xf>
    <xf numFmtId="164" fontId="12" fillId="9" borderId="78" xfId="0" applyNumberFormat="1" applyFont="1" applyFill="1" applyBorder="1" applyAlignment="1">
      <alignment horizontal="center" vertical="center" textRotation="90"/>
    </xf>
    <xf numFmtId="0" fontId="12" fillId="4" borderId="0" xfId="0" applyFont="1" applyFill="1" applyBorder="1" applyAlignment="1">
      <alignment horizontal="center" vertical="center" wrapText="1"/>
    </xf>
    <xf numFmtId="0" fontId="12" fillId="4" borderId="22" xfId="0" applyFont="1" applyFill="1" applyBorder="1" applyAlignment="1">
      <alignment horizontal="center" vertical="center" wrapText="1"/>
    </xf>
    <xf numFmtId="164" fontId="12" fillId="9" borderId="74" xfId="0" applyNumberFormat="1" applyFont="1" applyFill="1" applyBorder="1" applyAlignment="1">
      <alignment horizontal="center" vertical="center" textRotation="90"/>
    </xf>
    <xf numFmtId="0" fontId="20" fillId="0" borderId="36" xfId="0" applyFont="1" applyBorder="1" applyAlignment="1">
      <alignment horizontal="center" vertical="center" wrapText="1"/>
    </xf>
    <xf numFmtId="0" fontId="20" fillId="0" borderId="5" xfId="0" applyFont="1" applyBorder="1" applyAlignment="1">
      <alignment horizontal="center" vertical="center" wrapText="1"/>
    </xf>
    <xf numFmtId="0" fontId="20" fillId="0" borderId="4" xfId="0" applyFont="1" applyBorder="1" applyAlignment="1">
      <alignment horizontal="center" vertical="center" wrapText="1"/>
    </xf>
    <xf numFmtId="0" fontId="0" fillId="4" borderId="37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4" borderId="5" xfId="0" applyFill="1" applyBorder="1" applyAlignment="1">
      <alignment horizontal="center"/>
    </xf>
    <xf numFmtId="0" fontId="103" fillId="36" borderId="60" xfId="0" applyFont="1" applyFill="1" applyBorder="1" applyAlignment="1">
      <alignment horizontal="center" vertical="center"/>
    </xf>
    <xf numFmtId="0" fontId="103" fillId="36" borderId="70" xfId="0" applyFont="1" applyFill="1" applyBorder="1" applyAlignment="1">
      <alignment horizontal="center" vertical="center"/>
    </xf>
    <xf numFmtId="0" fontId="103" fillId="36" borderId="71" xfId="0" applyFont="1" applyFill="1" applyBorder="1" applyAlignment="1">
      <alignment horizontal="center" vertical="center"/>
    </xf>
    <xf numFmtId="0" fontId="21" fillId="0" borderId="53" xfId="0" applyFont="1" applyBorder="1" applyAlignment="1" applyProtection="1">
      <alignment horizontal="center" vertical="center"/>
      <protection locked="0"/>
    </xf>
    <xf numFmtId="0" fontId="21" fillId="0" borderId="14" xfId="0" applyFont="1" applyBorder="1" applyAlignment="1" applyProtection="1">
      <alignment horizontal="center" vertical="center"/>
      <protection locked="0"/>
    </xf>
    <xf numFmtId="0" fontId="21" fillId="0" borderId="15" xfId="0" applyFont="1" applyBorder="1" applyAlignment="1" applyProtection="1">
      <alignment horizontal="center" vertical="center"/>
      <protection locked="0"/>
    </xf>
    <xf numFmtId="167" fontId="27" fillId="5" borderId="21" xfId="2" applyNumberFormat="1" applyFont="1" applyFill="1" applyBorder="1" applyAlignment="1">
      <alignment horizontal="center"/>
    </xf>
    <xf numFmtId="167" fontId="27" fillId="5" borderId="0" xfId="2" applyNumberFormat="1" applyFont="1" applyFill="1" applyBorder="1" applyAlignment="1">
      <alignment horizontal="center"/>
    </xf>
    <xf numFmtId="167" fontId="27" fillId="5" borderId="22" xfId="2" applyNumberFormat="1" applyFont="1" applyFill="1" applyBorder="1" applyAlignment="1">
      <alignment horizontal="center"/>
    </xf>
    <xf numFmtId="2" fontId="20" fillId="5" borderId="21" xfId="0" applyNumberFormat="1" applyFont="1" applyFill="1" applyBorder="1" applyAlignment="1">
      <alignment horizontal="center"/>
    </xf>
    <xf numFmtId="2" fontId="20" fillId="5" borderId="0" xfId="0" applyNumberFormat="1" applyFont="1" applyFill="1" applyBorder="1" applyAlignment="1">
      <alignment horizontal="center"/>
    </xf>
    <xf numFmtId="2" fontId="20" fillId="5" borderId="22" xfId="0" applyNumberFormat="1" applyFont="1" applyFill="1" applyBorder="1" applyAlignment="1">
      <alignment horizontal="center"/>
    </xf>
    <xf numFmtId="10" fontId="27" fillId="2" borderId="21" xfId="2" applyNumberFormat="1" applyFont="1" applyFill="1" applyBorder="1" applyAlignment="1">
      <alignment horizontal="center"/>
    </xf>
    <xf numFmtId="10" fontId="27" fillId="2" borderId="0" xfId="2" applyNumberFormat="1" applyFont="1" applyFill="1" applyBorder="1" applyAlignment="1">
      <alignment horizontal="center"/>
    </xf>
    <xf numFmtId="10" fontId="27" fillId="2" borderId="22" xfId="2" applyNumberFormat="1" applyFont="1" applyFill="1" applyBorder="1" applyAlignment="1">
      <alignment horizontal="center"/>
    </xf>
    <xf numFmtId="2" fontId="20" fillId="2" borderId="21" xfId="0" applyNumberFormat="1" applyFont="1" applyFill="1" applyBorder="1" applyAlignment="1">
      <alignment horizontal="center"/>
    </xf>
    <xf numFmtId="2" fontId="20" fillId="2" borderId="0" xfId="0" applyNumberFormat="1" applyFont="1" applyFill="1" applyBorder="1" applyAlignment="1">
      <alignment horizontal="center"/>
    </xf>
    <xf numFmtId="2" fontId="20" fillId="2" borderId="22" xfId="0" applyNumberFormat="1" applyFont="1" applyFill="1" applyBorder="1" applyAlignment="1">
      <alignment horizontal="center"/>
    </xf>
    <xf numFmtId="164" fontId="12" fillId="9" borderId="76" xfId="0" applyNumberFormat="1" applyFont="1" applyFill="1" applyBorder="1" applyAlignment="1">
      <alignment horizontal="center" vertical="center" textRotation="90"/>
    </xf>
    <xf numFmtId="0" fontId="34" fillId="4" borderId="0" xfId="0" applyFont="1" applyFill="1" applyBorder="1" applyAlignment="1">
      <alignment horizontal="center" vertical="center" textRotation="90"/>
    </xf>
    <xf numFmtId="164" fontId="3" fillId="5" borderId="21" xfId="2" applyNumberFormat="1" applyFont="1" applyFill="1" applyBorder="1" applyAlignment="1">
      <alignment horizontal="center" vertical="center" wrapText="1"/>
    </xf>
    <xf numFmtId="164" fontId="3" fillId="5" borderId="0" xfId="2" applyNumberFormat="1" applyFont="1" applyFill="1" applyBorder="1" applyAlignment="1">
      <alignment horizontal="center" vertical="center" wrapText="1"/>
    </xf>
    <xf numFmtId="164" fontId="3" fillId="5" borderId="22" xfId="2" applyNumberFormat="1" applyFont="1" applyFill="1" applyBorder="1" applyAlignment="1">
      <alignment horizontal="center" vertical="center" wrapText="1"/>
    </xf>
    <xf numFmtId="10" fontId="27" fillId="5" borderId="21" xfId="2" applyNumberFormat="1" applyFont="1" applyFill="1" applyBorder="1" applyAlignment="1">
      <alignment horizontal="center" vertical="center"/>
    </xf>
    <xf numFmtId="10" fontId="27" fillId="5" borderId="0" xfId="2" applyNumberFormat="1" applyFont="1" applyFill="1" applyBorder="1" applyAlignment="1">
      <alignment horizontal="center" vertical="center"/>
    </xf>
    <xf numFmtId="10" fontId="27" fillId="5" borderId="22" xfId="2" applyNumberFormat="1" applyFont="1" applyFill="1" applyBorder="1" applyAlignment="1">
      <alignment horizontal="center" vertical="center"/>
    </xf>
    <xf numFmtId="164" fontId="20" fillId="5" borderId="21" xfId="0" applyNumberFormat="1" applyFont="1" applyFill="1" applyBorder="1" applyAlignment="1">
      <alignment horizontal="center" vertical="center"/>
    </xf>
    <xf numFmtId="164" fontId="20" fillId="5" borderId="0" xfId="0" applyNumberFormat="1" applyFont="1" applyFill="1" applyBorder="1" applyAlignment="1">
      <alignment horizontal="center" vertical="center"/>
    </xf>
    <xf numFmtId="164" fontId="20" fillId="5" borderId="22" xfId="0" applyNumberFormat="1" applyFont="1" applyFill="1" applyBorder="1" applyAlignment="1">
      <alignment horizontal="center" vertical="center"/>
    </xf>
    <xf numFmtId="164" fontId="20" fillId="2" borderId="21" xfId="0" applyNumberFormat="1" applyFont="1" applyFill="1" applyBorder="1" applyAlignment="1">
      <alignment horizontal="center" vertical="center"/>
    </xf>
    <xf numFmtId="164" fontId="20" fillId="2" borderId="0" xfId="0" applyNumberFormat="1" applyFont="1" applyFill="1" applyBorder="1" applyAlignment="1">
      <alignment horizontal="center" vertical="center"/>
    </xf>
    <xf numFmtId="164" fontId="20" fillId="2" borderId="22" xfId="0" applyNumberFormat="1" applyFont="1" applyFill="1" applyBorder="1" applyAlignment="1">
      <alignment horizontal="center" vertical="center"/>
    </xf>
    <xf numFmtId="2" fontId="12" fillId="10" borderId="42" xfId="0" applyNumberFormat="1" applyFont="1" applyFill="1" applyBorder="1" applyAlignment="1">
      <alignment horizontal="center" vertical="center" textRotation="90"/>
    </xf>
    <xf numFmtId="0" fontId="4" fillId="0" borderId="0" xfId="0" applyFont="1" applyAlignment="1">
      <alignment horizontal="center"/>
    </xf>
    <xf numFmtId="0" fontId="4" fillId="4" borderId="0" xfId="0" applyFont="1" applyFill="1" applyAlignment="1">
      <alignment horizontal="center"/>
    </xf>
    <xf numFmtId="0" fontId="6" fillId="0" borderId="36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164" fontId="2" fillId="10" borderId="64" xfId="0" applyNumberFormat="1" applyFont="1" applyFill="1" applyBorder="1" applyAlignment="1">
      <alignment horizontal="center" vertical="center"/>
    </xf>
    <xf numFmtId="164" fontId="2" fillId="10" borderId="66" xfId="0" applyNumberFormat="1" applyFont="1" applyFill="1" applyBorder="1" applyAlignment="1">
      <alignment horizontal="center" vertical="center"/>
    </xf>
    <xf numFmtId="164" fontId="2" fillId="10" borderId="65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0" fillId="0" borderId="47" xfId="0" applyFont="1" applyBorder="1" applyAlignment="1">
      <alignment horizontal="center" vertical="center"/>
    </xf>
    <xf numFmtId="0" fontId="20" fillId="0" borderId="51" xfId="0" applyFont="1" applyBorder="1" applyAlignment="1">
      <alignment horizontal="center" vertical="center"/>
    </xf>
    <xf numFmtId="0" fontId="20" fillId="0" borderId="2" xfId="0" applyFont="1" applyBorder="1" applyAlignment="1">
      <alignment horizontal="center" vertical="center"/>
    </xf>
    <xf numFmtId="0" fontId="20" fillId="0" borderId="3" xfId="0" applyFont="1" applyBorder="1" applyAlignment="1">
      <alignment horizontal="center" vertical="center"/>
    </xf>
    <xf numFmtId="164" fontId="2" fillId="9" borderId="64" xfId="0" applyNumberFormat="1" applyFont="1" applyFill="1" applyBorder="1" applyAlignment="1">
      <alignment horizontal="center" vertical="center"/>
    </xf>
    <xf numFmtId="164" fontId="2" fillId="9" borderId="66" xfId="0" applyNumberFormat="1" applyFont="1" applyFill="1" applyBorder="1" applyAlignment="1">
      <alignment horizontal="center" vertical="center"/>
    </xf>
    <xf numFmtId="164" fontId="2" fillId="9" borderId="65" xfId="0" applyNumberFormat="1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4" borderId="36" xfId="0" applyFont="1" applyFill="1" applyBorder="1" applyAlignment="1">
      <alignment horizontal="center"/>
    </xf>
    <xf numFmtId="0" fontId="4" fillId="4" borderId="37" xfId="0" applyFont="1" applyFill="1" applyBorder="1" applyAlignment="1">
      <alignment horizontal="center"/>
    </xf>
    <xf numFmtId="0" fontId="4" fillId="4" borderId="32" xfId="0" applyFont="1" applyFill="1" applyBorder="1" applyAlignment="1">
      <alignment horizontal="center"/>
    </xf>
    <xf numFmtId="2" fontId="34" fillId="4" borderId="0" xfId="0" applyNumberFormat="1" applyFont="1" applyFill="1" applyBorder="1" applyAlignment="1">
      <alignment horizontal="center" vertical="center" textRotation="90"/>
    </xf>
    <xf numFmtId="10" fontId="27" fillId="2" borderId="21" xfId="2" applyNumberFormat="1" applyFont="1" applyFill="1" applyBorder="1" applyAlignment="1">
      <alignment horizontal="center" vertical="center"/>
    </xf>
    <xf numFmtId="10" fontId="27" fillId="2" borderId="0" xfId="2" applyNumberFormat="1" applyFont="1" applyFill="1" applyBorder="1" applyAlignment="1">
      <alignment horizontal="center" vertical="center"/>
    </xf>
    <xf numFmtId="10" fontId="27" fillId="2" borderId="22" xfId="2" applyNumberFormat="1" applyFont="1" applyFill="1" applyBorder="1" applyAlignment="1">
      <alignment horizontal="center" vertical="center"/>
    </xf>
    <xf numFmtId="2" fontId="9" fillId="4" borderId="0" xfId="0" applyNumberFormat="1" applyFont="1" applyFill="1" applyBorder="1" applyAlignment="1">
      <alignment horizontal="center" vertical="center"/>
    </xf>
    <xf numFmtId="164" fontId="12" fillId="9" borderId="41" xfId="0" applyNumberFormat="1" applyFont="1" applyFill="1" applyBorder="1" applyAlignment="1">
      <alignment horizontal="center" vertical="center" textRotation="90"/>
    </xf>
    <xf numFmtId="164" fontId="12" fillId="9" borderId="42" xfId="0" applyNumberFormat="1" applyFont="1" applyFill="1" applyBorder="1" applyAlignment="1">
      <alignment horizontal="center" vertical="center" textRotation="90"/>
    </xf>
    <xf numFmtId="164" fontId="12" fillId="10" borderId="0" xfId="0" applyNumberFormat="1" applyFont="1" applyFill="1" applyBorder="1" applyAlignment="1">
      <alignment horizontal="center" vertical="center" textRotation="90"/>
    </xf>
    <xf numFmtId="164" fontId="12" fillId="10" borderId="123" xfId="0" applyNumberFormat="1" applyFont="1" applyFill="1" applyBorder="1" applyAlignment="1">
      <alignment horizontal="center" vertical="center" textRotation="90"/>
    </xf>
    <xf numFmtId="2" fontId="12" fillId="10" borderId="41" xfId="0" applyNumberFormat="1" applyFont="1" applyFill="1" applyBorder="1" applyAlignment="1">
      <alignment horizontal="center" vertical="center" textRotation="90"/>
    </xf>
    <xf numFmtId="164" fontId="1" fillId="4" borderId="0" xfId="2" applyNumberFormat="1" applyFont="1" applyFill="1" applyBorder="1" applyAlignment="1">
      <alignment horizontal="center" vertical="center"/>
    </xf>
    <xf numFmtId="0" fontId="2" fillId="0" borderId="36" xfId="0" applyFont="1" applyBorder="1" applyAlignment="1">
      <alignment horizontal="right" vertical="center"/>
    </xf>
    <xf numFmtId="0" fontId="2" fillId="0" borderId="32" xfId="0" applyFont="1" applyBorder="1" applyAlignment="1">
      <alignment horizontal="right" vertical="center"/>
    </xf>
    <xf numFmtId="0" fontId="4" fillId="4" borderId="4" xfId="0" quotePrefix="1" applyFont="1" applyFill="1" applyBorder="1" applyAlignment="1">
      <alignment horizontal="right" vertical="center"/>
    </xf>
    <xf numFmtId="0" fontId="4" fillId="4" borderId="28" xfId="0" quotePrefix="1" applyFont="1" applyFill="1" applyBorder="1" applyAlignment="1">
      <alignment horizontal="right" vertical="center"/>
    </xf>
    <xf numFmtId="9" fontId="30" fillId="4" borderId="68" xfId="2" applyFont="1" applyFill="1" applyBorder="1" applyAlignment="1">
      <alignment horizontal="right" vertical="center"/>
    </xf>
    <xf numFmtId="9" fontId="30" fillId="4" borderId="58" xfId="2" applyFont="1" applyFill="1" applyBorder="1" applyAlignment="1">
      <alignment horizontal="right" vertical="center"/>
    </xf>
    <xf numFmtId="0" fontId="50" fillId="22" borderId="141" xfId="0" applyFont="1" applyFill="1" applyBorder="1" applyAlignment="1">
      <alignment horizontal="center" vertical="center"/>
    </xf>
    <xf numFmtId="0" fontId="50" fillId="22" borderId="53" xfId="0" applyFont="1" applyFill="1" applyBorder="1" applyAlignment="1">
      <alignment horizontal="center" vertical="center"/>
    </xf>
    <xf numFmtId="0" fontId="4" fillId="24" borderId="98" xfId="0" applyFont="1" applyFill="1" applyBorder="1" applyAlignment="1">
      <alignment horizontal="center" vertical="center"/>
    </xf>
    <xf numFmtId="0" fontId="4" fillId="24" borderId="37" xfId="0" applyFont="1" applyFill="1" applyBorder="1" applyAlignment="1">
      <alignment horizontal="center" vertical="center"/>
    </xf>
    <xf numFmtId="0" fontId="4" fillId="24" borderId="96" xfId="0" applyFont="1" applyFill="1" applyBorder="1" applyAlignment="1">
      <alignment horizontal="center" vertical="center"/>
    </xf>
    <xf numFmtId="0" fontId="118" fillId="36" borderId="159" xfId="0" applyFont="1" applyFill="1" applyBorder="1" applyAlignment="1">
      <alignment horizontal="center" vertical="center"/>
    </xf>
    <xf numFmtId="0" fontId="118" fillId="36" borderId="160" xfId="0" applyFont="1" applyFill="1" applyBorder="1" applyAlignment="1">
      <alignment horizontal="center" vertical="center"/>
    </xf>
    <xf numFmtId="0" fontId="118" fillId="36" borderId="161" xfId="0" applyFont="1" applyFill="1" applyBorder="1" applyAlignment="1">
      <alignment horizontal="center" vertical="center"/>
    </xf>
    <xf numFmtId="0" fontId="118" fillId="36" borderId="162" xfId="0" applyFont="1" applyFill="1" applyBorder="1" applyAlignment="1">
      <alignment horizontal="center" vertical="center"/>
    </xf>
    <xf numFmtId="0" fontId="118" fillId="36" borderId="163" xfId="0" applyFont="1" applyFill="1" applyBorder="1" applyAlignment="1">
      <alignment horizontal="center" vertical="center"/>
    </xf>
    <xf numFmtId="0" fontId="118" fillId="36" borderId="164" xfId="0" applyFont="1" applyFill="1" applyBorder="1" applyAlignment="1">
      <alignment horizontal="center" vertical="center"/>
    </xf>
    <xf numFmtId="0" fontId="96" fillId="6" borderId="32" xfId="0" applyFont="1" applyFill="1" applyBorder="1" applyAlignment="1">
      <alignment horizontal="right" wrapText="1"/>
    </xf>
    <xf numFmtId="0" fontId="96" fillId="6" borderId="33" xfId="0" applyFont="1" applyFill="1" applyBorder="1" applyAlignment="1">
      <alignment horizontal="right" wrapText="1"/>
    </xf>
    <xf numFmtId="0" fontId="20" fillId="28" borderId="52" xfId="0" applyFont="1" applyFill="1" applyBorder="1" applyAlignment="1">
      <alignment horizontal="right" vertical="center" wrapText="1"/>
    </xf>
    <xf numFmtId="0" fontId="20" fillId="28" borderId="141" xfId="0" applyFont="1" applyFill="1" applyBorder="1" applyAlignment="1">
      <alignment horizontal="right" vertical="center" wrapText="1"/>
    </xf>
    <xf numFmtId="2" fontId="12" fillId="6" borderId="36" xfId="0" applyNumberFormat="1" applyFont="1" applyFill="1" applyBorder="1" applyAlignment="1">
      <alignment horizontal="right" vertical="center" wrapText="1"/>
    </xf>
    <xf numFmtId="2" fontId="12" fillId="6" borderId="93" xfId="0" applyNumberFormat="1" applyFont="1" applyFill="1" applyBorder="1" applyAlignment="1">
      <alignment horizontal="right" vertical="center" wrapText="1"/>
    </xf>
    <xf numFmtId="2" fontId="21" fillId="6" borderId="32" xfId="0" applyNumberFormat="1" applyFont="1" applyFill="1" applyBorder="1" applyAlignment="1">
      <alignment horizontal="right" vertical="top" wrapText="1"/>
    </xf>
    <xf numFmtId="2" fontId="21" fillId="6" borderId="33" xfId="0" applyNumberFormat="1" applyFont="1" applyFill="1" applyBorder="1" applyAlignment="1">
      <alignment horizontal="right" vertical="top" wrapText="1"/>
    </xf>
    <xf numFmtId="2" fontId="21" fillId="6" borderId="37" xfId="0" applyNumberFormat="1" applyFont="1" applyFill="1" applyBorder="1" applyAlignment="1">
      <alignment horizontal="right" vertical="top" wrapText="1"/>
    </xf>
    <xf numFmtId="2" fontId="21" fillId="6" borderId="0" xfId="0" applyNumberFormat="1" applyFont="1" applyFill="1" applyBorder="1" applyAlignment="1">
      <alignment horizontal="right" vertical="top" wrapText="1"/>
    </xf>
    <xf numFmtId="0" fontId="104" fillId="24" borderId="18" xfId="0" applyFont="1" applyFill="1" applyBorder="1" applyAlignment="1">
      <alignment horizontal="center" vertical="center"/>
    </xf>
    <xf numFmtId="0" fontId="104" fillId="24" borderId="152" xfId="0" applyFont="1" applyFill="1" applyBorder="1" applyAlignment="1">
      <alignment horizontal="center" vertical="center"/>
    </xf>
    <xf numFmtId="0" fontId="6" fillId="0" borderId="36" xfId="0" applyFont="1" applyBorder="1" applyAlignment="1">
      <alignment horizontal="right" vertical="center"/>
    </xf>
    <xf numFmtId="0" fontId="6" fillId="0" borderId="153" xfId="0" applyFont="1" applyBorder="1" applyAlignment="1">
      <alignment horizontal="right" vertical="center"/>
    </xf>
    <xf numFmtId="0" fontId="92" fillId="24" borderId="33" xfId="0" applyFont="1" applyFill="1" applyBorder="1" applyAlignment="1">
      <alignment horizontal="center" vertical="center" wrapText="1"/>
    </xf>
    <xf numFmtId="165" fontId="25" fillId="0" borderId="139" xfId="0" applyNumberFormat="1" applyFont="1" applyFill="1" applyBorder="1" applyAlignment="1">
      <alignment horizontal="right" vertical="center" indent="1"/>
    </xf>
    <xf numFmtId="165" fontId="25" fillId="0" borderId="140" xfId="0" applyNumberFormat="1" applyFont="1" applyFill="1" applyBorder="1" applyAlignment="1">
      <alignment horizontal="right" vertical="center" indent="1"/>
    </xf>
    <xf numFmtId="166" fontId="126" fillId="0" borderId="4" xfId="0" applyNumberFormat="1" applyFont="1" applyFill="1" applyBorder="1" applyAlignment="1">
      <alignment horizontal="left" vertical="center"/>
    </xf>
    <xf numFmtId="166" fontId="126" fillId="0" borderId="35" xfId="0" applyNumberFormat="1" applyFont="1" applyFill="1" applyBorder="1" applyAlignment="1">
      <alignment horizontal="left" vertical="center"/>
    </xf>
    <xf numFmtId="0" fontId="12" fillId="6" borderId="37" xfId="0" applyFont="1" applyFill="1" applyBorder="1" applyAlignment="1">
      <alignment horizontal="right" vertical="center"/>
    </xf>
    <xf numFmtId="0" fontId="12" fillId="6" borderId="0" xfId="0" applyFont="1" applyFill="1" applyBorder="1" applyAlignment="1">
      <alignment horizontal="right" vertical="center"/>
    </xf>
    <xf numFmtId="0" fontId="2" fillId="28" borderId="9" xfId="0" applyFont="1" applyFill="1" applyBorder="1" applyAlignment="1">
      <alignment horizontal="center" vertical="center" wrapText="1"/>
    </xf>
    <xf numFmtId="0" fontId="2" fillId="28" borderId="46" xfId="0" applyFont="1" applyFill="1" applyBorder="1" applyAlignment="1">
      <alignment horizontal="center" vertical="center" wrapText="1"/>
    </xf>
    <xf numFmtId="0" fontId="131" fillId="37" borderId="106" xfId="5" applyFont="1" applyFill="1" applyBorder="1" applyAlignment="1">
      <alignment horizontal="center" vertical="center"/>
    </xf>
    <xf numFmtId="0" fontId="131" fillId="37" borderId="66" xfId="5" applyFont="1" applyFill="1" applyBorder="1" applyAlignment="1">
      <alignment horizontal="center" vertical="center"/>
    </xf>
    <xf numFmtId="0" fontId="131" fillId="37" borderId="65" xfId="5" applyFont="1" applyFill="1" applyBorder="1" applyAlignment="1">
      <alignment horizontal="center" vertical="center"/>
    </xf>
    <xf numFmtId="0" fontId="50" fillId="26" borderId="16" xfId="0" applyFont="1" applyFill="1" applyBorder="1" applyAlignment="1">
      <alignment horizontal="right" vertical="center" textRotation="90"/>
    </xf>
    <xf numFmtId="166" fontId="23" fillId="4" borderId="4" xfId="0" applyNumberFormat="1" applyFont="1" applyFill="1" applyBorder="1" applyAlignment="1">
      <alignment horizontal="left" vertical="center"/>
    </xf>
    <xf numFmtId="166" fontId="23" fillId="4" borderId="35" xfId="0" applyNumberFormat="1" applyFont="1" applyFill="1" applyBorder="1" applyAlignment="1">
      <alignment horizontal="left" vertical="center"/>
    </xf>
    <xf numFmtId="2" fontId="14" fillId="4" borderId="166" xfId="0" applyNumberFormat="1" applyFont="1" applyFill="1" applyBorder="1" applyAlignment="1">
      <alignment horizontal="right" vertical="center" indent="1"/>
    </xf>
    <xf numFmtId="2" fontId="14" fillId="4" borderId="168" xfId="0" applyNumberFormat="1" applyFont="1" applyFill="1" applyBorder="1" applyAlignment="1">
      <alignment horizontal="right" vertical="center" indent="1"/>
    </xf>
    <xf numFmtId="0" fontId="2" fillId="21" borderId="9" xfId="0" applyFont="1" applyFill="1" applyBorder="1" applyAlignment="1">
      <alignment horizontal="center" vertical="center" wrapText="1"/>
    </xf>
    <xf numFmtId="0" fontId="2" fillId="21" borderId="46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left" vertical="center"/>
    </xf>
    <xf numFmtId="0" fontId="3" fillId="4" borderId="35" xfId="0" applyFont="1" applyFill="1" applyBorder="1" applyAlignment="1">
      <alignment horizontal="left" vertical="center"/>
    </xf>
    <xf numFmtId="0" fontId="119" fillId="4" borderId="36" xfId="0" applyFont="1" applyFill="1" applyBorder="1" applyAlignment="1">
      <alignment horizontal="center" vertical="center"/>
    </xf>
    <xf numFmtId="0" fontId="119" fillId="4" borderId="5" xfId="0" applyFont="1" applyFill="1" applyBorder="1" applyAlignment="1">
      <alignment horizontal="center" vertical="center"/>
    </xf>
    <xf numFmtId="0" fontId="119" fillId="4" borderId="37" xfId="0" applyFont="1" applyFill="1" applyBorder="1" applyAlignment="1">
      <alignment horizontal="center" vertical="center"/>
    </xf>
    <xf numFmtId="0" fontId="119" fillId="4" borderId="0" xfId="0" applyFont="1" applyFill="1" applyBorder="1" applyAlignment="1">
      <alignment horizontal="center" vertical="center"/>
    </xf>
    <xf numFmtId="2" fontId="107" fillId="36" borderId="62" xfId="0" applyNumberFormat="1" applyFont="1" applyFill="1" applyBorder="1" applyAlignment="1">
      <alignment horizontal="right" vertical="center"/>
    </xf>
    <xf numFmtId="2" fontId="107" fillId="36" borderId="63" xfId="0" applyNumberFormat="1" applyFont="1" applyFill="1" applyBorder="1" applyAlignment="1">
      <alignment horizontal="right" vertical="center"/>
    </xf>
    <xf numFmtId="2" fontId="12" fillId="6" borderId="37" xfId="0" applyNumberFormat="1" applyFont="1" applyFill="1" applyBorder="1" applyAlignment="1">
      <alignment horizontal="right" vertical="center" wrapText="1"/>
    </xf>
    <xf numFmtId="2" fontId="12" fillId="6" borderId="104" xfId="0" applyNumberFormat="1" applyFont="1" applyFill="1" applyBorder="1" applyAlignment="1">
      <alignment horizontal="right" vertical="center" wrapText="1"/>
    </xf>
    <xf numFmtId="0" fontId="50" fillId="22" borderId="80" xfId="0" applyFont="1" applyFill="1" applyBorder="1" applyAlignment="1">
      <alignment horizontal="center" vertical="center"/>
    </xf>
    <xf numFmtId="0" fontId="50" fillId="22" borderId="20" xfId="0" applyFont="1" applyFill="1" applyBorder="1" applyAlignment="1">
      <alignment horizontal="center" vertical="center"/>
    </xf>
    <xf numFmtId="3" fontId="4" fillId="4" borderId="36" xfId="0" applyNumberFormat="1" applyFont="1" applyFill="1" applyBorder="1" applyAlignment="1">
      <alignment horizontal="center" vertical="center"/>
    </xf>
    <xf numFmtId="3" fontId="4" fillId="4" borderId="5" xfId="0" applyNumberFormat="1" applyFont="1" applyFill="1" applyBorder="1" applyAlignment="1">
      <alignment horizontal="center" vertical="center"/>
    </xf>
    <xf numFmtId="0" fontId="15" fillId="0" borderId="36" xfId="0" applyFont="1" applyBorder="1" applyAlignment="1">
      <alignment horizontal="center" vertical="center"/>
    </xf>
    <xf numFmtId="0" fontId="15" fillId="0" borderId="5" xfId="0" applyFont="1" applyBorder="1" applyAlignment="1">
      <alignment horizontal="center" vertical="center"/>
    </xf>
    <xf numFmtId="0" fontId="6" fillId="0" borderId="69" xfId="0" applyFont="1" applyBorder="1" applyAlignment="1">
      <alignment horizontal="center" vertical="center" wrapText="1"/>
    </xf>
    <xf numFmtId="0" fontId="4" fillId="24" borderId="92" xfId="0" applyFont="1" applyFill="1" applyBorder="1" applyAlignment="1">
      <alignment horizontal="center" vertical="center"/>
    </xf>
    <xf numFmtId="0" fontId="6" fillId="24" borderId="37" xfId="0" applyFont="1" applyFill="1" applyBorder="1" applyAlignment="1">
      <alignment horizontal="center"/>
    </xf>
    <xf numFmtId="0" fontId="6" fillId="24" borderId="201" xfId="0" applyFont="1" applyFill="1" applyBorder="1" applyAlignment="1">
      <alignment horizontal="center"/>
    </xf>
    <xf numFmtId="0" fontId="6" fillId="24" borderId="0" xfId="0" applyFont="1" applyFill="1" applyBorder="1" applyAlignment="1">
      <alignment horizontal="center"/>
    </xf>
    <xf numFmtId="0" fontId="4" fillId="24" borderId="33" xfId="0" applyFont="1" applyFill="1" applyBorder="1" applyAlignment="1">
      <alignment horizontal="center"/>
    </xf>
    <xf numFmtId="3" fontId="4" fillId="4" borderId="67" xfId="0" applyNumberFormat="1" applyFont="1" applyFill="1" applyBorder="1" applyAlignment="1">
      <alignment horizontal="center" vertical="center"/>
    </xf>
    <xf numFmtId="0" fontId="6" fillId="4" borderId="43" xfId="0" applyFont="1" applyFill="1" applyBorder="1" applyAlignment="1">
      <alignment horizontal="right" vertical="center" wrapText="1"/>
    </xf>
    <xf numFmtId="0" fontId="6" fillId="4" borderId="53" xfId="0" applyFont="1" applyFill="1" applyBorder="1" applyAlignment="1">
      <alignment horizontal="right" vertical="center" wrapText="1"/>
    </xf>
    <xf numFmtId="0" fontId="4" fillId="24" borderId="102" xfId="0" applyFont="1" applyFill="1" applyBorder="1" applyAlignment="1">
      <alignment horizontal="center" vertical="center"/>
    </xf>
    <xf numFmtId="0" fontId="6" fillId="24" borderId="0" xfId="0" applyFont="1" applyFill="1" applyBorder="1" applyAlignment="1">
      <alignment horizontal="center" vertical="center"/>
    </xf>
    <xf numFmtId="3" fontId="15" fillId="24" borderId="37" xfId="0" applyNumberFormat="1" applyFont="1" applyFill="1" applyBorder="1" applyAlignment="1">
      <alignment horizontal="center" vertical="center"/>
    </xf>
    <xf numFmtId="0" fontId="4" fillId="24" borderId="0" xfId="0" applyFont="1" applyFill="1" applyBorder="1" applyAlignment="1">
      <alignment horizontal="center"/>
    </xf>
    <xf numFmtId="164" fontId="4" fillId="24" borderId="0" xfId="0" applyNumberFormat="1" applyFont="1" applyFill="1" applyBorder="1" applyAlignment="1">
      <alignment horizontal="center" vertical="center"/>
    </xf>
    <xf numFmtId="0" fontId="4" fillId="24" borderId="0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right" vertical="center"/>
    </xf>
    <xf numFmtId="0" fontId="6" fillId="0" borderId="24" xfId="0" applyFont="1" applyBorder="1" applyAlignment="1">
      <alignment horizontal="right" vertical="center"/>
    </xf>
    <xf numFmtId="0" fontId="100" fillId="24" borderId="147" xfId="0" applyFont="1" applyFill="1" applyBorder="1" applyAlignment="1">
      <alignment horizontal="center" vertical="center"/>
    </xf>
    <xf numFmtId="0" fontId="100" fillId="24" borderId="18" xfId="0" applyFont="1" applyFill="1" applyBorder="1" applyAlignment="1">
      <alignment horizontal="center" vertical="center"/>
    </xf>
    <xf numFmtId="0" fontId="100" fillId="24" borderId="152" xfId="0" applyFont="1" applyFill="1" applyBorder="1" applyAlignment="1">
      <alignment horizontal="center" vertical="center"/>
    </xf>
    <xf numFmtId="0" fontId="6" fillId="0" borderId="80" xfId="0" applyFont="1" applyBorder="1" applyAlignment="1">
      <alignment horizontal="center" vertical="center" wrapText="1"/>
    </xf>
    <xf numFmtId="0" fontId="142" fillId="24" borderId="147" xfId="0" applyFont="1" applyFill="1" applyBorder="1" applyAlignment="1">
      <alignment horizontal="center" vertical="center"/>
    </xf>
    <xf numFmtId="0" fontId="142" fillId="24" borderId="18" xfId="0" applyFont="1" applyFill="1" applyBorder="1" applyAlignment="1">
      <alignment horizontal="center" vertical="center"/>
    </xf>
    <xf numFmtId="0" fontId="6" fillId="0" borderId="113" xfId="0" applyFont="1" applyBorder="1" applyAlignment="1">
      <alignment horizontal="center" vertical="center" wrapText="1"/>
    </xf>
    <xf numFmtId="0" fontId="6" fillId="0" borderId="125" xfId="0" applyFont="1" applyBorder="1" applyAlignment="1">
      <alignment horizontal="center" vertical="center" wrapText="1"/>
    </xf>
    <xf numFmtId="0" fontId="4" fillId="4" borderId="10" xfId="0" applyFont="1" applyFill="1" applyBorder="1" applyAlignment="1">
      <alignment horizontal="center" vertical="center"/>
    </xf>
    <xf numFmtId="0" fontId="4" fillId="4" borderId="84" xfId="0" applyFont="1" applyFill="1" applyBorder="1" applyAlignment="1">
      <alignment horizontal="center" vertical="center"/>
    </xf>
    <xf numFmtId="165" fontId="25" fillId="0" borderId="5" xfId="0" applyNumberFormat="1" applyFont="1" applyFill="1" applyBorder="1" applyAlignment="1">
      <alignment horizontal="right" vertical="center" indent="1"/>
    </xf>
    <xf numFmtId="165" fontId="25" fillId="0" borderId="33" xfId="0" applyNumberFormat="1" applyFont="1" applyFill="1" applyBorder="1" applyAlignment="1">
      <alignment horizontal="right" vertical="center" indent="1"/>
    </xf>
    <xf numFmtId="0" fontId="6" fillId="0" borderId="5" xfId="0" applyFont="1" applyBorder="1" applyAlignment="1">
      <alignment horizontal="right" vertical="center"/>
    </xf>
    <xf numFmtId="0" fontId="101" fillId="24" borderId="18" xfId="0" applyFont="1" applyFill="1" applyBorder="1" applyAlignment="1">
      <alignment horizontal="center" vertical="center"/>
    </xf>
    <xf numFmtId="0" fontId="2" fillId="26" borderId="0" xfId="0" applyFont="1" applyFill="1" applyBorder="1" applyAlignment="1">
      <alignment horizontal="right" vertical="center" textRotation="90"/>
    </xf>
    <xf numFmtId="0" fontId="60" fillId="2" borderId="36" xfId="0" applyFont="1" applyFill="1" applyBorder="1" applyAlignment="1">
      <alignment horizontal="center" vertical="center"/>
    </xf>
    <xf numFmtId="0" fontId="60" fillId="2" borderId="5" xfId="0" applyFont="1" applyFill="1" applyBorder="1" applyAlignment="1">
      <alignment horizontal="center" vertical="center"/>
    </xf>
    <xf numFmtId="0" fontId="60" fillId="2" borderId="153" xfId="0" applyFont="1" applyFill="1" applyBorder="1" applyAlignment="1">
      <alignment horizontal="center" vertical="center"/>
    </xf>
    <xf numFmtId="0" fontId="132" fillId="37" borderId="120" xfId="5" applyFont="1" applyFill="1" applyBorder="1" applyAlignment="1">
      <alignment horizontal="center" vertical="center" wrapText="1"/>
    </xf>
    <xf numFmtId="0" fontId="132" fillId="37" borderId="121" xfId="5" applyFont="1" applyFill="1" applyBorder="1" applyAlignment="1">
      <alignment horizontal="center" vertical="center" wrapText="1"/>
    </xf>
    <xf numFmtId="0" fontId="132" fillId="37" borderId="165" xfId="5" applyFont="1" applyFill="1" applyBorder="1" applyAlignment="1">
      <alignment horizontal="center" vertical="center" wrapText="1"/>
    </xf>
    <xf numFmtId="0" fontId="132" fillId="37" borderId="136" xfId="5" applyFont="1" applyFill="1" applyBorder="1" applyAlignment="1">
      <alignment horizontal="center" vertical="center" wrapText="1"/>
    </xf>
    <xf numFmtId="0" fontId="132" fillId="37" borderId="12" xfId="5" applyFont="1" applyFill="1" applyBorder="1" applyAlignment="1">
      <alignment horizontal="center" vertical="center" wrapText="1"/>
    </xf>
    <xf numFmtId="0" fontId="132" fillId="37" borderId="154" xfId="5" applyFont="1" applyFill="1" applyBorder="1" applyAlignment="1">
      <alignment horizontal="center" vertical="center" wrapText="1"/>
    </xf>
    <xf numFmtId="0" fontId="132" fillId="37" borderId="53" xfId="5" applyFont="1" applyFill="1" applyBorder="1" applyAlignment="1">
      <alignment horizontal="center" vertical="center" wrapText="1"/>
    </xf>
    <xf numFmtId="0" fontId="132" fillId="37" borderId="14" xfId="5" applyFont="1" applyFill="1" applyBorder="1" applyAlignment="1">
      <alignment horizontal="center" vertical="center" wrapText="1"/>
    </xf>
    <xf numFmtId="0" fontId="132" fillId="37" borderId="15" xfId="5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47" xfId="0" applyFont="1" applyFill="1" applyBorder="1" applyAlignment="1">
      <alignment horizontal="center" vertical="center"/>
    </xf>
    <xf numFmtId="0" fontId="5" fillId="2" borderId="51" xfId="0" applyFont="1" applyFill="1" applyBorder="1" applyAlignment="1">
      <alignment horizontal="center" vertical="center"/>
    </xf>
    <xf numFmtId="0" fontId="122" fillId="6" borderId="85" xfId="0" applyFont="1" applyFill="1" applyBorder="1" applyAlignment="1">
      <alignment horizontal="center" wrapText="1"/>
    </xf>
    <xf numFmtId="0" fontId="122" fillId="6" borderId="114" xfId="0" applyFont="1" applyFill="1" applyBorder="1" applyAlignment="1">
      <alignment horizontal="center" wrapText="1"/>
    </xf>
    <xf numFmtId="0" fontId="122" fillId="6" borderId="115" xfId="0" applyFont="1" applyFill="1" applyBorder="1" applyAlignment="1">
      <alignment horizontal="center" wrapText="1"/>
    </xf>
    <xf numFmtId="1" fontId="2" fillId="6" borderId="5" xfId="0" applyNumberFormat="1" applyFont="1" applyFill="1" applyBorder="1" applyAlignment="1">
      <alignment horizontal="left" vertical="center" wrapText="1"/>
    </xf>
    <xf numFmtId="1" fontId="2" fillId="6" borderId="0" xfId="0" applyNumberFormat="1" applyFont="1" applyFill="1" applyBorder="1" applyAlignment="1">
      <alignment horizontal="left" vertical="center" wrapText="1"/>
    </xf>
    <xf numFmtId="0" fontId="6" fillId="0" borderId="27" xfId="0" applyFont="1" applyBorder="1" applyAlignment="1">
      <alignment horizontal="right" vertical="center"/>
    </xf>
    <xf numFmtId="0" fontId="6" fillId="0" borderId="121" xfId="0" applyFont="1" applyBorder="1" applyAlignment="1">
      <alignment horizontal="right" vertical="center"/>
    </xf>
    <xf numFmtId="1" fontId="0" fillId="6" borderId="0" xfId="0" applyNumberFormat="1" applyFont="1" applyFill="1" applyBorder="1" applyAlignment="1">
      <alignment horizontal="right" vertical="center"/>
    </xf>
    <xf numFmtId="0" fontId="55" fillId="3" borderId="36" xfId="0" applyFont="1" applyFill="1" applyBorder="1" applyAlignment="1">
      <alignment horizontal="center" vertical="center"/>
    </xf>
    <xf numFmtId="0" fontId="55" fillId="3" borderId="5" xfId="0" applyFont="1" applyFill="1" applyBorder="1" applyAlignment="1">
      <alignment horizontal="center" vertical="center"/>
    </xf>
    <xf numFmtId="0" fontId="55" fillId="3" borderId="4" xfId="0" applyFont="1" applyFill="1" applyBorder="1" applyAlignment="1">
      <alignment horizontal="center" vertical="center"/>
    </xf>
    <xf numFmtId="0" fontId="13" fillId="6" borderId="85" xfId="0" applyFont="1" applyFill="1" applyBorder="1" applyAlignment="1">
      <alignment horizontal="center" vertical="center" wrapText="1"/>
    </xf>
    <xf numFmtId="0" fontId="13" fillId="6" borderId="114" xfId="0" applyFont="1" applyFill="1" applyBorder="1" applyAlignment="1">
      <alignment horizontal="center" vertical="center" wrapText="1"/>
    </xf>
    <xf numFmtId="0" fontId="13" fillId="6" borderId="37" xfId="0" applyFont="1" applyFill="1" applyBorder="1" applyAlignment="1">
      <alignment horizontal="center" vertical="center" wrapText="1"/>
    </xf>
    <xf numFmtId="0" fontId="13" fillId="6" borderId="0" xfId="0" applyFont="1" applyFill="1" applyBorder="1" applyAlignment="1">
      <alignment horizontal="center" vertical="center" wrapText="1"/>
    </xf>
    <xf numFmtId="2" fontId="13" fillId="6" borderId="115" xfId="0" applyNumberFormat="1" applyFont="1" applyFill="1" applyBorder="1" applyAlignment="1">
      <alignment horizontal="left" vertical="center"/>
    </xf>
    <xf numFmtId="2" fontId="13" fillId="6" borderId="16" xfId="0" applyNumberFormat="1" applyFont="1" applyFill="1" applyBorder="1" applyAlignment="1">
      <alignment horizontal="left" vertical="center"/>
    </xf>
    <xf numFmtId="2" fontId="13" fillId="6" borderId="114" xfId="0" applyNumberFormat="1" applyFont="1" applyFill="1" applyBorder="1" applyAlignment="1">
      <alignment horizontal="right" vertical="center"/>
    </xf>
    <xf numFmtId="2" fontId="13" fillId="6" borderId="0" xfId="0" applyNumberFormat="1" applyFont="1" applyFill="1" applyBorder="1" applyAlignment="1">
      <alignment horizontal="right" vertical="center"/>
    </xf>
    <xf numFmtId="0" fontId="2" fillId="6" borderId="115" xfId="0" applyFont="1" applyFill="1" applyBorder="1" applyAlignment="1">
      <alignment horizontal="left" vertical="center"/>
    </xf>
    <xf numFmtId="0" fontId="2" fillId="6" borderId="16" xfId="0" applyFont="1" applyFill="1" applyBorder="1" applyAlignment="1">
      <alignment horizontal="left" vertical="center"/>
    </xf>
    <xf numFmtId="4" fontId="118" fillId="36" borderId="62" xfId="0" applyNumberFormat="1" applyFont="1" applyFill="1" applyBorder="1" applyAlignment="1">
      <alignment horizontal="right" vertical="center"/>
    </xf>
    <xf numFmtId="4" fontId="118" fillId="36" borderId="63" xfId="0" applyNumberFormat="1" applyFont="1" applyFill="1" applyBorder="1" applyAlignment="1">
      <alignment horizontal="right" vertical="center"/>
    </xf>
    <xf numFmtId="0" fontId="52" fillId="6" borderId="33" xfId="0" applyFont="1" applyFill="1" applyBorder="1" applyAlignment="1">
      <alignment horizontal="left" vertical="top"/>
    </xf>
    <xf numFmtId="0" fontId="52" fillId="6" borderId="174" xfId="0" applyFont="1" applyFill="1" applyBorder="1" applyAlignment="1">
      <alignment horizontal="left" vertical="top"/>
    </xf>
    <xf numFmtId="0" fontId="52" fillId="6" borderId="0" xfId="0" applyFont="1" applyFill="1" applyBorder="1" applyAlignment="1">
      <alignment horizontal="left" vertical="top"/>
    </xf>
    <xf numFmtId="0" fontId="52" fillId="6" borderId="22" xfId="0" applyFont="1" applyFill="1" applyBorder="1" applyAlignment="1">
      <alignment horizontal="left" vertical="top"/>
    </xf>
    <xf numFmtId="0" fontId="0" fillId="6" borderId="16" xfId="0" applyFont="1" applyFill="1" applyBorder="1" applyAlignment="1">
      <alignment horizontal="left" vertical="center"/>
    </xf>
    <xf numFmtId="0" fontId="0" fillId="6" borderId="22" xfId="0" applyFont="1" applyFill="1" applyBorder="1" applyAlignment="1">
      <alignment horizontal="left" vertical="center"/>
    </xf>
    <xf numFmtId="0" fontId="0" fillId="6" borderId="115" xfId="0" applyFont="1" applyFill="1" applyBorder="1" applyAlignment="1">
      <alignment horizontal="left" vertical="center"/>
    </xf>
    <xf numFmtId="0" fontId="0" fillId="6" borderId="173" xfId="0" applyFont="1" applyFill="1" applyBorder="1" applyAlignment="1">
      <alignment horizontal="left" vertical="center"/>
    </xf>
    <xf numFmtId="0" fontId="4" fillId="6" borderId="36" xfId="0" applyFont="1" applyFill="1" applyBorder="1" applyAlignment="1">
      <alignment horizontal="right" vertical="center" wrapText="1"/>
    </xf>
    <xf numFmtId="0" fontId="4" fillId="6" borderId="93" xfId="0" applyFont="1" applyFill="1" applyBorder="1" applyAlignment="1">
      <alignment horizontal="right" vertical="center" wrapText="1"/>
    </xf>
    <xf numFmtId="4" fontId="2" fillId="6" borderId="138" xfId="0" applyNumberFormat="1" applyFont="1" applyFill="1" applyBorder="1" applyAlignment="1">
      <alignment horizontal="left" vertical="center"/>
    </xf>
    <xf numFmtId="4" fontId="2" fillId="6" borderId="5" xfId="0" applyNumberFormat="1" applyFont="1" applyFill="1" applyBorder="1" applyAlignment="1">
      <alignment horizontal="left" vertical="center"/>
    </xf>
    <xf numFmtId="0" fontId="124" fillId="4" borderId="84" xfId="0" applyFont="1" applyFill="1" applyBorder="1" applyAlignment="1">
      <alignment horizontal="center" vertical="top" textRotation="180" wrapText="1"/>
    </xf>
    <xf numFmtId="0" fontId="124" fillId="4" borderId="11" xfId="0" applyFont="1" applyFill="1" applyBorder="1" applyAlignment="1">
      <alignment horizontal="center" vertical="top" textRotation="180" wrapText="1"/>
    </xf>
    <xf numFmtId="0" fontId="135" fillId="0" borderId="10" xfId="0" applyFont="1" applyBorder="1" applyAlignment="1">
      <alignment horizontal="center" vertical="center"/>
    </xf>
    <xf numFmtId="0" fontId="135" fillId="0" borderId="84" xfId="0" applyFont="1" applyBorder="1" applyAlignment="1">
      <alignment horizontal="center" vertical="center"/>
    </xf>
    <xf numFmtId="0" fontId="135" fillId="0" borderId="11" xfId="0" applyFont="1" applyBorder="1" applyAlignment="1">
      <alignment horizontal="center" vertical="center"/>
    </xf>
    <xf numFmtId="0" fontId="65" fillId="4" borderId="36" xfId="0" applyFont="1" applyFill="1" applyBorder="1" applyAlignment="1">
      <alignment horizontal="center" vertical="center"/>
    </xf>
    <xf numFmtId="0" fontId="65" fillId="4" borderId="5" xfId="0" applyFont="1" applyFill="1" applyBorder="1" applyAlignment="1">
      <alignment horizontal="center" vertical="center"/>
    </xf>
    <xf numFmtId="0" fontId="65" fillId="4" borderId="4" xfId="0" applyFont="1" applyFill="1" applyBorder="1" applyAlignment="1">
      <alignment horizontal="center" vertical="center"/>
    </xf>
    <xf numFmtId="0" fontId="2" fillId="0" borderId="36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2" fillId="0" borderId="9" xfId="0" applyFont="1" applyBorder="1" applyAlignment="1">
      <alignment horizontal="right" vertical="center"/>
    </xf>
    <xf numFmtId="0" fontId="2" fillId="0" borderId="46" xfId="0" applyFont="1" applyBorder="1" applyAlignment="1">
      <alignment horizontal="right" vertical="center"/>
    </xf>
    <xf numFmtId="0" fontId="26" fillId="16" borderId="10" xfId="0" applyFont="1" applyFill="1" applyBorder="1" applyAlignment="1">
      <alignment horizontal="left" vertical="center"/>
    </xf>
    <xf numFmtId="0" fontId="26" fillId="16" borderId="84" xfId="0" applyFont="1" applyFill="1" applyBorder="1" applyAlignment="1">
      <alignment horizontal="left" vertical="center"/>
    </xf>
    <xf numFmtId="0" fontId="26" fillId="16" borderId="11" xfId="0" applyFont="1" applyFill="1" applyBorder="1" applyAlignment="1">
      <alignment horizontal="left" vertical="center"/>
    </xf>
    <xf numFmtId="0" fontId="25" fillId="4" borderId="37" xfId="0" applyFont="1" applyFill="1" applyBorder="1" applyAlignment="1">
      <alignment horizontal="center"/>
    </xf>
    <xf numFmtId="0" fontId="25" fillId="4" borderId="0" xfId="0" applyFont="1" applyFill="1" applyBorder="1" applyAlignment="1">
      <alignment horizontal="center"/>
    </xf>
    <xf numFmtId="0" fontId="25" fillId="4" borderId="16" xfId="0" applyFont="1" applyFill="1" applyBorder="1" applyAlignment="1">
      <alignment horizontal="center"/>
    </xf>
    <xf numFmtId="0" fontId="89" fillId="4" borderId="84" xfId="0" applyFont="1" applyFill="1" applyBorder="1" applyAlignment="1">
      <alignment horizontal="center" vertical="top" textRotation="180"/>
    </xf>
    <xf numFmtId="0" fontId="89" fillId="4" borderId="11" xfId="0" applyFont="1" applyFill="1" applyBorder="1" applyAlignment="1">
      <alignment horizontal="center" vertical="top" textRotation="180"/>
    </xf>
    <xf numFmtId="0" fontId="50" fillId="4" borderId="10" xfId="0" applyFont="1" applyFill="1" applyBorder="1" applyAlignment="1">
      <alignment horizontal="center" vertical="center"/>
    </xf>
    <xf numFmtId="0" fontId="50" fillId="4" borderId="84" xfId="0" applyFont="1" applyFill="1" applyBorder="1" applyAlignment="1">
      <alignment horizontal="center" vertical="center"/>
    </xf>
    <xf numFmtId="0" fontId="50" fillId="4" borderId="11" xfId="0" applyFont="1" applyFill="1" applyBorder="1" applyAlignment="1">
      <alignment horizontal="center" vertical="center"/>
    </xf>
    <xf numFmtId="0" fontId="25" fillId="4" borderId="32" xfId="0" applyFont="1" applyFill="1" applyBorder="1" applyAlignment="1">
      <alignment horizontal="center" vertical="center"/>
    </xf>
    <xf numFmtId="0" fontId="25" fillId="4" borderId="33" xfId="0" applyFont="1" applyFill="1" applyBorder="1" applyAlignment="1">
      <alignment horizontal="center" vertical="center"/>
    </xf>
    <xf numFmtId="0" fontId="25" fillId="4" borderId="35" xfId="0" applyFont="1" applyFill="1" applyBorder="1" applyAlignment="1">
      <alignment horizontal="center" vertical="center"/>
    </xf>
    <xf numFmtId="0" fontId="6" fillId="13" borderId="47" xfId="0" applyFont="1" applyFill="1" applyBorder="1" applyAlignment="1">
      <alignment horizontal="center" vertical="center" wrapText="1"/>
    </xf>
    <xf numFmtId="0" fontId="6" fillId="13" borderId="79" xfId="0" applyFont="1" applyFill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51" xfId="0" applyFont="1" applyBorder="1" applyAlignment="1">
      <alignment horizontal="center" vertical="center" wrapText="1"/>
    </xf>
    <xf numFmtId="0" fontId="6" fillId="0" borderId="127" xfId="0" applyFont="1" applyBorder="1" applyAlignment="1">
      <alignment horizontal="center" vertical="center" wrapText="1"/>
    </xf>
    <xf numFmtId="0" fontId="50" fillId="18" borderId="10" xfId="0" applyFont="1" applyFill="1" applyBorder="1" applyAlignment="1">
      <alignment horizontal="center" vertical="center"/>
    </xf>
    <xf numFmtId="0" fontId="50" fillId="18" borderId="84" xfId="0" applyFont="1" applyFill="1" applyBorder="1" applyAlignment="1">
      <alignment horizontal="center" vertical="center"/>
    </xf>
    <xf numFmtId="0" fontId="50" fillId="18" borderId="11" xfId="0" applyFont="1" applyFill="1" applyBorder="1" applyAlignment="1">
      <alignment horizontal="center" vertical="center"/>
    </xf>
    <xf numFmtId="0" fontId="6" fillId="0" borderId="16" xfId="0" applyFont="1" applyBorder="1" applyAlignment="1">
      <alignment horizontal="center" vertical="center" wrapText="1"/>
    </xf>
    <xf numFmtId="0" fontId="6" fillId="13" borderId="27" xfId="0" applyFont="1" applyFill="1" applyBorder="1" applyAlignment="1">
      <alignment horizontal="center" vertical="center" wrapText="1"/>
    </xf>
    <xf numFmtId="0" fontId="166" fillId="4" borderId="58" xfId="0" applyFont="1" applyFill="1" applyBorder="1" applyAlignment="1">
      <alignment horizontal="center" vertical="center"/>
    </xf>
    <xf numFmtId="0" fontId="166" fillId="4" borderId="67" xfId="0" applyFont="1" applyFill="1" applyBorder="1" applyAlignment="1">
      <alignment horizontal="center" vertical="center"/>
    </xf>
    <xf numFmtId="0" fontId="166" fillId="4" borderId="28" xfId="0" applyFont="1" applyFill="1" applyBorder="1" applyAlignment="1">
      <alignment horizontal="center" vertical="center"/>
    </xf>
    <xf numFmtId="0" fontId="166" fillId="4" borderId="59" xfId="0" applyFont="1" applyFill="1" applyBorder="1" applyAlignment="1">
      <alignment horizontal="center" vertical="center"/>
    </xf>
    <xf numFmtId="0" fontId="166" fillId="4" borderId="170" xfId="0" applyFont="1" applyFill="1" applyBorder="1" applyAlignment="1">
      <alignment horizontal="center" vertical="center"/>
    </xf>
    <xf numFmtId="0" fontId="6" fillId="43" borderId="52" xfId="0" applyFont="1" applyFill="1" applyBorder="1" applyAlignment="1">
      <alignment horizontal="center"/>
    </xf>
    <xf numFmtId="0" fontId="6" fillId="43" borderId="137" xfId="0" applyFont="1" applyFill="1" applyBorder="1" applyAlignment="1">
      <alignment horizontal="center"/>
    </xf>
    <xf numFmtId="0" fontId="6" fillId="43" borderId="23" xfId="0" applyFont="1" applyFill="1" applyBorder="1" applyAlignment="1">
      <alignment horizontal="center"/>
    </xf>
    <xf numFmtId="0" fontId="163" fillId="4" borderId="58" xfId="0" applyFont="1" applyFill="1" applyBorder="1" applyAlignment="1">
      <alignment horizontal="center" vertical="center"/>
    </xf>
    <xf numFmtId="0" fontId="163" fillId="4" borderId="67" xfId="0" applyFont="1" applyFill="1" applyBorder="1" applyAlignment="1">
      <alignment horizontal="center" vertical="center"/>
    </xf>
    <xf numFmtId="0" fontId="163" fillId="4" borderId="28" xfId="0" applyFont="1" applyFill="1" applyBorder="1" applyAlignment="1">
      <alignment horizontal="center" vertical="center"/>
    </xf>
    <xf numFmtId="0" fontId="163" fillId="4" borderId="59" xfId="0" applyFont="1" applyFill="1" applyBorder="1" applyAlignment="1">
      <alignment horizontal="center" vertical="center"/>
    </xf>
    <xf numFmtId="0" fontId="163" fillId="4" borderId="170" xfId="0" applyFont="1" applyFill="1" applyBorder="1" applyAlignment="1">
      <alignment horizontal="center" vertical="center"/>
    </xf>
    <xf numFmtId="0" fontId="145" fillId="0" borderId="216" xfId="3" applyFont="1" applyFill="1" applyBorder="1" applyAlignment="1">
      <alignment horizontal="center"/>
    </xf>
    <xf numFmtId="0" fontId="145" fillId="0" borderId="67" xfId="3" applyFont="1" applyFill="1" applyBorder="1" applyAlignment="1">
      <alignment horizontal="center"/>
    </xf>
    <xf numFmtId="0" fontId="145" fillId="0" borderId="28" xfId="3" applyFont="1" applyFill="1" applyBorder="1" applyAlignment="1">
      <alignment horizontal="center"/>
    </xf>
    <xf numFmtId="0" fontId="145" fillId="4" borderId="59" xfId="3" applyFont="1" applyFill="1" applyBorder="1" applyAlignment="1">
      <alignment horizontal="center"/>
    </xf>
    <xf numFmtId="0" fontId="145" fillId="4" borderId="67" xfId="3" applyFont="1" applyFill="1" applyBorder="1" applyAlignment="1">
      <alignment horizontal="center"/>
    </xf>
    <xf numFmtId="0" fontId="145" fillId="4" borderId="28" xfId="3" applyFont="1" applyFill="1" applyBorder="1" applyAlignment="1">
      <alignment horizontal="center"/>
    </xf>
    <xf numFmtId="0" fontId="145" fillId="4" borderId="170" xfId="3" applyFont="1" applyFill="1" applyBorder="1" applyAlignment="1">
      <alignment horizontal="center"/>
    </xf>
    <xf numFmtId="0" fontId="6" fillId="46" borderId="52" xfId="0" applyFont="1" applyFill="1" applyBorder="1" applyAlignment="1">
      <alignment horizontal="center"/>
    </xf>
    <xf numFmtId="0" fontId="6" fillId="46" borderId="137" xfId="0" applyFont="1" applyFill="1" applyBorder="1" applyAlignment="1">
      <alignment horizontal="center"/>
    </xf>
    <xf numFmtId="0" fontId="6" fillId="46" borderId="23" xfId="0" applyFont="1" applyFill="1" applyBorder="1" applyAlignment="1">
      <alignment horizontal="center"/>
    </xf>
    <xf numFmtId="0" fontId="43" fillId="46" borderId="52" xfId="0" applyFont="1" applyFill="1" applyBorder="1" applyAlignment="1">
      <alignment horizontal="center"/>
    </xf>
    <xf numFmtId="0" fontId="43" fillId="46" borderId="137" xfId="0" applyFont="1" applyFill="1" applyBorder="1" applyAlignment="1">
      <alignment horizontal="center"/>
    </xf>
  </cellXfs>
  <cellStyles count="8">
    <cellStyle name="Flashing" xfId="6" xr:uid="{3FFAEDA3-F8FF-47F9-B679-4AB0996223BF}"/>
    <cellStyle name="Lien hypertexte" xfId="5" builtinId="8"/>
    <cellStyle name="Milliers" xfId="1" builtinId="3"/>
    <cellStyle name="monContent" xfId="4" xr:uid="{00000000-0005-0000-0000-000002000000}"/>
    <cellStyle name="monHeader" xfId="7" xr:uid="{F4A782F2-623F-4B6F-8E16-CC076D0299DD}"/>
    <cellStyle name="Normal" xfId="0" builtinId="0"/>
    <cellStyle name="Normal 2" xfId="3" xr:uid="{00000000-0005-0000-0000-000004000000}"/>
    <cellStyle name="Pourcentage" xfId="2" builtinId="5"/>
  </cellStyles>
  <dxfs count="156">
    <dxf>
      <fill>
        <patternFill>
          <bgColor rgb="FF92D050"/>
        </patternFill>
      </fill>
    </dxf>
    <dxf>
      <fill>
        <patternFill>
          <bgColor rgb="FFFFFF66"/>
        </patternFill>
      </fill>
    </dxf>
    <dxf>
      <fill>
        <patternFill>
          <bgColor theme="7"/>
        </patternFill>
      </fill>
    </dxf>
    <dxf>
      <fill>
        <patternFill>
          <bgColor rgb="FF6EA92D"/>
        </patternFill>
      </fill>
    </dxf>
    <dxf>
      <font>
        <color theme="1"/>
      </font>
      <fill>
        <patternFill>
          <bgColor rgb="FF568424"/>
        </patternFill>
      </fill>
    </dxf>
    <dxf>
      <fill>
        <patternFill>
          <bgColor rgb="FF92D050"/>
        </patternFill>
      </fill>
    </dxf>
    <dxf>
      <fill>
        <patternFill>
          <bgColor rgb="FFFFFF66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BC3600"/>
        </patternFill>
      </fill>
    </dxf>
    <dxf>
      <fill>
        <patternFill>
          <bgColor rgb="FF6EA92D"/>
        </patternFill>
      </fill>
    </dxf>
    <dxf>
      <fill>
        <patternFill>
          <bgColor rgb="FF568424"/>
        </patternFill>
      </fill>
    </dxf>
    <dxf>
      <font>
        <color theme="0"/>
      </font>
      <fill>
        <patternFill>
          <bgColor theme="9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FF66"/>
        </patternFill>
      </fill>
    </dxf>
    <dxf>
      <fill>
        <patternFill>
          <bgColor theme="7"/>
        </patternFill>
      </fill>
    </dxf>
    <dxf>
      <fill>
        <patternFill>
          <bgColor rgb="FF6EA92D"/>
        </patternFill>
      </fill>
    </dxf>
    <dxf>
      <font>
        <color theme="1"/>
      </font>
      <fill>
        <patternFill>
          <bgColor rgb="FF568424"/>
        </patternFill>
      </fill>
    </dxf>
    <dxf>
      <fill>
        <patternFill>
          <bgColor rgb="FF92D050"/>
        </patternFill>
      </fill>
    </dxf>
    <dxf>
      <fill>
        <patternFill>
          <bgColor rgb="FFFFFF66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BC3600"/>
        </patternFill>
      </fill>
    </dxf>
    <dxf>
      <fill>
        <patternFill>
          <bgColor rgb="FF6EA92D"/>
        </patternFill>
      </fill>
    </dxf>
    <dxf>
      <fill>
        <patternFill>
          <bgColor rgb="FF568424"/>
        </patternFill>
      </fill>
    </dxf>
    <dxf>
      <fill>
        <patternFill>
          <bgColor rgb="FF92D050"/>
        </patternFill>
      </fill>
    </dxf>
    <dxf>
      <fill>
        <patternFill>
          <bgColor rgb="FFFFFF66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BC3600"/>
        </patternFill>
      </fill>
    </dxf>
    <dxf>
      <fill>
        <patternFill>
          <bgColor rgb="FF6EA92D"/>
        </patternFill>
      </fill>
    </dxf>
    <dxf>
      <fill>
        <patternFill>
          <bgColor rgb="FF568424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 patternType="solid">
          <bgColor theme="0"/>
        </patternFill>
      </fill>
      <border>
        <left/>
        <right/>
        <vertical/>
        <horizontal/>
      </border>
    </dxf>
    <dxf>
      <font>
        <color theme="0"/>
      </font>
      <fill>
        <patternFill patternType="solid">
          <bgColor theme="0"/>
        </patternFill>
      </fill>
      <border>
        <left/>
        <right/>
        <top/>
        <bottom/>
        <vertical/>
        <horizontal/>
      </border>
    </dxf>
    <dxf>
      <border>
        <right/>
        <vertical/>
        <horizontal/>
      </border>
    </dxf>
    <dxf>
      <border>
        <right/>
        <vertical/>
        <horizontal/>
      </border>
    </dxf>
    <dxf>
      <border>
        <left/>
        <vertical/>
        <horizontal/>
      </border>
    </dxf>
    <dxf>
      <border>
        <left/>
        <vertical/>
        <horizontal/>
      </border>
    </dxf>
    <dxf>
      <fill>
        <patternFill>
          <bgColor theme="4" tint="0.59996337778862885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rgb="FF3E89CE"/>
      </font>
    </dxf>
    <dxf>
      <font>
        <color rgb="FF3E89CE"/>
      </font>
    </dxf>
    <dxf>
      <font>
        <color rgb="FF3E89CE"/>
      </font>
    </dxf>
    <dxf>
      <font>
        <color rgb="FF3E89CE"/>
      </font>
    </dxf>
    <dxf>
      <font>
        <color theme="5" tint="0.79998168889431442"/>
      </font>
      <fill>
        <patternFill>
          <bgColor theme="5" tint="0.79998168889431442"/>
        </patternFill>
      </fill>
      <border>
        <left/>
        <right/>
        <top/>
        <bottom/>
      </border>
    </dxf>
    <dxf>
      <font>
        <color rgb="FF00B0F0"/>
      </font>
      <fill>
        <patternFill patternType="none">
          <bgColor auto="1"/>
        </patternFill>
      </fill>
    </dxf>
    <dxf>
      <font>
        <color theme="0"/>
      </font>
      <fill>
        <patternFill>
          <bgColor theme="0"/>
        </patternFill>
      </fill>
      <border>
        <left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bottom/>
        <vertical/>
        <horizontal/>
      </border>
    </dxf>
    <dxf>
      <font>
        <color theme="5" tint="0.79998168889431442"/>
      </font>
      <fill>
        <patternFill>
          <bgColor theme="5" tint="0.79998168889431442"/>
        </patternFill>
      </fill>
      <border>
        <left/>
        <right/>
        <top/>
        <bottom/>
        <vertical/>
        <horizontal/>
      </border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bottom style="thin">
          <color auto="1"/>
        </bottom>
        <vertical/>
        <horizontal/>
      </border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top style="thin">
          <color auto="1"/>
        </top>
        <bottom style="thin">
          <color auto="1"/>
        </bottom>
        <vertical/>
        <horizontal/>
      </border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top style="thin">
          <color auto="1"/>
        </top>
        <bottom style="thin">
          <color auto="1"/>
        </bottom>
        <vertical/>
        <horizontal/>
      </border>
    </dxf>
    <dxf>
      <font>
        <color rgb="FF00B0F0"/>
      </font>
    </dxf>
    <dxf>
      <fill>
        <patternFill>
          <bgColor rgb="FF00B0F0"/>
        </patternFill>
      </fill>
    </dxf>
    <dxf>
      <fill>
        <patternFill>
          <bgColor theme="4" tint="0.59996337778862885"/>
        </patternFill>
      </fill>
    </dxf>
    <dxf>
      <border>
        <right/>
        <vertical/>
        <horizontal/>
      </border>
    </dxf>
    <dxf>
      <border>
        <top/>
        <vertical/>
        <horizontal/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4" tint="0.39994506668294322"/>
      </font>
      <fill>
        <patternFill>
          <bgColor theme="8" tint="0.79998168889431442"/>
        </patternFill>
      </fill>
    </dxf>
    <dxf>
      <font>
        <color theme="5" tint="0.79998168889431442"/>
      </font>
      <fill>
        <patternFill>
          <bgColor theme="5" tint="0.79998168889431442"/>
        </patternFill>
      </fill>
      <border>
        <left/>
        <right/>
        <top/>
        <bottom/>
        <vertical/>
        <horizontal/>
      </border>
    </dxf>
    <dxf>
      <font>
        <color theme="5" tint="0.79998168889431442"/>
      </font>
      <fill>
        <patternFill>
          <bgColor theme="5" tint="0.79998168889431442"/>
        </patternFill>
      </fill>
      <border>
        <left/>
        <right/>
        <top/>
        <bottom/>
        <vertical/>
        <horizontal/>
      </border>
    </dxf>
    <dxf>
      <font>
        <color theme="5" tint="0.79998168889431442"/>
      </font>
      <fill>
        <patternFill>
          <bgColor theme="5" tint="0.79998168889431442"/>
        </patternFill>
      </fill>
      <border>
        <left/>
        <right/>
        <top/>
        <bottom/>
        <vertical/>
        <horizontal/>
      </border>
    </dxf>
    <dxf>
      <font>
        <color theme="5" tint="0.79998168889431442"/>
      </font>
      <fill>
        <patternFill>
          <bgColor theme="5" tint="0.79998168889431442"/>
        </patternFill>
      </fill>
      <border>
        <left/>
        <right/>
        <top/>
        <bottom/>
        <vertical/>
        <horizontal/>
      </border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</dxf>
    <dxf>
      <font>
        <color rgb="FFFFFF00"/>
      </font>
    </dxf>
    <dxf>
      <font>
        <color theme="5" tint="0.79998168889431442"/>
      </font>
      <fill>
        <patternFill>
          <bgColor theme="5" tint="0.79998168889431442"/>
        </patternFill>
      </fill>
      <border>
        <left/>
        <right/>
        <top/>
        <bottom/>
        <vertical/>
        <horizontal/>
      </border>
    </dxf>
    <dxf>
      <font>
        <b val="0"/>
        <i val="0"/>
        <color theme="5" tint="0.79998168889431442"/>
      </font>
      <fill>
        <patternFill>
          <bgColor theme="5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rgb="FFFFFF00"/>
      </font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theme="9" tint="0.79998168889431442"/>
      </font>
      <fill>
        <patternFill>
          <bgColor theme="9" tint="0.79998168889431442"/>
        </patternFill>
      </fill>
      <border>
        <left/>
        <right/>
        <top/>
        <vertical/>
        <horizontal/>
      </border>
    </dxf>
    <dxf>
      <font>
        <color theme="9" tint="0.79998168889431442"/>
      </font>
      <fill>
        <patternFill>
          <bgColor theme="9" tint="0.79998168889431442"/>
        </patternFill>
      </fill>
      <border>
        <left/>
        <right/>
        <top/>
        <bottom/>
        <vertical/>
        <horizontal/>
      </border>
    </dxf>
    <dxf>
      <font>
        <color theme="9" tint="0.79998168889431442"/>
      </font>
      <fill>
        <patternFill>
          <bgColor theme="9" tint="0.79998168889431442"/>
        </patternFill>
      </fill>
      <border>
        <left/>
        <right/>
        <top/>
        <vertical/>
        <horizontal/>
      </border>
    </dxf>
    <dxf>
      <font>
        <color theme="9" tint="0.79998168889431442"/>
      </font>
      <fill>
        <patternFill>
          <bgColor theme="9" tint="0.79998168889431442"/>
        </patternFill>
      </fill>
      <border>
        <left/>
        <right/>
        <top/>
        <bottom/>
        <vertical/>
        <horizontal/>
      </border>
    </dxf>
    <dxf>
      <font>
        <color theme="9" tint="0.79998168889431442"/>
      </font>
      <fill>
        <patternFill>
          <bgColor theme="9" tint="0.79998168889431442"/>
        </patternFill>
      </fill>
      <border>
        <left/>
        <right/>
        <top/>
        <vertical/>
        <horizontal/>
      </border>
    </dxf>
    <dxf>
      <font>
        <color theme="9" tint="0.79998168889431442"/>
      </font>
      <fill>
        <patternFill>
          <bgColor theme="9" tint="0.79998168889431442"/>
        </patternFill>
      </fill>
      <border>
        <left/>
        <right/>
        <top/>
        <bottom/>
        <vertical/>
        <horizontal/>
      </border>
    </dxf>
    <dxf>
      <font>
        <color theme="9" tint="0.79998168889431442"/>
      </font>
      <fill>
        <patternFill>
          <bgColor theme="9" tint="0.79998168889431442"/>
        </patternFill>
      </fill>
      <border>
        <left/>
        <right/>
        <top/>
        <bottom/>
        <vertical/>
        <horizontal/>
      </border>
    </dxf>
    <dxf>
      <font>
        <color theme="9" tint="0.79998168889431442"/>
      </font>
      <fill>
        <patternFill>
          <bgColor theme="9" tint="0.79998168889431442"/>
        </patternFill>
      </fill>
      <border>
        <left/>
        <right/>
        <top/>
        <bottom/>
        <vertical/>
        <horizontal/>
      </border>
    </dxf>
    <dxf>
      <font>
        <color theme="9" tint="0.79998168889431442"/>
      </font>
      <fill>
        <patternFill>
          <bgColor theme="9" tint="0.79998168889431442"/>
        </patternFill>
      </fill>
      <border>
        <left/>
        <right/>
        <top/>
        <bottom/>
        <vertical/>
        <horizontal/>
      </border>
    </dxf>
    <dxf>
      <font>
        <color theme="9" tint="0.79998168889431442"/>
      </font>
      <fill>
        <patternFill>
          <bgColor theme="9" tint="0.79998168889431442"/>
        </patternFill>
      </fill>
      <border>
        <left/>
        <right/>
        <top/>
        <bottom/>
        <vertical/>
        <horizontal/>
      </border>
    </dxf>
    <dxf>
      <font>
        <color theme="9" tint="0.79998168889431442"/>
      </font>
      <fill>
        <patternFill>
          <bgColor theme="9" tint="0.79998168889431442"/>
        </patternFill>
      </fill>
      <border>
        <left/>
        <right/>
        <top/>
        <bottom/>
        <vertical/>
        <horizontal/>
      </border>
    </dxf>
    <dxf>
      <font>
        <color theme="9" tint="0.79998168889431442"/>
      </font>
      <fill>
        <patternFill>
          <bgColor theme="9" tint="0.79998168889431442"/>
        </patternFill>
      </fill>
      <border>
        <left/>
        <right/>
        <top/>
        <bottom/>
        <vertical/>
        <horizontal/>
      </border>
    </dxf>
    <dxf>
      <font>
        <color theme="9" tint="0.79998168889431442"/>
      </font>
      <fill>
        <patternFill>
          <bgColor theme="9" tint="0.79998168889431442"/>
        </patternFill>
      </fill>
      <border>
        <left/>
        <right/>
        <top/>
        <bottom/>
        <vertical/>
        <horizontal/>
      </border>
    </dxf>
    <dxf>
      <font>
        <color theme="9" tint="0.79998168889431442"/>
      </font>
      <fill>
        <patternFill>
          <bgColor theme="9" tint="0.79998168889431442"/>
        </patternFill>
      </fill>
      <border>
        <left/>
        <right/>
        <top/>
        <bottom/>
        <vertical/>
        <horizontal/>
      </border>
    </dxf>
    <dxf>
      <font>
        <color theme="9" tint="0.79998168889431442"/>
      </font>
      <fill>
        <patternFill>
          <bgColor theme="9" tint="0.79998168889431442"/>
        </patternFill>
      </fill>
      <border>
        <left/>
        <right/>
        <top/>
        <bottom/>
        <vertical/>
        <horizontal/>
      </border>
    </dxf>
    <dxf>
      <font>
        <color theme="9" tint="0.79998168889431442"/>
      </font>
      <fill>
        <patternFill>
          <bgColor theme="9" tint="0.79998168889431442"/>
        </patternFill>
      </fill>
      <border>
        <left/>
        <right/>
        <top/>
        <bottom/>
        <vertical/>
        <horizontal/>
      </border>
    </dxf>
    <dxf>
      <font>
        <color rgb="FFFFFF00"/>
      </font>
    </dxf>
    <dxf>
      <font>
        <color theme="0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 patternType="solid">
          <fgColor rgb="FFFFFF00"/>
          <bgColor rgb="FFFFFF00"/>
        </patternFill>
      </fill>
    </dxf>
    <dxf>
      <font>
        <color theme="5" tint="0.79998168889431442"/>
      </font>
      <fill>
        <patternFill>
          <bgColor theme="5" tint="0.79998168889431442"/>
        </patternFill>
      </fill>
      <border>
        <left/>
        <right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right/>
        <top/>
        <vertical/>
        <horizontal/>
      </border>
    </dxf>
    <dxf>
      <font>
        <color theme="0"/>
      </font>
      <fill>
        <patternFill>
          <bgColor theme="0"/>
        </patternFill>
      </fill>
      <border>
        <left/>
        <top/>
        <vertical/>
        <horizontal/>
      </border>
    </dxf>
    <dxf>
      <font>
        <color theme="0"/>
      </font>
      <fill>
        <patternFill>
          <bgColor theme="0"/>
        </patternFill>
      </fill>
      <border>
        <left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right/>
        <bottom/>
        <vertical/>
        <horizontal/>
      </border>
    </dxf>
    <dxf>
      <font>
        <color theme="5" tint="0.79998168889431442"/>
      </font>
      <fill>
        <patternFill>
          <bgColor theme="5" tint="0.79998168889431442"/>
        </patternFill>
      </fill>
      <border>
        <left/>
        <right/>
        <top/>
        <vertical/>
        <horizontal/>
      </border>
    </dxf>
    <dxf>
      <font>
        <color theme="9" tint="0.79998168889431442"/>
      </font>
      <fill>
        <patternFill>
          <bgColor theme="9" tint="0.79998168889431442"/>
        </patternFill>
      </fill>
      <border>
        <left/>
        <right/>
        <top/>
        <vertical/>
        <horizontal/>
      </border>
    </dxf>
    <dxf>
      <font>
        <color theme="5" tint="0.79998168889431442"/>
      </font>
      <fill>
        <patternFill>
          <bgColor theme="5" tint="0.79998168889431442"/>
        </patternFill>
      </fill>
      <border>
        <left/>
        <right/>
        <bottom/>
        <vertical/>
        <horizontal/>
      </border>
    </dxf>
    <dxf>
      <font>
        <color theme="5" tint="0.79998168889431442"/>
      </font>
      <fill>
        <patternFill>
          <bgColor theme="5" tint="0.79998168889431442"/>
        </patternFill>
      </fill>
      <border>
        <left/>
        <right/>
        <bottom/>
        <vertical/>
        <horizontal/>
      </border>
    </dxf>
    <dxf>
      <font>
        <color theme="5" tint="0.79998168889431442"/>
      </font>
      <fill>
        <patternFill>
          <bgColor theme="5" tint="0.79998168889431442"/>
        </patternFill>
      </fill>
      <border>
        <left/>
        <right/>
        <top/>
        <bottom/>
        <vertical/>
        <horizontal/>
      </border>
    </dxf>
    <dxf>
      <font>
        <color theme="9" tint="0.79998168889431442"/>
      </font>
      <fill>
        <patternFill>
          <bgColor theme="9" tint="0.79998168889431442"/>
        </patternFill>
      </fill>
      <border>
        <left/>
        <right/>
        <bottom/>
        <vertical/>
        <horizontal/>
      </border>
    </dxf>
    <dxf>
      <font>
        <color theme="9" tint="0.79998168889431442"/>
      </font>
      <fill>
        <patternFill>
          <bgColor theme="9" tint="0.79998168889431442"/>
        </patternFill>
      </fill>
      <border>
        <left/>
        <right/>
        <bottom/>
        <vertical/>
        <horizontal/>
      </border>
    </dxf>
    <dxf>
      <font>
        <color theme="9" tint="0.79998168889431442"/>
      </font>
      <fill>
        <patternFill>
          <bgColor theme="9" tint="0.79998168889431442"/>
        </patternFill>
      </fill>
      <border>
        <left/>
        <right/>
        <top/>
        <bottom/>
        <vertical/>
        <horizontal/>
      </border>
    </dxf>
    <dxf>
      <font>
        <b/>
        <i val="0"/>
        <color rgb="FFFF0000"/>
      </font>
      <fill>
        <patternFill>
          <bgColor rgb="FFFFFF00"/>
        </patternFill>
      </fill>
      <border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</dxf>
    <dxf>
      <font>
        <b/>
        <i val="0"/>
        <color rgb="FFFFFF00"/>
      </font>
      <fill>
        <patternFill patternType="solid">
          <fgColor auto="1"/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  <border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</dxf>
    <dxf>
      <font>
        <color rgb="FF37E2FF"/>
      </font>
    </dxf>
    <dxf>
      <font>
        <b/>
        <i val="0"/>
        <color theme="0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FF4F4F"/>
      <color rgb="FFC653FF"/>
      <color rgb="FFC993FF"/>
      <color rgb="FFDCB9FF"/>
      <color rgb="FFCC66FF"/>
      <color rgb="FFC78FFF"/>
      <color rgb="FF9999FF"/>
      <color rgb="FF00FF00"/>
      <color rgb="FFFF9F9F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2</xdr:row>
          <xdr:rowOff>47625</xdr:rowOff>
        </xdr:from>
        <xdr:to>
          <xdr:col>15</xdr:col>
          <xdr:colOff>19050</xdr:colOff>
          <xdr:row>6</xdr:row>
          <xdr:rowOff>247650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Exporter en PDF sur le réseau :</a:t>
              </a: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C:\</a:t>
              </a: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Semis2021\Conseil_Semis21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48986</xdr:colOff>
          <xdr:row>8</xdr:row>
          <xdr:rowOff>103415</xdr:rowOff>
        </xdr:from>
        <xdr:to>
          <xdr:col>18</xdr:col>
          <xdr:colOff>680357</xdr:colOff>
          <xdr:row>16</xdr:row>
          <xdr:rowOff>204106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800" b="1" i="0" u="none" strike="noStrike" baseline="0">
                  <a:solidFill>
                    <a:srgbClr val="000000"/>
                  </a:solidFill>
                  <a:latin typeface="Calibri"/>
                </a:rPr>
                <a:t>Exporter les données SB1 et SB2</a:t>
              </a:r>
            </a:p>
            <a:p>
              <a:pPr algn="ctr" rtl="0">
                <a:defRPr sz="1000"/>
              </a:pPr>
              <a:r>
                <a:rPr lang="fr-FR" sz="2800" b="1" i="0" u="none" strike="noStrike" baseline="0">
                  <a:solidFill>
                    <a:srgbClr val="000000"/>
                  </a:solidFill>
                  <a:latin typeface="Calibri"/>
                </a:rPr>
                <a:t>sur le réseau :</a:t>
              </a:r>
              <a:endParaRPr lang="fr-FR" sz="2800" b="0" i="0" u="none" strike="noStrike" baseline="0">
                <a:solidFill>
                  <a:srgbClr val="000000"/>
                </a:solidFill>
                <a:latin typeface="Calibri"/>
              </a:endParaRPr>
            </a:p>
            <a:p>
              <a:pPr algn="ctr" rtl="0">
                <a:defRPr sz="1000"/>
              </a:pPr>
              <a:endParaRPr lang="fr-FR" sz="2800" b="0" i="0" u="none" strike="noStrike" baseline="0">
                <a:solidFill>
                  <a:srgbClr val="000000"/>
                </a:solidFill>
                <a:latin typeface="Calibri"/>
              </a:endParaRPr>
            </a:p>
            <a:p>
              <a:pPr algn="ctr" rtl="0">
                <a:defRPr sz="1000"/>
              </a:pPr>
              <a:r>
                <a:rPr lang="fr-FR" sz="2800" b="0" i="0" u="none" strike="noStrike" baseline="0">
                  <a:solidFill>
                    <a:srgbClr val="000000"/>
                  </a:solidFill>
                  <a:latin typeface="Calibri"/>
                </a:rPr>
                <a:t>C:\A2021\ClasseurB.xlsm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51</xdr:col>
      <xdr:colOff>190723</xdr:colOff>
      <xdr:row>35</xdr:row>
      <xdr:rowOff>142420</xdr:rowOff>
    </xdr:from>
    <xdr:to>
      <xdr:col>51</xdr:col>
      <xdr:colOff>622523</xdr:colOff>
      <xdr:row>36</xdr:row>
      <xdr:rowOff>231321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BADF6C20-0370-48F8-B4D0-5A63774726AA}"/>
            </a:ext>
          </a:extLst>
        </xdr:cNvPr>
        <xdr:cNvGrpSpPr/>
      </xdr:nvGrpSpPr>
      <xdr:grpSpPr>
        <a:xfrm>
          <a:off x="28874580" y="10483849"/>
          <a:ext cx="431800" cy="401865"/>
          <a:chOff x="21281872" y="9637198"/>
          <a:chExt cx="601191" cy="535765"/>
        </a:xfrm>
      </xdr:grpSpPr>
      <xdr:sp macro="" textlink="">
        <xdr:nvSpPr>
          <xdr:cNvPr id="9" name="Triangle isocèle 8">
            <a:extLst>
              <a:ext uri="{FF2B5EF4-FFF2-40B4-BE49-F238E27FC236}">
                <a16:creationId xmlns:a16="http://schemas.microsoft.com/office/drawing/2014/main" id="{A36CCA8B-E441-4F28-8DD7-9562FCB40226}"/>
              </a:ext>
            </a:extLst>
          </xdr:cNvPr>
          <xdr:cNvSpPr/>
        </xdr:nvSpPr>
        <xdr:spPr>
          <a:xfrm>
            <a:off x="21281872" y="9637198"/>
            <a:ext cx="601191" cy="535765"/>
          </a:xfrm>
          <a:prstGeom prst="triangle">
            <a:avLst/>
          </a:prstGeom>
          <a:solidFill>
            <a:schemeClr val="bg1"/>
          </a:solidFill>
          <a:ln w="63500" cap="rnd">
            <a:solidFill>
              <a:srgbClr val="FF0000"/>
            </a:solidFill>
            <a:round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" name="Organigramme : Opération manuelle 9">
            <a:extLst>
              <a:ext uri="{FF2B5EF4-FFF2-40B4-BE49-F238E27FC236}">
                <a16:creationId xmlns:a16="http://schemas.microsoft.com/office/drawing/2014/main" id="{C1EC4BED-4632-4F2A-A676-265FEA489CCF}"/>
              </a:ext>
            </a:extLst>
          </xdr:cNvPr>
          <xdr:cNvSpPr/>
        </xdr:nvSpPr>
        <xdr:spPr>
          <a:xfrm>
            <a:off x="21560790" y="9803130"/>
            <a:ext cx="45720" cy="198120"/>
          </a:xfrm>
          <a:prstGeom prst="flowChartManualOperation">
            <a:avLst/>
          </a:prstGeom>
          <a:solidFill>
            <a:schemeClr val="tx1"/>
          </a:solidFill>
          <a:ln cap="rnd">
            <a:solidFill>
              <a:schemeClr val="tx1"/>
            </a:solidFill>
            <a:round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1" name="Ellipse 10">
            <a:extLst>
              <a:ext uri="{FF2B5EF4-FFF2-40B4-BE49-F238E27FC236}">
                <a16:creationId xmlns:a16="http://schemas.microsoft.com/office/drawing/2014/main" id="{7EB45FAD-D8A3-4C01-A6B8-4423516A0690}"/>
              </a:ext>
            </a:extLst>
          </xdr:cNvPr>
          <xdr:cNvSpPr/>
        </xdr:nvSpPr>
        <xdr:spPr>
          <a:xfrm>
            <a:off x="21556980" y="10043160"/>
            <a:ext cx="53339" cy="53340"/>
          </a:xfrm>
          <a:prstGeom prst="ellipse">
            <a:avLst/>
          </a:prstGeom>
          <a:solidFill>
            <a:schemeClr val="tx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51</xdr:col>
      <xdr:colOff>900682</xdr:colOff>
      <xdr:row>35</xdr:row>
      <xdr:rowOff>10253</xdr:rowOff>
    </xdr:from>
    <xdr:to>
      <xdr:col>56</xdr:col>
      <xdr:colOff>476250</xdr:colOff>
      <xdr:row>36</xdr:row>
      <xdr:rowOff>326572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D0BD9277-9C2F-4E88-A946-A8772C2916D2}"/>
            </a:ext>
          </a:extLst>
        </xdr:cNvPr>
        <xdr:cNvSpPr/>
      </xdr:nvSpPr>
      <xdr:spPr>
        <a:xfrm>
          <a:off x="29584539" y="10664646"/>
          <a:ext cx="6365532" cy="629283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0" rIns="36000" bIns="0" rtlCol="0" anchor="t"/>
        <a:lstStyle/>
        <a:p>
          <a:pPr algn="l"/>
          <a:r>
            <a:rPr lang="fr-FR" sz="1800" b="1" u="sng">
              <a:solidFill>
                <a:sysClr val="windowText" lastClr="000000"/>
              </a:solidFill>
            </a:rPr>
            <a:t>CAS du 2x2 </a:t>
          </a:r>
          <a:r>
            <a:rPr lang="fr-FR" sz="1800" b="1">
              <a:solidFill>
                <a:sysClr val="windowText" lastClr="000000"/>
              </a:solidFill>
            </a:rPr>
            <a:t>: N'oubliez pas que le ♂2 est 2 fois plus présent que les 2 autres mâles !</a:t>
          </a:r>
        </a:p>
      </xdr:txBody>
    </xdr:sp>
    <xdr:clientData/>
  </xdr:twoCellAnchor>
  <xdr:twoCellAnchor>
    <xdr:from>
      <xdr:col>4</xdr:col>
      <xdr:colOff>258536</xdr:colOff>
      <xdr:row>21</xdr:row>
      <xdr:rowOff>367392</xdr:rowOff>
    </xdr:from>
    <xdr:to>
      <xdr:col>18</xdr:col>
      <xdr:colOff>95250</xdr:colOff>
      <xdr:row>22</xdr:row>
      <xdr:rowOff>68035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4AA78989-42C2-41E9-8682-5C17A6D64DAB}"/>
            </a:ext>
          </a:extLst>
        </xdr:cNvPr>
        <xdr:cNvSpPr/>
      </xdr:nvSpPr>
      <xdr:spPr>
        <a:xfrm>
          <a:off x="1877786" y="6517821"/>
          <a:ext cx="3333750" cy="81643"/>
        </a:xfrm>
        <a:prstGeom prst="rect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340178</xdr:colOff>
      <xdr:row>32</xdr:row>
      <xdr:rowOff>299357</xdr:rowOff>
    </xdr:from>
    <xdr:to>
      <xdr:col>17</xdr:col>
      <xdr:colOff>258536</xdr:colOff>
      <xdr:row>33</xdr:row>
      <xdr:rowOff>54428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1B5429B1-3958-460F-8949-3852A1F92AE3}"/>
            </a:ext>
          </a:extLst>
        </xdr:cNvPr>
        <xdr:cNvSpPr/>
      </xdr:nvSpPr>
      <xdr:spPr>
        <a:xfrm>
          <a:off x="2340428" y="9701893"/>
          <a:ext cx="2598965" cy="68035"/>
        </a:xfrm>
        <a:prstGeom prst="rect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285750</xdr:colOff>
      <xdr:row>10</xdr:row>
      <xdr:rowOff>250370</xdr:rowOff>
    </xdr:from>
    <xdr:to>
      <xdr:col>17</xdr:col>
      <xdr:colOff>95250</xdr:colOff>
      <xdr:row>11</xdr:row>
      <xdr:rowOff>27213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CDAC6DF9-2A78-4D6E-B5F0-B2AA23AAC144}"/>
            </a:ext>
          </a:extLst>
        </xdr:cNvPr>
        <xdr:cNvSpPr/>
      </xdr:nvSpPr>
      <xdr:spPr>
        <a:xfrm>
          <a:off x="3048000" y="2985406"/>
          <a:ext cx="1728107" cy="89807"/>
        </a:xfrm>
        <a:prstGeom prst="rect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552451</xdr:colOff>
      <xdr:row>43</xdr:row>
      <xdr:rowOff>253092</xdr:rowOff>
    </xdr:from>
    <xdr:to>
      <xdr:col>18</xdr:col>
      <xdr:colOff>95250</xdr:colOff>
      <xdr:row>44</xdr:row>
      <xdr:rowOff>27215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E371B4D7-E646-4FFB-AB06-63109DC93F5D}"/>
            </a:ext>
          </a:extLst>
        </xdr:cNvPr>
        <xdr:cNvSpPr/>
      </xdr:nvSpPr>
      <xdr:spPr>
        <a:xfrm>
          <a:off x="1110344" y="13179878"/>
          <a:ext cx="4101192" cy="114301"/>
        </a:xfrm>
        <a:prstGeom prst="rect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214994</xdr:colOff>
      <xdr:row>53</xdr:row>
      <xdr:rowOff>285750</xdr:rowOff>
    </xdr:from>
    <xdr:to>
      <xdr:col>17</xdr:col>
      <xdr:colOff>149679</xdr:colOff>
      <xdr:row>54</xdr:row>
      <xdr:rowOff>18504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448839EE-F692-417D-8F34-26184C16E6E1}"/>
            </a:ext>
          </a:extLst>
        </xdr:cNvPr>
        <xdr:cNvSpPr/>
      </xdr:nvSpPr>
      <xdr:spPr>
        <a:xfrm>
          <a:off x="1453244" y="16410214"/>
          <a:ext cx="3377292" cy="45719"/>
        </a:xfrm>
        <a:prstGeom prst="rect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theme="9" tint="-0.249977111117893"/>
    <pageSetUpPr fitToPage="1"/>
  </sheetPr>
  <dimension ref="A1:X68"/>
  <sheetViews>
    <sheetView tabSelected="1" zoomScale="70" zoomScaleNormal="70" workbookViewId="0">
      <selection activeCell="V9" sqref="V9"/>
    </sheetView>
  </sheetViews>
  <sheetFormatPr baseColWidth="10" defaultRowHeight="15" x14ac:dyDescent="0.25"/>
  <cols>
    <col min="1" max="1" width="3.85546875" customWidth="1"/>
    <col min="2" max="2" width="46.7109375" customWidth="1"/>
    <col min="3" max="3" width="23.7109375" style="73" customWidth="1"/>
    <col min="4" max="4" width="23.7109375" customWidth="1"/>
    <col min="5" max="6" width="3.7109375" customWidth="1"/>
    <col min="7" max="7" width="46.7109375" customWidth="1"/>
    <col min="8" max="9" width="23.7109375" customWidth="1"/>
    <col min="10" max="10" width="3.85546875" customWidth="1"/>
    <col min="11" max="11" width="13.7109375" customWidth="1"/>
    <col min="23" max="23" width="1" customWidth="1"/>
  </cols>
  <sheetData>
    <row r="1" spans="1:24" ht="6" customHeight="1" thickBot="1" x14ac:dyDescent="0.3">
      <c r="A1" s="22"/>
      <c r="B1" s="22"/>
      <c r="C1" s="842"/>
      <c r="D1" s="22"/>
      <c r="E1" s="22"/>
      <c r="F1" s="22"/>
      <c r="G1" s="22"/>
      <c r="H1" s="22"/>
      <c r="I1" s="22"/>
      <c r="J1" s="22"/>
    </row>
    <row r="2" spans="1:24" ht="31.5" customHeight="1" x14ac:dyDescent="0.5">
      <c r="A2" s="22"/>
      <c r="B2" s="1558" t="s">
        <v>0</v>
      </c>
      <c r="C2" s="1554" t="str">
        <f>'Calcul_Densité+Dose'!B3</f>
        <v>2x2</v>
      </c>
      <c r="D2" s="1555"/>
      <c r="E2" s="870"/>
      <c r="F2" s="870"/>
      <c r="G2" s="1551" t="s">
        <v>59</v>
      </c>
      <c r="H2" s="1552"/>
      <c r="I2" s="1553"/>
      <c r="J2" s="22"/>
      <c r="K2" s="335"/>
      <c r="L2" s="335"/>
      <c r="M2" s="335"/>
      <c r="N2" s="335"/>
      <c r="O2" s="335"/>
      <c r="P2" s="335"/>
      <c r="Q2" s="335"/>
      <c r="R2" s="335"/>
      <c r="S2" s="335"/>
      <c r="T2" s="335"/>
      <c r="U2" s="335"/>
      <c r="V2" s="335"/>
      <c r="W2" s="335"/>
      <c r="X2" s="230"/>
    </row>
    <row r="3" spans="1:24" ht="31.5" customHeight="1" thickBot="1" x14ac:dyDescent="0.55000000000000004">
      <c r="A3" s="22"/>
      <c r="B3" s="1559"/>
      <c r="C3" s="1556"/>
      <c r="D3" s="1557"/>
      <c r="E3" s="870"/>
      <c r="F3" s="870"/>
      <c r="G3" s="1563" t="s">
        <v>378</v>
      </c>
      <c r="H3" s="1564"/>
      <c r="I3" s="1565"/>
      <c r="J3" s="22"/>
      <c r="K3" s="335"/>
      <c r="L3" s="335"/>
      <c r="M3" s="335"/>
      <c r="N3" s="335"/>
      <c r="O3" s="335"/>
      <c r="P3" s="334"/>
      <c r="Q3" s="891"/>
      <c r="R3" s="335"/>
      <c r="S3" s="335"/>
      <c r="T3" s="335"/>
      <c r="U3" s="335"/>
      <c r="V3" s="335"/>
      <c r="W3" s="335"/>
      <c r="X3" s="224"/>
    </row>
    <row r="4" spans="1:24" ht="21" customHeight="1" thickBot="1" x14ac:dyDescent="0.35">
      <c r="A4" s="22"/>
      <c r="B4" s="77" t="s">
        <v>296</v>
      </c>
      <c r="C4" s="682">
        <f>'Calcul_Densité+Dose'!K3</f>
        <v>0.75</v>
      </c>
      <c r="D4" s="78" t="s">
        <v>57</v>
      </c>
      <c r="E4" s="870"/>
      <c r="F4" s="870"/>
      <c r="G4" s="1571" t="s">
        <v>269</v>
      </c>
      <c r="H4" s="1572"/>
      <c r="I4" s="1573"/>
      <c r="J4" s="22"/>
      <c r="K4" s="336"/>
      <c r="L4" s="336"/>
      <c r="M4" s="336"/>
      <c r="N4" s="336"/>
      <c r="O4" s="336"/>
      <c r="P4" s="336"/>
      <c r="Q4" s="336"/>
      <c r="R4" s="336"/>
      <c r="S4" s="336"/>
      <c r="T4" s="336"/>
      <c r="U4" s="336"/>
      <c r="V4" s="336"/>
      <c r="W4" s="336"/>
    </row>
    <row r="5" spans="1:24" ht="21" customHeight="1" thickBot="1" x14ac:dyDescent="0.35">
      <c r="A5" s="22"/>
      <c r="B5" s="79" t="s">
        <v>60</v>
      </c>
      <c r="C5" s="129">
        <f>'Calcul_Densité+Dose'!F3</f>
        <v>2</v>
      </c>
      <c r="D5" s="80"/>
      <c r="E5" s="870"/>
      <c r="F5" s="870"/>
      <c r="G5" s="22"/>
      <c r="H5" s="22"/>
      <c r="I5" s="22"/>
      <c r="J5" s="871"/>
      <c r="K5" s="336"/>
      <c r="L5" s="336"/>
      <c r="M5" s="336"/>
      <c r="N5" s="336"/>
      <c r="O5" s="336"/>
      <c r="P5" s="336"/>
      <c r="Q5" s="336"/>
      <c r="R5" s="336"/>
      <c r="S5" s="336"/>
      <c r="T5" s="336"/>
      <c r="U5" s="336"/>
      <c r="V5" s="336"/>
      <c r="W5" s="336"/>
    </row>
    <row r="6" spans="1:24" ht="21" customHeight="1" x14ac:dyDescent="0.3">
      <c r="A6" s="22"/>
      <c r="B6" s="81" t="s">
        <v>61</v>
      </c>
      <c r="C6" s="872">
        <f>'Calcul_Densité+Dose'!H3</f>
        <v>2</v>
      </c>
      <c r="D6" s="82"/>
      <c r="E6" s="870"/>
      <c r="F6" s="870"/>
      <c r="G6" s="79" t="s">
        <v>381</v>
      </c>
      <c r="H6" s="200">
        <f>'Calcul_Densité+Dose'!Y15</f>
        <v>0.625</v>
      </c>
      <c r="I6" s="201" t="s">
        <v>57</v>
      </c>
      <c r="J6" s="871"/>
      <c r="K6" s="336"/>
      <c r="L6" s="336"/>
      <c r="M6" s="336"/>
      <c r="N6" s="336"/>
      <c r="O6" s="336"/>
      <c r="P6" s="336"/>
      <c r="Q6" s="336"/>
      <c r="R6" s="336"/>
      <c r="S6" s="336"/>
      <c r="T6" s="336"/>
      <c r="U6" s="336"/>
      <c r="V6" s="336"/>
      <c r="W6" s="336"/>
    </row>
    <row r="7" spans="1:24" ht="21" customHeight="1" x14ac:dyDescent="0.45">
      <c r="A7" s="22"/>
      <c r="B7" s="83" t="s">
        <v>62</v>
      </c>
      <c r="C7" s="504">
        <f>IF(C2="2x2",'Calcul_Densité+Dose'!I8,
IF(C2="4x3",'Calcul_Densité+Dose'!F19,
IF(C2="4x2",'Calcul_Densité+Dose'!G30,
IF(C2="6x2",'Calcul_Densité+Dose'!E51,
IF(C2="6x3",'Calcul_Densité+Dose'!D41,0)))))</f>
        <v>1.25</v>
      </c>
      <c r="D7" s="84" t="s">
        <v>57</v>
      </c>
      <c r="E7" s="870"/>
      <c r="F7" s="870"/>
      <c r="G7" s="81" t="s">
        <v>382</v>
      </c>
      <c r="H7" s="202">
        <f>'Calcul_Densité+Dose'!Y37</f>
        <v>0.5</v>
      </c>
      <c r="I7" s="90" t="s">
        <v>57</v>
      </c>
      <c r="J7" s="871"/>
      <c r="K7" s="237"/>
      <c r="L7" s="237"/>
      <c r="M7" s="237"/>
      <c r="N7" s="237"/>
      <c r="O7" s="237"/>
      <c r="P7" s="237"/>
      <c r="Q7" s="237"/>
      <c r="R7" s="237"/>
      <c r="S7" s="237"/>
      <c r="T7" s="237"/>
      <c r="U7" s="237"/>
      <c r="V7" s="237"/>
      <c r="W7" s="237"/>
    </row>
    <row r="8" spans="1:24" ht="21" customHeight="1" x14ac:dyDescent="0.3">
      <c r="A8" s="22"/>
      <c r="B8" s="85" t="s">
        <v>64</v>
      </c>
      <c r="C8" s="873">
        <f>IF(C2="2x2",'Calcul_Densité+Dose'!M8,
IF(C2="4x3",'Calcul_Densité+Dose'!K19,
IF(C2="4x2",'Calcul_Densité+Dose'!N30,
IF(C2="6x2",'Calcul_Densité+Dose'!M51,
IF(C2="6x3",'Calcul_Densité+Dose'!K41,0)))))</f>
        <v>1</v>
      </c>
      <c r="D8" s="86" t="s">
        <v>57</v>
      </c>
      <c r="E8" s="870"/>
      <c r="F8" s="870"/>
      <c r="G8" s="87" t="s">
        <v>103</v>
      </c>
      <c r="H8" s="91">
        <f>C7/$C$9</f>
        <v>0.55555555555555558</v>
      </c>
      <c r="I8" s="88"/>
      <c r="J8" s="871"/>
      <c r="K8" s="44"/>
      <c r="L8" s="44"/>
      <c r="M8" s="44"/>
      <c r="N8" s="44"/>
      <c r="O8" s="44"/>
      <c r="P8" s="44"/>
      <c r="Q8" s="44"/>
      <c r="R8" s="44"/>
      <c r="S8" s="44"/>
      <c r="T8" s="44"/>
      <c r="U8" s="44"/>
      <c r="V8" s="44"/>
      <c r="W8" s="44"/>
    </row>
    <row r="9" spans="1:24" ht="21" customHeight="1" thickBot="1" x14ac:dyDescent="0.5">
      <c r="A9" s="22"/>
      <c r="B9" s="122" t="s">
        <v>66</v>
      </c>
      <c r="C9" s="295">
        <f>C7+C8</f>
        <v>2.25</v>
      </c>
      <c r="D9" s="296" t="s">
        <v>57</v>
      </c>
      <c r="E9" s="870"/>
      <c r="F9" s="870"/>
      <c r="G9" s="92" t="s">
        <v>102</v>
      </c>
      <c r="H9" s="93">
        <f>C8/$C$9</f>
        <v>0.44444444444444442</v>
      </c>
      <c r="I9" s="94"/>
      <c r="J9" s="871"/>
      <c r="K9" s="237"/>
      <c r="L9" s="237"/>
      <c r="M9" s="237"/>
      <c r="N9" s="237"/>
      <c r="O9" s="237"/>
      <c r="P9" s="237"/>
      <c r="Q9" s="237"/>
      <c r="R9" s="237"/>
      <c r="S9" s="237"/>
      <c r="T9" s="237"/>
      <c r="U9" s="237"/>
      <c r="V9" s="237"/>
      <c r="W9" s="237"/>
    </row>
    <row r="10" spans="1:24" ht="67.5" customHeight="1" thickBot="1" x14ac:dyDescent="0.5">
      <c r="A10" s="22"/>
      <c r="B10" s="22"/>
      <c r="C10" s="842"/>
      <c r="D10" s="22"/>
      <c r="E10" s="870"/>
      <c r="F10" s="870"/>
      <c r="G10" s="22"/>
      <c r="H10" s="22"/>
      <c r="I10" s="22"/>
      <c r="J10" s="871"/>
      <c r="K10" s="237"/>
      <c r="L10" s="237"/>
      <c r="M10" s="237"/>
      <c r="N10" s="237"/>
      <c r="O10" s="237"/>
      <c r="P10" s="237"/>
      <c r="Q10" s="237"/>
      <c r="R10" s="237"/>
      <c r="S10" s="237"/>
      <c r="T10" s="237"/>
      <c r="U10" s="237"/>
      <c r="V10" s="237"/>
      <c r="W10" s="237"/>
    </row>
    <row r="11" spans="1:24" s="21" customFormat="1" ht="37.5" customHeight="1" thickBot="1" x14ac:dyDescent="0.35">
      <c r="A11" s="199"/>
      <c r="B11" s="1580" t="s">
        <v>311</v>
      </c>
      <c r="C11" s="1581"/>
      <c r="D11" s="1582"/>
      <c r="E11" s="870"/>
      <c r="F11" s="870"/>
      <c r="G11" s="1568" t="s">
        <v>125</v>
      </c>
      <c r="H11" s="1569"/>
      <c r="I11" s="1570"/>
      <c r="J11" s="871"/>
      <c r="K11" s="833"/>
      <c r="L11" s="242"/>
      <c r="M11" s="242"/>
      <c r="N11" s="242"/>
      <c r="O11" s="243"/>
      <c r="P11" s="243"/>
      <c r="Q11" s="243"/>
      <c r="R11" s="243"/>
      <c r="S11" s="243"/>
      <c r="T11" s="243"/>
      <c r="U11" s="243"/>
      <c r="V11" s="243"/>
      <c r="W11" s="236"/>
    </row>
    <row r="12" spans="1:24" s="21" customFormat="1" ht="20.25" customHeight="1" thickBot="1" x14ac:dyDescent="0.35">
      <c r="A12" s="199"/>
      <c r="B12" s="874"/>
      <c r="C12" s="874"/>
      <c r="D12" s="874"/>
      <c r="E12" s="870"/>
      <c r="F12" s="199"/>
      <c r="G12" s="199"/>
      <c r="H12" s="199"/>
      <c r="I12" s="199"/>
      <c r="J12" s="874"/>
      <c r="K12" s="834"/>
      <c r="L12" s="242"/>
      <c r="M12" s="242"/>
      <c r="N12" s="242"/>
      <c r="O12" s="243"/>
      <c r="P12" s="243"/>
      <c r="Q12" s="243"/>
      <c r="R12" s="243"/>
      <c r="S12" s="243"/>
      <c r="T12" s="243"/>
      <c r="U12" s="243"/>
      <c r="V12" s="243"/>
      <c r="W12" s="236"/>
    </row>
    <row r="13" spans="1:24" s="21" customFormat="1" ht="30" customHeight="1" thickBot="1" x14ac:dyDescent="0.35">
      <c r="A13" s="199"/>
      <c r="B13" s="98" t="s">
        <v>1</v>
      </c>
      <c r="C13" s="99" t="s">
        <v>2</v>
      </c>
      <c r="D13" s="100" t="s">
        <v>3</v>
      </c>
      <c r="E13" s="870"/>
      <c r="F13" s="199"/>
      <c r="G13" s="1560" t="s">
        <v>63</v>
      </c>
      <c r="H13" s="1561"/>
      <c r="I13" s="1562"/>
      <c r="J13" s="874"/>
      <c r="K13" s="834"/>
      <c r="L13" s="242"/>
      <c r="M13" s="242"/>
      <c r="N13" s="242"/>
      <c r="O13" s="243"/>
      <c r="P13" s="243"/>
      <c r="Q13" s="243"/>
      <c r="R13" s="243"/>
      <c r="S13" s="243"/>
      <c r="T13" s="243"/>
      <c r="U13" s="243"/>
      <c r="V13" s="243"/>
      <c r="W13" s="236"/>
    </row>
    <row r="14" spans="1:24" ht="43.15" customHeight="1" x14ac:dyDescent="0.45">
      <c r="A14" s="22"/>
      <c r="B14" s="1574" t="str">
        <f>'Calcul_Densité+Dose'!V8</f>
        <v>2x2 CITO KWS (Lot1)</v>
      </c>
      <c r="C14" s="1578" t="str">
        <f>'Calcul_Densité+Dose'!Y8</f>
        <v>KW 5A1629 x 5A1435</v>
      </c>
      <c r="D14" s="1370" t="str">
        <f>'Calcul_Densité+Dose'!Z8</f>
        <v>F 0841 B 731 014 A01</v>
      </c>
      <c r="E14" s="870"/>
      <c r="F14" s="875"/>
      <c r="G14" s="195" t="s">
        <v>65</v>
      </c>
      <c r="H14" s="280">
        <f>'Calcul_Densité+Dose'!AD20</f>
        <v>14.3</v>
      </c>
      <c r="I14" s="281" t="s">
        <v>5</v>
      </c>
      <c r="J14" s="876"/>
      <c r="K14" s="332"/>
      <c r="L14" s="332"/>
      <c r="M14" s="332"/>
      <c r="N14" s="332"/>
      <c r="O14" s="332"/>
      <c r="P14" s="332"/>
      <c r="Q14" s="332"/>
      <c r="R14" s="332"/>
      <c r="S14" s="332"/>
      <c r="T14" s="332"/>
      <c r="U14" s="332"/>
      <c r="V14" s="332"/>
      <c r="W14" s="332"/>
    </row>
    <row r="15" spans="1:24" ht="25.9" customHeight="1" thickBot="1" x14ac:dyDescent="0.35">
      <c r="A15" s="22"/>
      <c r="B15" s="1584"/>
      <c r="C15" s="1579"/>
      <c r="D15" s="1583"/>
      <c r="E15" s="870"/>
      <c r="F15" s="66"/>
      <c r="G15" s="843" t="str">
        <f>'Calcul_Densité+Dose'!AB21</f>
        <v>Densité théorique ♀ (réglage semoir)</v>
      </c>
      <c r="H15" s="285">
        <f>'Calcul_Densité+Dose'!AD21</f>
        <v>93240.093240093222</v>
      </c>
      <c r="I15" s="287" t="s">
        <v>7</v>
      </c>
      <c r="J15" s="25"/>
      <c r="K15" s="328"/>
      <c r="L15" s="328"/>
      <c r="M15" s="328"/>
      <c r="N15" s="328"/>
      <c r="O15" s="328"/>
      <c r="P15" s="328"/>
      <c r="Q15" s="328"/>
      <c r="R15" s="328"/>
      <c r="S15" s="328"/>
      <c r="T15" s="328"/>
      <c r="U15" s="328"/>
      <c r="V15" s="328"/>
      <c r="W15" s="331"/>
    </row>
    <row r="16" spans="1:24" ht="25.9" customHeight="1" x14ac:dyDescent="0.3">
      <c r="A16" s="22"/>
      <c r="B16" s="290" t="s">
        <v>126</v>
      </c>
      <c r="C16" s="297">
        <f>'Calcul_Densité+Dose'!Y10</f>
        <v>65000</v>
      </c>
      <c r="D16" s="291" t="s">
        <v>58</v>
      </c>
      <c r="E16" s="870"/>
      <c r="F16" s="66"/>
      <c r="G16" s="89" t="s">
        <v>104</v>
      </c>
      <c r="H16" s="374">
        <f>'Calcul_Densité+Dose'!AD22</f>
        <v>111888.11188811189</v>
      </c>
      <c r="I16" s="677" t="s">
        <v>7</v>
      </c>
      <c r="J16" s="877"/>
      <c r="K16" s="232"/>
      <c r="L16" s="232"/>
      <c r="M16" s="232"/>
      <c r="N16" s="232"/>
      <c r="O16" s="232"/>
      <c r="P16" s="232"/>
      <c r="Q16" s="232"/>
      <c r="R16" s="232"/>
      <c r="S16" s="232"/>
      <c r="T16" s="232"/>
      <c r="U16" s="232"/>
      <c r="V16" s="232"/>
      <c r="W16" s="331"/>
    </row>
    <row r="17" spans="1:23" ht="25.9" customHeight="1" thickBot="1" x14ac:dyDescent="0.95">
      <c r="A17" s="22"/>
      <c r="B17" s="288" t="s">
        <v>12</v>
      </c>
      <c r="C17" s="292">
        <f>'Calcul_Densité+Dose'!AD9</f>
        <v>0</v>
      </c>
      <c r="D17" s="293"/>
      <c r="E17" s="870"/>
      <c r="F17" s="66"/>
      <c r="G17" s="139" t="s">
        <v>124</v>
      </c>
      <c r="H17" s="220" t="str">
        <f>'Calcul_Densité+Dose'!AD23</f>
        <v/>
      </c>
      <c r="I17" s="221">
        <f>'Calcul_Densité+Dose'!AE23</f>
        <v>-0.13932221624529306</v>
      </c>
      <c r="J17" s="877"/>
      <c r="K17" s="835"/>
      <c r="L17" s="329"/>
      <c r="M17" s="329"/>
      <c r="N17" s="329"/>
      <c r="O17" s="330"/>
      <c r="P17" s="330"/>
      <c r="Q17" s="330"/>
      <c r="R17" s="330"/>
      <c r="S17" s="330"/>
      <c r="T17" s="330"/>
      <c r="U17" s="330"/>
      <c r="V17" s="330"/>
      <c r="W17" s="330"/>
    </row>
    <row r="18" spans="1:23" ht="39" customHeight="1" thickBot="1" x14ac:dyDescent="0.35">
      <c r="A18" s="22"/>
      <c r="B18" s="102" t="s">
        <v>346</v>
      </c>
      <c r="C18" s="204">
        <f>'Calcul_Densité+Dose'!AD16</f>
        <v>129999.99999999999</v>
      </c>
      <c r="D18" s="103" t="s">
        <v>58</v>
      </c>
      <c r="E18" s="870"/>
      <c r="F18" s="878"/>
      <c r="G18" s="672"/>
      <c r="H18" s="1566" t="s">
        <v>96</v>
      </c>
      <c r="I18" s="1567"/>
      <c r="J18" s="879"/>
      <c r="K18" s="333"/>
      <c r="L18" s="333"/>
      <c r="M18" s="333"/>
      <c r="N18" s="333"/>
      <c r="O18" s="333"/>
      <c r="P18" s="333"/>
      <c r="Q18" s="333"/>
      <c r="R18" s="333"/>
      <c r="S18" s="333"/>
      <c r="T18" s="333"/>
      <c r="U18" s="333"/>
      <c r="V18" s="333"/>
      <c r="W18" s="333"/>
    </row>
    <row r="19" spans="1:23" ht="39" customHeight="1" thickBot="1" x14ac:dyDescent="0.35">
      <c r="A19" s="22"/>
      <c r="B19" s="104" t="s">
        <v>70</v>
      </c>
      <c r="C19" s="377">
        <f>'Calcul_Densité+Dose'!AD14</f>
        <v>12.30769230769231</v>
      </c>
      <c r="D19" s="105" t="s">
        <v>5</v>
      </c>
      <c r="E19" s="870"/>
      <c r="F19" s="878"/>
      <c r="G19" s="277" t="s">
        <v>123</v>
      </c>
      <c r="H19" s="278">
        <f>'Calcul_Densité+Dose'!AH23</f>
        <v>0.70240870240870246</v>
      </c>
      <c r="I19" s="279" t="s">
        <v>121</v>
      </c>
      <c r="J19" s="880"/>
      <c r="K19" s="337"/>
      <c r="L19" s="337"/>
      <c r="M19" s="337"/>
      <c r="N19" s="337"/>
      <c r="O19" s="337"/>
      <c r="P19" s="337"/>
      <c r="Q19" s="337"/>
      <c r="R19" s="337"/>
      <c r="S19" s="337"/>
      <c r="T19" s="337"/>
      <c r="U19" s="337"/>
      <c r="V19" s="337"/>
      <c r="W19" s="337"/>
    </row>
    <row r="20" spans="1:23" ht="39" customHeight="1" x14ac:dyDescent="0.3">
      <c r="A20" s="22"/>
      <c r="B20" s="818"/>
      <c r="C20" s="844"/>
      <c r="D20" s="818"/>
      <c r="E20" s="870"/>
      <c r="F20" s="881"/>
      <c r="G20" s="275"/>
      <c r="H20" s="276"/>
      <c r="I20" s="219"/>
      <c r="J20" s="22"/>
      <c r="K20" s="836"/>
      <c r="L20" s="233"/>
      <c r="M20" s="233"/>
      <c r="N20" s="233"/>
      <c r="O20" s="234"/>
      <c r="P20" s="235"/>
      <c r="Q20" s="235"/>
      <c r="R20" s="235"/>
      <c r="S20" s="235"/>
      <c r="T20" s="236"/>
      <c r="U20" s="236"/>
      <c r="V20" s="236"/>
      <c r="W20" s="236"/>
    </row>
    <row r="21" spans="1:23" ht="19.899999999999999" customHeight="1" x14ac:dyDescent="0.45">
      <c r="A21" s="22"/>
      <c r="B21" s="215"/>
      <c r="C21" s="216"/>
      <c r="D21" s="217"/>
      <c r="E21" s="870"/>
      <c r="F21" s="881"/>
      <c r="G21" s="218"/>
      <c r="H21" s="219"/>
      <c r="I21" s="219"/>
      <c r="J21" s="22"/>
      <c r="K21" s="237"/>
      <c r="L21" s="237"/>
      <c r="M21" s="237"/>
      <c r="N21" s="237"/>
      <c r="O21" s="237"/>
      <c r="P21" s="237"/>
      <c r="Q21" s="237"/>
      <c r="R21" s="237"/>
      <c r="S21" s="237"/>
      <c r="T21" s="237"/>
      <c r="U21" s="237"/>
      <c r="V21" s="237"/>
      <c r="W21" s="237"/>
    </row>
    <row r="22" spans="1:23" ht="19.899999999999999" customHeight="1" thickBot="1" x14ac:dyDescent="0.5">
      <c r="A22" s="22"/>
      <c r="B22" s="882"/>
      <c r="C22" s="883"/>
      <c r="D22" s="881"/>
      <c r="E22" s="870"/>
      <c r="F22" s="22"/>
      <c r="G22" s="22"/>
      <c r="H22" s="22"/>
      <c r="I22" s="22"/>
      <c r="J22" s="22"/>
      <c r="K22" s="237"/>
      <c r="L22" s="237"/>
      <c r="M22" s="237"/>
      <c r="N22" s="237"/>
      <c r="O22" s="237"/>
      <c r="P22" s="237"/>
      <c r="Q22" s="237"/>
      <c r="R22" s="237"/>
      <c r="S22" s="237"/>
      <c r="T22" s="237"/>
      <c r="U22" s="237"/>
      <c r="V22" s="237"/>
      <c r="W22" s="237"/>
    </row>
    <row r="23" spans="1:23" ht="30" customHeight="1" thickBot="1" x14ac:dyDescent="0.5">
      <c r="A23" s="22"/>
      <c r="B23" s="106" t="s">
        <v>16</v>
      </c>
      <c r="C23" s="107" t="s">
        <v>2</v>
      </c>
      <c r="D23" s="108" t="s">
        <v>3</v>
      </c>
      <c r="E23" s="870"/>
      <c r="F23" s="66"/>
      <c r="G23" s="95" t="s">
        <v>67</v>
      </c>
      <c r="H23" s="96"/>
      <c r="I23" s="97"/>
      <c r="J23" s="842"/>
      <c r="K23" s="232"/>
      <c r="L23" s="238"/>
      <c r="M23" s="238"/>
      <c r="N23" s="238"/>
      <c r="O23" s="238"/>
      <c r="P23" s="232"/>
      <c r="Q23" s="232"/>
      <c r="R23" s="232"/>
      <c r="S23" s="232"/>
      <c r="T23" s="232"/>
      <c r="U23" s="232"/>
      <c r="V23" s="232"/>
      <c r="W23" s="232"/>
    </row>
    <row r="24" spans="1:23" ht="39" customHeight="1" x14ac:dyDescent="0.3">
      <c r="A24" s="22"/>
      <c r="B24" s="1574" t="str">
        <f>'Calcul_Densité+Dose'!V29</f>
        <v>2x2 CITO (Lot1)</v>
      </c>
      <c r="C24" s="1578" t="str">
        <f>'Calcul_Densité+Dose'!Y29</f>
        <v>KW 1A252</v>
      </c>
      <c r="D24" s="1576" t="str">
        <f>'Calcul_Densité+Dose'!Z29</f>
        <v>F 0841 B 711 844 A01</v>
      </c>
      <c r="E24" s="871"/>
      <c r="F24" s="66"/>
      <c r="G24" s="195" t="s">
        <v>68</v>
      </c>
      <c r="H24" s="282">
        <f>'Calcul_Densité+Dose'!Y41</f>
        <v>19</v>
      </c>
      <c r="I24" s="283" t="s">
        <v>5</v>
      </c>
      <c r="J24" s="22"/>
      <c r="K24" s="836"/>
      <c r="L24" s="242"/>
      <c r="M24" s="242"/>
      <c r="N24" s="242"/>
      <c r="O24" s="243"/>
      <c r="P24" s="243"/>
      <c r="Q24" s="243"/>
      <c r="R24" s="243"/>
      <c r="S24" s="243"/>
      <c r="T24" s="243"/>
      <c r="U24" s="243"/>
      <c r="V24" s="243"/>
      <c r="W24" s="236"/>
    </row>
    <row r="25" spans="1:23" ht="24" customHeight="1" thickBot="1" x14ac:dyDescent="0.3">
      <c r="A25" s="22"/>
      <c r="B25" s="1575"/>
      <c r="C25" s="1579"/>
      <c r="D25" s="1577"/>
      <c r="E25" s="884"/>
      <c r="F25" s="66"/>
      <c r="G25" s="138" t="s">
        <v>81</v>
      </c>
      <c r="H25" s="286">
        <f>'Calcul_Densité+Dose'!Y42</f>
        <v>70175.438596491222</v>
      </c>
      <c r="I25" s="287" t="s">
        <v>7</v>
      </c>
      <c r="J25" s="885"/>
      <c r="K25" s="44"/>
      <c r="L25" s="242"/>
      <c r="M25" s="242"/>
      <c r="N25" s="242"/>
      <c r="O25" s="243"/>
      <c r="P25" s="243"/>
      <c r="Q25" s="243"/>
      <c r="R25" s="243"/>
      <c r="S25" s="243"/>
      <c r="T25" s="243"/>
      <c r="U25" s="243"/>
      <c r="V25" s="243"/>
      <c r="W25" s="236"/>
    </row>
    <row r="26" spans="1:23" ht="24" customHeight="1" x14ac:dyDescent="0.25">
      <c r="A26" s="22"/>
      <c r="B26" s="294" t="s">
        <v>126</v>
      </c>
      <c r="C26" s="315">
        <f>'Calcul_Densité+Dose'!Y31</f>
        <v>38000</v>
      </c>
      <c r="D26" s="316" t="s">
        <v>58</v>
      </c>
      <c r="E26" s="886"/>
      <c r="F26" s="66"/>
      <c r="G26" s="89" t="s">
        <v>104</v>
      </c>
      <c r="H26" s="375">
        <f>'Calcul_Densité+Dose'!Y43</f>
        <v>26315.78947368421</v>
      </c>
      <c r="I26" s="376" t="s">
        <v>7</v>
      </c>
      <c r="J26" s="885"/>
      <c r="K26" s="44"/>
      <c r="L26" s="242"/>
      <c r="M26" s="242"/>
      <c r="N26" s="242"/>
      <c r="O26" s="243"/>
      <c r="P26" s="243"/>
      <c r="Q26" s="243"/>
      <c r="R26" s="243"/>
      <c r="S26" s="243"/>
      <c r="T26" s="243"/>
      <c r="U26" s="243"/>
      <c r="V26" s="243"/>
      <c r="W26" s="236"/>
    </row>
    <row r="27" spans="1:23" ht="24" customHeight="1" thickBot="1" x14ac:dyDescent="0.5">
      <c r="A27" s="22"/>
      <c r="B27" s="284" t="s">
        <v>12</v>
      </c>
      <c r="C27" s="289">
        <f>'Calcul_Densité+Dose'!AD30</f>
        <v>0</v>
      </c>
      <c r="D27" s="101"/>
      <c r="E27" s="886"/>
      <c r="F27" s="66"/>
      <c r="G27" s="139" t="s">
        <v>124</v>
      </c>
      <c r="H27" s="222" t="str">
        <f>'Calcul_Densité+Dose'!Y44</f>
        <v>+</v>
      </c>
      <c r="I27" s="223">
        <f>'Calcul_Densité+Dose'!Z44</f>
        <v>8.3410280086180233E-2</v>
      </c>
      <c r="J27" s="885"/>
      <c r="K27" s="237"/>
      <c r="L27" s="327"/>
      <c r="M27" s="237"/>
      <c r="N27" s="237"/>
      <c r="O27" s="237"/>
      <c r="P27" s="237"/>
      <c r="Q27" s="237"/>
      <c r="R27" s="237"/>
      <c r="S27" s="237"/>
      <c r="T27" s="237"/>
      <c r="U27" s="237"/>
      <c r="V27" s="237"/>
      <c r="W27" s="237"/>
    </row>
    <row r="28" spans="1:23" ht="39" customHeight="1" thickBot="1" x14ac:dyDescent="0.5">
      <c r="A28" s="22"/>
      <c r="B28" s="109" t="s">
        <v>347</v>
      </c>
      <c r="C28" s="203">
        <f>'Calcul_Densité+Dose'!AD37</f>
        <v>97159.090909090912</v>
      </c>
      <c r="D28" s="110" t="s">
        <v>58</v>
      </c>
      <c r="E28" s="886"/>
      <c r="F28" s="66"/>
      <c r="G28" s="672"/>
      <c r="H28" s="1546" t="s">
        <v>96</v>
      </c>
      <c r="I28" s="1547"/>
      <c r="J28" s="22"/>
      <c r="K28" s="237"/>
      <c r="L28" s="327"/>
      <c r="M28" s="237"/>
      <c r="N28" s="237"/>
      <c r="O28" s="237"/>
      <c r="P28" s="237"/>
      <c r="Q28" s="237"/>
      <c r="R28" s="237"/>
      <c r="S28" s="237"/>
      <c r="T28" s="237"/>
      <c r="U28" s="237"/>
      <c r="V28" s="237"/>
      <c r="W28" s="237"/>
    </row>
    <row r="29" spans="1:23" ht="39" customHeight="1" thickBot="1" x14ac:dyDescent="0.3">
      <c r="A29" s="22"/>
      <c r="B29" s="111" t="s">
        <v>72</v>
      </c>
      <c r="C29" s="378">
        <f>'Calcul_Densité+Dose'!AD35</f>
        <v>20.584795321637426</v>
      </c>
      <c r="D29" s="112" t="s">
        <v>5</v>
      </c>
      <c r="E29" s="66"/>
      <c r="F29" s="66"/>
      <c r="G29" s="277" t="s">
        <v>97</v>
      </c>
      <c r="H29" s="278">
        <f>'Calcul_Densité+Dose'!AC43</f>
        <v>0.12865497076023391</v>
      </c>
      <c r="I29" s="279" t="s">
        <v>121</v>
      </c>
      <c r="J29" s="22"/>
      <c r="K29" s="232"/>
      <c r="L29" s="239"/>
      <c r="M29" s="239"/>
      <c r="N29" s="239"/>
      <c r="O29" s="239"/>
      <c r="P29" s="232"/>
      <c r="Q29" s="232"/>
      <c r="R29" s="232"/>
      <c r="S29" s="232"/>
      <c r="T29" s="232"/>
      <c r="U29" s="232"/>
      <c r="V29" s="232"/>
      <c r="W29" s="232"/>
    </row>
    <row r="30" spans="1:23" ht="31.5" customHeight="1" thickBot="1" x14ac:dyDescent="0.3">
      <c r="A30" s="22"/>
      <c r="B30" s="22"/>
      <c r="C30" s="842"/>
      <c r="D30" s="22"/>
      <c r="E30" s="66"/>
      <c r="F30" s="66"/>
      <c r="G30" s="664"/>
      <c r="H30" s="276"/>
      <c r="I30" s="667"/>
      <c r="J30" s="887"/>
      <c r="K30" s="837"/>
      <c r="L30" s="242"/>
      <c r="M30" s="242"/>
      <c r="N30" s="242"/>
      <c r="O30" s="243"/>
      <c r="P30" s="243"/>
      <c r="Q30" s="243"/>
      <c r="R30" s="243"/>
      <c r="S30" s="243"/>
      <c r="T30" s="243"/>
      <c r="U30" s="243"/>
      <c r="V30" s="243"/>
      <c r="W30" s="236"/>
    </row>
    <row r="31" spans="1:23" ht="31.5" customHeight="1" thickBot="1" x14ac:dyDescent="0.3">
      <c r="A31" s="22"/>
      <c r="B31" s="1548" t="str">
        <f>IF('Calcul_Densité+Dose'!AO47="OUI","SI ISOLEMENT SUR LA PARCELLE","PAS D'ISOLEMENT")</f>
        <v>SI ISOLEMENT SUR LA PARCELLE</v>
      </c>
      <c r="C31" s="1549"/>
      <c r="D31" s="1550"/>
      <c r="E31" s="66"/>
      <c r="F31" s="66"/>
      <c r="G31" s="665"/>
      <c r="H31" s="22"/>
      <c r="I31" s="669"/>
      <c r="J31" s="66"/>
      <c r="K31" s="44"/>
      <c r="L31" s="242"/>
      <c r="M31" s="242"/>
      <c r="N31" s="242"/>
      <c r="O31" s="243"/>
      <c r="P31" s="243"/>
      <c r="Q31" s="243"/>
      <c r="R31" s="243"/>
      <c r="S31" s="243"/>
      <c r="T31" s="243"/>
      <c r="U31" s="243"/>
      <c r="V31" s="243"/>
      <c r="W31" s="236"/>
    </row>
    <row r="32" spans="1:23" ht="30" customHeight="1" thickBot="1" x14ac:dyDescent="0.3">
      <c r="A32" s="22"/>
      <c r="B32" s="678" t="s">
        <v>309</v>
      </c>
      <c r="C32" s="679"/>
      <c r="D32" s="680"/>
      <c r="E32" s="66"/>
      <c r="F32" s="66"/>
      <c r="G32" s="95" t="s">
        <v>69</v>
      </c>
      <c r="H32" s="96"/>
      <c r="I32" s="97"/>
      <c r="J32" s="875"/>
      <c r="K32" s="838"/>
      <c r="L32" s="242"/>
      <c r="M32" s="242"/>
      <c r="N32" s="242"/>
      <c r="O32" s="243"/>
      <c r="P32" s="243"/>
      <c r="Q32" s="243"/>
      <c r="R32" s="243"/>
      <c r="S32" s="243"/>
      <c r="T32" s="243"/>
      <c r="U32" s="243"/>
      <c r="V32" s="243"/>
      <c r="W32" s="236"/>
    </row>
    <row r="33" spans="1:23" ht="39" customHeight="1" x14ac:dyDescent="0.45">
      <c r="A33" s="22"/>
      <c r="B33" s="195" t="s">
        <v>68</v>
      </c>
      <c r="C33" s="282">
        <f>IF(B31="pas d'isolement",0,'Calcul_Densité+Dose'!AH51)</f>
        <v>19</v>
      </c>
      <c r="D33" s="283" t="s">
        <v>5</v>
      </c>
      <c r="E33" s="66"/>
      <c r="F33" s="66"/>
      <c r="G33" s="195" t="s">
        <v>68</v>
      </c>
      <c r="H33" s="282">
        <f>'Calcul_Densité+Dose'!Y47</f>
        <v>20</v>
      </c>
      <c r="I33" s="283" t="s">
        <v>5</v>
      </c>
      <c r="J33" s="875"/>
      <c r="K33" s="237"/>
      <c r="L33" s="237"/>
      <c r="M33" s="237"/>
      <c r="N33" s="237"/>
      <c r="O33" s="237"/>
      <c r="P33" s="237"/>
      <c r="Q33" s="237"/>
      <c r="R33" s="237"/>
      <c r="S33" s="237"/>
      <c r="T33" s="237"/>
      <c r="U33" s="237"/>
      <c r="V33" s="237"/>
      <c r="W33" s="237"/>
    </row>
    <row r="34" spans="1:23" ht="25.9" customHeight="1" thickBot="1" x14ac:dyDescent="0.5">
      <c r="A34" s="22"/>
      <c r="B34" s="138" t="s">
        <v>81</v>
      </c>
      <c r="C34" s="286">
        <f>IF(B31="pas d'isolement",0,'Calcul_Densité+Dose'!AH52)</f>
        <v>70175.438596491222</v>
      </c>
      <c r="D34" s="287" t="s">
        <v>7</v>
      </c>
      <c r="E34" s="66"/>
      <c r="F34" s="66"/>
      <c r="G34" s="138" t="s">
        <v>81</v>
      </c>
      <c r="H34" s="286">
        <f>'Calcul_Densité+Dose'!Y48</f>
        <v>66666.666666666672</v>
      </c>
      <c r="I34" s="287" t="s">
        <v>7</v>
      </c>
      <c r="J34" s="22"/>
      <c r="K34" s="237"/>
      <c r="L34" s="237"/>
      <c r="M34" s="237"/>
      <c r="N34" s="237"/>
      <c r="O34" s="237"/>
      <c r="P34" s="237"/>
      <c r="Q34" s="237"/>
      <c r="R34" s="237"/>
      <c r="S34" s="237"/>
      <c r="T34" s="237"/>
      <c r="U34" s="237"/>
      <c r="V34" s="237"/>
      <c r="W34" s="237"/>
    </row>
    <row r="35" spans="1:23" ht="25.9" customHeight="1" x14ac:dyDescent="0.25">
      <c r="A35" s="22"/>
      <c r="B35" s="89" t="s">
        <v>104</v>
      </c>
      <c r="C35" s="375">
        <f>IF(B31="pas d'isolement",0,'Calcul_Densité+Dose'!AH53)</f>
        <v>70175.438596491222</v>
      </c>
      <c r="D35" s="376" t="s">
        <v>7</v>
      </c>
      <c r="E35" s="66"/>
      <c r="F35" s="66"/>
      <c r="G35" s="89" t="s">
        <v>104</v>
      </c>
      <c r="H35" s="375">
        <f>'Calcul_Densité+Dose'!Y49</f>
        <v>50000</v>
      </c>
      <c r="I35" s="376" t="s">
        <v>7</v>
      </c>
      <c r="J35" s="888"/>
      <c r="K35" s="232"/>
      <c r="L35" s="239"/>
      <c r="M35" s="239"/>
      <c r="N35" s="239"/>
      <c r="O35" s="239"/>
      <c r="P35" s="232"/>
      <c r="Q35" s="232"/>
      <c r="R35" s="232"/>
      <c r="S35" s="232"/>
      <c r="T35" s="232"/>
      <c r="U35" s="232"/>
      <c r="V35" s="232"/>
      <c r="W35" s="232"/>
    </row>
    <row r="36" spans="1:23" ht="25.9" customHeight="1" thickBot="1" x14ac:dyDescent="0.3">
      <c r="A36" s="22"/>
      <c r="B36" s="139"/>
      <c r="C36" s="222"/>
      <c r="D36" s="223"/>
      <c r="E36" s="66"/>
      <c r="F36" s="66"/>
      <c r="G36" s="139" t="s">
        <v>124</v>
      </c>
      <c r="H36" s="222" t="str">
        <f>'Calcul_Densité+Dose'!Y50</f>
        <v>+</v>
      </c>
      <c r="I36" s="223">
        <f>'Calcul_Densité+Dose'!Z50</f>
        <v>2.9239766081871288E-2</v>
      </c>
      <c r="J36" s="881"/>
      <c r="K36" s="232"/>
      <c r="L36" s="239"/>
      <c r="M36" s="239"/>
      <c r="N36" s="239"/>
      <c r="O36" s="239"/>
      <c r="P36" s="232"/>
      <c r="Q36" s="232"/>
      <c r="R36" s="232"/>
      <c r="S36" s="232"/>
      <c r="T36" s="232"/>
      <c r="U36" s="232"/>
      <c r="V36" s="232"/>
      <c r="W36" s="232"/>
    </row>
    <row r="37" spans="1:23" s="113" customFormat="1" ht="39" customHeight="1" thickBot="1" x14ac:dyDescent="0.4">
      <c r="A37" s="22"/>
      <c r="B37" s="670"/>
      <c r="C37" s="1546" t="s">
        <v>96</v>
      </c>
      <c r="D37" s="1547"/>
      <c r="E37" s="66"/>
      <c r="F37" s="66"/>
      <c r="G37" s="670"/>
      <c r="H37" s="1546" t="s">
        <v>96</v>
      </c>
      <c r="I37" s="1547"/>
      <c r="J37" s="878"/>
      <c r="K37" s="837"/>
      <c r="L37" s="240"/>
      <c r="M37" s="240"/>
      <c r="N37" s="240"/>
      <c r="O37" s="241"/>
      <c r="P37" s="241"/>
      <c r="Q37" s="241"/>
      <c r="R37" s="241"/>
      <c r="S37" s="241"/>
      <c r="T37" s="241"/>
      <c r="U37" s="241"/>
      <c r="V37" s="241"/>
      <c r="W37" s="236"/>
    </row>
    <row r="38" spans="1:23" s="113" customFormat="1" ht="39" customHeight="1" thickBot="1" x14ac:dyDescent="0.4">
      <c r="A38" s="22"/>
      <c r="B38" s="277" t="s">
        <v>97</v>
      </c>
      <c r="C38" s="278">
        <f>'Calcul_Densité+Dose'!AH54/'Calcul_Densité+Dose'!AI47</f>
        <v>0.77192982456140347</v>
      </c>
      <c r="D38" s="279" t="s">
        <v>121</v>
      </c>
      <c r="E38" s="66"/>
      <c r="F38" s="66"/>
      <c r="G38" s="277" t="s">
        <v>97</v>
      </c>
      <c r="H38" s="278">
        <f>'Calcul_Densité+Dose'!AC49</f>
        <v>0.24444444444444441</v>
      </c>
      <c r="I38" s="279" t="s">
        <v>121</v>
      </c>
      <c r="J38" s="888"/>
      <c r="K38" s="44"/>
      <c r="L38" s="240"/>
      <c r="M38" s="240"/>
      <c r="N38" s="240"/>
      <c r="O38" s="241"/>
      <c r="P38" s="241"/>
      <c r="Q38" s="241"/>
      <c r="R38" s="241"/>
      <c r="S38" s="241"/>
      <c r="T38" s="241"/>
      <c r="U38" s="241"/>
      <c r="V38" s="241"/>
      <c r="W38" s="236"/>
    </row>
    <row r="39" spans="1:23" s="113" customFormat="1" ht="39" customHeight="1" x14ac:dyDescent="0.35">
      <c r="A39" s="22"/>
      <c r="B39" s="829"/>
      <c r="C39" s="830"/>
      <c r="D39" s="831"/>
      <c r="E39" s="66"/>
      <c r="F39" s="66"/>
      <c r="G39" s="664"/>
      <c r="H39" s="219"/>
      <c r="I39" s="667"/>
      <c r="J39" s="881"/>
      <c r="K39" s="838"/>
      <c r="L39" s="240"/>
      <c r="M39" s="240"/>
      <c r="N39" s="240"/>
      <c r="O39" s="241"/>
      <c r="P39" s="241"/>
      <c r="Q39" s="241"/>
      <c r="R39" s="241"/>
      <c r="S39" s="241"/>
      <c r="T39" s="241"/>
      <c r="U39" s="241"/>
      <c r="V39" s="241"/>
      <c r="W39" s="236"/>
    </row>
    <row r="40" spans="1:23" s="113" customFormat="1" ht="31.5" customHeight="1" thickBot="1" x14ac:dyDescent="0.4">
      <c r="A40" s="22"/>
      <c r="B40" s="666"/>
      <c r="C40" s="832"/>
      <c r="D40" s="668"/>
      <c r="E40" s="66"/>
      <c r="F40" s="66"/>
      <c r="G40" s="666"/>
      <c r="H40" s="889"/>
      <c r="I40" s="668"/>
      <c r="J40" s="878"/>
      <c r="K40" s="839"/>
      <c r="L40"/>
    </row>
    <row r="41" spans="1:23" s="113" customFormat="1" ht="30" customHeight="1" thickBot="1" x14ac:dyDescent="0.4">
      <c r="A41" s="22"/>
      <c r="B41" s="678" t="s">
        <v>310</v>
      </c>
      <c r="C41" s="679"/>
      <c r="D41" s="680"/>
      <c r="E41" s="66"/>
      <c r="F41" s="66"/>
      <c r="G41" s="95" t="s">
        <v>71</v>
      </c>
      <c r="H41" s="96"/>
      <c r="I41" s="97"/>
      <c r="J41" s="888"/>
      <c r="K41" s="840"/>
      <c r="L41"/>
    </row>
    <row r="42" spans="1:23" s="113" customFormat="1" ht="39" customHeight="1" x14ac:dyDescent="0.35">
      <c r="A42" s="22"/>
      <c r="B42" s="195" t="s">
        <v>68</v>
      </c>
      <c r="C42" s="282">
        <f>IF(B31="pas d'isolement",0,'Calcul_Densité+Dose'!AH56)</f>
        <v>20</v>
      </c>
      <c r="D42" s="283" t="s">
        <v>5</v>
      </c>
      <c r="E42" s="66"/>
      <c r="F42" s="66"/>
      <c r="G42" s="195" t="s">
        <v>68</v>
      </c>
      <c r="H42" s="280">
        <f>IF(C2="4x2",0,
IF(C2="6x2",0,
'Calcul_Densité+Dose'!Y53))</f>
        <v>21</v>
      </c>
      <c r="I42" s="281" t="s">
        <v>5</v>
      </c>
      <c r="J42" s="881"/>
      <c r="K42" s="841"/>
      <c r="L42"/>
    </row>
    <row r="43" spans="1:23" s="113" customFormat="1" ht="25.9" customHeight="1" thickBot="1" x14ac:dyDescent="0.4">
      <c r="A43" s="22"/>
      <c r="B43" s="138" t="s">
        <v>81</v>
      </c>
      <c r="C43" s="286">
        <f>IF(B31="pas d'isolement",0,'Calcul_Densité+Dose'!AH57)</f>
        <v>66666.666666666672</v>
      </c>
      <c r="D43" s="287" t="s">
        <v>7</v>
      </c>
      <c r="E43" s="66"/>
      <c r="F43" s="66"/>
      <c r="G43" s="140" t="s">
        <v>81</v>
      </c>
      <c r="H43" s="286">
        <f>IF(C2="4x2",0,
IF(C2="6x2",0,'Calcul_Densité+Dose'!Y54))</f>
        <v>63492.063492063491</v>
      </c>
      <c r="I43" s="287" t="s">
        <v>7</v>
      </c>
      <c r="J43" s="878"/>
      <c r="K43" s="839"/>
      <c r="L43"/>
    </row>
    <row r="44" spans="1:23" s="113" customFormat="1" ht="25.9" customHeight="1" x14ac:dyDescent="0.35">
      <c r="A44" s="22"/>
      <c r="B44" s="89" t="s">
        <v>104</v>
      </c>
      <c r="C44" s="375">
        <f>IF(B31="pas d'isolement",0,'Calcul_Densité+Dose'!AH58)</f>
        <v>66666.666666666672</v>
      </c>
      <c r="D44" s="376" t="s">
        <v>7</v>
      </c>
      <c r="E44" s="66"/>
      <c r="F44" s="66"/>
      <c r="G44" s="89" t="s">
        <v>104</v>
      </c>
      <c r="H44" s="375">
        <f>IF(C2="4x2",0,
IF(C2="6x2",0,'Calcul_Densité+Dose'!Y55))</f>
        <v>23809.523809523809</v>
      </c>
      <c r="I44" s="376" t="s">
        <v>7</v>
      </c>
      <c r="J44" s="22"/>
      <c r="K44" s="818"/>
      <c r="L44"/>
    </row>
    <row r="45" spans="1:23" s="113" customFormat="1" ht="25.9" customHeight="1" thickBot="1" x14ac:dyDescent="0.4">
      <c r="A45" s="22"/>
      <c r="B45" s="139"/>
      <c r="C45" s="222"/>
      <c r="D45" s="223"/>
      <c r="E45" s="66"/>
      <c r="F45" s="66"/>
      <c r="G45" s="139" t="s">
        <v>124</v>
      </c>
      <c r="H45" s="222" t="str">
        <f>'Calcul_Densité+Dose'!Y56</f>
        <v/>
      </c>
      <c r="I45" s="223">
        <f>'Calcul_Densité+Dose'!Z56</f>
        <v>-1.9771651350598884E-2</v>
      </c>
      <c r="J45" s="22"/>
      <c r="K45" s="818"/>
      <c r="L45"/>
    </row>
    <row r="46" spans="1:23" s="113" customFormat="1" ht="39" customHeight="1" thickBot="1" x14ac:dyDescent="0.4">
      <c r="A46" s="22"/>
      <c r="B46" s="671"/>
      <c r="C46" s="1546" t="s">
        <v>96</v>
      </c>
      <c r="D46" s="1547"/>
      <c r="E46" s="875"/>
      <c r="F46" s="22"/>
      <c r="G46" s="670"/>
      <c r="H46" s="1546" t="s">
        <v>96</v>
      </c>
      <c r="I46" s="1547"/>
      <c r="J46" s="890"/>
      <c r="K46" s="818"/>
      <c r="L46"/>
    </row>
    <row r="47" spans="1:23" s="113" customFormat="1" ht="39" customHeight="1" thickBot="1" x14ac:dyDescent="0.4">
      <c r="A47" s="22"/>
      <c r="B47" s="277" t="s">
        <v>97</v>
      </c>
      <c r="C47" s="278">
        <f>'Calcul_Densité+Dose'!AH59/'Calcul_Densité+Dose'!AI47</f>
        <v>0.73333333333333339</v>
      </c>
      <c r="D47" s="279" t="s">
        <v>121</v>
      </c>
      <c r="E47" s="22"/>
      <c r="F47" s="22"/>
      <c r="G47" s="277" t="s">
        <v>97</v>
      </c>
      <c r="H47" s="278">
        <f>'Calcul_Densité+Dose'!AC55</f>
        <v>0.1164021164021164</v>
      </c>
      <c r="I47" s="279" t="s">
        <v>121</v>
      </c>
      <c r="J47" s="22"/>
      <c r="K47" s="818"/>
      <c r="L47"/>
    </row>
    <row r="48" spans="1:23" s="113" customFormat="1" ht="39" customHeight="1" x14ac:dyDescent="0.35">
      <c r="A48" s="22"/>
      <c r="B48" s="661"/>
      <c r="C48" s="662"/>
      <c r="D48" s="663"/>
      <c r="E48" s="22"/>
      <c r="F48" s="22"/>
      <c r="G48" s="661"/>
      <c r="H48" s="662"/>
      <c r="I48" s="663"/>
      <c r="J48" s="22"/>
      <c r="K48" s="818"/>
      <c r="L48"/>
    </row>
    <row r="49" spans="1:11" ht="39" customHeight="1" x14ac:dyDescent="0.25">
      <c r="A49" s="22"/>
      <c r="B49" s="22"/>
      <c r="C49" s="842"/>
      <c r="D49" s="22"/>
      <c r="E49" s="22"/>
      <c r="F49" s="22"/>
      <c r="G49" s="275"/>
      <c r="H49" s="219"/>
      <c r="I49" s="219"/>
      <c r="J49" s="22"/>
      <c r="K49" s="818"/>
    </row>
    <row r="50" spans="1:11" ht="14.45" customHeight="1" x14ac:dyDescent="0.25">
      <c r="A50" s="44"/>
      <c r="B50" s="44"/>
      <c r="C50" s="684"/>
      <c r="D50" s="818"/>
      <c r="E50" s="818"/>
      <c r="F50" s="818"/>
      <c r="G50" s="818"/>
      <c r="H50" s="818"/>
      <c r="I50" s="818"/>
      <c r="J50" s="818"/>
    </row>
    <row r="51" spans="1:11" x14ac:dyDescent="0.25">
      <c r="A51" s="44"/>
      <c r="B51" s="44"/>
    </row>
    <row r="52" spans="1:11" x14ac:dyDescent="0.25">
      <c r="A52" s="44"/>
      <c r="B52" s="44"/>
    </row>
    <row r="53" spans="1:11" x14ac:dyDescent="0.25">
      <c r="A53" s="44"/>
      <c r="B53" s="44"/>
    </row>
    <row r="54" spans="1:11" x14ac:dyDescent="0.25">
      <c r="A54" s="44"/>
      <c r="B54" s="44"/>
    </row>
    <row r="55" spans="1:11" x14ac:dyDescent="0.25">
      <c r="A55" s="44"/>
      <c r="B55" s="44"/>
    </row>
    <row r="56" spans="1:11" x14ac:dyDescent="0.25">
      <c r="A56" s="44"/>
      <c r="B56" s="44"/>
    </row>
    <row r="57" spans="1:11" x14ac:dyDescent="0.25">
      <c r="A57" s="44"/>
      <c r="B57" s="44"/>
    </row>
    <row r="58" spans="1:11" x14ac:dyDescent="0.25">
      <c r="A58" s="44"/>
      <c r="B58" s="44"/>
    </row>
    <row r="59" spans="1:11" x14ac:dyDescent="0.25">
      <c r="A59" s="44"/>
      <c r="B59" s="44"/>
    </row>
    <row r="60" spans="1:11" x14ac:dyDescent="0.25">
      <c r="A60" s="44"/>
      <c r="B60" s="44"/>
    </row>
    <row r="61" spans="1:11" x14ac:dyDescent="0.25">
      <c r="A61" s="44"/>
      <c r="B61" s="44"/>
    </row>
    <row r="62" spans="1:11" x14ac:dyDescent="0.25">
      <c r="A62" s="44"/>
      <c r="B62" s="44"/>
    </row>
    <row r="63" spans="1:11" x14ac:dyDescent="0.25">
      <c r="A63" s="44"/>
      <c r="B63" s="44"/>
    </row>
    <row r="64" spans="1:11" x14ac:dyDescent="0.25">
      <c r="A64" s="44"/>
      <c r="B64" s="44"/>
    </row>
    <row r="65" spans="1:2" x14ac:dyDescent="0.25">
      <c r="A65" s="44"/>
      <c r="B65" s="44"/>
    </row>
    <row r="66" spans="1:2" x14ac:dyDescent="0.25">
      <c r="A66" s="44"/>
      <c r="B66" s="44"/>
    </row>
    <row r="67" spans="1:2" x14ac:dyDescent="0.25">
      <c r="A67" s="44"/>
      <c r="B67" s="44"/>
    </row>
    <row r="68" spans="1:2" x14ac:dyDescent="0.25">
      <c r="A68" s="44"/>
      <c r="B68" s="44"/>
    </row>
  </sheetData>
  <protectedRanges>
    <protectedRange algorithmName="SHA-512" hashValue="XKvrRib6kVxts4Y/FHriRzYfSWmPYihNONSwfGi4RO5OhkG7TA4N+88YmAS64ZenUaEd6CcvTHRTk3l00mwLkQ==" saltValue="wsK+GlQJLa49zpwPOft0Rg==" spinCount="100000" sqref="I34 D34 D43" name="Plage1_1" securityDescriptor="O:WDG:WDD:(A;;CC;;;S-1-5-21-2033017805-1665091272-172311279-7998)(A;;CC;;;S-1-5-21-2033017805-1665091272-172311279-7938)(A;;CC;;;S-1-5-21-2033017805-1665091272-172311279-5591)(A;;CC;;;S-1-5-21-2033017805-1665091272-172311279-9378)"/>
    <protectedRange algorithmName="SHA-512" hashValue="XKvrRib6kVxts4Y/FHriRzYfSWmPYihNONSwfGi4RO5OhkG7TA4N+88YmAS64ZenUaEd6CcvTHRTk3l00mwLkQ==" saltValue="wsK+GlQJLa49zpwPOft0Rg==" spinCount="100000" sqref="I43" name="Plage1_2" securityDescriptor="O:WDG:WDD:(A;;CC;;;S-1-5-21-2033017805-1665091272-172311279-7998)(A;;CC;;;S-1-5-21-2033017805-1665091272-172311279-7938)(A;;CC;;;S-1-5-21-2033017805-1665091272-172311279-5591)(A;;CC;;;S-1-5-21-2033017805-1665091272-172311279-9378)"/>
    <protectedRange algorithmName="SHA-512" hashValue="XKvrRib6kVxts4Y/FHriRzYfSWmPYihNONSwfGi4RO5OhkG7TA4N+88YmAS64ZenUaEd6CcvTHRTk3l00mwLkQ==" saltValue="wsK+GlQJLa49zpwPOft0Rg==" spinCount="100000" sqref="H28:I28 H37:I37 H46:J46 C37:D37 C46:D46" name="Plage1_4" securityDescriptor="O:WDG:WDD:(A;;CC;;;S-1-5-21-2033017805-1665091272-172311279-7998)(A;;CC;;;S-1-5-21-2033017805-1665091272-172311279-7938)(A;;CC;;;S-1-5-21-2033017805-1665091272-172311279-5591)(A;;CC;;;S-1-5-21-2033017805-1665091272-172311279-9378)"/>
    <protectedRange algorithmName="SHA-512" hashValue="XKvrRib6kVxts4Y/FHriRzYfSWmPYihNONSwfGi4RO5OhkG7TA4N+88YmAS64ZenUaEd6CcvTHRTk3l00mwLkQ==" saltValue="wsK+GlQJLa49zpwPOft0Rg==" spinCount="100000" sqref="H18:J18" name="Plage1_5" securityDescriptor="O:WDG:WDD:(A;;CC;;;S-1-5-21-2033017805-1665091272-172311279-7998)(A;;CC;;;S-1-5-21-2033017805-1665091272-172311279-7938)(A;;CC;;;S-1-5-21-2033017805-1665091272-172311279-5591)(A;;CC;;;S-1-5-21-2033017805-1665091272-172311279-9378)"/>
    <protectedRange algorithmName="SHA-512" hashValue="XKvrRib6kVxts4Y/FHriRzYfSWmPYihNONSwfGi4RO5OhkG7TA4N+88YmAS64ZenUaEd6CcvTHRTk3l00mwLkQ==" saltValue="wsK+GlQJLa49zpwPOft0Rg==" spinCount="100000" sqref="O13:O14 O17 O19:O20 O24 O26 O30 O32 O37 O39" name="Plage1" securityDescriptor="O:WDG:WDD:(A;;CC;;;S-1-5-21-2033017805-1665091272-172311279-7998)(A;;CC;;;S-1-5-21-2033017805-1665091272-172311279-7938)(A;;CC;;;S-1-5-21-2033017805-1665091272-172311279-5591)(A;;CC;;;S-1-5-21-2033017805-1665091272-172311279-9378)"/>
  </protectedRanges>
  <mergeCells count="21">
    <mergeCell ref="C24:C25"/>
    <mergeCell ref="B11:D11"/>
    <mergeCell ref="D14:D15"/>
    <mergeCell ref="C14:C15"/>
    <mergeCell ref="B14:B15"/>
    <mergeCell ref="C37:D37"/>
    <mergeCell ref="C46:D46"/>
    <mergeCell ref="B31:D31"/>
    <mergeCell ref="G2:I2"/>
    <mergeCell ref="C2:D3"/>
    <mergeCell ref="B2:B3"/>
    <mergeCell ref="H46:I46"/>
    <mergeCell ref="G13:I13"/>
    <mergeCell ref="G3:I3"/>
    <mergeCell ref="H18:I18"/>
    <mergeCell ref="H28:I28"/>
    <mergeCell ref="H37:I37"/>
    <mergeCell ref="G11:I11"/>
    <mergeCell ref="G4:I4"/>
    <mergeCell ref="B24:B25"/>
    <mergeCell ref="D24:D25"/>
  </mergeCells>
  <phoneticPr fontId="71" type="noConversion"/>
  <conditionalFormatting sqref="I26">
    <cfRule type="expression" dxfId="56" priority="65">
      <formula>$AK$3="non"</formula>
    </cfRule>
  </conditionalFormatting>
  <conditionalFormatting sqref="I35">
    <cfRule type="expression" dxfId="55" priority="64">
      <formula>$AK$3="non"</formula>
    </cfRule>
  </conditionalFormatting>
  <conditionalFormatting sqref="I44">
    <cfRule type="expression" dxfId="54" priority="63">
      <formula>$AK$3="non"</formula>
    </cfRule>
  </conditionalFormatting>
  <conditionalFormatting sqref="H18">
    <cfRule type="expression" dxfId="53" priority="59">
      <formula>SEARCH("*CMS*",$C$14)</formula>
    </cfRule>
  </conditionalFormatting>
  <conditionalFormatting sqref="H46 J46 H37 H28">
    <cfRule type="expression" dxfId="52" priority="748">
      <formula>#REF!="6x2"</formula>
    </cfRule>
  </conditionalFormatting>
  <conditionalFormatting sqref="O17">
    <cfRule type="expression" dxfId="51" priority="35">
      <formula>SEARCH("*CMS*",M4)</formula>
    </cfRule>
  </conditionalFormatting>
  <conditionalFormatting sqref="O24">
    <cfRule type="expression" dxfId="50" priority="32">
      <formula>SEARCH("*CMS*",M11)</formula>
    </cfRule>
  </conditionalFormatting>
  <conditionalFormatting sqref="O30">
    <cfRule type="expression" dxfId="49" priority="31">
      <formula>SEARCH("*CMS*",M17)</formula>
    </cfRule>
  </conditionalFormatting>
  <conditionalFormatting sqref="O37">
    <cfRule type="expression" dxfId="48" priority="30">
      <formula>SEARCH("*CMS*",M24)</formula>
    </cfRule>
  </conditionalFormatting>
  <conditionalFormatting sqref="G45">
    <cfRule type="expression" dxfId="47" priority="25">
      <formula>$C$2="4x2"</formula>
    </cfRule>
    <cfRule type="expression" dxfId="46" priority="26">
      <formula>$C$2="6x2"</formula>
    </cfRule>
  </conditionalFormatting>
  <conditionalFormatting sqref="B13:D13 B5:D5 B7:D7 G6:I6 G8:I8">
    <cfRule type="expression" dxfId="45" priority="9">
      <formula>SEARCH("*CMS*",$C$14)</formula>
    </cfRule>
  </conditionalFormatting>
  <conditionalFormatting sqref="G13:I13">
    <cfRule type="expression" dxfId="44" priority="8">
      <formula>SEARCH("*CMS*",$C$14)</formula>
    </cfRule>
  </conditionalFormatting>
  <conditionalFormatting sqref="B18:D19">
    <cfRule type="expression" dxfId="43" priority="7">
      <formula>SEARCH("*CMS*",$C$14)</formula>
    </cfRule>
  </conditionalFormatting>
  <conditionalFormatting sqref="G39:G40">
    <cfRule type="expression" dxfId="42" priority="3">
      <formula>$C$2="6x2"</formula>
    </cfRule>
    <cfRule type="expression" dxfId="41" priority="6">
      <formula>$C$2="4x2"</formula>
    </cfRule>
  </conditionalFormatting>
  <conditionalFormatting sqref="I39:I40">
    <cfRule type="expression" dxfId="40" priority="4">
      <formula>$C$2="6x2"</formula>
    </cfRule>
    <cfRule type="expression" dxfId="39" priority="5">
      <formula>$C$2="4x2"</formula>
    </cfRule>
  </conditionalFormatting>
  <conditionalFormatting sqref="B33:D47">
    <cfRule type="expression" dxfId="38" priority="2">
      <formula>$B$31="PAS D'ISOLEMENT"</formula>
    </cfRule>
  </conditionalFormatting>
  <conditionalFormatting sqref="B32:D32">
    <cfRule type="expression" dxfId="37" priority="1">
      <formula>$B$31="PAS D'ISOLEMENT"</formula>
    </cfRule>
  </conditionalFormatting>
  <conditionalFormatting sqref="G41:I44 G46:I48 H45:I45">
    <cfRule type="expression" dxfId="36" priority="27">
      <formula>$C$2="6x2"</formula>
    </cfRule>
    <cfRule type="expression" dxfId="35" priority="28">
      <formula>$C$2="4x2"</formula>
    </cfRule>
  </conditionalFormatting>
  <dataValidations count="1">
    <dataValidation showInputMessage="1" showErrorMessage="1" sqref="C4" xr:uid="{00000000-0002-0000-0200-000000000000}"/>
  </dataValidations>
  <pageMargins left="0.25" right="0.25" top="0.75" bottom="0.75" header="0.3" footer="0.3"/>
  <pageSetup paperSize="9" scale="48" orientation="portrait" r:id="rId1"/>
  <colBreaks count="1" manualBreakCount="1">
    <brk id="10" max="41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Export_PDF">
                <anchor moveWithCells="1" sizeWithCells="1">
                  <from>
                    <xdr:col>11</xdr:col>
                    <xdr:colOff>38100</xdr:colOff>
                    <xdr:row>2</xdr:row>
                    <xdr:rowOff>47625</xdr:rowOff>
                  </from>
                  <to>
                    <xdr:col>15</xdr:col>
                    <xdr:colOff>19050</xdr:colOff>
                    <xdr:row>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Button 5">
              <controlPr defaultSize="0" print="0" autoFill="0" autoPict="0" macro="[0]!Export">
                <anchor moveWithCells="1" sizeWithCells="1">
                  <from>
                    <xdr:col>11</xdr:col>
                    <xdr:colOff>47625</xdr:colOff>
                    <xdr:row>8</xdr:row>
                    <xdr:rowOff>104775</xdr:rowOff>
                  </from>
                  <to>
                    <xdr:col>18</xdr:col>
                    <xdr:colOff>676275</xdr:colOff>
                    <xdr:row>16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theme="9" tint="0.79998168889431442"/>
  </sheetPr>
  <dimension ref="A1:AG140"/>
  <sheetViews>
    <sheetView zoomScale="80" zoomScaleNormal="80" workbookViewId="0">
      <selection activeCell="I33" sqref="I33"/>
    </sheetView>
  </sheetViews>
  <sheetFormatPr baseColWidth="10" defaultColWidth="11.5703125" defaultRowHeight="12.75" x14ac:dyDescent="0.25"/>
  <cols>
    <col min="1" max="1" width="43" style="796" customWidth="1"/>
    <col min="2" max="2" width="12.7109375" style="786" customWidth="1"/>
    <col min="3" max="3" width="23.42578125" style="784" customWidth="1"/>
    <col min="4" max="4" width="16.42578125" style="786" customWidth="1"/>
    <col min="5" max="5" width="31.85546875" style="784" customWidth="1"/>
    <col min="6" max="6" width="20.7109375" style="797" customWidth="1"/>
    <col min="7" max="7" width="6.140625" style="797" customWidth="1"/>
    <col min="8" max="8" width="10.85546875" style="797" customWidth="1"/>
    <col min="9" max="9" width="11.85546875" style="797" customWidth="1"/>
    <col min="10" max="10" width="7.5703125" style="798" customWidth="1"/>
    <col min="11" max="11" width="7.5703125" style="797" customWidth="1"/>
    <col min="12" max="12" width="5.140625" style="800" customWidth="1"/>
    <col min="13" max="13" width="11.5703125" style="801"/>
    <col min="14" max="14" width="26.28515625" style="812" bestFit="1" customWidth="1"/>
    <col min="15" max="15" width="12.42578125" style="786" customWidth="1"/>
    <col min="16" max="16" width="25.7109375" style="812" bestFit="1" customWidth="1"/>
    <col min="17" max="17" width="18.85546875" style="801" customWidth="1"/>
    <col min="18" max="18" width="10.7109375" style="786" customWidth="1"/>
    <col min="19" max="19" width="18.85546875" style="786" customWidth="1"/>
    <col min="20" max="20" width="11.5703125" style="784"/>
    <col min="21" max="21" width="16" style="784" customWidth="1"/>
    <col min="22" max="22" width="6" style="784" customWidth="1"/>
    <col min="23" max="16384" width="11.5703125" style="784"/>
  </cols>
  <sheetData>
    <row r="1" spans="1:32" ht="40.15" customHeight="1" x14ac:dyDescent="0.25">
      <c r="A1" s="1017" t="s">
        <v>109</v>
      </c>
      <c r="B1" s="326" t="s">
        <v>39</v>
      </c>
      <c r="C1" s="244" t="s">
        <v>17</v>
      </c>
      <c r="D1" s="227" t="s">
        <v>110</v>
      </c>
      <c r="E1" s="227" t="s">
        <v>395</v>
      </c>
      <c r="F1" s="310" t="s">
        <v>19</v>
      </c>
      <c r="G1" s="310" t="s">
        <v>18</v>
      </c>
      <c r="H1" s="310" t="s">
        <v>20</v>
      </c>
      <c r="I1" s="782" t="s">
        <v>88</v>
      </c>
      <c r="J1" s="311" t="s">
        <v>21</v>
      </c>
      <c r="K1" s="312" t="s">
        <v>22</v>
      </c>
      <c r="L1" s="313" t="s">
        <v>23</v>
      </c>
      <c r="M1" s="314" t="s">
        <v>24</v>
      </c>
      <c r="N1" s="401" t="s">
        <v>198</v>
      </c>
      <c r="O1" s="1018" t="s">
        <v>197</v>
      </c>
      <c r="P1" s="402" t="s">
        <v>199</v>
      </c>
      <c r="Q1" s="324" t="s">
        <v>25</v>
      </c>
      <c r="R1" s="1019" t="s">
        <v>190</v>
      </c>
      <c r="S1" s="783"/>
      <c r="T1" s="228"/>
      <c r="Z1" s="764"/>
      <c r="AA1" s="764"/>
      <c r="AB1" s="764"/>
      <c r="AC1" s="764"/>
      <c r="AD1" s="764"/>
    </row>
    <row r="2" spans="1:32" ht="25.15" hidden="1" customHeight="1" x14ac:dyDescent="0.25">
      <c r="A2" s="699"/>
      <c r="B2" s="700"/>
      <c r="C2" s="733"/>
      <c r="D2" s="259"/>
      <c r="E2" s="701"/>
      <c r="F2" s="304"/>
      <c r="G2" s="304"/>
      <c r="H2" s="304"/>
      <c r="I2" s="304"/>
      <c r="J2" s="305"/>
      <c r="K2" s="306"/>
      <c r="L2" s="301"/>
      <c r="M2" s="268"/>
      <c r="N2" s="269"/>
      <c r="O2" s="785"/>
      <c r="P2" s="269"/>
      <c r="Q2" s="268"/>
      <c r="R2" s="817"/>
      <c r="T2" s="787"/>
    </row>
    <row r="3" spans="1:32" ht="25.15" hidden="1" customHeight="1" x14ac:dyDescent="0.25">
      <c r="A3" s="699"/>
      <c r="B3" s="700"/>
      <c r="C3" s="733"/>
      <c r="D3" s="259"/>
      <c r="E3" s="701"/>
      <c r="F3" s="304"/>
      <c r="G3" s="304"/>
      <c r="H3" s="304"/>
      <c r="I3" s="304"/>
      <c r="J3" s="305"/>
      <c r="K3" s="306"/>
      <c r="L3" s="301"/>
      <c r="M3" s="268"/>
      <c r="N3" s="269"/>
      <c r="O3" s="785"/>
      <c r="P3" s="269"/>
      <c r="Q3" s="268"/>
      <c r="R3" s="817"/>
      <c r="T3" s="787"/>
    </row>
    <row r="4" spans="1:32" ht="25.15" hidden="1" customHeight="1" x14ac:dyDescent="0.25">
      <c r="A4" s="699"/>
      <c r="B4" s="700"/>
      <c r="C4" s="710"/>
      <c r="D4" s="259"/>
      <c r="E4" s="701"/>
      <c r="F4" s="734"/>
      <c r="G4" s="308"/>
      <c r="H4" s="734"/>
      <c r="I4" s="308"/>
      <c r="J4" s="735"/>
      <c r="K4" s="736"/>
      <c r="L4" s="301"/>
      <c r="M4" s="268"/>
      <c r="N4" s="269"/>
      <c r="O4" s="785"/>
      <c r="P4" s="269"/>
      <c r="Q4" s="268"/>
      <c r="R4" s="817"/>
      <c r="T4" s="228"/>
      <c r="AA4" s="764"/>
    </row>
    <row r="5" spans="1:32" ht="25.15" hidden="1" customHeight="1" x14ac:dyDescent="0.25">
      <c r="A5" s="699"/>
      <c r="B5" s="700"/>
      <c r="C5" s="710"/>
      <c r="D5" s="259"/>
      <c r="E5" s="701"/>
      <c r="F5" s="734"/>
      <c r="G5" s="308"/>
      <c r="H5" s="734"/>
      <c r="I5" s="308"/>
      <c r="J5" s="735"/>
      <c r="K5" s="736"/>
      <c r="L5" s="301"/>
      <c r="M5" s="268"/>
      <c r="N5" s="269"/>
      <c r="O5" s="785"/>
      <c r="P5" s="269"/>
      <c r="Q5" s="268"/>
      <c r="R5" s="817"/>
      <c r="T5" s="228"/>
      <c r="AA5" s="764"/>
    </row>
    <row r="6" spans="1:32" ht="25.15" hidden="1" customHeight="1" x14ac:dyDescent="0.25">
      <c r="A6" s="699"/>
      <c r="B6" s="700"/>
      <c r="C6" s="654"/>
      <c r="D6" s="259"/>
      <c r="E6" s="701"/>
      <c r="F6" s="308"/>
      <c r="G6" s="660"/>
      <c r="H6" s="304"/>
      <c r="I6" s="304"/>
      <c r="J6" s="305"/>
      <c r="K6" s="306"/>
      <c r="L6" s="656"/>
      <c r="M6" s="657"/>
      <c r="N6" s="269"/>
      <c r="O6" s="785"/>
      <c r="P6" s="269"/>
      <c r="Q6" s="268"/>
      <c r="R6" s="817"/>
      <c r="T6" s="323"/>
      <c r="U6" s="788"/>
    </row>
    <row r="7" spans="1:32" ht="25.15" hidden="1" customHeight="1" x14ac:dyDescent="0.25">
      <c r="A7" s="699"/>
      <c r="B7" s="700"/>
      <c r="C7" s="654"/>
      <c r="D7" s="259"/>
      <c r="E7" s="701"/>
      <c r="F7" s="304"/>
      <c r="G7" s="660"/>
      <c r="H7" s="304"/>
      <c r="I7" s="304"/>
      <c r="J7" s="305"/>
      <c r="K7" s="306"/>
      <c r="L7" s="656"/>
      <c r="M7" s="657"/>
      <c r="N7" s="269"/>
      <c r="O7" s="785"/>
      <c r="P7" s="269"/>
      <c r="Q7" s="268"/>
      <c r="R7" s="817"/>
      <c r="T7" s="228"/>
      <c r="U7" s="788"/>
    </row>
    <row r="8" spans="1:32" ht="25.15" hidden="1" customHeight="1" x14ac:dyDescent="0.25">
      <c r="A8" s="699"/>
      <c r="B8" s="700"/>
      <c r="C8" s="710"/>
      <c r="D8" s="259"/>
      <c r="E8" s="701"/>
      <c r="F8" s="304"/>
      <c r="G8" s="304"/>
      <c r="H8" s="304"/>
      <c r="I8" s="304"/>
      <c r="J8" s="305"/>
      <c r="K8" s="306"/>
      <c r="L8" s="301"/>
      <c r="M8" s="268"/>
      <c r="N8" s="269"/>
      <c r="O8" s="785"/>
      <c r="P8" s="269"/>
      <c r="Q8" s="268"/>
      <c r="R8" s="817"/>
      <c r="S8" s="789"/>
      <c r="U8" s="228"/>
      <c r="V8" s="764"/>
      <c r="W8" s="764"/>
      <c r="X8" s="764"/>
      <c r="Y8" s="764"/>
      <c r="Z8" s="764"/>
      <c r="AA8" s="726"/>
      <c r="AB8" s="726"/>
      <c r="AC8" s="764"/>
      <c r="AD8" s="726"/>
      <c r="AE8" s="764"/>
      <c r="AF8" s="726"/>
    </row>
    <row r="9" spans="1:32" ht="25.15" hidden="1" customHeight="1" x14ac:dyDescent="0.25">
      <c r="A9" s="699"/>
      <c r="B9" s="700"/>
      <c r="C9" s="654"/>
      <c r="D9" s="259"/>
      <c r="E9" s="701"/>
      <c r="F9" s="304"/>
      <c r="G9" s="304"/>
      <c r="H9" s="304"/>
      <c r="I9" s="304"/>
      <c r="J9" s="305"/>
      <c r="K9" s="306"/>
      <c r="L9" s="301"/>
      <c r="M9" s="268"/>
      <c r="N9" s="269"/>
      <c r="O9" s="785"/>
      <c r="P9" s="269"/>
      <c r="Q9" s="268"/>
      <c r="R9" s="817"/>
      <c r="S9" s="789"/>
      <c r="T9" s="228"/>
      <c r="Z9" s="726"/>
      <c r="AA9" s="764"/>
      <c r="AB9" s="764"/>
      <c r="AC9" s="764"/>
      <c r="AD9" s="764"/>
      <c r="AE9" s="764"/>
      <c r="AF9" s="764"/>
    </row>
    <row r="10" spans="1:32" ht="25.15" hidden="1" customHeight="1" x14ac:dyDescent="0.25">
      <c r="A10" s="699"/>
      <c r="B10" s="700"/>
      <c r="C10" s="654"/>
      <c r="D10" s="259"/>
      <c r="E10" s="701"/>
      <c r="F10" s="304"/>
      <c r="G10" s="304"/>
      <c r="H10" s="304"/>
      <c r="I10" s="304"/>
      <c r="J10" s="305"/>
      <c r="K10" s="306"/>
      <c r="L10" s="301"/>
      <c r="M10" s="268"/>
      <c r="N10" s="269"/>
      <c r="O10" s="785"/>
      <c r="P10" s="269"/>
      <c r="Q10" s="268"/>
      <c r="R10" s="817"/>
      <c r="S10" s="790"/>
      <c r="T10" s="228"/>
      <c r="Z10" s="726"/>
      <c r="AA10" s="764"/>
      <c r="AB10" s="764"/>
      <c r="AC10" s="764"/>
      <c r="AD10" s="764"/>
      <c r="AE10" s="764"/>
      <c r="AF10" s="764"/>
    </row>
    <row r="11" spans="1:32" ht="25.15" hidden="1" customHeight="1" x14ac:dyDescent="0.25">
      <c r="A11" s="699"/>
      <c r="B11" s="700"/>
      <c r="C11" s="654"/>
      <c r="D11" s="259"/>
      <c r="E11" s="701"/>
      <c r="F11" s="304"/>
      <c r="G11" s="304"/>
      <c r="H11" s="304"/>
      <c r="I11" s="304"/>
      <c r="J11" s="305"/>
      <c r="K11" s="306"/>
      <c r="L11" s="301"/>
      <c r="M11" s="268"/>
      <c r="N11" s="269"/>
      <c r="O11" s="785"/>
      <c r="P11" s="269"/>
      <c r="Q11" s="268"/>
      <c r="R11" s="817"/>
      <c r="T11" s="228"/>
      <c r="AA11" s="764"/>
    </row>
    <row r="12" spans="1:32" ht="25.15" hidden="1" customHeight="1" x14ac:dyDescent="0.25">
      <c r="A12" s="699"/>
      <c r="B12" s="700"/>
      <c r="C12" s="654"/>
      <c r="D12" s="259"/>
      <c r="E12" s="701"/>
      <c r="F12" s="304"/>
      <c r="G12" s="304"/>
      <c r="H12" s="304"/>
      <c r="I12" s="304"/>
      <c r="J12" s="305"/>
      <c r="K12" s="306"/>
      <c r="L12" s="301"/>
      <c r="M12" s="268"/>
      <c r="N12" s="269"/>
      <c r="O12" s="785"/>
      <c r="P12" s="269"/>
      <c r="Q12" s="268"/>
      <c r="R12" s="817"/>
      <c r="T12" s="228"/>
      <c r="AA12" s="764"/>
    </row>
    <row r="13" spans="1:32" ht="25.15" hidden="1" customHeight="1" x14ac:dyDescent="0.25">
      <c r="A13" s="699"/>
      <c r="B13" s="700"/>
      <c r="C13" s="710"/>
      <c r="D13" s="259"/>
      <c r="E13" s="701"/>
      <c r="F13" s="304"/>
      <c r="G13" s="304"/>
      <c r="H13" s="304"/>
      <c r="I13" s="304"/>
      <c r="J13" s="305"/>
      <c r="K13" s="306"/>
      <c r="L13" s="301"/>
      <c r="M13" s="268"/>
      <c r="N13" s="269"/>
      <c r="O13" s="785"/>
      <c r="P13" s="269"/>
      <c r="Q13" s="268"/>
      <c r="R13" s="817"/>
      <c r="T13" s="228"/>
      <c r="U13" s="788"/>
      <c r="AA13" s="764"/>
    </row>
    <row r="14" spans="1:32" ht="25.15" hidden="1" customHeight="1" x14ac:dyDescent="0.25">
      <c r="A14" s="699"/>
      <c r="B14" s="700"/>
      <c r="C14" s="654"/>
      <c r="D14" s="259"/>
      <c r="E14" s="701"/>
      <c r="F14" s="304"/>
      <c r="G14" s="304"/>
      <c r="H14" s="304"/>
      <c r="I14" s="304"/>
      <c r="J14" s="305"/>
      <c r="K14" s="306"/>
      <c r="L14" s="301"/>
      <c r="M14" s="268"/>
      <c r="N14" s="269"/>
      <c r="O14" s="785"/>
      <c r="P14" s="269"/>
      <c r="Q14" s="268"/>
      <c r="R14" s="817"/>
      <c r="T14" s="787"/>
    </row>
    <row r="15" spans="1:32" ht="25.15" hidden="1" customHeight="1" x14ac:dyDescent="0.25">
      <c r="A15" s="699"/>
      <c r="B15" s="700"/>
      <c r="C15" s="710"/>
      <c r="D15" s="259"/>
      <c r="E15" s="701"/>
      <c r="F15" s="734"/>
      <c r="G15" s="308"/>
      <c r="H15" s="734"/>
      <c r="I15" s="308"/>
      <c r="J15" s="735"/>
      <c r="K15" s="736"/>
      <c r="L15" s="301"/>
      <c r="M15" s="268"/>
      <c r="N15" s="269"/>
      <c r="O15" s="785"/>
      <c r="P15" s="269"/>
      <c r="Q15" s="268"/>
      <c r="R15" s="817"/>
      <c r="T15" s="787"/>
    </row>
    <row r="16" spans="1:32" ht="25.15" hidden="1" customHeight="1" x14ac:dyDescent="0.25">
      <c r="A16" s="699"/>
      <c r="B16" s="700"/>
      <c r="C16" s="654"/>
      <c r="D16" s="259"/>
      <c r="E16" s="701"/>
      <c r="F16" s="304"/>
      <c r="G16" s="304"/>
      <c r="H16" s="304"/>
      <c r="I16" s="304"/>
      <c r="J16" s="305"/>
      <c r="K16" s="306"/>
      <c r="L16" s="656"/>
      <c r="M16" s="657"/>
      <c r="N16" s="269"/>
      <c r="O16" s="785"/>
      <c r="P16" s="269"/>
      <c r="Q16" s="268"/>
      <c r="R16" s="817"/>
      <c r="T16" s="298"/>
      <c r="U16" s="788"/>
    </row>
    <row r="17" spans="1:33" ht="25.15" hidden="1" customHeight="1" x14ac:dyDescent="0.25">
      <c r="A17" s="699"/>
      <c r="B17" s="737"/>
      <c r="C17" s="738"/>
      <c r="D17" s="739"/>
      <c r="E17" s="740"/>
      <c r="F17" s="741"/>
      <c r="G17" s="707"/>
      <c r="H17" s="741"/>
      <c r="I17" s="707"/>
      <c r="J17" s="742"/>
      <c r="K17" s="743"/>
      <c r="L17" s="302"/>
      <c r="M17" s="270"/>
      <c r="N17" s="271"/>
      <c r="O17" s="785"/>
      <c r="P17" s="269"/>
      <c r="Q17" s="270"/>
      <c r="R17" s="817"/>
      <c r="T17" s="787"/>
    </row>
    <row r="18" spans="1:33" ht="25.15" hidden="1" customHeight="1" x14ac:dyDescent="0.25">
      <c r="A18" s="699"/>
      <c r="B18" s="700"/>
      <c r="C18" s="654"/>
      <c r="D18" s="259"/>
      <c r="E18" s="701"/>
      <c r="F18" s="734"/>
      <c r="G18" s="308"/>
      <c r="H18" s="734"/>
      <c r="I18" s="308"/>
      <c r="J18" s="735"/>
      <c r="K18" s="736"/>
      <c r="L18" s="301"/>
      <c r="M18" s="268"/>
      <c r="N18" s="269"/>
      <c r="O18" s="785"/>
      <c r="P18" s="269"/>
      <c r="Q18" s="268"/>
      <c r="R18" s="817"/>
      <c r="T18" s="787"/>
    </row>
    <row r="19" spans="1:33" ht="25.15" hidden="1" customHeight="1" x14ac:dyDescent="0.25">
      <c r="A19" s="699"/>
      <c r="B19" s="700"/>
      <c r="C19" s="654"/>
      <c r="D19" s="259"/>
      <c r="E19" s="701"/>
      <c r="F19" s="304"/>
      <c r="G19" s="304"/>
      <c r="H19" s="304"/>
      <c r="I19" s="304"/>
      <c r="J19" s="305"/>
      <c r="K19" s="306"/>
      <c r="L19" s="301"/>
      <c r="M19" s="268"/>
      <c r="N19" s="269"/>
      <c r="O19" s="785"/>
      <c r="P19" s="269"/>
      <c r="Q19" s="268"/>
      <c r="R19" s="817"/>
      <c r="T19" s="787"/>
    </row>
    <row r="20" spans="1:33" ht="25.15" hidden="1" customHeight="1" x14ac:dyDescent="0.25">
      <c r="A20" s="699"/>
      <c r="B20" s="700"/>
      <c r="C20" s="654"/>
      <c r="D20" s="259"/>
      <c r="E20" s="701"/>
      <c r="F20" s="304"/>
      <c r="G20" s="304"/>
      <c r="H20" s="304"/>
      <c r="I20" s="304"/>
      <c r="J20" s="305"/>
      <c r="K20" s="306"/>
      <c r="L20" s="301"/>
      <c r="M20" s="268"/>
      <c r="N20" s="269"/>
      <c r="O20" s="785"/>
      <c r="P20" s="269"/>
      <c r="Q20" s="268"/>
      <c r="R20" s="817"/>
      <c r="T20" s="787"/>
    </row>
    <row r="21" spans="1:33" ht="25.15" hidden="1" customHeight="1" x14ac:dyDescent="0.25">
      <c r="A21" s="699"/>
      <c r="B21" s="700"/>
      <c r="C21" s="710"/>
      <c r="D21" s="259"/>
      <c r="E21" s="701"/>
      <c r="F21" s="304"/>
      <c r="G21" s="308"/>
      <c r="H21" s="304"/>
      <c r="I21" s="308"/>
      <c r="J21" s="305"/>
      <c r="K21" s="306"/>
      <c r="L21" s="303"/>
      <c r="M21" s="268"/>
      <c r="N21" s="269"/>
      <c r="O21" s="785"/>
      <c r="P21" s="269"/>
      <c r="Q21" s="268"/>
      <c r="R21" s="817"/>
      <c r="T21" s="787"/>
    </row>
    <row r="22" spans="1:33" ht="25.15" hidden="1" customHeight="1" x14ac:dyDescent="0.25">
      <c r="A22" s="699"/>
      <c r="B22" s="700"/>
      <c r="C22" s="710"/>
      <c r="D22" s="259"/>
      <c r="E22" s="701"/>
      <c r="F22" s="304"/>
      <c r="G22" s="308"/>
      <c r="H22" s="304"/>
      <c r="I22" s="308"/>
      <c r="J22" s="305"/>
      <c r="K22" s="306"/>
      <c r="L22" s="303"/>
      <c r="M22" s="268"/>
      <c r="N22" s="269"/>
      <c r="O22" s="785"/>
      <c r="P22" s="269"/>
      <c r="Q22" s="268"/>
      <c r="R22" s="817"/>
      <c r="T22" s="787"/>
    </row>
    <row r="23" spans="1:33" ht="25.15" hidden="1" customHeight="1" x14ac:dyDescent="0.25">
      <c r="A23" s="699"/>
      <c r="B23" s="700"/>
      <c r="C23" s="710"/>
      <c r="D23" s="259"/>
      <c r="E23" s="701"/>
      <c r="F23" s="734"/>
      <c r="G23" s="308"/>
      <c r="H23" s="734"/>
      <c r="I23" s="308"/>
      <c r="J23" s="735"/>
      <c r="K23" s="736"/>
      <c r="L23" s="303"/>
      <c r="M23" s="268"/>
      <c r="N23" s="269"/>
      <c r="O23" s="785"/>
      <c r="P23" s="269"/>
      <c r="Q23" s="268"/>
      <c r="R23" s="817"/>
      <c r="T23" s="787"/>
    </row>
    <row r="24" spans="1:33" ht="25.15" hidden="1" customHeight="1" x14ac:dyDescent="0.25">
      <c r="A24" s="699"/>
      <c r="B24" s="700"/>
      <c r="C24" s="710"/>
      <c r="D24" s="259"/>
      <c r="E24" s="701"/>
      <c r="F24" s="734"/>
      <c r="G24" s="308"/>
      <c r="H24" s="734"/>
      <c r="I24" s="308"/>
      <c r="J24" s="735"/>
      <c r="K24" s="736"/>
      <c r="L24" s="303"/>
      <c r="M24" s="268"/>
      <c r="N24" s="269"/>
      <c r="O24" s="785"/>
      <c r="P24" s="269"/>
      <c r="Q24" s="268"/>
      <c r="R24" s="817"/>
      <c r="T24" s="787"/>
    </row>
    <row r="25" spans="1:33" ht="25.15" hidden="1" customHeight="1" x14ac:dyDescent="0.25">
      <c r="A25" s="699"/>
      <c r="B25" s="700"/>
      <c r="C25" s="710"/>
      <c r="D25" s="259"/>
      <c r="E25" s="701"/>
      <c r="F25" s="734"/>
      <c r="G25" s="308"/>
      <c r="H25" s="734"/>
      <c r="I25" s="308"/>
      <c r="J25" s="735"/>
      <c r="K25" s="736"/>
      <c r="L25" s="303"/>
      <c r="M25" s="268"/>
      <c r="N25" s="269"/>
      <c r="O25" s="785"/>
      <c r="P25" s="269"/>
      <c r="Q25" s="268"/>
      <c r="R25" s="817"/>
      <c r="T25" s="787"/>
    </row>
    <row r="26" spans="1:33" ht="25.15" hidden="1" customHeight="1" x14ac:dyDescent="0.25">
      <c r="A26" s="699"/>
      <c r="B26" s="700"/>
      <c r="C26" s="710"/>
      <c r="D26" s="259"/>
      <c r="E26" s="701"/>
      <c r="F26" s="734"/>
      <c r="G26" s="308"/>
      <c r="H26" s="734"/>
      <c r="I26" s="308"/>
      <c r="J26" s="735"/>
      <c r="K26" s="736"/>
      <c r="L26" s="301"/>
      <c r="M26" s="268"/>
      <c r="N26" s="269"/>
      <c r="O26" s="785"/>
      <c r="P26" s="269"/>
      <c r="Q26" s="268"/>
      <c r="R26" s="817"/>
      <c r="T26" s="791"/>
      <c r="AA26" s="764"/>
    </row>
    <row r="27" spans="1:33" ht="25.15" hidden="1" customHeight="1" x14ac:dyDescent="0.25">
      <c r="A27" s="699"/>
      <c r="B27" s="700"/>
      <c r="C27" s="654"/>
      <c r="D27" s="259"/>
      <c r="E27" s="701"/>
      <c r="F27" s="304"/>
      <c r="G27" s="304"/>
      <c r="H27" s="304"/>
      <c r="I27" s="304"/>
      <c r="J27" s="305"/>
      <c r="K27" s="306"/>
      <c r="L27" s="301"/>
      <c r="M27" s="268"/>
      <c r="N27" s="269"/>
      <c r="O27" s="785"/>
      <c r="P27" s="269"/>
      <c r="Q27" s="268"/>
      <c r="R27" s="817"/>
      <c r="T27" s="787"/>
    </row>
    <row r="28" spans="1:33" ht="25.15" hidden="1" customHeight="1" x14ac:dyDescent="0.25">
      <c r="A28" s="699"/>
      <c r="B28" s="700"/>
      <c r="C28" s="654"/>
      <c r="D28" s="259"/>
      <c r="E28" s="701"/>
      <c r="F28" s="304"/>
      <c r="G28" s="304"/>
      <c r="H28" s="304"/>
      <c r="I28" s="304"/>
      <c r="J28" s="305"/>
      <c r="K28" s="306"/>
      <c r="L28" s="301"/>
      <c r="M28" s="268"/>
      <c r="N28" s="269"/>
      <c r="O28" s="785"/>
      <c r="P28" s="269"/>
      <c r="Q28" s="268"/>
      <c r="R28" s="817"/>
      <c r="T28" s="787"/>
    </row>
    <row r="29" spans="1:33" ht="25.15" customHeight="1" x14ac:dyDescent="0.25">
      <c r="A29" s="495" t="str">
        <f t="shared" ref="A29:A63" si="0">IF(G29="",CONCATENATE(D29," ",E29),CONCATENATE(D29," ",E29,," (",$G$1,G29,")"))</f>
        <v>2x2 CITO KWS (Lot1)</v>
      </c>
      <c r="B29" s="261" t="s">
        <v>39</v>
      </c>
      <c r="C29" s="253" t="s">
        <v>114</v>
      </c>
      <c r="D29" s="248" t="s">
        <v>48</v>
      </c>
      <c r="E29" s="258" t="s">
        <v>323</v>
      </c>
      <c r="F29" s="711" t="s">
        <v>182</v>
      </c>
      <c r="G29" s="304" t="s">
        <v>266</v>
      </c>
      <c r="H29" s="693" t="s">
        <v>115</v>
      </c>
      <c r="I29" s="304" t="s">
        <v>338</v>
      </c>
      <c r="J29" s="694">
        <v>226</v>
      </c>
      <c r="K29" s="695">
        <v>0.9</v>
      </c>
      <c r="L29" s="691">
        <v>0.82</v>
      </c>
      <c r="M29" s="706">
        <v>65000</v>
      </c>
      <c r="N29" s="269">
        <f>(1000*(I29*1000))/J29</f>
        <v>88495.575221238934</v>
      </c>
      <c r="O29" s="785">
        <v>300</v>
      </c>
      <c r="P29" s="269">
        <f>IF(O29=0,"",(1000*(I29*1000))/O29)</f>
        <v>66666.666666666672</v>
      </c>
      <c r="Q29" s="692">
        <f>_xlfn.FLOOR.MATH(M29*1.05,10,0)</f>
        <v>68250</v>
      </c>
      <c r="R29" s="817">
        <f t="shared" ref="R29:R48" si="1">1/J29*K29/100*100000</f>
        <v>3.9823008849557522</v>
      </c>
      <c r="S29" s="792"/>
      <c r="T29" s="781"/>
      <c r="U29" s="788"/>
      <c r="X29" s="379"/>
      <c r="Y29" s="380"/>
      <c r="Z29" s="381"/>
      <c r="AA29" s="382"/>
      <c r="AB29" s="383"/>
      <c r="AC29" s="382"/>
      <c r="AD29" s="382"/>
      <c r="AE29" s="384"/>
      <c r="AF29" s="385"/>
      <c r="AG29" s="386"/>
    </row>
    <row r="30" spans="1:33" ht="25.15" customHeight="1" x14ac:dyDescent="0.25">
      <c r="A30" s="495" t="str">
        <f t="shared" si="0"/>
        <v>2x2 CITO KWS (Lot2)</v>
      </c>
      <c r="B30" s="261" t="s">
        <v>39</v>
      </c>
      <c r="C30" s="253" t="s">
        <v>114</v>
      </c>
      <c r="D30" s="248" t="s">
        <v>48</v>
      </c>
      <c r="E30" s="258" t="s">
        <v>323</v>
      </c>
      <c r="F30" s="711" t="s">
        <v>182</v>
      </c>
      <c r="G30" s="304" t="s">
        <v>267</v>
      </c>
      <c r="H30" s="693" t="s">
        <v>115</v>
      </c>
      <c r="I30" s="304" t="s">
        <v>338</v>
      </c>
      <c r="J30" s="694">
        <v>226</v>
      </c>
      <c r="K30" s="695">
        <v>0.92</v>
      </c>
      <c r="L30" s="691">
        <v>0.82</v>
      </c>
      <c r="M30" s="706">
        <v>65000</v>
      </c>
      <c r="N30" s="269">
        <f>(1000*(I30*1000))/J30</f>
        <v>88495.575221238934</v>
      </c>
      <c r="O30" s="785">
        <v>0</v>
      </c>
      <c r="P30" s="269" t="str">
        <f t="shared" ref="P30:P75" si="2">IF(O30=0,"",(1000*(I30*1000))/O30)</f>
        <v/>
      </c>
      <c r="Q30" s="692">
        <f t="shared" ref="Q30:Q63" si="3">_xlfn.FLOOR.MATH(M30*1.05,10,0)</f>
        <v>68250</v>
      </c>
      <c r="R30" s="817">
        <f t="shared" si="1"/>
        <v>4.0707964601769904</v>
      </c>
      <c r="S30" s="792"/>
      <c r="T30" s="298"/>
      <c r="U30" s="788"/>
    </row>
    <row r="31" spans="1:33" ht="25.15" customHeight="1" x14ac:dyDescent="0.25">
      <c r="A31" s="495" t="str">
        <f t="shared" si="0"/>
        <v>2x2 MILLESIM</v>
      </c>
      <c r="B31" s="261" t="s">
        <v>39</v>
      </c>
      <c r="C31" s="247" t="s">
        <v>46</v>
      </c>
      <c r="D31" s="248" t="s">
        <v>48</v>
      </c>
      <c r="E31" s="258" t="s">
        <v>312</v>
      </c>
      <c r="F31" s="711" t="s">
        <v>182</v>
      </c>
      <c r="G31" s="304"/>
      <c r="H31" s="693" t="s">
        <v>115</v>
      </c>
      <c r="I31" s="304" t="s">
        <v>338</v>
      </c>
      <c r="J31" s="694">
        <v>226</v>
      </c>
      <c r="K31" s="695">
        <v>0.9</v>
      </c>
      <c r="L31" s="691">
        <v>0.82</v>
      </c>
      <c r="M31" s="706">
        <v>65000</v>
      </c>
      <c r="N31" s="269">
        <f>(1000*(I31*1000))/J31</f>
        <v>88495.575221238934</v>
      </c>
      <c r="O31" s="785">
        <v>0</v>
      </c>
      <c r="P31" s="269" t="str">
        <f t="shared" si="2"/>
        <v/>
      </c>
      <c r="Q31" s="692">
        <f t="shared" si="3"/>
        <v>68250</v>
      </c>
      <c r="R31" s="817">
        <f t="shared" si="1"/>
        <v>3.9823008849557522</v>
      </c>
      <c r="S31" s="792"/>
      <c r="T31" s="298"/>
      <c r="U31" s="788"/>
    </row>
    <row r="32" spans="1:33" ht="25.15" customHeight="1" x14ac:dyDescent="0.25">
      <c r="A32" s="495" t="str">
        <f t="shared" si="0"/>
        <v>2x2 MILLESIM ST</v>
      </c>
      <c r="B32" s="261" t="s">
        <v>39</v>
      </c>
      <c r="C32" s="247" t="s">
        <v>47</v>
      </c>
      <c r="D32" s="248" t="s">
        <v>48</v>
      </c>
      <c r="E32" s="258" t="s">
        <v>322</v>
      </c>
      <c r="F32" s="711" t="s">
        <v>182</v>
      </c>
      <c r="G32" s="304"/>
      <c r="H32" s="693" t="s">
        <v>115</v>
      </c>
      <c r="I32" s="304" t="s">
        <v>338</v>
      </c>
      <c r="J32" s="694">
        <v>226</v>
      </c>
      <c r="K32" s="695">
        <v>0.92</v>
      </c>
      <c r="L32" s="691">
        <v>0.82</v>
      </c>
      <c r="M32" s="706">
        <v>65000</v>
      </c>
      <c r="N32" s="269">
        <f>(1000*(I32*1000))/J32</f>
        <v>88495.575221238934</v>
      </c>
      <c r="O32" s="785">
        <v>0</v>
      </c>
      <c r="P32" s="269" t="str">
        <f t="shared" si="2"/>
        <v/>
      </c>
      <c r="Q32" s="692">
        <f t="shared" si="3"/>
        <v>68250</v>
      </c>
      <c r="R32" s="817">
        <f t="shared" si="1"/>
        <v>4.0707964601769904</v>
      </c>
      <c r="S32" s="792"/>
      <c r="T32" s="298"/>
      <c r="U32" s="788"/>
    </row>
    <row r="33" spans="1:21" ht="25.15" customHeight="1" x14ac:dyDescent="0.25">
      <c r="A33" s="495" t="str">
        <f t="shared" si="0"/>
        <v>4x2 AJOWAN</v>
      </c>
      <c r="B33" s="261" t="s">
        <v>39</v>
      </c>
      <c r="C33" s="654" t="s">
        <v>111</v>
      </c>
      <c r="D33" s="308" t="s">
        <v>106</v>
      </c>
      <c r="E33" s="258" t="s">
        <v>276</v>
      </c>
      <c r="F33" s="711" t="s">
        <v>151</v>
      </c>
      <c r="G33" s="304"/>
      <c r="H33" s="693" t="s">
        <v>150</v>
      </c>
      <c r="I33" s="304" t="s">
        <v>339</v>
      </c>
      <c r="J33" s="694">
        <v>249</v>
      </c>
      <c r="K33" s="695">
        <v>0.98</v>
      </c>
      <c r="L33" s="697"/>
      <c r="M33" s="706">
        <v>70000</v>
      </c>
      <c r="N33" s="269">
        <f>(1000*(I33*1000))/J33</f>
        <v>100401.6064257028</v>
      </c>
      <c r="O33" s="785">
        <v>0</v>
      </c>
      <c r="P33" s="269" t="str">
        <f t="shared" si="2"/>
        <v/>
      </c>
      <c r="Q33" s="692">
        <f t="shared" si="3"/>
        <v>73500</v>
      </c>
      <c r="R33" s="817">
        <f t="shared" si="1"/>
        <v>3.9357429718875498</v>
      </c>
      <c r="T33" s="298"/>
    </row>
    <row r="34" spans="1:21" ht="25.15" customHeight="1" x14ac:dyDescent="0.25">
      <c r="A34" s="495" t="str">
        <f t="shared" si="0"/>
        <v>4x3 AGROGANT (Lot1)</v>
      </c>
      <c r="B34" s="255" t="s">
        <v>39</v>
      </c>
      <c r="C34" s="256" t="s">
        <v>40</v>
      </c>
      <c r="D34" s="248" t="s">
        <v>6</v>
      </c>
      <c r="E34" s="254" t="s">
        <v>269</v>
      </c>
      <c r="F34" s="711" t="s">
        <v>180</v>
      </c>
      <c r="G34" s="309" t="s">
        <v>266</v>
      </c>
      <c r="H34" s="711" t="s">
        <v>135</v>
      </c>
      <c r="I34" s="304" t="s">
        <v>338</v>
      </c>
      <c r="J34" s="766">
        <v>277</v>
      </c>
      <c r="K34" s="695">
        <v>0.97</v>
      </c>
      <c r="L34" s="705">
        <v>0.95</v>
      </c>
      <c r="M34" s="270">
        <v>67000</v>
      </c>
      <c r="N34" s="269">
        <f t="shared" ref="N34:N75" si="4">(1000*(I34*1000))/J34</f>
        <v>72202.166064981953</v>
      </c>
      <c r="O34" s="785">
        <v>290</v>
      </c>
      <c r="P34" s="269">
        <f t="shared" si="2"/>
        <v>68965.517241379304</v>
      </c>
      <c r="Q34" s="692">
        <f t="shared" si="3"/>
        <v>70350</v>
      </c>
      <c r="R34" s="817">
        <f t="shared" si="1"/>
        <v>3.5018050541516246</v>
      </c>
    </row>
    <row r="35" spans="1:21" ht="25.15" customHeight="1" x14ac:dyDescent="0.25">
      <c r="A35" s="495" t="str">
        <f t="shared" si="0"/>
        <v>4x3 AGROGANT (Lot2)</v>
      </c>
      <c r="B35" s="255" t="s">
        <v>39</v>
      </c>
      <c r="C35" s="256" t="s">
        <v>40</v>
      </c>
      <c r="D35" s="248" t="s">
        <v>6</v>
      </c>
      <c r="E35" s="254" t="s">
        <v>269</v>
      </c>
      <c r="F35" s="711" t="s">
        <v>186</v>
      </c>
      <c r="G35" s="309" t="s">
        <v>267</v>
      </c>
      <c r="H35" s="693" t="s">
        <v>115</v>
      </c>
      <c r="I35" s="304" t="s">
        <v>338</v>
      </c>
      <c r="J35" s="694">
        <v>240</v>
      </c>
      <c r="K35" s="695">
        <v>0.9</v>
      </c>
      <c r="L35" s="705">
        <v>0.88</v>
      </c>
      <c r="M35" s="270">
        <v>67000</v>
      </c>
      <c r="N35" s="269">
        <f t="shared" si="4"/>
        <v>83333.333333333328</v>
      </c>
      <c r="O35" s="785">
        <v>0</v>
      </c>
      <c r="P35" s="269" t="str">
        <f t="shared" si="2"/>
        <v/>
      </c>
      <c r="Q35" s="692">
        <f t="shared" si="3"/>
        <v>70350</v>
      </c>
      <c r="R35" s="817">
        <f t="shared" si="1"/>
        <v>3.7499999999999996</v>
      </c>
      <c r="T35" s="298"/>
    </row>
    <row r="36" spans="1:21" ht="25.15" customHeight="1" x14ac:dyDescent="0.25">
      <c r="A36" s="495" t="str">
        <f t="shared" si="0"/>
        <v>4x3 AGRO VITALLO</v>
      </c>
      <c r="B36" s="255" t="s">
        <v>39</v>
      </c>
      <c r="C36" s="247" t="s">
        <v>41</v>
      </c>
      <c r="D36" s="248" t="s">
        <v>6</v>
      </c>
      <c r="E36" s="258" t="s">
        <v>147</v>
      </c>
      <c r="F36" s="711" t="s">
        <v>138</v>
      </c>
      <c r="G36" s="304"/>
      <c r="H36" s="693" t="s">
        <v>135</v>
      </c>
      <c r="I36" s="304" t="s">
        <v>338</v>
      </c>
      <c r="J36" s="694">
        <v>214</v>
      </c>
      <c r="K36" s="695">
        <v>0.98</v>
      </c>
      <c r="L36" s="691">
        <v>0.95</v>
      </c>
      <c r="M36" s="270">
        <v>67000</v>
      </c>
      <c r="N36" s="269">
        <f t="shared" si="4"/>
        <v>93457.943925233645</v>
      </c>
      <c r="O36" s="785">
        <v>0</v>
      </c>
      <c r="P36" s="269" t="str">
        <f t="shared" si="2"/>
        <v/>
      </c>
      <c r="Q36" s="692">
        <f t="shared" si="3"/>
        <v>70350</v>
      </c>
      <c r="R36" s="817">
        <f t="shared" si="1"/>
        <v>4.5794392523364484</v>
      </c>
      <c r="T36" s="298"/>
      <c r="U36" s="788"/>
    </row>
    <row r="37" spans="1:21" ht="25.15" customHeight="1" x14ac:dyDescent="0.25">
      <c r="A37" s="495" t="str">
        <f t="shared" si="0"/>
        <v>4x3 AMAVERITAS / BENEDICTIO KWS (Lot1)</v>
      </c>
      <c r="B37" s="261" t="s">
        <v>39</v>
      </c>
      <c r="C37" s="251" t="s">
        <v>42</v>
      </c>
      <c r="D37" s="248" t="s">
        <v>6</v>
      </c>
      <c r="E37" s="260" t="s">
        <v>324</v>
      </c>
      <c r="F37" s="688" t="s">
        <v>158</v>
      </c>
      <c r="G37" s="308">
        <v>1</v>
      </c>
      <c r="H37" s="688" t="s">
        <v>118</v>
      </c>
      <c r="I37" s="304" t="s">
        <v>338</v>
      </c>
      <c r="J37" s="689">
        <v>305</v>
      </c>
      <c r="K37" s="690">
        <v>0.96</v>
      </c>
      <c r="L37" s="691">
        <v>0.9</v>
      </c>
      <c r="M37" s="270">
        <v>67000</v>
      </c>
      <c r="N37" s="269">
        <f t="shared" si="4"/>
        <v>65573.770491803283</v>
      </c>
      <c r="O37" s="785">
        <v>0</v>
      </c>
      <c r="P37" s="269" t="str">
        <f t="shared" si="2"/>
        <v/>
      </c>
      <c r="Q37" s="692">
        <f t="shared" si="3"/>
        <v>70350</v>
      </c>
      <c r="R37" s="817">
        <f t="shared" si="1"/>
        <v>3.1475409836065569</v>
      </c>
      <c r="T37" s="298"/>
      <c r="U37" s="788"/>
    </row>
    <row r="38" spans="1:21" ht="25.15" customHeight="1" x14ac:dyDescent="0.25">
      <c r="A38" s="495" t="str">
        <f t="shared" si="0"/>
        <v>4x3 AMAVERITAS / BENEDICTIO KWS (Lot2)</v>
      </c>
      <c r="B38" s="261" t="s">
        <v>39</v>
      </c>
      <c r="C38" s="251" t="s">
        <v>42</v>
      </c>
      <c r="D38" s="248" t="s">
        <v>6</v>
      </c>
      <c r="E38" s="260" t="s">
        <v>324</v>
      </c>
      <c r="F38" s="711" t="s">
        <v>139</v>
      </c>
      <c r="G38" s="304" t="s">
        <v>267</v>
      </c>
      <c r="H38" s="693" t="s">
        <v>140</v>
      </c>
      <c r="I38" s="304" t="s">
        <v>338</v>
      </c>
      <c r="J38" s="694">
        <v>292</v>
      </c>
      <c r="K38" s="695">
        <v>0.97</v>
      </c>
      <c r="L38" s="691">
        <v>0.92</v>
      </c>
      <c r="M38" s="270">
        <v>67000</v>
      </c>
      <c r="N38" s="269">
        <f t="shared" si="4"/>
        <v>68493.150684931505</v>
      </c>
      <c r="O38" s="785">
        <v>0</v>
      </c>
      <c r="P38" s="269" t="str">
        <f t="shared" si="2"/>
        <v/>
      </c>
      <c r="Q38" s="692">
        <f t="shared" si="3"/>
        <v>70350</v>
      </c>
      <c r="R38" s="817">
        <f t="shared" si="1"/>
        <v>3.3219178082191783</v>
      </c>
      <c r="S38" s="792"/>
      <c r="T38" s="298"/>
      <c r="U38" s="788"/>
    </row>
    <row r="39" spans="1:21" ht="25.15" customHeight="1" x14ac:dyDescent="0.25">
      <c r="A39" s="495" t="str">
        <f t="shared" si="0"/>
        <v>4x3 AMAVERITAS / BENEDICTIO KWS (Lot3)</v>
      </c>
      <c r="B39" s="255" t="s">
        <v>39</v>
      </c>
      <c r="C39" s="251" t="s">
        <v>42</v>
      </c>
      <c r="D39" s="248" t="s">
        <v>6</v>
      </c>
      <c r="E39" s="260" t="s">
        <v>324</v>
      </c>
      <c r="F39" s="711" t="s">
        <v>172</v>
      </c>
      <c r="G39" s="304" t="s">
        <v>268</v>
      </c>
      <c r="H39" s="693" t="s">
        <v>140</v>
      </c>
      <c r="I39" s="304" t="s">
        <v>338</v>
      </c>
      <c r="J39" s="694">
        <v>296</v>
      </c>
      <c r="K39" s="695">
        <v>0.98</v>
      </c>
      <c r="L39" s="691">
        <v>0.96</v>
      </c>
      <c r="M39" s="270">
        <v>67000</v>
      </c>
      <c r="N39" s="269">
        <f t="shared" si="4"/>
        <v>67567.567567567574</v>
      </c>
      <c r="O39" s="785">
        <v>0</v>
      </c>
      <c r="P39" s="269" t="str">
        <f t="shared" si="2"/>
        <v/>
      </c>
      <c r="Q39" s="692">
        <f t="shared" si="3"/>
        <v>70350</v>
      </c>
      <c r="R39" s="817">
        <f t="shared" si="1"/>
        <v>3.3108108108108105</v>
      </c>
      <c r="S39" s="792"/>
      <c r="T39" s="298"/>
      <c r="U39" s="788"/>
    </row>
    <row r="40" spans="1:21" ht="25.15" customHeight="1" x14ac:dyDescent="0.25">
      <c r="A40" s="495" t="str">
        <f t="shared" si="0"/>
        <v>4x3 AMAVERITAS ST / BENEDICTIO KWS ST (Lot1)</v>
      </c>
      <c r="B40" s="261" t="s">
        <v>39</v>
      </c>
      <c r="C40" s="251" t="s">
        <v>43</v>
      </c>
      <c r="D40" s="248" t="s">
        <v>6</v>
      </c>
      <c r="E40" s="258" t="s">
        <v>325</v>
      </c>
      <c r="F40" s="688" t="s">
        <v>157</v>
      </c>
      <c r="G40" s="308">
        <v>1</v>
      </c>
      <c r="H40" s="688" t="s">
        <v>119</v>
      </c>
      <c r="I40" s="304" t="s">
        <v>338</v>
      </c>
      <c r="J40" s="689">
        <v>316</v>
      </c>
      <c r="K40" s="690">
        <v>0.9</v>
      </c>
      <c r="L40" s="691">
        <v>0.88</v>
      </c>
      <c r="M40" s="270">
        <v>67000</v>
      </c>
      <c r="N40" s="269">
        <f t="shared" si="4"/>
        <v>63291.139240506331</v>
      </c>
      <c r="O40" s="785">
        <v>0</v>
      </c>
      <c r="P40" s="269" t="str">
        <f t="shared" si="2"/>
        <v/>
      </c>
      <c r="Q40" s="692">
        <f t="shared" si="3"/>
        <v>70350</v>
      </c>
      <c r="R40" s="817">
        <f t="shared" si="1"/>
        <v>2.8481012658227844</v>
      </c>
      <c r="S40" s="792"/>
      <c r="T40" s="298"/>
      <c r="U40" s="788"/>
    </row>
    <row r="41" spans="1:21" ht="25.15" customHeight="1" x14ac:dyDescent="0.25">
      <c r="A41" s="495" t="str">
        <f t="shared" si="0"/>
        <v>4x3 AMAVERITAS ST / BENEDICTIO KWS ST (Lot2)</v>
      </c>
      <c r="B41" s="261" t="s">
        <v>39</v>
      </c>
      <c r="C41" s="251" t="s">
        <v>43</v>
      </c>
      <c r="D41" s="248" t="s">
        <v>6</v>
      </c>
      <c r="E41" s="258" t="s">
        <v>325</v>
      </c>
      <c r="F41" s="711" t="s">
        <v>141</v>
      </c>
      <c r="G41" s="304" t="s">
        <v>267</v>
      </c>
      <c r="H41" s="693" t="s">
        <v>142</v>
      </c>
      <c r="I41" s="304" t="s">
        <v>338</v>
      </c>
      <c r="J41" s="694">
        <v>200</v>
      </c>
      <c r="K41" s="695">
        <v>0.96</v>
      </c>
      <c r="L41" s="691">
        <v>0.94</v>
      </c>
      <c r="M41" s="270">
        <v>67000</v>
      </c>
      <c r="N41" s="269">
        <f t="shared" si="4"/>
        <v>100000</v>
      </c>
      <c r="O41" s="785">
        <v>0</v>
      </c>
      <c r="P41" s="269" t="str">
        <f t="shared" si="2"/>
        <v/>
      </c>
      <c r="Q41" s="692">
        <f t="shared" si="3"/>
        <v>70350</v>
      </c>
      <c r="R41" s="817">
        <f t="shared" si="1"/>
        <v>4.8</v>
      </c>
      <c r="S41" s="792"/>
      <c r="T41" s="298"/>
      <c r="U41" s="793"/>
    </row>
    <row r="42" spans="1:21" ht="25.15" customHeight="1" x14ac:dyDescent="0.25">
      <c r="A42" s="495" t="str">
        <f t="shared" si="0"/>
        <v>4x3 AMAVERITAS ST / BENEDICTIO KWS ST (Lot3)</v>
      </c>
      <c r="B42" s="261" t="s">
        <v>39</v>
      </c>
      <c r="C42" s="251" t="s">
        <v>43</v>
      </c>
      <c r="D42" s="248" t="s">
        <v>6</v>
      </c>
      <c r="E42" s="258" t="s">
        <v>325</v>
      </c>
      <c r="F42" s="711" t="s">
        <v>185</v>
      </c>
      <c r="G42" s="304" t="s">
        <v>268</v>
      </c>
      <c r="H42" s="693" t="s">
        <v>135</v>
      </c>
      <c r="I42" s="304" t="s">
        <v>338</v>
      </c>
      <c r="J42" s="694">
        <v>295</v>
      </c>
      <c r="K42" s="695">
        <v>0.98</v>
      </c>
      <c r="L42" s="691">
        <v>0.96</v>
      </c>
      <c r="M42" s="270">
        <v>67000</v>
      </c>
      <c r="N42" s="269">
        <f t="shared" si="4"/>
        <v>67796.610169491527</v>
      </c>
      <c r="O42" s="785">
        <v>0</v>
      </c>
      <c r="P42" s="269" t="str">
        <f t="shared" si="2"/>
        <v/>
      </c>
      <c r="Q42" s="692">
        <f t="shared" si="3"/>
        <v>70350</v>
      </c>
      <c r="R42" s="817">
        <f t="shared" si="1"/>
        <v>3.3220338983050848</v>
      </c>
      <c r="S42" s="792"/>
      <c r="T42" s="298"/>
      <c r="U42" s="788"/>
    </row>
    <row r="43" spans="1:21" ht="25.15" customHeight="1" x14ac:dyDescent="0.25">
      <c r="A43" s="495" t="str">
        <f t="shared" si="0"/>
        <v>4x3 AMAVIT (Lot1)</v>
      </c>
      <c r="B43" s="261" t="s">
        <v>39</v>
      </c>
      <c r="C43" s="247" t="s">
        <v>44</v>
      </c>
      <c r="D43" s="248" t="s">
        <v>6</v>
      </c>
      <c r="E43" s="258" t="s">
        <v>34</v>
      </c>
      <c r="F43" s="711" t="s">
        <v>144</v>
      </c>
      <c r="G43" s="304" t="s">
        <v>266</v>
      </c>
      <c r="H43" s="693" t="s">
        <v>142</v>
      </c>
      <c r="I43" s="304" t="s">
        <v>338</v>
      </c>
      <c r="J43" s="694">
        <v>260</v>
      </c>
      <c r="K43" s="695">
        <v>0.95</v>
      </c>
      <c r="L43" s="691">
        <v>0.92</v>
      </c>
      <c r="M43" s="270">
        <v>67000</v>
      </c>
      <c r="N43" s="269">
        <f t="shared" si="4"/>
        <v>76923.076923076922</v>
      </c>
      <c r="O43" s="785">
        <v>0</v>
      </c>
      <c r="P43" s="269" t="str">
        <f t="shared" si="2"/>
        <v/>
      </c>
      <c r="Q43" s="692">
        <f t="shared" si="3"/>
        <v>70350</v>
      </c>
      <c r="R43" s="817">
        <f t="shared" si="1"/>
        <v>3.6538461538461537</v>
      </c>
      <c r="S43" s="792"/>
      <c r="T43" s="298"/>
      <c r="U43" s="788"/>
    </row>
    <row r="44" spans="1:21" ht="25.15" customHeight="1" x14ac:dyDescent="0.25">
      <c r="A44" s="495" t="str">
        <f t="shared" si="0"/>
        <v>4x3 AMAVIT (Lot2)</v>
      </c>
      <c r="B44" s="261" t="s">
        <v>39</v>
      </c>
      <c r="C44" s="247" t="s">
        <v>44</v>
      </c>
      <c r="D44" s="248" t="s">
        <v>6</v>
      </c>
      <c r="E44" s="258" t="s">
        <v>34</v>
      </c>
      <c r="F44" s="711" t="s">
        <v>187</v>
      </c>
      <c r="G44" s="304" t="s">
        <v>267</v>
      </c>
      <c r="H44" s="693" t="s">
        <v>152</v>
      </c>
      <c r="I44" s="304" t="s">
        <v>338</v>
      </c>
      <c r="J44" s="694">
        <v>255</v>
      </c>
      <c r="K44" s="695">
        <v>0.9</v>
      </c>
      <c r="L44" s="691">
        <v>0.85</v>
      </c>
      <c r="M44" s="270">
        <v>67000</v>
      </c>
      <c r="N44" s="269">
        <f t="shared" si="4"/>
        <v>78431.372549019608</v>
      </c>
      <c r="O44" s="785">
        <v>0</v>
      </c>
      <c r="P44" s="269" t="str">
        <f t="shared" si="2"/>
        <v/>
      </c>
      <c r="Q44" s="692">
        <f t="shared" si="3"/>
        <v>70350</v>
      </c>
      <c r="R44" s="817">
        <f t="shared" si="1"/>
        <v>3.5294117647058827</v>
      </c>
      <c r="S44" s="792"/>
      <c r="T44" s="298"/>
      <c r="U44" s="788"/>
    </row>
    <row r="45" spans="1:21" ht="25.15" customHeight="1" x14ac:dyDescent="0.25">
      <c r="A45" s="495" t="str">
        <f t="shared" si="0"/>
        <v>4x3 AMAVIT ST (Lot1)</v>
      </c>
      <c r="B45" s="261" t="s">
        <v>39</v>
      </c>
      <c r="C45" s="247" t="s">
        <v>45</v>
      </c>
      <c r="D45" s="248" t="s">
        <v>6</v>
      </c>
      <c r="E45" s="258" t="s">
        <v>272</v>
      </c>
      <c r="F45" s="711" t="s">
        <v>145</v>
      </c>
      <c r="G45" s="304" t="s">
        <v>266</v>
      </c>
      <c r="H45" s="693" t="s">
        <v>115</v>
      </c>
      <c r="I45" s="304" t="s">
        <v>338</v>
      </c>
      <c r="J45" s="694">
        <v>270</v>
      </c>
      <c r="K45" s="695">
        <v>0.95</v>
      </c>
      <c r="L45" s="691">
        <v>0.85</v>
      </c>
      <c r="M45" s="270">
        <v>67000</v>
      </c>
      <c r="N45" s="269">
        <f t="shared" si="4"/>
        <v>74074.074074074073</v>
      </c>
      <c r="O45" s="785">
        <v>0</v>
      </c>
      <c r="P45" s="269" t="str">
        <f t="shared" si="2"/>
        <v/>
      </c>
      <c r="Q45" s="692">
        <f t="shared" si="3"/>
        <v>70350</v>
      </c>
      <c r="R45" s="817">
        <f t="shared" si="1"/>
        <v>3.5185185185185182</v>
      </c>
      <c r="S45" s="792"/>
      <c r="T45" s="298"/>
      <c r="U45" s="788"/>
    </row>
    <row r="46" spans="1:21" ht="25.15" customHeight="1" x14ac:dyDescent="0.25">
      <c r="A46" s="495" t="str">
        <f t="shared" si="0"/>
        <v>4x3 AMAVIT ST (Lot2)</v>
      </c>
      <c r="B46" s="261" t="s">
        <v>39</v>
      </c>
      <c r="C46" s="247" t="s">
        <v>45</v>
      </c>
      <c r="D46" s="248" t="s">
        <v>6</v>
      </c>
      <c r="E46" s="258" t="s">
        <v>272</v>
      </c>
      <c r="F46" s="711" t="s">
        <v>188</v>
      </c>
      <c r="G46" s="304" t="s">
        <v>267</v>
      </c>
      <c r="H46" s="693" t="s">
        <v>115</v>
      </c>
      <c r="I46" s="304" t="s">
        <v>338</v>
      </c>
      <c r="J46" s="694">
        <v>240</v>
      </c>
      <c r="K46" s="695">
        <v>0.95</v>
      </c>
      <c r="L46" s="691">
        <v>0.9</v>
      </c>
      <c r="M46" s="270">
        <v>67000</v>
      </c>
      <c r="N46" s="269">
        <f t="shared" si="4"/>
        <v>83333.333333333328</v>
      </c>
      <c r="O46" s="785">
        <v>0</v>
      </c>
      <c r="P46" s="269" t="str">
        <f t="shared" si="2"/>
        <v/>
      </c>
      <c r="Q46" s="692">
        <f t="shared" si="3"/>
        <v>70350</v>
      </c>
      <c r="R46" s="817">
        <f t="shared" si="1"/>
        <v>3.958333333333333</v>
      </c>
      <c r="S46" s="792"/>
      <c r="T46" s="298"/>
      <c r="U46" s="788"/>
    </row>
    <row r="47" spans="1:21" ht="25.15" customHeight="1" x14ac:dyDescent="0.25">
      <c r="A47" s="495" t="str">
        <f t="shared" si="0"/>
        <v>4x3 BERNADINIO (Lot1)</v>
      </c>
      <c r="B47" s="261" t="s">
        <v>39</v>
      </c>
      <c r="C47" s="253" t="s">
        <v>113</v>
      </c>
      <c r="D47" s="248" t="s">
        <v>6</v>
      </c>
      <c r="E47" s="258" t="s">
        <v>273</v>
      </c>
      <c r="F47" s="688" t="s">
        <v>156</v>
      </c>
      <c r="G47" s="308">
        <v>1</v>
      </c>
      <c r="H47" s="688" t="s">
        <v>117</v>
      </c>
      <c r="I47" s="304" t="s">
        <v>338</v>
      </c>
      <c r="J47" s="689">
        <v>315</v>
      </c>
      <c r="K47" s="690">
        <v>0.95</v>
      </c>
      <c r="L47" s="691">
        <v>0.94</v>
      </c>
      <c r="M47" s="270">
        <v>67000</v>
      </c>
      <c r="N47" s="269">
        <f t="shared" si="4"/>
        <v>63492.063492063491</v>
      </c>
      <c r="O47" s="785">
        <v>0</v>
      </c>
      <c r="P47" s="269" t="str">
        <f t="shared" si="2"/>
        <v/>
      </c>
      <c r="Q47" s="692">
        <f t="shared" si="3"/>
        <v>70350</v>
      </c>
      <c r="R47" s="817">
        <f t="shared" si="1"/>
        <v>3.0158730158730158</v>
      </c>
      <c r="S47" s="792"/>
      <c r="T47" s="298"/>
      <c r="U47" s="788"/>
    </row>
    <row r="48" spans="1:21" ht="25.15" customHeight="1" x14ac:dyDescent="0.25">
      <c r="A48" s="773" t="str">
        <f t="shared" si="0"/>
        <v>4x3 BERNADINIO (Lot2)</v>
      </c>
      <c r="B48" s="774" t="s">
        <v>39</v>
      </c>
      <c r="C48" s="775" t="s">
        <v>113</v>
      </c>
      <c r="D48" s="712" t="s">
        <v>6</v>
      </c>
      <c r="E48" s="272" t="s">
        <v>273</v>
      </c>
      <c r="F48" s="776" t="s">
        <v>171</v>
      </c>
      <c r="G48" s="777">
        <v>2</v>
      </c>
      <c r="H48" s="776" t="s">
        <v>117</v>
      </c>
      <c r="I48" s="659" t="s">
        <v>338</v>
      </c>
      <c r="J48" s="778">
        <v>265</v>
      </c>
      <c r="K48" s="779">
        <v>0.95</v>
      </c>
      <c r="L48" s="772">
        <v>0.94</v>
      </c>
      <c r="M48" s="270">
        <v>67000</v>
      </c>
      <c r="N48" s="269">
        <f t="shared" si="4"/>
        <v>75471.698113207545</v>
      </c>
      <c r="O48" s="794">
        <v>0</v>
      </c>
      <c r="P48" s="269" t="str">
        <f t="shared" si="2"/>
        <v/>
      </c>
      <c r="Q48" s="692">
        <f t="shared" si="3"/>
        <v>70350</v>
      </c>
      <c r="R48" s="817">
        <f t="shared" si="1"/>
        <v>3.5849056603773586</v>
      </c>
      <c r="S48" s="792"/>
      <c r="T48" s="298"/>
      <c r="U48" s="788"/>
    </row>
    <row r="49" spans="1:21" ht="25.15" customHeight="1" x14ac:dyDescent="0.25">
      <c r="A49" s="495" t="str">
        <f t="shared" si="0"/>
        <v>4x3 HARDWARE</v>
      </c>
      <c r="B49" s="261" t="s">
        <v>39</v>
      </c>
      <c r="C49" s="746" t="s">
        <v>351</v>
      </c>
      <c r="D49" s="248" t="s">
        <v>6</v>
      </c>
      <c r="E49" s="815" t="s">
        <v>321</v>
      </c>
      <c r="F49" s="816"/>
      <c r="G49" s="435"/>
      <c r="H49" s="816"/>
      <c r="I49" s="435"/>
      <c r="J49" s="816"/>
      <c r="K49" s="816"/>
      <c r="L49" s="816"/>
      <c r="M49" s="270">
        <v>67000</v>
      </c>
      <c r="N49" s="269" t="e">
        <f t="shared" si="4"/>
        <v>#DIV/0!</v>
      </c>
      <c r="O49" s="245">
        <v>0</v>
      </c>
      <c r="P49" s="269" t="str">
        <f t="shared" si="2"/>
        <v/>
      </c>
      <c r="Q49" s="692">
        <f t="shared" si="3"/>
        <v>70350</v>
      </c>
      <c r="R49" s="308"/>
      <c r="S49" s="792"/>
      <c r="T49" s="298"/>
      <c r="U49" s="788"/>
    </row>
    <row r="50" spans="1:21" ht="25.35" customHeight="1" x14ac:dyDescent="0.25">
      <c r="A50" s="495" t="str">
        <f t="shared" si="0"/>
        <v>4x3 HARDWARE ST</v>
      </c>
      <c r="B50" s="261" t="s">
        <v>39</v>
      </c>
      <c r="C50" s="746" t="s">
        <v>352</v>
      </c>
      <c r="D50" s="248" t="s">
        <v>6</v>
      </c>
      <c r="E50" s="815" t="s">
        <v>344</v>
      </c>
      <c r="F50" s="816"/>
      <c r="G50" s="435"/>
      <c r="H50" s="816"/>
      <c r="I50" s="435"/>
      <c r="J50" s="816"/>
      <c r="K50" s="816"/>
      <c r="L50" s="816"/>
      <c r="M50" s="270">
        <v>67000</v>
      </c>
      <c r="N50" s="245"/>
      <c r="O50" s="245">
        <v>0</v>
      </c>
      <c r="P50" s="245" t="str">
        <f t="shared" si="2"/>
        <v/>
      </c>
      <c r="Q50" s="692">
        <f t="shared" si="3"/>
        <v>70350</v>
      </c>
      <c r="R50" s="308"/>
      <c r="S50" s="792"/>
      <c r="T50" s="622"/>
      <c r="U50" s="788"/>
    </row>
    <row r="51" spans="1:21" ht="25.35" customHeight="1" x14ac:dyDescent="0.25">
      <c r="A51" s="780" t="str">
        <f t="shared" si="0"/>
        <v>4x3 KWARRADO</v>
      </c>
      <c r="B51" s="255" t="s">
        <v>39</v>
      </c>
      <c r="C51" s="744" t="s">
        <v>334</v>
      </c>
      <c r="D51" s="257" t="s">
        <v>6</v>
      </c>
      <c r="E51" s="254" t="s">
        <v>327</v>
      </c>
      <c r="F51" s="702" t="s">
        <v>155</v>
      </c>
      <c r="G51" s="496"/>
      <c r="H51" s="702" t="s">
        <v>117</v>
      </c>
      <c r="I51" s="309" t="s">
        <v>338</v>
      </c>
      <c r="J51" s="703">
        <v>190</v>
      </c>
      <c r="K51" s="704">
        <v>0.96</v>
      </c>
      <c r="L51" s="705">
        <v>0.94</v>
      </c>
      <c r="M51" s="270">
        <v>67000</v>
      </c>
      <c r="N51" s="271">
        <f t="shared" ref="N51:N63" si="5">(1000*(I51*1000))/J51</f>
        <v>105263.15789473684</v>
      </c>
      <c r="O51" s="795">
        <v>0</v>
      </c>
      <c r="P51" s="271" t="str">
        <f t="shared" ref="P51:P63" si="6">IF(O51=0,"",(1000*(I51*1000))/O51)</f>
        <v/>
      </c>
      <c r="Q51" s="692">
        <f t="shared" si="3"/>
        <v>70350</v>
      </c>
      <c r="R51" s="828">
        <f t="shared" ref="R51:R63" si="7">1/J51*K51/100*100000</f>
        <v>5.0526315789473681</v>
      </c>
      <c r="S51" s="792"/>
      <c r="T51" s="298"/>
      <c r="U51" s="788"/>
    </row>
    <row r="52" spans="1:21" ht="25.35" customHeight="1" x14ac:dyDescent="0.25">
      <c r="A52" s="495" t="str">
        <f t="shared" si="0"/>
        <v>4x3 KWARRADO ST</v>
      </c>
      <c r="B52" s="261" t="s">
        <v>39</v>
      </c>
      <c r="C52" s="710" t="s">
        <v>334</v>
      </c>
      <c r="D52" s="248" t="s">
        <v>6</v>
      </c>
      <c r="E52" s="258" t="s">
        <v>328</v>
      </c>
      <c r="F52" s="711" t="s">
        <v>154</v>
      </c>
      <c r="G52" s="304"/>
      <c r="H52" s="693" t="s">
        <v>146</v>
      </c>
      <c r="I52" s="304" t="s">
        <v>338</v>
      </c>
      <c r="J52" s="694">
        <v>230</v>
      </c>
      <c r="K52" s="695">
        <v>0.93</v>
      </c>
      <c r="L52" s="691">
        <v>0.9</v>
      </c>
      <c r="M52" s="270">
        <v>67000</v>
      </c>
      <c r="N52" s="269">
        <f t="shared" si="5"/>
        <v>86956.521739130432</v>
      </c>
      <c r="O52" s="785">
        <v>0</v>
      </c>
      <c r="P52" s="269" t="str">
        <f t="shared" si="6"/>
        <v/>
      </c>
      <c r="Q52" s="692">
        <f t="shared" si="3"/>
        <v>70350</v>
      </c>
      <c r="R52" s="817">
        <f t="shared" si="7"/>
        <v>4.0434782608695645</v>
      </c>
    </row>
    <row r="53" spans="1:21" ht="25.35" customHeight="1" x14ac:dyDescent="0.25">
      <c r="A53" s="495" t="str">
        <f t="shared" si="0"/>
        <v>4x3 KWS ADAPTICO</v>
      </c>
      <c r="B53" s="261" t="s">
        <v>39</v>
      </c>
      <c r="C53" s="654" t="s">
        <v>335</v>
      </c>
      <c r="D53" s="248" t="s">
        <v>6</v>
      </c>
      <c r="E53" s="258" t="s">
        <v>326</v>
      </c>
      <c r="F53" s="711" t="s">
        <v>137</v>
      </c>
      <c r="G53" s="304"/>
      <c r="H53" s="693" t="s">
        <v>115</v>
      </c>
      <c r="I53" s="304" t="s">
        <v>338</v>
      </c>
      <c r="J53" s="694">
        <v>255</v>
      </c>
      <c r="K53" s="695">
        <v>0.92</v>
      </c>
      <c r="L53" s="691">
        <v>0.9</v>
      </c>
      <c r="M53" s="270">
        <v>67000</v>
      </c>
      <c r="N53" s="269">
        <f t="shared" si="5"/>
        <v>78431.372549019608</v>
      </c>
      <c r="O53" s="785">
        <v>0</v>
      </c>
      <c r="P53" s="269" t="str">
        <f t="shared" si="6"/>
        <v/>
      </c>
      <c r="Q53" s="692">
        <f t="shared" si="3"/>
        <v>70350</v>
      </c>
      <c r="R53" s="817">
        <f t="shared" si="7"/>
        <v>3.6078431372549025</v>
      </c>
    </row>
    <row r="54" spans="1:21" ht="25.35" customHeight="1" x14ac:dyDescent="0.25">
      <c r="A54" s="495" t="str">
        <f t="shared" si="0"/>
        <v>4x3 KWS GUSTAVIUS</v>
      </c>
      <c r="B54" s="261" t="s">
        <v>39</v>
      </c>
      <c r="C54" s="654" t="s">
        <v>336</v>
      </c>
      <c r="D54" s="248" t="s">
        <v>6</v>
      </c>
      <c r="E54" s="258" t="s">
        <v>316</v>
      </c>
      <c r="F54" s="711" t="s">
        <v>177</v>
      </c>
      <c r="G54" s="304"/>
      <c r="H54" s="693" t="s">
        <v>146</v>
      </c>
      <c r="I54" s="304" t="s">
        <v>338</v>
      </c>
      <c r="J54" s="694">
        <v>255</v>
      </c>
      <c r="K54" s="695">
        <v>0.95</v>
      </c>
      <c r="L54" s="691">
        <v>0.94</v>
      </c>
      <c r="M54" s="270">
        <v>67000</v>
      </c>
      <c r="N54" s="269">
        <f t="shared" si="5"/>
        <v>78431.372549019608</v>
      </c>
      <c r="O54" s="785">
        <v>0</v>
      </c>
      <c r="P54" s="269" t="str">
        <f t="shared" si="6"/>
        <v/>
      </c>
      <c r="Q54" s="692">
        <f t="shared" si="3"/>
        <v>70350</v>
      </c>
      <c r="R54" s="817">
        <f t="shared" si="7"/>
        <v>3.7254901960784315</v>
      </c>
      <c r="T54" s="298"/>
      <c r="U54" s="788"/>
    </row>
    <row r="55" spans="1:21" ht="25.35" customHeight="1" x14ac:dyDescent="0.25">
      <c r="A55" s="495" t="str">
        <f t="shared" si="0"/>
        <v>4x3 KWS GUSTAVIUS ST</v>
      </c>
      <c r="B55" s="261" t="s">
        <v>39</v>
      </c>
      <c r="C55" s="654" t="s">
        <v>337</v>
      </c>
      <c r="D55" s="248" t="s">
        <v>6</v>
      </c>
      <c r="E55" s="258" t="s">
        <v>329</v>
      </c>
      <c r="F55" s="711" t="s">
        <v>143</v>
      </c>
      <c r="G55" s="304"/>
      <c r="H55" s="693" t="s">
        <v>135</v>
      </c>
      <c r="I55" s="304" t="s">
        <v>338</v>
      </c>
      <c r="J55" s="694">
        <v>265</v>
      </c>
      <c r="K55" s="695">
        <v>0.97</v>
      </c>
      <c r="L55" s="691">
        <v>0.95</v>
      </c>
      <c r="M55" s="270">
        <v>67000</v>
      </c>
      <c r="N55" s="269">
        <f t="shared" si="5"/>
        <v>75471.698113207545</v>
      </c>
      <c r="O55" s="785">
        <v>0</v>
      </c>
      <c r="P55" s="269" t="str">
        <f t="shared" si="6"/>
        <v/>
      </c>
      <c r="Q55" s="692">
        <f t="shared" si="3"/>
        <v>70350</v>
      </c>
      <c r="R55" s="817">
        <f t="shared" si="7"/>
        <v>3.6603773584905661</v>
      </c>
      <c r="T55" s="298"/>
      <c r="U55" s="788"/>
    </row>
    <row r="56" spans="1:21" ht="25.35" customHeight="1" x14ac:dyDescent="0.25">
      <c r="A56" s="495" t="str">
        <f t="shared" si="0"/>
        <v>4x3 KWS INTELIGENS</v>
      </c>
      <c r="B56" s="261" t="s">
        <v>39</v>
      </c>
      <c r="C56" s="247" t="s">
        <v>331</v>
      </c>
      <c r="D56" s="248" t="s">
        <v>6</v>
      </c>
      <c r="E56" s="258" t="s">
        <v>317</v>
      </c>
      <c r="F56" s="711" t="s">
        <v>183</v>
      </c>
      <c r="G56" s="494"/>
      <c r="H56" s="693" t="s">
        <v>115</v>
      </c>
      <c r="I56" s="304" t="s">
        <v>338</v>
      </c>
      <c r="J56" s="694">
        <v>230</v>
      </c>
      <c r="K56" s="695">
        <v>0.92</v>
      </c>
      <c r="L56" s="691">
        <v>0.9</v>
      </c>
      <c r="M56" s="270">
        <v>67000</v>
      </c>
      <c r="N56" s="269">
        <f t="shared" si="5"/>
        <v>86956.521739130432</v>
      </c>
      <c r="O56" s="785">
        <v>0</v>
      </c>
      <c r="P56" s="269" t="str">
        <f t="shared" si="6"/>
        <v/>
      </c>
      <c r="Q56" s="692">
        <f t="shared" si="3"/>
        <v>70350</v>
      </c>
      <c r="R56" s="817">
        <f t="shared" si="7"/>
        <v>4</v>
      </c>
      <c r="T56" s="298"/>
      <c r="U56" s="788"/>
    </row>
    <row r="57" spans="1:21" ht="25.35" customHeight="1" x14ac:dyDescent="0.25">
      <c r="A57" s="495" t="str">
        <f t="shared" si="0"/>
        <v>4x3 KWS OTTO</v>
      </c>
      <c r="B57" s="261" t="s">
        <v>39</v>
      </c>
      <c r="C57" s="654" t="s">
        <v>333</v>
      </c>
      <c r="D57" s="655" t="s">
        <v>6</v>
      </c>
      <c r="E57" s="258" t="s">
        <v>332</v>
      </c>
      <c r="F57" s="693" t="s">
        <v>153</v>
      </c>
      <c r="G57" s="304"/>
      <c r="H57" s="693" t="s">
        <v>140</v>
      </c>
      <c r="I57" s="304" t="s">
        <v>338</v>
      </c>
      <c r="J57" s="694">
        <v>299</v>
      </c>
      <c r="K57" s="695">
        <v>0.95</v>
      </c>
      <c r="L57" s="697"/>
      <c r="M57" s="270">
        <v>67000</v>
      </c>
      <c r="N57" s="269">
        <f t="shared" si="5"/>
        <v>66889.632107023412</v>
      </c>
      <c r="O57" s="785">
        <v>0</v>
      </c>
      <c r="P57" s="269" t="str">
        <f t="shared" si="6"/>
        <v/>
      </c>
      <c r="Q57" s="692">
        <f t="shared" si="3"/>
        <v>70350</v>
      </c>
      <c r="R57" s="817">
        <f t="shared" si="7"/>
        <v>3.1772575250836117</v>
      </c>
      <c r="T57" s="298"/>
      <c r="U57" s="788"/>
    </row>
    <row r="58" spans="1:21" ht="25.35" customHeight="1" x14ac:dyDescent="0.25">
      <c r="A58" s="495" t="str">
        <f t="shared" si="0"/>
        <v>4x3 KX C0381</v>
      </c>
      <c r="B58" s="255" t="s">
        <v>39</v>
      </c>
      <c r="C58" s="652" t="s">
        <v>331</v>
      </c>
      <c r="D58" s="257" t="s">
        <v>6</v>
      </c>
      <c r="E58" s="653" t="s">
        <v>319</v>
      </c>
      <c r="F58" s="702" t="s">
        <v>158</v>
      </c>
      <c r="G58" s="496"/>
      <c r="H58" s="702" t="s">
        <v>118</v>
      </c>
      <c r="I58" s="304" t="s">
        <v>338</v>
      </c>
      <c r="J58" s="703">
        <v>305</v>
      </c>
      <c r="K58" s="704">
        <v>0.96</v>
      </c>
      <c r="L58" s="705">
        <v>0.9</v>
      </c>
      <c r="M58" s="270">
        <v>67000</v>
      </c>
      <c r="N58" s="269">
        <f t="shared" si="5"/>
        <v>65573.770491803283</v>
      </c>
      <c r="O58" s="795">
        <v>0</v>
      </c>
      <c r="P58" s="269" t="str">
        <f t="shared" si="6"/>
        <v/>
      </c>
      <c r="Q58" s="692">
        <f t="shared" si="3"/>
        <v>70350</v>
      </c>
      <c r="R58" s="817">
        <f t="shared" si="7"/>
        <v>3.1475409836065569</v>
      </c>
      <c r="T58" s="298"/>
      <c r="U58" s="788"/>
    </row>
    <row r="59" spans="1:21" ht="25.35" customHeight="1" x14ac:dyDescent="0.25">
      <c r="A59" s="495" t="str">
        <f t="shared" si="0"/>
        <v>4x3 MEGUSTO KWS</v>
      </c>
      <c r="B59" s="261" t="s">
        <v>39</v>
      </c>
      <c r="C59" s="247" t="s">
        <v>330</v>
      </c>
      <c r="D59" s="248" t="s">
        <v>6</v>
      </c>
      <c r="E59" s="258" t="s">
        <v>320</v>
      </c>
      <c r="F59" s="711" t="s">
        <v>136</v>
      </c>
      <c r="G59" s="494"/>
      <c r="H59" s="693" t="s">
        <v>115</v>
      </c>
      <c r="I59" s="304" t="s">
        <v>338</v>
      </c>
      <c r="J59" s="694">
        <v>230</v>
      </c>
      <c r="K59" s="695">
        <v>0.92</v>
      </c>
      <c r="L59" s="691">
        <v>0.9</v>
      </c>
      <c r="M59" s="270">
        <v>67000</v>
      </c>
      <c r="N59" s="269">
        <f t="shared" si="5"/>
        <v>86956.521739130432</v>
      </c>
      <c r="O59" s="785">
        <v>0</v>
      </c>
      <c r="P59" s="269" t="str">
        <f t="shared" si="6"/>
        <v/>
      </c>
      <c r="Q59" s="692">
        <f t="shared" si="3"/>
        <v>70350</v>
      </c>
      <c r="R59" s="817">
        <f t="shared" si="7"/>
        <v>4</v>
      </c>
      <c r="T59" s="298"/>
      <c r="U59" s="788"/>
    </row>
    <row r="60" spans="1:21" ht="25.35" customHeight="1" x14ac:dyDescent="0.25">
      <c r="A60" s="495" t="str">
        <f t="shared" si="0"/>
        <v>6x2 AMAROC (Lot1)</v>
      </c>
      <c r="B60" s="255" t="s">
        <v>39</v>
      </c>
      <c r="C60" s="251" t="s">
        <v>42</v>
      </c>
      <c r="D60" s="248" t="s">
        <v>49</v>
      </c>
      <c r="E60" s="260" t="s">
        <v>270</v>
      </c>
      <c r="F60" s="711" t="s">
        <v>172</v>
      </c>
      <c r="G60" s="304" t="s">
        <v>266</v>
      </c>
      <c r="H60" s="693" t="s">
        <v>140</v>
      </c>
      <c r="I60" s="304" t="s">
        <v>338</v>
      </c>
      <c r="J60" s="694">
        <v>296</v>
      </c>
      <c r="K60" s="695">
        <v>0.98</v>
      </c>
      <c r="L60" s="691">
        <v>0.96</v>
      </c>
      <c r="M60" s="270">
        <v>86000</v>
      </c>
      <c r="N60" s="269">
        <f t="shared" si="5"/>
        <v>67567.567567567574</v>
      </c>
      <c r="O60" s="785">
        <v>0</v>
      </c>
      <c r="P60" s="269" t="str">
        <f t="shared" si="6"/>
        <v/>
      </c>
      <c r="Q60" s="692">
        <f>_xlfn.FLOOR.MATH(M60*1.05,10,0)</f>
        <v>90300</v>
      </c>
      <c r="R60" s="817">
        <f t="shared" si="7"/>
        <v>3.3108108108108105</v>
      </c>
      <c r="T60" s="298"/>
      <c r="U60" s="788"/>
    </row>
    <row r="61" spans="1:21" ht="25.35" customHeight="1" x14ac:dyDescent="0.25">
      <c r="A61" s="495" t="str">
        <f t="shared" si="0"/>
        <v>6x2 AMAROC (Lot2)</v>
      </c>
      <c r="B61" s="255" t="s">
        <v>39</v>
      </c>
      <c r="C61" s="251" t="s">
        <v>42</v>
      </c>
      <c r="D61" s="248" t="s">
        <v>49</v>
      </c>
      <c r="E61" s="260" t="s">
        <v>270</v>
      </c>
      <c r="F61" s="711" t="s">
        <v>184</v>
      </c>
      <c r="G61" s="304" t="s">
        <v>267</v>
      </c>
      <c r="H61" s="693" t="s">
        <v>135</v>
      </c>
      <c r="I61" s="304" t="s">
        <v>338</v>
      </c>
      <c r="J61" s="694">
        <v>294</v>
      </c>
      <c r="K61" s="695">
        <v>0.92</v>
      </c>
      <c r="L61" s="691">
        <v>0.89</v>
      </c>
      <c r="M61" s="270">
        <v>86000</v>
      </c>
      <c r="N61" s="269">
        <f t="shared" si="5"/>
        <v>68027.210884353743</v>
      </c>
      <c r="O61" s="785">
        <v>0</v>
      </c>
      <c r="P61" s="269" t="str">
        <f t="shared" si="6"/>
        <v/>
      </c>
      <c r="Q61" s="692">
        <f t="shared" si="3"/>
        <v>90300</v>
      </c>
      <c r="R61" s="817">
        <f t="shared" si="7"/>
        <v>3.1292517006802725</v>
      </c>
      <c r="T61" s="298"/>
      <c r="U61" s="788"/>
    </row>
    <row r="62" spans="1:21" ht="25.35" customHeight="1" x14ac:dyDescent="0.25">
      <c r="A62" s="495" t="str">
        <f t="shared" si="0"/>
        <v>6x2 AMAROC ST (Lot1)</v>
      </c>
      <c r="B62" s="261" t="s">
        <v>39</v>
      </c>
      <c r="C62" s="251" t="s">
        <v>43</v>
      </c>
      <c r="D62" s="248" t="s">
        <v>49</v>
      </c>
      <c r="E62" s="258" t="s">
        <v>274</v>
      </c>
      <c r="F62" s="688" t="s">
        <v>157</v>
      </c>
      <c r="G62" s="245">
        <v>1</v>
      </c>
      <c r="H62" s="688" t="s">
        <v>119</v>
      </c>
      <c r="I62" s="304" t="s">
        <v>338</v>
      </c>
      <c r="J62" s="689">
        <v>316</v>
      </c>
      <c r="K62" s="690">
        <v>0.9</v>
      </c>
      <c r="L62" s="691">
        <v>0.88</v>
      </c>
      <c r="M62" s="270">
        <v>86000</v>
      </c>
      <c r="N62" s="269">
        <f t="shared" si="5"/>
        <v>63291.139240506331</v>
      </c>
      <c r="O62" s="785">
        <v>0</v>
      </c>
      <c r="P62" s="269" t="str">
        <f t="shared" si="6"/>
        <v/>
      </c>
      <c r="Q62" s="692">
        <f t="shared" si="3"/>
        <v>90300</v>
      </c>
      <c r="R62" s="817">
        <f t="shared" si="7"/>
        <v>2.8481012658227844</v>
      </c>
      <c r="S62" s="792"/>
      <c r="T62" s="298"/>
    </row>
    <row r="63" spans="1:21" ht="25.35" customHeight="1" x14ac:dyDescent="0.25">
      <c r="A63" s="773" t="str">
        <f t="shared" si="0"/>
        <v>6x2 AMAROC ST (Lot2)</v>
      </c>
      <c r="B63" s="774" t="s">
        <v>39</v>
      </c>
      <c r="C63" s="767" t="s">
        <v>43</v>
      </c>
      <c r="D63" s="712" t="s">
        <v>49</v>
      </c>
      <c r="E63" s="272" t="s">
        <v>274</v>
      </c>
      <c r="F63" s="768" t="s">
        <v>141</v>
      </c>
      <c r="G63" s="659" t="s">
        <v>267</v>
      </c>
      <c r="H63" s="769" t="s">
        <v>142</v>
      </c>
      <c r="I63" s="304" t="s">
        <v>338</v>
      </c>
      <c r="J63" s="770">
        <v>200</v>
      </c>
      <c r="K63" s="771">
        <v>0.96</v>
      </c>
      <c r="L63" s="772">
        <v>0.94</v>
      </c>
      <c r="M63" s="845">
        <v>86000</v>
      </c>
      <c r="N63" s="269">
        <f t="shared" si="5"/>
        <v>100000</v>
      </c>
      <c r="O63" s="794">
        <v>0</v>
      </c>
      <c r="P63" s="269" t="str">
        <f t="shared" si="6"/>
        <v/>
      </c>
      <c r="Q63" s="692">
        <f t="shared" si="3"/>
        <v>90300</v>
      </c>
      <c r="R63" s="817">
        <f t="shared" si="7"/>
        <v>4.8</v>
      </c>
      <c r="S63" s="792"/>
      <c r="T63" s="298"/>
    </row>
    <row r="64" spans="1:21" ht="25.35" customHeight="1" x14ac:dyDescent="0.25">
      <c r="A64" s="773" t="str">
        <f t="shared" ref="A64:A75" si="8">IF(G64="",CONCATENATE(D64," ",E64),CONCATENATE(D64," ",E64,," (",$G$1,G64,")"))</f>
        <v xml:space="preserve"> </v>
      </c>
      <c r="B64" s="261"/>
      <c r="C64" s="654"/>
      <c r="D64" s="259"/>
      <c r="E64" s="258"/>
      <c r="F64" s="304"/>
      <c r="G64" s="494"/>
      <c r="H64" s="304"/>
      <c r="I64" s="304"/>
      <c r="J64" s="305"/>
      <c r="K64" s="306"/>
      <c r="L64" s="301"/>
      <c r="M64" s="268"/>
      <c r="N64" s="269" t="e">
        <f t="shared" si="4"/>
        <v>#DIV/0!</v>
      </c>
      <c r="O64" s="785"/>
      <c r="P64" s="269" t="str">
        <f t="shared" si="2"/>
        <v/>
      </c>
      <c r="Q64" s="268"/>
      <c r="R64" s="817"/>
      <c r="S64" s="792"/>
      <c r="T64" s="298"/>
    </row>
    <row r="65" spans="1:21" ht="25.35" customHeight="1" x14ac:dyDescent="0.25">
      <c r="A65" s="773" t="str">
        <f t="shared" si="8"/>
        <v xml:space="preserve"> </v>
      </c>
      <c r="B65" s="261"/>
      <c r="C65" s="654"/>
      <c r="D65" s="259"/>
      <c r="E65" s="258"/>
      <c r="F65" s="304"/>
      <c r="G65" s="494"/>
      <c r="H65" s="304"/>
      <c r="I65" s="304"/>
      <c r="J65" s="305"/>
      <c r="K65" s="306"/>
      <c r="L65" s="301"/>
      <c r="M65" s="268"/>
      <c r="N65" s="269" t="e">
        <f t="shared" si="4"/>
        <v>#DIV/0!</v>
      </c>
      <c r="O65" s="785"/>
      <c r="P65" s="269" t="str">
        <f t="shared" si="2"/>
        <v/>
      </c>
      <c r="Q65" s="268"/>
      <c r="R65" s="817"/>
      <c r="S65" s="792"/>
      <c r="T65" s="298"/>
    </row>
    <row r="66" spans="1:21" ht="25.35" customHeight="1" x14ac:dyDescent="0.25">
      <c r="A66" s="773" t="str">
        <f t="shared" si="8"/>
        <v xml:space="preserve"> </v>
      </c>
      <c r="B66" s="261"/>
      <c r="C66" s="746"/>
      <c r="D66" s="746"/>
      <c r="E66" s="815"/>
      <c r="F66" s="746"/>
      <c r="G66" s="746"/>
      <c r="H66" s="746"/>
      <c r="I66" s="746"/>
      <c r="J66" s="746"/>
      <c r="K66" s="746"/>
      <c r="L66" s="746"/>
      <c r="M66" s="746"/>
      <c r="N66" s="269" t="e">
        <f t="shared" si="4"/>
        <v>#DIV/0!</v>
      </c>
      <c r="O66" s="308"/>
      <c r="P66" s="269" t="str">
        <f t="shared" si="2"/>
        <v/>
      </c>
      <c r="Q66" s="308"/>
      <c r="R66" s="308"/>
    </row>
    <row r="67" spans="1:21" ht="25.35" customHeight="1" x14ac:dyDescent="0.25">
      <c r="A67" s="773" t="str">
        <f t="shared" si="8"/>
        <v xml:space="preserve"> </v>
      </c>
      <c r="B67" s="261"/>
      <c r="C67" s="746"/>
      <c r="D67" s="746"/>
      <c r="E67" s="815"/>
      <c r="F67" s="746"/>
      <c r="G67" s="746"/>
      <c r="H67" s="746"/>
      <c r="I67" s="746"/>
      <c r="J67" s="746"/>
      <c r="K67" s="746"/>
      <c r="L67" s="746"/>
      <c r="M67" s="746"/>
      <c r="N67" s="269" t="e">
        <f t="shared" si="4"/>
        <v>#DIV/0!</v>
      </c>
      <c r="O67" s="308"/>
      <c r="P67" s="269" t="str">
        <f t="shared" si="2"/>
        <v/>
      </c>
      <c r="Q67" s="308"/>
      <c r="R67" s="308"/>
      <c r="S67" s="792"/>
      <c r="T67" s="298"/>
      <c r="U67" s="788"/>
    </row>
    <row r="68" spans="1:21" ht="25.35" customHeight="1" x14ac:dyDescent="0.25">
      <c r="A68" s="773" t="str">
        <f t="shared" si="8"/>
        <v xml:space="preserve"> </v>
      </c>
      <c r="B68" s="261"/>
      <c r="C68" s="710"/>
      <c r="D68" s="259"/>
      <c r="E68" s="260"/>
      <c r="F68" s="304"/>
      <c r="G68" s="304"/>
      <c r="H68" s="304"/>
      <c r="I68" s="304"/>
      <c r="J68" s="305"/>
      <c r="K68" s="306"/>
      <c r="L68" s="301"/>
      <c r="M68" s="268"/>
      <c r="N68" s="269" t="e">
        <f t="shared" si="4"/>
        <v>#DIV/0!</v>
      </c>
      <c r="O68" s="785"/>
      <c r="P68" s="269" t="str">
        <f t="shared" si="2"/>
        <v/>
      </c>
      <c r="Q68" s="268"/>
      <c r="R68" s="817"/>
      <c r="S68" s="792"/>
      <c r="T68" s="298"/>
      <c r="U68" s="788"/>
    </row>
    <row r="69" spans="1:21" ht="25.35" customHeight="1" x14ac:dyDescent="0.25">
      <c r="A69" s="773" t="str">
        <f t="shared" si="8"/>
        <v xml:space="preserve"> </v>
      </c>
      <c r="B69" s="261"/>
      <c r="C69" s="746"/>
      <c r="D69" s="746"/>
      <c r="E69" s="815"/>
      <c r="F69" s="746"/>
      <c r="G69" s="746"/>
      <c r="H69" s="746"/>
      <c r="I69" s="746"/>
      <c r="J69" s="746"/>
      <c r="K69" s="746"/>
      <c r="L69" s="746"/>
      <c r="M69" s="746"/>
      <c r="N69" s="269" t="e">
        <f t="shared" si="4"/>
        <v>#DIV/0!</v>
      </c>
      <c r="O69" s="308"/>
      <c r="P69" s="269" t="str">
        <f t="shared" si="2"/>
        <v/>
      </c>
      <c r="Q69" s="308"/>
      <c r="R69" s="308"/>
      <c r="S69" s="792"/>
      <c r="T69" s="298"/>
      <c r="U69" s="788"/>
    </row>
    <row r="70" spans="1:21" ht="25.35" customHeight="1" x14ac:dyDescent="0.25">
      <c r="A70" s="773" t="str">
        <f t="shared" si="8"/>
        <v xml:space="preserve"> </v>
      </c>
      <c r="B70" s="261"/>
      <c r="C70" s="746"/>
      <c r="D70" s="746"/>
      <c r="E70" s="815"/>
      <c r="F70" s="746"/>
      <c r="G70" s="746"/>
      <c r="H70" s="746"/>
      <c r="I70" s="746"/>
      <c r="J70" s="746"/>
      <c r="K70" s="746"/>
      <c r="L70" s="746"/>
      <c r="M70" s="746"/>
      <c r="N70" s="269" t="e">
        <f t="shared" si="4"/>
        <v>#DIV/0!</v>
      </c>
      <c r="O70" s="308"/>
      <c r="P70" s="269" t="str">
        <f t="shared" si="2"/>
        <v/>
      </c>
      <c r="Q70" s="308"/>
      <c r="R70" s="308"/>
      <c r="S70" s="792"/>
      <c r="T70" s="298"/>
      <c r="U70" s="788"/>
    </row>
    <row r="71" spans="1:21" ht="25.35" customHeight="1" x14ac:dyDescent="0.25">
      <c r="A71" s="773" t="str">
        <f t="shared" si="8"/>
        <v xml:space="preserve"> </v>
      </c>
      <c r="B71" s="261"/>
      <c r="C71" s="746"/>
      <c r="D71" s="746"/>
      <c r="E71" s="815"/>
      <c r="F71" s="746"/>
      <c r="G71" s="746"/>
      <c r="H71" s="746"/>
      <c r="I71" s="746"/>
      <c r="J71" s="746"/>
      <c r="K71" s="746"/>
      <c r="L71" s="746"/>
      <c r="M71" s="746"/>
      <c r="N71" s="269" t="e">
        <f t="shared" si="4"/>
        <v>#DIV/0!</v>
      </c>
      <c r="O71" s="308"/>
      <c r="P71" s="269" t="str">
        <f t="shared" si="2"/>
        <v/>
      </c>
      <c r="Q71" s="308"/>
      <c r="R71" s="308"/>
      <c r="S71" s="792"/>
      <c r="T71" s="298"/>
      <c r="U71" s="788"/>
    </row>
    <row r="72" spans="1:21" ht="25.35" customHeight="1" x14ac:dyDescent="0.25">
      <c r="A72" s="773" t="str">
        <f t="shared" si="8"/>
        <v xml:space="preserve"> </v>
      </c>
      <c r="B72" s="261"/>
      <c r="C72" s="746"/>
      <c r="D72" s="746"/>
      <c r="E72" s="815"/>
      <c r="F72" s="746"/>
      <c r="G72" s="746"/>
      <c r="H72" s="746"/>
      <c r="I72" s="746"/>
      <c r="J72" s="746"/>
      <c r="K72" s="746"/>
      <c r="L72" s="746"/>
      <c r="M72" s="746"/>
      <c r="N72" s="269" t="e">
        <f t="shared" si="4"/>
        <v>#DIV/0!</v>
      </c>
      <c r="O72" s="308"/>
      <c r="P72" s="269" t="str">
        <f t="shared" si="2"/>
        <v/>
      </c>
      <c r="Q72" s="308"/>
      <c r="R72" s="308"/>
      <c r="S72" s="792"/>
      <c r="T72" s="298"/>
      <c r="U72" s="788"/>
    </row>
    <row r="73" spans="1:21" ht="25.35" customHeight="1" x14ac:dyDescent="0.25">
      <c r="A73" s="773" t="str">
        <f t="shared" si="8"/>
        <v xml:space="preserve"> </v>
      </c>
      <c r="B73" s="261"/>
      <c r="C73" s="710"/>
      <c r="D73" s="259"/>
      <c r="E73" s="258"/>
      <c r="F73" s="304"/>
      <c r="G73" s="304"/>
      <c r="H73" s="304"/>
      <c r="I73" s="304"/>
      <c r="J73" s="305"/>
      <c r="K73" s="306"/>
      <c r="L73" s="301"/>
      <c r="M73" s="268"/>
      <c r="N73" s="269" t="e">
        <f t="shared" si="4"/>
        <v>#DIV/0!</v>
      </c>
      <c r="O73" s="785"/>
      <c r="P73" s="269" t="str">
        <f t="shared" si="2"/>
        <v/>
      </c>
      <c r="Q73" s="268"/>
      <c r="R73" s="817"/>
      <c r="S73" s="792"/>
      <c r="T73" s="298"/>
      <c r="U73" s="788"/>
    </row>
    <row r="74" spans="1:21" ht="25.35" customHeight="1" x14ac:dyDescent="0.25">
      <c r="A74" s="773" t="str">
        <f t="shared" si="8"/>
        <v xml:space="preserve"> </v>
      </c>
      <c r="B74" s="261"/>
      <c r="C74" s="710"/>
      <c r="D74" s="259"/>
      <c r="E74" s="258"/>
      <c r="F74" s="304"/>
      <c r="G74" s="304"/>
      <c r="H74" s="304"/>
      <c r="I74" s="304"/>
      <c r="J74" s="305"/>
      <c r="K74" s="306"/>
      <c r="L74" s="301"/>
      <c r="M74" s="268"/>
      <c r="N74" s="269" t="e">
        <f t="shared" si="4"/>
        <v>#DIV/0!</v>
      </c>
      <c r="O74" s="785"/>
      <c r="P74" s="269" t="str">
        <f t="shared" si="2"/>
        <v/>
      </c>
      <c r="Q74" s="268"/>
      <c r="R74" s="817"/>
      <c r="T74" s="298"/>
    </row>
    <row r="75" spans="1:21" ht="25.35" customHeight="1" x14ac:dyDescent="0.25">
      <c r="A75" s="495" t="str">
        <f t="shared" si="8"/>
        <v xml:space="preserve"> </v>
      </c>
      <c r="B75" s="261"/>
      <c r="C75" s="710"/>
      <c r="D75" s="259"/>
      <c r="E75" s="258"/>
      <c r="F75" s="304"/>
      <c r="G75" s="304"/>
      <c r="H75" s="304"/>
      <c r="I75" s="304"/>
      <c r="J75" s="305"/>
      <c r="K75" s="306"/>
      <c r="L75" s="301"/>
      <c r="M75" s="268"/>
      <c r="N75" s="269" t="e">
        <f t="shared" si="4"/>
        <v>#DIV/0!</v>
      </c>
      <c r="O75" s="785"/>
      <c r="P75" s="269" t="str">
        <f t="shared" si="2"/>
        <v/>
      </c>
      <c r="Q75" s="268"/>
      <c r="R75" s="817"/>
      <c r="T75" s="298"/>
    </row>
    <row r="76" spans="1:21" x14ac:dyDescent="0.25">
      <c r="K76" s="799"/>
      <c r="N76" s="802"/>
      <c r="P76" s="802"/>
    </row>
    <row r="77" spans="1:21" x14ac:dyDescent="0.25">
      <c r="A77" s="803"/>
      <c r="K77" s="799"/>
      <c r="N77" s="802"/>
      <c r="P77" s="802"/>
    </row>
    <row r="78" spans="1:21" x14ac:dyDescent="0.25">
      <c r="A78" s="784" t="s">
        <v>48</v>
      </c>
      <c r="B78" s="784" t="s">
        <v>340</v>
      </c>
      <c r="C78" s="784" t="s">
        <v>305</v>
      </c>
      <c r="D78" s="804"/>
      <c r="E78" s="805"/>
      <c r="F78" s="806"/>
      <c r="G78" s="806"/>
      <c r="H78" s="806"/>
      <c r="I78" s="806"/>
      <c r="J78" s="807"/>
      <c r="K78" s="808"/>
      <c r="L78" s="809"/>
      <c r="M78" s="810"/>
      <c r="N78" s="811"/>
      <c r="P78" s="811"/>
    </row>
    <row r="79" spans="1:21" x14ac:dyDescent="0.25">
      <c r="A79" s="784" t="s">
        <v>6</v>
      </c>
      <c r="B79" s="784" t="s">
        <v>341</v>
      </c>
      <c r="C79" s="784" t="s">
        <v>306</v>
      </c>
      <c r="N79" s="802"/>
      <c r="P79" s="802"/>
    </row>
    <row r="80" spans="1:21" x14ac:dyDescent="0.25">
      <c r="A80" s="784" t="s">
        <v>106</v>
      </c>
      <c r="B80" s="784"/>
    </row>
    <row r="81" spans="1:2" x14ac:dyDescent="0.25">
      <c r="A81" s="784" t="s">
        <v>50</v>
      </c>
      <c r="B81" s="784" t="s">
        <v>342</v>
      </c>
    </row>
    <row r="82" spans="1:2" x14ac:dyDescent="0.25">
      <c r="A82" s="784" t="s">
        <v>49</v>
      </c>
      <c r="B82" s="784" t="s">
        <v>343</v>
      </c>
    </row>
    <row r="83" spans="1:2" x14ac:dyDescent="0.25">
      <c r="A83" s="803"/>
    </row>
    <row r="84" spans="1:2" x14ac:dyDescent="0.25">
      <c r="A84" s="813"/>
    </row>
    <row r="85" spans="1:2" x14ac:dyDescent="0.25">
      <c r="A85" s="813"/>
    </row>
    <row r="86" spans="1:2" x14ac:dyDescent="0.25">
      <c r="A86" s="803"/>
    </row>
    <row r="87" spans="1:2" x14ac:dyDescent="0.25">
      <c r="A87" s="814" t="s">
        <v>204</v>
      </c>
    </row>
    <row r="88" spans="1:2" x14ac:dyDescent="0.25">
      <c r="A88" s="435" t="s">
        <v>206</v>
      </c>
    </row>
    <row r="89" spans="1:2" x14ac:dyDescent="0.25">
      <c r="A89" s="435" t="s">
        <v>205</v>
      </c>
    </row>
    <row r="90" spans="1:2" x14ac:dyDescent="0.25">
      <c r="A90" s="435" t="s">
        <v>241</v>
      </c>
    </row>
    <row r="91" spans="1:2" x14ac:dyDescent="0.25">
      <c r="A91" s="435" t="s">
        <v>242</v>
      </c>
    </row>
    <row r="92" spans="1:2" x14ac:dyDescent="0.25">
      <c r="A92" s="435" t="s">
        <v>243</v>
      </c>
    </row>
    <row r="93" spans="1:2" x14ac:dyDescent="0.25">
      <c r="A93" s="435" t="s">
        <v>244</v>
      </c>
    </row>
    <row r="94" spans="1:2" x14ac:dyDescent="0.25">
      <c r="A94" s="435" t="s">
        <v>238</v>
      </c>
    </row>
    <row r="95" spans="1:2" x14ac:dyDescent="0.25">
      <c r="A95" s="435" t="s">
        <v>245</v>
      </c>
    </row>
    <row r="96" spans="1:2" x14ac:dyDescent="0.25">
      <c r="A96" s="435" t="s">
        <v>239</v>
      </c>
    </row>
    <row r="97" spans="1:1" x14ac:dyDescent="0.25">
      <c r="A97" s="435" t="s">
        <v>246</v>
      </c>
    </row>
    <row r="98" spans="1:1" x14ac:dyDescent="0.25">
      <c r="A98" s="435" t="s">
        <v>247</v>
      </c>
    </row>
    <row r="99" spans="1:1" x14ac:dyDescent="0.25">
      <c r="A99" s="435" t="s">
        <v>207</v>
      </c>
    </row>
    <row r="100" spans="1:1" x14ac:dyDescent="0.25">
      <c r="A100" s="435" t="s">
        <v>240</v>
      </c>
    </row>
    <row r="101" spans="1:1" x14ac:dyDescent="0.25">
      <c r="A101" s="435" t="s">
        <v>248</v>
      </c>
    </row>
    <row r="102" spans="1:1" x14ac:dyDescent="0.25">
      <c r="A102" s="435" t="s">
        <v>249</v>
      </c>
    </row>
    <row r="103" spans="1:1" x14ac:dyDescent="0.25">
      <c r="A103" s="435" t="s">
        <v>250</v>
      </c>
    </row>
    <row r="104" spans="1:1" x14ac:dyDescent="0.25">
      <c r="A104" s="435" t="s">
        <v>251</v>
      </c>
    </row>
    <row r="105" spans="1:1" x14ac:dyDescent="0.25">
      <c r="A105" s="435" t="s">
        <v>252</v>
      </c>
    </row>
    <row r="106" spans="1:1" x14ac:dyDescent="0.25">
      <c r="A106" s="435" t="s">
        <v>253</v>
      </c>
    </row>
    <row r="107" spans="1:1" x14ac:dyDescent="0.25">
      <c r="A107" s="435" t="s">
        <v>208</v>
      </c>
    </row>
    <row r="108" spans="1:1" x14ac:dyDescent="0.25">
      <c r="A108" s="435" t="s">
        <v>254</v>
      </c>
    </row>
    <row r="109" spans="1:1" x14ac:dyDescent="0.25">
      <c r="A109" s="435" t="s">
        <v>255</v>
      </c>
    </row>
    <row r="110" spans="1:1" x14ac:dyDescent="0.25">
      <c r="A110" s="435" t="s">
        <v>256</v>
      </c>
    </row>
    <row r="111" spans="1:1" x14ac:dyDescent="0.25">
      <c r="A111" s="435" t="s">
        <v>257</v>
      </c>
    </row>
    <row r="112" spans="1:1" x14ac:dyDescent="0.25">
      <c r="A112" s="435" t="s">
        <v>209</v>
      </c>
    </row>
    <row r="113" spans="1:1" x14ac:dyDescent="0.25">
      <c r="A113" s="435" t="s">
        <v>210</v>
      </c>
    </row>
    <row r="114" spans="1:1" x14ac:dyDescent="0.25">
      <c r="A114" s="435" t="s">
        <v>211</v>
      </c>
    </row>
    <row r="115" spans="1:1" x14ac:dyDescent="0.25">
      <c r="A115" s="435" t="s">
        <v>212</v>
      </c>
    </row>
    <row r="116" spans="1:1" x14ac:dyDescent="0.25">
      <c r="A116" s="435" t="s">
        <v>213</v>
      </c>
    </row>
    <row r="117" spans="1:1" x14ac:dyDescent="0.25">
      <c r="A117" s="435" t="s">
        <v>214</v>
      </c>
    </row>
    <row r="118" spans="1:1" x14ac:dyDescent="0.25">
      <c r="A118" s="435" t="s">
        <v>215</v>
      </c>
    </row>
    <row r="119" spans="1:1" x14ac:dyDescent="0.25">
      <c r="A119" s="435" t="s">
        <v>216</v>
      </c>
    </row>
    <row r="120" spans="1:1" x14ac:dyDescent="0.25">
      <c r="A120" s="435" t="s">
        <v>217</v>
      </c>
    </row>
    <row r="121" spans="1:1" x14ac:dyDescent="0.25">
      <c r="A121" s="436" t="s">
        <v>218</v>
      </c>
    </row>
    <row r="122" spans="1:1" x14ac:dyDescent="0.25">
      <c r="A122" s="435" t="s">
        <v>219</v>
      </c>
    </row>
    <row r="123" spans="1:1" x14ac:dyDescent="0.25">
      <c r="A123" s="435" t="s">
        <v>220</v>
      </c>
    </row>
    <row r="124" spans="1:1" x14ac:dyDescent="0.25">
      <c r="A124" s="435" t="s">
        <v>221</v>
      </c>
    </row>
    <row r="125" spans="1:1" x14ac:dyDescent="0.25">
      <c r="A125" s="435" t="s">
        <v>222</v>
      </c>
    </row>
    <row r="126" spans="1:1" x14ac:dyDescent="0.25">
      <c r="A126" s="435" t="s">
        <v>223</v>
      </c>
    </row>
    <row r="127" spans="1:1" x14ac:dyDescent="0.25">
      <c r="A127" s="435" t="s">
        <v>224</v>
      </c>
    </row>
    <row r="128" spans="1:1" x14ac:dyDescent="0.25">
      <c r="A128" s="435" t="s">
        <v>225</v>
      </c>
    </row>
    <row r="129" spans="1:1" x14ac:dyDescent="0.25">
      <c r="A129" s="435" t="s">
        <v>226</v>
      </c>
    </row>
    <row r="130" spans="1:1" x14ac:dyDescent="0.25">
      <c r="A130" s="435" t="s">
        <v>227</v>
      </c>
    </row>
    <row r="131" spans="1:1" x14ac:dyDescent="0.25">
      <c r="A131" s="435" t="s">
        <v>228</v>
      </c>
    </row>
    <row r="132" spans="1:1" x14ac:dyDescent="0.25">
      <c r="A132" s="435" t="s">
        <v>229</v>
      </c>
    </row>
    <row r="133" spans="1:1" x14ac:dyDescent="0.25">
      <c r="A133" s="435" t="s">
        <v>230</v>
      </c>
    </row>
    <row r="134" spans="1:1" x14ac:dyDescent="0.25">
      <c r="A134" s="435" t="s">
        <v>231</v>
      </c>
    </row>
    <row r="135" spans="1:1" x14ac:dyDescent="0.25">
      <c r="A135" s="435" t="s">
        <v>348</v>
      </c>
    </row>
    <row r="136" spans="1:1" x14ac:dyDescent="0.25">
      <c r="A136" s="435" t="s">
        <v>232</v>
      </c>
    </row>
    <row r="137" spans="1:1" x14ac:dyDescent="0.25">
      <c r="A137" s="435" t="s">
        <v>233</v>
      </c>
    </row>
    <row r="138" spans="1:1" x14ac:dyDescent="0.25">
      <c r="A138" s="435" t="s">
        <v>234</v>
      </c>
    </row>
    <row r="139" spans="1:1" x14ac:dyDescent="0.25">
      <c r="A139" s="435" t="s">
        <v>235</v>
      </c>
    </row>
    <row r="140" spans="1:1" x14ac:dyDescent="0.25">
      <c r="A140" s="435" t="s">
        <v>236</v>
      </c>
    </row>
  </sheetData>
  <autoFilter ref="A1:Q75" xr:uid="{00000000-0009-0000-0000-000001000000}">
    <sortState xmlns:xlrd2="http://schemas.microsoft.com/office/spreadsheetml/2017/richdata2" ref="A2:Q75">
      <sortCondition descending="1" ref="B1:B75"/>
    </sortState>
  </autoFilter>
  <phoneticPr fontId="71" type="noConversion"/>
  <conditionalFormatting sqref="A29:B75 E29:E75">
    <cfRule type="containsText" dxfId="34" priority="1" operator="containsText" text="ST">
      <formula>NOT(ISERROR(SEARCH("ST",A29)))</formula>
    </cfRule>
  </conditionalFormatting>
  <dataValidations disablePrompts="1" count="2">
    <dataValidation type="list" allowBlank="1" showInputMessage="1" showErrorMessage="1" sqref="AB13" xr:uid="{00000000-0002-0000-0100-000000000000}">
      <formula1>test3</formula1>
    </dataValidation>
    <dataValidation type="list" allowBlank="1" showInputMessage="1" showErrorMessage="1" sqref="AB26" xr:uid="{00000000-0002-0000-0100-000001000000}">
      <formula1>INDIRECT($AB$13)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4F20D7-FEA3-453B-BBCD-1F6430CA4CBD}">
  <sheetPr codeName="Feuil5">
    <tabColor theme="5" tint="0.79998168889431442"/>
  </sheetPr>
  <dimension ref="A1:AG152"/>
  <sheetViews>
    <sheetView zoomScale="80" zoomScaleNormal="80" workbookViewId="0"/>
  </sheetViews>
  <sheetFormatPr baseColWidth="10" defaultColWidth="11.5703125" defaultRowHeight="26.25" x14ac:dyDescent="0.25"/>
  <cols>
    <col min="1" max="1" width="38.140625" style="262" customWidth="1"/>
    <col min="2" max="2" width="10.85546875" style="171" customWidth="1"/>
    <col min="3" max="3" width="23.42578125" style="263" customWidth="1"/>
    <col min="4" max="4" width="16.42578125" style="171" customWidth="1"/>
    <col min="5" max="5" width="27.5703125" style="21" customWidth="1"/>
    <col min="6" max="6" width="20.7109375" style="264" customWidth="1"/>
    <col min="7" max="7" width="6.140625" style="264" customWidth="1"/>
    <col min="8" max="8" width="7.5703125" style="264" customWidth="1"/>
    <col min="9" max="9" width="11.5703125" style="264" customWidth="1"/>
    <col min="10" max="10" width="7.5703125" style="307" customWidth="1"/>
    <col min="11" max="11" width="7.5703125" style="264" customWidth="1"/>
    <col min="12" max="12" width="5.140625" style="300" customWidth="1"/>
    <col min="13" max="13" width="11.5703125" style="266"/>
    <col min="14" max="14" width="26.28515625" style="267" bestFit="1" customWidth="1"/>
    <col min="15" max="15" width="11" style="171" customWidth="1"/>
    <col min="16" max="16" width="25.7109375" style="267" bestFit="1" customWidth="1"/>
    <col min="17" max="17" width="18.85546875" style="266" customWidth="1"/>
    <col min="18" max="18" width="7" style="21" customWidth="1"/>
    <col min="19" max="19" width="18.85546875" style="370" customWidth="1"/>
    <col min="20" max="20" width="11.5703125" style="21"/>
    <col min="21" max="21" width="16" style="21" customWidth="1"/>
    <col min="22" max="22" width="6" style="21" customWidth="1"/>
    <col min="23" max="16384" width="11.5703125" style="21"/>
  </cols>
  <sheetData>
    <row r="1" spans="1:32" ht="40.15" customHeight="1" x14ac:dyDescent="0.25">
      <c r="A1" s="1017" t="s">
        <v>122</v>
      </c>
      <c r="B1" s="326" t="s">
        <v>396</v>
      </c>
      <c r="C1" s="244" t="s">
        <v>17</v>
      </c>
      <c r="D1" s="227" t="s">
        <v>110</v>
      </c>
      <c r="E1" s="227" t="s">
        <v>395</v>
      </c>
      <c r="F1" s="310" t="s">
        <v>19</v>
      </c>
      <c r="G1" s="310" t="s">
        <v>18</v>
      </c>
      <c r="H1" s="310" t="s">
        <v>20</v>
      </c>
      <c r="I1" s="782" t="s">
        <v>88</v>
      </c>
      <c r="J1" s="311" t="s">
        <v>21</v>
      </c>
      <c r="K1" s="312" t="s">
        <v>22</v>
      </c>
      <c r="L1" s="313" t="s">
        <v>23</v>
      </c>
      <c r="M1" s="314" t="s">
        <v>24</v>
      </c>
      <c r="N1" s="401" t="s">
        <v>198</v>
      </c>
      <c r="O1" s="403" t="s">
        <v>197</v>
      </c>
      <c r="P1" s="402" t="s">
        <v>199</v>
      </c>
      <c r="Q1" s="324" t="s">
        <v>25</v>
      </c>
      <c r="R1" s="387" t="s">
        <v>190</v>
      </c>
      <c r="S1" s="368"/>
      <c r="T1" s="228"/>
      <c r="Z1" s="229"/>
      <c r="AA1" s="229"/>
      <c r="AB1" s="229"/>
      <c r="AC1" s="229"/>
      <c r="AD1" s="229"/>
    </row>
    <row r="2" spans="1:32" ht="25.15" customHeight="1" x14ac:dyDescent="0.25">
      <c r="A2" s="699" t="str">
        <f t="shared" ref="A2:A19" si="0">IF(G2="",CONCATENATE(D2," ",E2),CONCATENATE(D2," ",E2,," (",$G$1,G2,")"))</f>
        <v>2x2 CITO (Lot1)</v>
      </c>
      <c r="B2" s="700" t="s">
        <v>26</v>
      </c>
      <c r="C2" s="253" t="s">
        <v>112</v>
      </c>
      <c r="D2" s="248" t="s">
        <v>48</v>
      </c>
      <c r="E2" s="701" t="s">
        <v>271</v>
      </c>
      <c r="F2" s="693" t="s">
        <v>132</v>
      </c>
      <c r="G2" s="304" t="s">
        <v>266</v>
      </c>
      <c r="H2" s="693" t="s">
        <v>115</v>
      </c>
      <c r="I2" s="304" t="s">
        <v>338</v>
      </c>
      <c r="J2" s="694">
        <v>220</v>
      </c>
      <c r="K2" s="695">
        <v>0.88</v>
      </c>
      <c r="L2" s="691">
        <v>0.85</v>
      </c>
      <c r="M2" s="692">
        <v>38000</v>
      </c>
      <c r="N2" s="269">
        <f>(1000*20000)/J2</f>
        <v>90909.090909090912</v>
      </c>
      <c r="O2" s="420"/>
      <c r="P2" s="269" t="str">
        <f t="shared" ref="P2:P19" si="1">IF(O2=0,"",(1000*20000)/O2)</f>
        <v/>
      </c>
      <c r="Q2" s="268">
        <f>_xlfn.FLOOR.MATH(M2*1.05,10,0)</f>
        <v>39900</v>
      </c>
      <c r="R2" s="249">
        <f>((1/J2)*(K2/100))*100000</f>
        <v>4</v>
      </c>
      <c r="T2" s="246"/>
    </row>
    <row r="3" spans="1:32" ht="25.15" customHeight="1" x14ac:dyDescent="0.25">
      <c r="A3" s="699" t="str">
        <f t="shared" si="0"/>
        <v>2x2 CITO (Lot2)</v>
      </c>
      <c r="B3" s="700" t="s">
        <v>26</v>
      </c>
      <c r="C3" s="253" t="s">
        <v>112</v>
      </c>
      <c r="D3" s="248" t="s">
        <v>48</v>
      </c>
      <c r="E3" s="701" t="s">
        <v>271</v>
      </c>
      <c r="F3" s="693" t="s">
        <v>174</v>
      </c>
      <c r="G3" s="304" t="s">
        <v>267</v>
      </c>
      <c r="H3" s="693" t="s">
        <v>146</v>
      </c>
      <c r="I3" s="304" t="s">
        <v>338</v>
      </c>
      <c r="J3" s="694">
        <v>190</v>
      </c>
      <c r="K3" s="695">
        <v>0.9</v>
      </c>
      <c r="L3" s="691">
        <v>0.85</v>
      </c>
      <c r="M3" s="692">
        <v>38000</v>
      </c>
      <c r="N3" s="269">
        <f>(1000*20000)/J3</f>
        <v>105263.15789473684</v>
      </c>
      <c r="O3" s="420"/>
      <c r="P3" s="269" t="str">
        <f t="shared" si="1"/>
        <v/>
      </c>
      <c r="Q3" s="268">
        <f t="shared" ref="Q3:Q19" si="2">_xlfn.FLOOR.MATH(M3*1.05,10,0)</f>
        <v>39900</v>
      </c>
      <c r="R3" s="249">
        <f t="shared" ref="R3:R19" si="3">((1/J3)*(K3/100))*100000</f>
        <v>4.7368421052631584</v>
      </c>
      <c r="T3" s="246"/>
    </row>
    <row r="4" spans="1:32" ht="25.15" customHeight="1" x14ac:dyDescent="0.25">
      <c r="A4" s="699" t="str">
        <f t="shared" si="0"/>
        <v>2x2 MILLESIM (Lot1)</v>
      </c>
      <c r="B4" s="700" t="s">
        <v>26</v>
      </c>
      <c r="C4" s="687" t="s">
        <v>28</v>
      </c>
      <c r="D4" s="248" t="s">
        <v>48</v>
      </c>
      <c r="E4" s="701" t="s">
        <v>312</v>
      </c>
      <c r="F4" s="688" t="s">
        <v>163</v>
      </c>
      <c r="G4" s="245">
        <v>1</v>
      </c>
      <c r="H4" s="688" t="s">
        <v>117</v>
      </c>
      <c r="I4" s="304" t="s">
        <v>338</v>
      </c>
      <c r="J4" s="689">
        <v>210</v>
      </c>
      <c r="K4" s="690">
        <v>0.92</v>
      </c>
      <c r="L4" s="691">
        <v>0.9</v>
      </c>
      <c r="M4" s="692">
        <v>35000</v>
      </c>
      <c r="N4" s="269">
        <f>(1000*20000)/J4</f>
        <v>95238.095238095237</v>
      </c>
      <c r="O4" s="420"/>
      <c r="P4" s="269" t="str">
        <f t="shared" si="1"/>
        <v/>
      </c>
      <c r="Q4" s="268">
        <f t="shared" si="2"/>
        <v>36750</v>
      </c>
      <c r="R4" s="249">
        <f t="shared" si="3"/>
        <v>4.3809523809523814</v>
      </c>
      <c r="T4" s="228"/>
      <c r="AA4" s="229"/>
    </row>
    <row r="5" spans="1:32" ht="25.15" customHeight="1" x14ac:dyDescent="0.25">
      <c r="A5" s="699" t="str">
        <f t="shared" si="0"/>
        <v>2x2 MILLESIM (Lot2)</v>
      </c>
      <c r="B5" s="700" t="s">
        <v>26</v>
      </c>
      <c r="C5" s="687" t="s">
        <v>28</v>
      </c>
      <c r="D5" s="248" t="s">
        <v>48</v>
      </c>
      <c r="E5" s="701" t="s">
        <v>312</v>
      </c>
      <c r="F5" s="688" t="s">
        <v>181</v>
      </c>
      <c r="G5" s="245">
        <v>2</v>
      </c>
      <c r="H5" s="688" t="s">
        <v>117</v>
      </c>
      <c r="I5" s="304" t="s">
        <v>338</v>
      </c>
      <c r="J5" s="689">
        <v>210</v>
      </c>
      <c r="K5" s="690">
        <v>0.9</v>
      </c>
      <c r="L5" s="691">
        <v>0.85</v>
      </c>
      <c r="M5" s="692">
        <v>35000</v>
      </c>
      <c r="N5" s="269">
        <f>(1000*20000)/J5</f>
        <v>95238.095238095237</v>
      </c>
      <c r="O5" s="420"/>
      <c r="P5" s="269" t="str">
        <f t="shared" si="1"/>
        <v/>
      </c>
      <c r="Q5" s="268">
        <f t="shared" si="2"/>
        <v>36750</v>
      </c>
      <c r="R5" s="249">
        <f t="shared" si="3"/>
        <v>4.2857142857142865</v>
      </c>
      <c r="T5" s="228"/>
      <c r="AA5" s="229"/>
    </row>
    <row r="6" spans="1:32" ht="25.15" customHeight="1" x14ac:dyDescent="0.25">
      <c r="A6" s="699" t="str">
        <f t="shared" si="0"/>
        <v>4x2 AJOWAN</v>
      </c>
      <c r="B6" s="700" t="s">
        <v>26</v>
      </c>
      <c r="C6" s="654" t="s">
        <v>108</v>
      </c>
      <c r="D6" s="259" t="s">
        <v>106</v>
      </c>
      <c r="E6" s="701" t="s">
        <v>276</v>
      </c>
      <c r="F6" s="696" t="s">
        <v>149</v>
      </c>
      <c r="G6" s="660"/>
      <c r="H6" s="693" t="s">
        <v>140</v>
      </c>
      <c r="I6" s="304" t="s">
        <v>338</v>
      </c>
      <c r="J6" s="694">
        <v>298</v>
      </c>
      <c r="K6" s="695">
        <v>0.93</v>
      </c>
      <c r="L6" s="697"/>
      <c r="M6" s="698">
        <v>27000</v>
      </c>
      <c r="N6" s="269">
        <f>(1000*25000)/J6</f>
        <v>83892.617449664423</v>
      </c>
      <c r="O6" s="658"/>
      <c r="P6" s="269" t="str">
        <f t="shared" si="1"/>
        <v/>
      </c>
      <c r="Q6" s="268">
        <f t="shared" si="2"/>
        <v>28350</v>
      </c>
      <c r="R6" s="249">
        <f t="shared" si="3"/>
        <v>3.1208053691275173</v>
      </c>
      <c r="T6" s="323"/>
      <c r="U6" s="252"/>
    </row>
    <row r="7" spans="1:32" ht="25.15" customHeight="1" x14ac:dyDescent="0.25">
      <c r="A7" s="699" t="str">
        <f t="shared" si="0"/>
        <v>4x3 AGRO VITALLO</v>
      </c>
      <c r="B7" s="700" t="s">
        <v>26</v>
      </c>
      <c r="C7" s="251" t="s">
        <v>29</v>
      </c>
      <c r="D7" s="248" t="s">
        <v>6</v>
      </c>
      <c r="E7" s="701" t="s">
        <v>147</v>
      </c>
      <c r="F7" s="693" t="s">
        <v>131</v>
      </c>
      <c r="G7" s="304"/>
      <c r="H7" s="693" t="s">
        <v>115</v>
      </c>
      <c r="I7" s="304" t="s">
        <v>338</v>
      </c>
      <c r="J7" s="694">
        <v>224</v>
      </c>
      <c r="K7" s="695">
        <v>0.9</v>
      </c>
      <c r="L7" s="691">
        <v>0.85</v>
      </c>
      <c r="M7" s="692">
        <v>35000</v>
      </c>
      <c r="N7" s="269">
        <f t="shared" ref="N7:N19" si="4">(1000*20000)/J7</f>
        <v>89285.71428571429</v>
      </c>
      <c r="O7" s="420"/>
      <c r="P7" s="269" t="str">
        <f t="shared" si="1"/>
        <v/>
      </c>
      <c r="Q7" s="268">
        <f t="shared" si="2"/>
        <v>36750</v>
      </c>
      <c r="R7" s="249">
        <f t="shared" si="3"/>
        <v>4.0178571428571432</v>
      </c>
      <c r="T7" s="228"/>
      <c r="U7" s="252"/>
    </row>
    <row r="8" spans="1:32" ht="25.15" customHeight="1" x14ac:dyDescent="0.25">
      <c r="A8" s="699" t="str">
        <f t="shared" si="0"/>
        <v>4x3 ADAPTICO / AGROGANT (Lot1)</v>
      </c>
      <c r="B8" s="700" t="s">
        <v>26</v>
      </c>
      <c r="C8" s="247" t="s">
        <v>27</v>
      </c>
      <c r="D8" s="248" t="s">
        <v>6</v>
      </c>
      <c r="E8" s="701" t="s">
        <v>314</v>
      </c>
      <c r="F8" s="693" t="s">
        <v>134</v>
      </c>
      <c r="G8" s="304" t="s">
        <v>266</v>
      </c>
      <c r="H8" s="693" t="s">
        <v>115</v>
      </c>
      <c r="I8" s="304" t="s">
        <v>338</v>
      </c>
      <c r="J8" s="694">
        <v>256</v>
      </c>
      <c r="K8" s="695">
        <v>0.96</v>
      </c>
      <c r="L8" s="691">
        <v>0.92</v>
      </c>
      <c r="M8" s="692">
        <v>35000</v>
      </c>
      <c r="N8" s="269">
        <f t="shared" si="4"/>
        <v>78125</v>
      </c>
      <c r="O8" s="420"/>
      <c r="P8" s="269" t="str">
        <f t="shared" si="1"/>
        <v/>
      </c>
      <c r="Q8" s="268">
        <f t="shared" si="2"/>
        <v>36750</v>
      </c>
      <c r="R8" s="249">
        <f t="shared" si="3"/>
        <v>3.7499999999999996</v>
      </c>
      <c r="S8" s="369"/>
      <c r="U8" s="228"/>
      <c r="V8" s="229"/>
      <c r="W8" s="229"/>
      <c r="X8" s="229"/>
      <c r="Y8" s="229"/>
      <c r="Z8" s="229"/>
      <c r="AA8" s="250"/>
      <c r="AB8" s="250"/>
      <c r="AC8" s="229"/>
      <c r="AD8" s="250"/>
      <c r="AE8" s="229"/>
      <c r="AF8" s="250"/>
    </row>
    <row r="9" spans="1:32" ht="25.15" customHeight="1" x14ac:dyDescent="0.25">
      <c r="A9" s="699" t="str">
        <f t="shared" si="0"/>
        <v>4x3 AMAVERITAS</v>
      </c>
      <c r="B9" s="700" t="s">
        <v>26</v>
      </c>
      <c r="C9" s="247" t="s">
        <v>32</v>
      </c>
      <c r="D9" s="248" t="s">
        <v>6</v>
      </c>
      <c r="E9" s="701" t="s">
        <v>31</v>
      </c>
      <c r="F9" s="693" t="s">
        <v>133</v>
      </c>
      <c r="G9" s="304"/>
      <c r="H9" s="693" t="s">
        <v>119</v>
      </c>
      <c r="I9" s="304" t="s">
        <v>338</v>
      </c>
      <c r="J9" s="694">
        <v>315</v>
      </c>
      <c r="K9" s="695">
        <v>0.92</v>
      </c>
      <c r="L9" s="691">
        <v>0.9</v>
      </c>
      <c r="M9" s="692">
        <v>35000</v>
      </c>
      <c r="N9" s="269">
        <f t="shared" si="4"/>
        <v>63492.063492063491</v>
      </c>
      <c r="O9" s="658"/>
      <c r="P9" s="269" t="str">
        <f t="shared" si="1"/>
        <v/>
      </c>
      <c r="Q9" s="268">
        <f t="shared" si="2"/>
        <v>36750</v>
      </c>
      <c r="R9" s="249">
        <f t="shared" si="3"/>
        <v>2.9206349206349205</v>
      </c>
      <c r="S9" s="369"/>
      <c r="T9" s="228"/>
      <c r="Z9" s="250"/>
      <c r="AA9" s="229"/>
      <c r="AB9" s="229"/>
      <c r="AC9" s="229"/>
      <c r="AD9" s="229"/>
      <c r="AE9" s="229"/>
      <c r="AF9" s="229"/>
    </row>
    <row r="10" spans="1:32" ht="25.15" customHeight="1" x14ac:dyDescent="0.25">
      <c r="A10" s="699" t="str">
        <f t="shared" si="0"/>
        <v>4x3 AMAVIT</v>
      </c>
      <c r="B10" s="700" t="s">
        <v>26</v>
      </c>
      <c r="C10" s="251" t="s">
        <v>35</v>
      </c>
      <c r="D10" s="248" t="s">
        <v>6</v>
      </c>
      <c r="E10" s="701" t="s">
        <v>34</v>
      </c>
      <c r="F10" s="688" t="s">
        <v>161</v>
      </c>
      <c r="G10" s="308"/>
      <c r="H10" s="688" t="s">
        <v>117</v>
      </c>
      <c r="I10" s="304" t="s">
        <v>338</v>
      </c>
      <c r="J10" s="689">
        <v>255</v>
      </c>
      <c r="K10" s="690">
        <v>0.93</v>
      </c>
      <c r="L10" s="691">
        <v>0.9</v>
      </c>
      <c r="M10" s="692">
        <v>35000</v>
      </c>
      <c r="N10" s="269">
        <f t="shared" si="4"/>
        <v>78431.372549019608</v>
      </c>
      <c r="O10" s="658"/>
      <c r="P10" s="269" t="str">
        <f t="shared" si="1"/>
        <v/>
      </c>
      <c r="Q10" s="268">
        <f t="shared" si="2"/>
        <v>36750</v>
      </c>
      <c r="R10" s="249">
        <f t="shared" si="3"/>
        <v>3.6470588235294121</v>
      </c>
      <c r="S10" s="372"/>
      <c r="T10" s="228"/>
      <c r="Z10" s="250"/>
      <c r="AA10" s="229"/>
      <c r="AB10" s="229"/>
      <c r="AC10" s="229"/>
      <c r="AD10" s="229"/>
      <c r="AE10" s="229"/>
      <c r="AF10" s="229"/>
    </row>
    <row r="11" spans="1:32" ht="25.15" customHeight="1" x14ac:dyDescent="0.25">
      <c r="A11" s="699" t="str">
        <f t="shared" si="0"/>
        <v>4x3 BENEDICTIO KWS / BERNARDINIO (Lot1)</v>
      </c>
      <c r="B11" s="737" t="s">
        <v>26</v>
      </c>
      <c r="C11" s="256" t="s">
        <v>33</v>
      </c>
      <c r="D11" s="257" t="s">
        <v>6</v>
      </c>
      <c r="E11" s="740" t="s">
        <v>313</v>
      </c>
      <c r="F11" s="702" t="s">
        <v>160</v>
      </c>
      <c r="G11" s="707">
        <v>1</v>
      </c>
      <c r="H11" s="702" t="s">
        <v>117</v>
      </c>
      <c r="I11" s="304" t="s">
        <v>338</v>
      </c>
      <c r="J11" s="703">
        <v>235</v>
      </c>
      <c r="K11" s="704">
        <v>0.92</v>
      </c>
      <c r="L11" s="705">
        <v>0.9</v>
      </c>
      <c r="M11" s="692">
        <v>35000</v>
      </c>
      <c r="N11" s="271">
        <f t="shared" si="4"/>
        <v>85106.382978723399</v>
      </c>
      <c r="O11" s="658"/>
      <c r="P11" s="269" t="str">
        <f t="shared" si="1"/>
        <v/>
      </c>
      <c r="Q11" s="268">
        <f t="shared" si="2"/>
        <v>36750</v>
      </c>
      <c r="R11" s="249">
        <f t="shared" si="3"/>
        <v>3.9148936170212769</v>
      </c>
      <c r="T11" s="228"/>
      <c r="AA11" s="229"/>
    </row>
    <row r="12" spans="1:32" ht="25.15" customHeight="1" x14ac:dyDescent="0.25">
      <c r="A12" s="699" t="str">
        <f t="shared" si="0"/>
        <v>4x3 KWARRADO (KX B8252)</v>
      </c>
      <c r="B12" s="700" t="s">
        <v>26</v>
      </c>
      <c r="C12" s="708" t="s">
        <v>36</v>
      </c>
      <c r="D12" s="248" t="s">
        <v>6</v>
      </c>
      <c r="E12" s="701" t="s">
        <v>315</v>
      </c>
      <c r="F12" s="693" t="s">
        <v>129</v>
      </c>
      <c r="G12" s="304"/>
      <c r="H12" s="693" t="s">
        <v>115</v>
      </c>
      <c r="I12" s="304" t="s">
        <v>338</v>
      </c>
      <c r="J12" s="694">
        <v>225</v>
      </c>
      <c r="K12" s="695">
        <v>0.9</v>
      </c>
      <c r="L12" s="691">
        <v>0.88</v>
      </c>
      <c r="M12" s="692">
        <v>35000</v>
      </c>
      <c r="N12" s="269">
        <f t="shared" si="4"/>
        <v>88888.888888888891</v>
      </c>
      <c r="O12" s="658"/>
      <c r="P12" s="269" t="str">
        <f t="shared" si="1"/>
        <v/>
      </c>
      <c r="Q12" s="268">
        <f t="shared" si="2"/>
        <v>36750</v>
      </c>
      <c r="R12" s="249">
        <f t="shared" si="3"/>
        <v>4</v>
      </c>
      <c r="T12" s="228"/>
      <c r="AA12" s="229"/>
    </row>
    <row r="13" spans="1:32" ht="25.15" customHeight="1" x14ac:dyDescent="0.25">
      <c r="A13" s="699" t="str">
        <f t="shared" si="0"/>
        <v>4x3 KWS GUSTAVIUS</v>
      </c>
      <c r="B13" s="700" t="s">
        <v>26</v>
      </c>
      <c r="C13" s="708" t="s">
        <v>36</v>
      </c>
      <c r="D13" s="248" t="s">
        <v>6</v>
      </c>
      <c r="E13" s="701" t="s">
        <v>316</v>
      </c>
      <c r="F13" s="693" t="s">
        <v>176</v>
      </c>
      <c r="G13" s="304"/>
      <c r="H13" s="693" t="s">
        <v>146</v>
      </c>
      <c r="I13" s="304" t="s">
        <v>338</v>
      </c>
      <c r="J13" s="694">
        <v>260</v>
      </c>
      <c r="K13" s="695">
        <v>0.92</v>
      </c>
      <c r="L13" s="691">
        <v>0.9</v>
      </c>
      <c r="M13" s="692">
        <v>35000</v>
      </c>
      <c r="N13" s="269">
        <f t="shared" si="4"/>
        <v>76923.076923076922</v>
      </c>
      <c r="O13" s="658"/>
      <c r="P13" s="269" t="str">
        <f t="shared" si="1"/>
        <v/>
      </c>
      <c r="Q13" s="268">
        <f t="shared" si="2"/>
        <v>36750</v>
      </c>
      <c r="R13" s="249">
        <f t="shared" si="3"/>
        <v>3.5384615384615388</v>
      </c>
      <c r="T13" s="228"/>
      <c r="U13" s="252"/>
      <c r="AA13" s="229"/>
    </row>
    <row r="14" spans="1:32" ht="25.15" customHeight="1" x14ac:dyDescent="0.25">
      <c r="A14" s="699" t="str">
        <f t="shared" si="0"/>
        <v>4x3 KWS INTELIGENS</v>
      </c>
      <c r="B14" s="700" t="s">
        <v>26</v>
      </c>
      <c r="C14" s="687" t="s">
        <v>37</v>
      </c>
      <c r="D14" s="248" t="s">
        <v>6</v>
      </c>
      <c r="E14" s="701" t="s">
        <v>317</v>
      </c>
      <c r="F14" s="693" t="s">
        <v>130</v>
      </c>
      <c r="G14" s="308"/>
      <c r="H14" s="693" t="s">
        <v>115</v>
      </c>
      <c r="I14" s="304" t="s">
        <v>338</v>
      </c>
      <c r="J14" s="694">
        <v>220</v>
      </c>
      <c r="K14" s="695">
        <v>0.92</v>
      </c>
      <c r="L14" s="709">
        <v>0.9</v>
      </c>
      <c r="M14" s="692">
        <v>35000</v>
      </c>
      <c r="N14" s="269">
        <f t="shared" si="4"/>
        <v>90909.090909090912</v>
      </c>
      <c r="O14" s="658"/>
      <c r="P14" s="269" t="str">
        <f t="shared" si="1"/>
        <v/>
      </c>
      <c r="Q14" s="268">
        <f t="shared" si="2"/>
        <v>36750</v>
      </c>
      <c r="R14" s="249">
        <f t="shared" si="3"/>
        <v>4.1818181818181817</v>
      </c>
      <c r="T14" s="246"/>
    </row>
    <row r="15" spans="1:32" ht="25.15" customHeight="1" x14ac:dyDescent="0.25">
      <c r="A15" s="699" t="str">
        <f t="shared" si="0"/>
        <v>4x3 KWS OTTO (KX B8203)</v>
      </c>
      <c r="B15" s="700" t="s">
        <v>26</v>
      </c>
      <c r="C15" s="687" t="s">
        <v>37</v>
      </c>
      <c r="D15" s="248" t="s">
        <v>6</v>
      </c>
      <c r="E15" s="701" t="s">
        <v>318</v>
      </c>
      <c r="F15" s="693" t="s">
        <v>175</v>
      </c>
      <c r="G15" s="308"/>
      <c r="H15" s="693" t="s">
        <v>146</v>
      </c>
      <c r="I15" s="304" t="s">
        <v>338</v>
      </c>
      <c r="J15" s="694">
        <v>235</v>
      </c>
      <c r="K15" s="695">
        <v>0.85</v>
      </c>
      <c r="L15" s="709">
        <v>0.8</v>
      </c>
      <c r="M15" s="692">
        <v>35000</v>
      </c>
      <c r="N15" s="269">
        <f t="shared" si="4"/>
        <v>85106.382978723399</v>
      </c>
      <c r="O15" s="658"/>
      <c r="P15" s="269" t="str">
        <f t="shared" si="1"/>
        <v/>
      </c>
      <c r="Q15" s="268">
        <f t="shared" si="2"/>
        <v>36750</v>
      </c>
      <c r="R15" s="249">
        <f t="shared" si="3"/>
        <v>3.6170212765957448</v>
      </c>
      <c r="T15" s="246"/>
    </row>
    <row r="16" spans="1:32" ht="25.15" customHeight="1" x14ac:dyDescent="0.25">
      <c r="A16" s="699" t="str">
        <f t="shared" si="0"/>
        <v>4x3 KX C0381</v>
      </c>
      <c r="B16" s="700" t="s">
        <v>26</v>
      </c>
      <c r="C16" s="687" t="s">
        <v>33</v>
      </c>
      <c r="D16" s="248" t="s">
        <v>6</v>
      </c>
      <c r="E16" s="701" t="s">
        <v>319</v>
      </c>
      <c r="F16" s="688" t="s">
        <v>160</v>
      </c>
      <c r="G16" s="245"/>
      <c r="H16" s="688" t="s">
        <v>117</v>
      </c>
      <c r="I16" s="304" t="s">
        <v>338</v>
      </c>
      <c r="J16" s="689">
        <v>235</v>
      </c>
      <c r="K16" s="690">
        <v>0.92</v>
      </c>
      <c r="L16" s="709">
        <v>0.9</v>
      </c>
      <c r="M16" s="692">
        <v>35000</v>
      </c>
      <c r="N16" s="269">
        <f t="shared" si="4"/>
        <v>85106.382978723399</v>
      </c>
      <c r="O16" s="658"/>
      <c r="P16" s="269" t="str">
        <f t="shared" si="1"/>
        <v/>
      </c>
      <c r="Q16" s="268">
        <f t="shared" si="2"/>
        <v>36750</v>
      </c>
      <c r="R16" s="249">
        <f t="shared" si="3"/>
        <v>3.9148936170212769</v>
      </c>
      <c r="T16" s="298"/>
      <c r="U16" s="252"/>
    </row>
    <row r="17" spans="1:33" ht="25.15" customHeight="1" x14ac:dyDescent="0.25">
      <c r="A17" s="699" t="str">
        <f t="shared" si="0"/>
        <v>4x3 MEGUSTO KWS</v>
      </c>
      <c r="B17" s="700" t="s">
        <v>26</v>
      </c>
      <c r="C17" s="687" t="s">
        <v>38</v>
      </c>
      <c r="D17" s="248" t="s">
        <v>6</v>
      </c>
      <c r="E17" s="701" t="s">
        <v>320</v>
      </c>
      <c r="F17" s="688" t="s">
        <v>159</v>
      </c>
      <c r="G17" s="245"/>
      <c r="H17" s="688" t="s">
        <v>115</v>
      </c>
      <c r="I17" s="304" t="s">
        <v>338</v>
      </c>
      <c r="J17" s="689">
        <v>260</v>
      </c>
      <c r="K17" s="690">
        <v>0.85</v>
      </c>
      <c r="L17" s="709">
        <v>0.8</v>
      </c>
      <c r="M17" s="692">
        <v>35000</v>
      </c>
      <c r="N17" s="269">
        <f t="shared" si="4"/>
        <v>76923.076923076922</v>
      </c>
      <c r="O17" s="658"/>
      <c r="P17" s="269" t="str">
        <f t="shared" si="1"/>
        <v/>
      </c>
      <c r="Q17" s="268">
        <f t="shared" si="2"/>
        <v>36750</v>
      </c>
      <c r="R17" s="249">
        <f t="shared" si="3"/>
        <v>3.2692307692307692</v>
      </c>
      <c r="T17" s="246"/>
    </row>
    <row r="18" spans="1:33" ht="25.15" customHeight="1" x14ac:dyDescent="0.25">
      <c r="A18" s="699" t="str">
        <f t="shared" si="0"/>
        <v>4x3 HARDWARE</v>
      </c>
      <c r="B18" s="700" t="s">
        <v>26</v>
      </c>
      <c r="C18" s="710" t="s">
        <v>353</v>
      </c>
      <c r="D18" s="248" t="s">
        <v>6</v>
      </c>
      <c r="E18" s="701" t="s">
        <v>321</v>
      </c>
      <c r="F18" s="688" t="s">
        <v>173</v>
      </c>
      <c r="G18" s="245"/>
      <c r="H18" s="688" t="s">
        <v>115</v>
      </c>
      <c r="I18" s="304" t="s">
        <v>339</v>
      </c>
      <c r="J18" s="689">
        <v>275</v>
      </c>
      <c r="K18" s="690">
        <v>0.95</v>
      </c>
      <c r="L18" s="709">
        <v>0.95</v>
      </c>
      <c r="M18" s="692">
        <v>35000</v>
      </c>
      <c r="N18" s="269">
        <f t="shared" si="4"/>
        <v>72727.272727272721</v>
      </c>
      <c r="O18" s="658"/>
      <c r="P18" s="269" t="str">
        <f t="shared" si="1"/>
        <v/>
      </c>
      <c r="Q18" s="268">
        <f t="shared" si="2"/>
        <v>36750</v>
      </c>
      <c r="R18" s="249">
        <f t="shared" si="3"/>
        <v>3.4545454545454541</v>
      </c>
      <c r="T18" s="246"/>
    </row>
    <row r="19" spans="1:33" ht="25.15" customHeight="1" x14ac:dyDescent="0.25">
      <c r="A19" s="699" t="str">
        <f t="shared" si="0"/>
        <v>6x2 AMAROC</v>
      </c>
      <c r="B19" s="700" t="s">
        <v>26</v>
      </c>
      <c r="C19" s="710" t="s">
        <v>30</v>
      </c>
      <c r="D19" s="248" t="s">
        <v>49</v>
      </c>
      <c r="E19" s="701" t="s">
        <v>270</v>
      </c>
      <c r="F19" s="688" t="s">
        <v>162</v>
      </c>
      <c r="G19" s="245"/>
      <c r="H19" s="688" t="s">
        <v>117</v>
      </c>
      <c r="I19" s="304" t="s">
        <v>339</v>
      </c>
      <c r="J19" s="689">
        <v>255</v>
      </c>
      <c r="K19" s="690">
        <v>0.98</v>
      </c>
      <c r="L19" s="691">
        <v>0.98</v>
      </c>
      <c r="M19" s="692">
        <v>14300</v>
      </c>
      <c r="N19" s="269">
        <f t="shared" si="4"/>
        <v>78431.372549019608</v>
      </c>
      <c r="O19" s="658"/>
      <c r="P19" s="269" t="str">
        <f t="shared" si="1"/>
        <v/>
      </c>
      <c r="Q19" s="268">
        <f t="shared" si="2"/>
        <v>15010</v>
      </c>
      <c r="R19" s="249">
        <f t="shared" si="3"/>
        <v>3.8431372549019605</v>
      </c>
      <c r="T19" s="246"/>
    </row>
    <row r="20" spans="1:33" ht="25.15" customHeight="1" x14ac:dyDescent="0.25">
      <c r="A20" s="746"/>
      <c r="B20" s="700"/>
      <c r="C20" s="746"/>
      <c r="D20" s="746"/>
      <c r="E20" s="746"/>
      <c r="F20" s="746"/>
      <c r="G20" s="746"/>
      <c r="H20" s="746"/>
      <c r="I20" s="746"/>
      <c r="J20" s="746"/>
      <c r="K20" s="746"/>
      <c r="L20" s="746"/>
      <c r="M20" s="746"/>
      <c r="N20" s="746"/>
      <c r="O20" s="746"/>
      <c r="P20" s="746"/>
      <c r="Q20" s="746"/>
      <c r="T20" s="246"/>
    </row>
    <row r="21" spans="1:33" ht="25.15" customHeight="1" x14ac:dyDescent="0.25">
      <c r="A21" s="746"/>
      <c r="B21" s="700"/>
      <c r="C21" s="746"/>
      <c r="D21" s="746"/>
      <c r="E21" s="746"/>
      <c r="F21" s="746"/>
      <c r="G21" s="746"/>
      <c r="H21" s="746"/>
      <c r="I21" s="746"/>
      <c r="J21" s="746"/>
      <c r="K21" s="746"/>
      <c r="L21" s="746"/>
      <c r="M21" s="746"/>
      <c r="N21" s="746"/>
      <c r="O21" s="746"/>
      <c r="P21" s="746"/>
      <c r="Q21" s="746"/>
      <c r="T21" s="246"/>
    </row>
    <row r="22" spans="1:33" ht="25.15" customHeight="1" x14ac:dyDescent="0.25">
      <c r="A22" s="746"/>
      <c r="B22" s="700"/>
      <c r="C22" s="746"/>
      <c r="D22" s="746"/>
      <c r="E22" s="746"/>
      <c r="F22" s="746"/>
      <c r="G22" s="746"/>
      <c r="H22" s="746"/>
      <c r="I22" s="746"/>
      <c r="J22" s="746"/>
      <c r="K22" s="746"/>
      <c r="L22" s="746"/>
      <c r="M22" s="746"/>
      <c r="N22" s="746"/>
      <c r="O22" s="746"/>
      <c r="P22" s="746"/>
      <c r="Q22" s="746"/>
      <c r="T22" s="246"/>
    </row>
    <row r="23" spans="1:33" ht="25.15" customHeight="1" x14ac:dyDescent="0.25">
      <c r="A23" s="746"/>
      <c r="B23" s="700"/>
      <c r="C23" s="746"/>
      <c r="D23" s="746"/>
      <c r="E23" s="746"/>
      <c r="F23" s="746"/>
      <c r="G23" s="746"/>
      <c r="H23" s="746"/>
      <c r="I23" s="746"/>
      <c r="J23" s="746"/>
      <c r="K23" s="746"/>
      <c r="L23" s="746"/>
      <c r="M23" s="746"/>
      <c r="N23" s="746"/>
      <c r="O23" s="746"/>
      <c r="P23" s="746"/>
      <c r="Q23" s="746"/>
      <c r="T23" s="246"/>
    </row>
    <row r="24" spans="1:33" ht="25.15" customHeight="1" x14ac:dyDescent="0.25">
      <c r="A24" s="746"/>
      <c r="B24" s="700"/>
      <c r="C24" s="746"/>
      <c r="D24" s="746"/>
      <c r="E24" s="746"/>
      <c r="F24" s="746"/>
      <c r="G24" s="746"/>
      <c r="H24" s="746"/>
      <c r="I24" s="746"/>
      <c r="J24" s="746"/>
      <c r="K24" s="746"/>
      <c r="L24" s="746"/>
      <c r="M24" s="746"/>
      <c r="N24" s="746"/>
      <c r="O24" s="746"/>
      <c r="P24" s="746"/>
      <c r="Q24" s="746"/>
      <c r="T24" s="246"/>
    </row>
    <row r="25" spans="1:33" ht="25.15" customHeight="1" x14ac:dyDescent="0.25">
      <c r="A25" s="746"/>
      <c r="B25" s="700"/>
      <c r="C25" s="746"/>
      <c r="D25" s="746"/>
      <c r="E25" s="746"/>
      <c r="F25" s="746"/>
      <c r="G25" s="746"/>
      <c r="H25" s="746"/>
      <c r="I25" s="746"/>
      <c r="J25" s="746"/>
      <c r="K25" s="746"/>
      <c r="L25" s="746"/>
      <c r="M25" s="746"/>
      <c r="N25" s="746"/>
      <c r="O25" s="746"/>
      <c r="P25" s="746"/>
      <c r="Q25" s="746"/>
      <c r="T25" s="246"/>
    </row>
    <row r="26" spans="1:33" ht="25.15" customHeight="1" x14ac:dyDescent="0.25">
      <c r="A26" s="746"/>
      <c r="B26" s="700"/>
      <c r="C26" s="746"/>
      <c r="D26" s="746"/>
      <c r="E26" s="746"/>
      <c r="F26" s="746"/>
      <c r="G26" s="746"/>
      <c r="H26" s="746"/>
      <c r="I26" s="746"/>
      <c r="J26" s="746"/>
      <c r="K26" s="746"/>
      <c r="L26" s="746"/>
      <c r="M26" s="746"/>
      <c r="N26" s="746"/>
      <c r="O26" s="746"/>
      <c r="P26" s="746"/>
      <c r="Q26" s="746"/>
      <c r="T26" s="273"/>
      <c r="AA26" s="229"/>
    </row>
    <row r="27" spans="1:33" ht="25.15" customHeight="1" x14ac:dyDescent="0.25">
      <c r="A27" s="699"/>
      <c r="B27" s="700"/>
      <c r="C27" s="654"/>
      <c r="D27" s="259"/>
      <c r="E27" s="701"/>
      <c r="F27" s="304"/>
      <c r="G27" s="304"/>
      <c r="H27" s="304"/>
      <c r="I27" s="304"/>
      <c r="J27" s="305"/>
      <c r="K27" s="306"/>
      <c r="L27" s="301"/>
      <c r="M27" s="268"/>
      <c r="N27" s="269"/>
      <c r="O27" s="785"/>
      <c r="P27" s="269"/>
      <c r="Q27" s="268"/>
      <c r="R27" s="249"/>
      <c r="T27" s="246"/>
    </row>
    <row r="28" spans="1:33" ht="25.15" customHeight="1" x14ac:dyDescent="0.25">
      <c r="A28" s="699"/>
      <c r="B28" s="700"/>
      <c r="C28" s="654"/>
      <c r="D28" s="259"/>
      <c r="E28" s="701"/>
      <c r="F28" s="304"/>
      <c r="G28" s="304"/>
      <c r="H28" s="304"/>
      <c r="I28" s="304"/>
      <c r="J28" s="305"/>
      <c r="K28" s="306"/>
      <c r="L28" s="301"/>
      <c r="M28" s="268"/>
      <c r="N28" s="269"/>
      <c r="O28" s="785"/>
      <c r="P28" s="269"/>
      <c r="Q28" s="268"/>
      <c r="R28" s="249"/>
      <c r="T28" s="246"/>
    </row>
    <row r="29" spans="1:33" ht="25.15" customHeight="1" x14ac:dyDescent="0.25">
      <c r="A29" s="722"/>
      <c r="B29" s="723"/>
      <c r="C29" s="724"/>
      <c r="D29" s="725"/>
      <c r="E29" s="726"/>
      <c r="F29" s="382"/>
      <c r="G29" s="382"/>
      <c r="H29" s="382"/>
      <c r="I29" s="382"/>
      <c r="J29" s="384"/>
      <c r="K29" s="385"/>
      <c r="L29" s="386"/>
      <c r="M29" s="715"/>
      <c r="N29" s="713"/>
      <c r="O29" s="714"/>
      <c r="P29" s="713"/>
      <c r="Q29" s="715"/>
      <c r="R29" s="727"/>
      <c r="S29" s="371"/>
      <c r="T29" s="298"/>
      <c r="U29" s="252"/>
      <c r="X29" s="379"/>
      <c r="Y29" s="380"/>
      <c r="Z29" s="381"/>
      <c r="AA29" s="382"/>
      <c r="AB29" s="383"/>
      <c r="AC29" s="382"/>
      <c r="AD29" s="382"/>
      <c r="AE29" s="384"/>
      <c r="AF29" s="385"/>
      <c r="AG29" s="386"/>
    </row>
    <row r="30" spans="1:33" ht="25.15" customHeight="1" x14ac:dyDescent="0.25">
      <c r="A30" s="722"/>
      <c r="B30" s="723"/>
      <c r="C30" s="724"/>
      <c r="D30" s="725"/>
      <c r="E30" s="726"/>
      <c r="F30" s="382"/>
      <c r="G30" s="382"/>
      <c r="H30" s="382"/>
      <c r="I30" s="382"/>
      <c r="J30" s="384"/>
      <c r="K30" s="385"/>
      <c r="L30" s="386"/>
      <c r="M30" s="715"/>
      <c r="N30" s="713"/>
      <c r="O30" s="714"/>
      <c r="P30" s="713"/>
      <c r="Q30" s="715"/>
      <c r="R30" s="727"/>
      <c r="S30" s="371"/>
      <c r="T30" s="298"/>
      <c r="U30" s="252"/>
    </row>
    <row r="31" spans="1:33" ht="25.15" customHeight="1" x14ac:dyDescent="0.25">
      <c r="A31" s="722"/>
      <c r="B31" s="723"/>
      <c r="C31" s="724"/>
      <c r="D31" s="725"/>
      <c r="E31" s="726"/>
      <c r="F31" s="382"/>
      <c r="G31" s="382"/>
      <c r="H31" s="382"/>
      <c r="I31" s="382"/>
      <c r="J31" s="384"/>
      <c r="K31" s="385"/>
      <c r="L31" s="386"/>
      <c r="M31" s="715"/>
      <c r="N31" s="713"/>
      <c r="O31" s="714"/>
      <c r="P31" s="713"/>
      <c r="Q31" s="715"/>
      <c r="R31" s="727"/>
      <c r="S31" s="371"/>
      <c r="T31" s="298"/>
      <c r="U31" s="252"/>
    </row>
    <row r="32" spans="1:33" ht="25.15" customHeight="1" x14ac:dyDescent="0.25">
      <c r="A32" s="722"/>
      <c r="B32" s="723"/>
      <c r="C32" s="724"/>
      <c r="D32" s="725"/>
      <c r="E32" s="726"/>
      <c r="F32" s="382"/>
      <c r="G32" s="382"/>
      <c r="H32" s="382"/>
      <c r="I32" s="382"/>
      <c r="J32" s="384"/>
      <c r="K32" s="385"/>
      <c r="L32" s="386"/>
      <c r="M32" s="715"/>
      <c r="N32" s="713"/>
      <c r="O32" s="714"/>
      <c r="P32" s="713"/>
      <c r="Q32" s="715"/>
      <c r="R32" s="727"/>
      <c r="S32" s="371"/>
      <c r="T32" s="298"/>
      <c r="U32" s="252"/>
    </row>
    <row r="33" spans="1:21" ht="25.15" customHeight="1" x14ac:dyDescent="0.25">
      <c r="A33" s="722"/>
      <c r="B33" s="723"/>
      <c r="C33" s="724"/>
      <c r="D33" s="725"/>
      <c r="E33" s="726"/>
      <c r="F33" s="382"/>
      <c r="G33" s="716"/>
      <c r="H33" s="382"/>
      <c r="I33" s="382"/>
      <c r="J33" s="384"/>
      <c r="K33" s="385"/>
      <c r="L33" s="386"/>
      <c r="M33" s="715"/>
      <c r="N33" s="713"/>
      <c r="O33" s="714"/>
      <c r="P33" s="713"/>
      <c r="Q33" s="715"/>
      <c r="R33" s="727"/>
      <c r="T33" s="298"/>
    </row>
    <row r="34" spans="1:21" ht="25.15" customHeight="1" x14ac:dyDescent="0.25">
      <c r="A34" s="722"/>
      <c r="B34" s="723"/>
      <c r="C34" s="717"/>
      <c r="D34" s="718"/>
      <c r="E34" s="726"/>
      <c r="F34" s="382"/>
      <c r="G34" s="382"/>
      <c r="H34" s="382"/>
      <c r="I34" s="382"/>
      <c r="J34" s="384"/>
      <c r="K34" s="385"/>
      <c r="L34" s="719"/>
      <c r="M34" s="720"/>
      <c r="N34" s="713"/>
      <c r="O34" s="714"/>
      <c r="P34" s="713"/>
      <c r="Q34" s="715"/>
      <c r="R34" s="727"/>
    </row>
    <row r="35" spans="1:21" ht="25.15" customHeight="1" x14ac:dyDescent="0.25">
      <c r="A35" s="722"/>
      <c r="B35" s="723"/>
      <c r="C35" s="717"/>
      <c r="D35" s="718"/>
      <c r="E35" s="726"/>
      <c r="F35" s="382"/>
      <c r="G35" s="382"/>
      <c r="H35" s="382"/>
      <c r="I35" s="382"/>
      <c r="J35" s="384"/>
      <c r="K35" s="385"/>
      <c r="L35" s="719"/>
      <c r="M35" s="720"/>
      <c r="N35" s="713"/>
      <c r="O35" s="714"/>
      <c r="P35" s="713"/>
      <c r="Q35" s="715"/>
      <c r="R35" s="727"/>
      <c r="T35" s="298"/>
    </row>
    <row r="36" spans="1:21" ht="25.15" customHeight="1" x14ac:dyDescent="0.25">
      <c r="A36" s="722"/>
      <c r="B36" s="723"/>
      <c r="C36" s="717"/>
      <c r="D36" s="725"/>
      <c r="E36" s="726"/>
      <c r="F36" s="728"/>
      <c r="G36" s="228"/>
      <c r="H36" s="728"/>
      <c r="I36" s="228"/>
      <c r="J36" s="729"/>
      <c r="K36" s="730"/>
      <c r="L36" s="386"/>
      <c r="M36" s="715"/>
      <c r="N36" s="713"/>
      <c r="O36" s="714"/>
      <c r="P36" s="713"/>
      <c r="Q36" s="715"/>
      <c r="R36" s="727"/>
      <c r="T36" s="298"/>
      <c r="U36" s="252"/>
    </row>
    <row r="37" spans="1:21" ht="25.15" customHeight="1" x14ac:dyDescent="0.25">
      <c r="A37" s="722"/>
      <c r="B37" s="723"/>
      <c r="C37" s="717"/>
      <c r="D37" s="725"/>
      <c r="E37" s="726"/>
      <c r="F37" s="728"/>
      <c r="G37" s="228"/>
      <c r="H37" s="728"/>
      <c r="I37" s="228"/>
      <c r="J37" s="729"/>
      <c r="K37" s="730"/>
      <c r="L37" s="386"/>
      <c r="M37" s="715"/>
      <c r="N37" s="713"/>
      <c r="O37" s="714"/>
      <c r="P37" s="713"/>
      <c r="Q37" s="715"/>
      <c r="R37" s="727"/>
      <c r="T37" s="298"/>
      <c r="U37" s="252"/>
    </row>
    <row r="38" spans="1:21" ht="25.15" customHeight="1" x14ac:dyDescent="0.25">
      <c r="A38" s="722"/>
      <c r="B38" s="723"/>
      <c r="C38" s="717"/>
      <c r="D38" s="725"/>
      <c r="E38" s="726"/>
      <c r="F38" s="382"/>
      <c r="G38" s="382"/>
      <c r="H38" s="382"/>
      <c r="I38" s="382"/>
      <c r="J38" s="384"/>
      <c r="K38" s="385"/>
      <c r="L38" s="386"/>
      <c r="M38" s="715"/>
      <c r="N38" s="713"/>
      <c r="O38" s="714"/>
      <c r="P38" s="713"/>
      <c r="Q38" s="715"/>
      <c r="R38" s="727"/>
      <c r="S38" s="371"/>
      <c r="T38" s="298"/>
      <c r="U38" s="252"/>
    </row>
    <row r="39" spans="1:21" ht="25.15" customHeight="1" x14ac:dyDescent="0.25">
      <c r="A39" s="722"/>
      <c r="B39" s="723"/>
      <c r="C39" s="717"/>
      <c r="D39" s="725"/>
      <c r="E39" s="726"/>
      <c r="F39" s="382"/>
      <c r="G39" s="382"/>
      <c r="H39" s="382"/>
      <c r="I39" s="382"/>
      <c r="J39" s="384"/>
      <c r="K39" s="385"/>
      <c r="L39" s="386"/>
      <c r="M39" s="715"/>
      <c r="N39" s="713"/>
      <c r="O39" s="714"/>
      <c r="P39" s="713"/>
      <c r="Q39" s="715"/>
      <c r="R39" s="727"/>
      <c r="S39" s="371"/>
      <c r="T39" s="298"/>
      <c r="U39" s="252"/>
    </row>
    <row r="40" spans="1:21" ht="25.15" customHeight="1" x14ac:dyDescent="0.25">
      <c r="A40" s="722"/>
      <c r="B40" s="723"/>
      <c r="C40" s="717"/>
      <c r="D40" s="725"/>
      <c r="E40" s="726"/>
      <c r="F40" s="382"/>
      <c r="G40" s="382"/>
      <c r="H40" s="382"/>
      <c r="I40" s="382"/>
      <c r="J40" s="384"/>
      <c r="K40" s="385"/>
      <c r="L40" s="386"/>
      <c r="M40" s="715"/>
      <c r="N40" s="713"/>
      <c r="O40" s="714"/>
      <c r="P40" s="713"/>
      <c r="Q40" s="715"/>
      <c r="R40" s="727"/>
      <c r="S40" s="371"/>
      <c r="T40" s="298"/>
      <c r="U40" s="252"/>
    </row>
    <row r="41" spans="1:21" ht="25.15" customHeight="1" x14ac:dyDescent="0.25">
      <c r="A41" s="722"/>
      <c r="B41" s="723"/>
      <c r="C41" s="731"/>
      <c r="D41" s="725"/>
      <c r="E41" s="732"/>
      <c r="F41" s="728"/>
      <c r="G41" s="228"/>
      <c r="H41" s="728"/>
      <c r="I41" s="228"/>
      <c r="J41" s="729"/>
      <c r="K41" s="730"/>
      <c r="L41" s="386"/>
      <c r="M41" s="715"/>
      <c r="N41" s="713"/>
      <c r="O41" s="714"/>
      <c r="P41" s="713"/>
      <c r="Q41" s="715"/>
      <c r="R41" s="727"/>
      <c r="S41" s="371"/>
      <c r="T41" s="298"/>
      <c r="U41" s="373"/>
    </row>
    <row r="42" spans="1:21" ht="25.15" customHeight="1" x14ac:dyDescent="0.25">
      <c r="A42" s="722"/>
      <c r="B42" s="723"/>
      <c r="C42" s="731"/>
      <c r="D42" s="725"/>
      <c r="E42" s="732"/>
      <c r="F42" s="382"/>
      <c r="G42" s="382"/>
      <c r="H42" s="382"/>
      <c r="I42" s="382"/>
      <c r="J42" s="384"/>
      <c r="K42" s="385"/>
      <c r="L42" s="386"/>
      <c r="M42" s="715"/>
      <c r="N42" s="713"/>
      <c r="O42" s="714"/>
      <c r="P42" s="713"/>
      <c r="Q42" s="715"/>
      <c r="R42" s="727"/>
      <c r="S42" s="371"/>
      <c r="T42" s="298"/>
      <c r="U42" s="252"/>
    </row>
    <row r="43" spans="1:21" ht="25.15" customHeight="1" x14ac:dyDescent="0.25">
      <c r="A43" s="722"/>
      <c r="B43" s="723"/>
      <c r="C43" s="731"/>
      <c r="D43" s="725"/>
      <c r="E43" s="732"/>
      <c r="F43" s="382"/>
      <c r="G43" s="382"/>
      <c r="H43" s="382"/>
      <c r="I43" s="382"/>
      <c r="J43" s="384"/>
      <c r="K43" s="385"/>
      <c r="L43" s="386"/>
      <c r="M43" s="715"/>
      <c r="N43" s="713"/>
      <c r="O43" s="714"/>
      <c r="P43" s="713"/>
      <c r="Q43" s="715"/>
      <c r="R43" s="727"/>
      <c r="S43" s="371"/>
      <c r="T43" s="298"/>
      <c r="U43" s="252"/>
    </row>
    <row r="44" spans="1:21" ht="25.15" customHeight="1" x14ac:dyDescent="0.25">
      <c r="A44" s="722"/>
      <c r="B44" s="723"/>
      <c r="C44" s="731"/>
      <c r="D44" s="725"/>
      <c r="E44" s="732"/>
      <c r="F44" s="382"/>
      <c r="G44" s="382"/>
      <c r="H44" s="382"/>
      <c r="I44" s="382"/>
      <c r="J44" s="384"/>
      <c r="K44" s="385"/>
      <c r="L44" s="386"/>
      <c r="M44" s="715"/>
      <c r="N44" s="713"/>
      <c r="O44" s="714"/>
      <c r="P44" s="713"/>
      <c r="Q44" s="715"/>
      <c r="R44" s="727"/>
      <c r="S44" s="371"/>
      <c r="T44" s="298"/>
      <c r="U44" s="252"/>
    </row>
    <row r="45" spans="1:21" ht="25.15" customHeight="1" x14ac:dyDescent="0.25">
      <c r="A45" s="722"/>
      <c r="B45" s="723"/>
      <c r="C45" s="731"/>
      <c r="D45" s="725"/>
      <c r="E45" s="726"/>
      <c r="F45" s="728"/>
      <c r="G45" s="228"/>
      <c r="H45" s="728"/>
      <c r="I45" s="228"/>
      <c r="J45" s="729"/>
      <c r="K45" s="730"/>
      <c r="L45" s="386"/>
      <c r="M45" s="715"/>
      <c r="N45" s="713"/>
      <c r="O45" s="714"/>
      <c r="P45" s="713"/>
      <c r="Q45" s="715"/>
      <c r="R45" s="727"/>
      <c r="S45" s="371"/>
      <c r="T45" s="298"/>
      <c r="U45" s="252"/>
    </row>
    <row r="46" spans="1:21" ht="25.15" customHeight="1" x14ac:dyDescent="0.25">
      <c r="A46" s="722"/>
      <c r="B46" s="723"/>
      <c r="C46" s="731"/>
      <c r="D46" s="725"/>
      <c r="E46" s="726"/>
      <c r="F46" s="382"/>
      <c r="G46" s="382"/>
      <c r="H46" s="382"/>
      <c r="I46" s="382"/>
      <c r="J46" s="384"/>
      <c r="K46" s="385"/>
      <c r="L46" s="386"/>
      <c r="M46" s="715"/>
      <c r="N46" s="713"/>
      <c r="O46" s="714"/>
      <c r="P46" s="713"/>
      <c r="Q46" s="715"/>
      <c r="R46" s="727"/>
      <c r="S46" s="371"/>
      <c r="T46" s="298"/>
      <c r="U46" s="252"/>
    </row>
    <row r="47" spans="1:21" ht="25.15" customHeight="1" x14ac:dyDescent="0.25">
      <c r="A47" s="722"/>
      <c r="B47" s="723"/>
      <c r="C47" s="731"/>
      <c r="D47" s="725"/>
      <c r="E47" s="726"/>
      <c r="F47" s="382"/>
      <c r="G47" s="382"/>
      <c r="H47" s="382"/>
      <c r="I47" s="382"/>
      <c r="J47" s="384"/>
      <c r="K47" s="385"/>
      <c r="L47" s="386"/>
      <c r="M47" s="715"/>
      <c r="N47" s="713"/>
      <c r="O47" s="714"/>
      <c r="P47" s="713"/>
      <c r="Q47" s="715"/>
      <c r="R47" s="727"/>
      <c r="S47" s="371"/>
      <c r="T47" s="298"/>
      <c r="U47" s="252"/>
    </row>
    <row r="48" spans="1:21" ht="25.15" customHeight="1" x14ac:dyDescent="0.25">
      <c r="A48" s="722"/>
      <c r="B48" s="723"/>
      <c r="C48" s="717"/>
      <c r="D48" s="725"/>
      <c r="E48" s="726"/>
      <c r="F48" s="382"/>
      <c r="G48" s="382"/>
      <c r="H48" s="382"/>
      <c r="I48" s="382"/>
      <c r="J48" s="384"/>
      <c r="K48" s="385"/>
      <c r="L48" s="386"/>
      <c r="M48" s="715"/>
      <c r="N48" s="713"/>
      <c r="O48" s="714"/>
      <c r="P48" s="713"/>
      <c r="Q48" s="715"/>
      <c r="R48" s="727"/>
      <c r="S48" s="371"/>
      <c r="T48" s="298"/>
      <c r="U48" s="252"/>
    </row>
    <row r="49" spans="1:21" ht="25.15" customHeight="1" x14ac:dyDescent="0.25">
      <c r="A49" s="722"/>
      <c r="B49" s="723"/>
      <c r="C49" s="717"/>
      <c r="D49" s="725"/>
      <c r="E49" s="726"/>
      <c r="F49" s="382"/>
      <c r="G49" s="382"/>
      <c r="H49" s="382"/>
      <c r="I49" s="382"/>
      <c r="J49" s="384"/>
      <c r="K49" s="385"/>
      <c r="L49" s="386"/>
      <c r="M49" s="715"/>
      <c r="N49" s="713"/>
      <c r="O49" s="714"/>
      <c r="P49" s="713"/>
      <c r="Q49" s="715"/>
      <c r="R49" s="727"/>
      <c r="S49" s="371"/>
      <c r="T49" s="298"/>
      <c r="U49" s="252"/>
    </row>
    <row r="50" spans="1:21" ht="25.15" customHeight="1" x14ac:dyDescent="0.25">
      <c r="A50" s="722"/>
      <c r="B50" s="723"/>
      <c r="C50" s="717"/>
      <c r="D50" s="725"/>
      <c r="E50" s="726"/>
      <c r="F50" s="382"/>
      <c r="G50" s="382"/>
      <c r="H50" s="382"/>
      <c r="I50" s="382"/>
      <c r="J50" s="384"/>
      <c r="K50" s="385"/>
      <c r="L50" s="386"/>
      <c r="M50" s="715"/>
      <c r="N50" s="713"/>
      <c r="O50" s="714"/>
      <c r="P50" s="713"/>
      <c r="Q50" s="715"/>
      <c r="R50" s="727"/>
      <c r="S50" s="371"/>
      <c r="T50" s="622"/>
      <c r="U50" s="252"/>
    </row>
    <row r="51" spans="1:21" ht="25.15" customHeight="1" x14ac:dyDescent="0.25">
      <c r="A51" s="722"/>
      <c r="B51" s="723"/>
      <c r="C51" s="717"/>
      <c r="D51" s="725"/>
      <c r="E51" s="726"/>
      <c r="F51" s="382"/>
      <c r="G51" s="382"/>
      <c r="H51" s="382"/>
      <c r="I51" s="382"/>
      <c r="J51" s="384"/>
      <c r="K51" s="385"/>
      <c r="L51" s="386"/>
      <c r="M51" s="715"/>
      <c r="N51" s="713"/>
      <c r="O51" s="714"/>
      <c r="P51" s="713"/>
      <c r="Q51" s="715"/>
      <c r="R51" s="727"/>
      <c r="S51" s="371"/>
      <c r="T51" s="298"/>
      <c r="U51" s="252"/>
    </row>
    <row r="52" spans="1:21" ht="18.95" customHeight="1" x14ac:dyDescent="0.25">
      <c r="A52" s="722"/>
      <c r="B52" s="723"/>
      <c r="C52" s="717"/>
      <c r="D52" s="718"/>
      <c r="E52" s="726"/>
      <c r="F52" s="382"/>
      <c r="G52" s="382"/>
      <c r="H52" s="382"/>
      <c r="I52" s="382"/>
      <c r="J52" s="384"/>
      <c r="K52" s="385"/>
      <c r="L52" s="719"/>
      <c r="M52" s="720"/>
      <c r="N52" s="713"/>
      <c r="O52" s="714"/>
      <c r="P52" s="713"/>
      <c r="Q52" s="715"/>
      <c r="R52" s="727"/>
    </row>
    <row r="53" spans="1:21" x14ac:dyDescent="0.25">
      <c r="A53" s="722"/>
      <c r="B53" s="723"/>
      <c r="C53" s="717"/>
      <c r="D53" s="718"/>
      <c r="E53" s="726"/>
      <c r="F53" s="382"/>
      <c r="G53" s="382"/>
      <c r="H53" s="382"/>
      <c r="I53" s="382"/>
      <c r="J53" s="384"/>
      <c r="K53" s="385"/>
      <c r="L53" s="719"/>
      <c r="M53" s="720"/>
      <c r="N53" s="713"/>
      <c r="O53" s="714"/>
      <c r="P53" s="713"/>
      <c r="Q53" s="715"/>
      <c r="R53" s="727"/>
    </row>
    <row r="54" spans="1:21" ht="25.15" customHeight="1" x14ac:dyDescent="0.25">
      <c r="A54" s="722"/>
      <c r="B54" s="723"/>
      <c r="C54" s="724"/>
      <c r="D54" s="725"/>
      <c r="E54" s="726"/>
      <c r="F54" s="728"/>
      <c r="G54" s="228"/>
      <c r="H54" s="728"/>
      <c r="I54" s="228"/>
      <c r="J54" s="729"/>
      <c r="K54" s="730"/>
      <c r="L54" s="386"/>
      <c r="M54" s="715"/>
      <c r="N54" s="713"/>
      <c r="O54" s="714"/>
      <c r="P54" s="713"/>
      <c r="Q54" s="715"/>
      <c r="R54" s="727"/>
      <c r="T54" s="298"/>
      <c r="U54" s="252"/>
    </row>
    <row r="55" spans="1:21" ht="25.15" customHeight="1" x14ac:dyDescent="0.25">
      <c r="A55" s="722"/>
      <c r="B55" s="723"/>
      <c r="C55" s="724"/>
      <c r="D55" s="725"/>
      <c r="E55" s="726"/>
      <c r="F55" s="728"/>
      <c r="G55" s="228"/>
      <c r="H55" s="728"/>
      <c r="I55" s="228"/>
      <c r="J55" s="729"/>
      <c r="K55" s="730"/>
      <c r="L55" s="386"/>
      <c r="M55" s="715"/>
      <c r="N55" s="713"/>
      <c r="O55" s="714"/>
      <c r="P55" s="713"/>
      <c r="Q55" s="715"/>
      <c r="R55" s="727"/>
      <c r="T55" s="298"/>
      <c r="U55" s="252"/>
    </row>
    <row r="56" spans="1:21" ht="25.15" customHeight="1" x14ac:dyDescent="0.25">
      <c r="A56" s="722"/>
      <c r="B56" s="723"/>
      <c r="C56" s="731"/>
      <c r="D56" s="725"/>
      <c r="E56" s="726"/>
      <c r="F56" s="728"/>
      <c r="G56" s="228"/>
      <c r="H56" s="728"/>
      <c r="I56" s="228"/>
      <c r="J56" s="729"/>
      <c r="K56" s="730"/>
      <c r="L56" s="386"/>
      <c r="M56" s="715"/>
      <c r="N56" s="713"/>
      <c r="O56" s="714"/>
      <c r="P56" s="713"/>
      <c r="Q56" s="715"/>
      <c r="R56" s="727"/>
      <c r="T56" s="298"/>
      <c r="U56" s="252"/>
    </row>
    <row r="57" spans="1:21" ht="25.15" customHeight="1" x14ac:dyDescent="0.25">
      <c r="A57" s="722"/>
      <c r="B57" s="723"/>
      <c r="C57" s="731"/>
      <c r="D57" s="725"/>
      <c r="E57" s="726"/>
      <c r="F57" s="382"/>
      <c r="G57" s="382"/>
      <c r="H57" s="382"/>
      <c r="I57" s="382"/>
      <c r="J57" s="384"/>
      <c r="K57" s="385"/>
      <c r="L57" s="386"/>
      <c r="M57" s="715"/>
      <c r="N57" s="713"/>
      <c r="O57" s="714"/>
      <c r="P57" s="713"/>
      <c r="Q57" s="715"/>
      <c r="R57" s="727"/>
      <c r="T57" s="298"/>
      <c r="U57" s="252"/>
    </row>
    <row r="58" spans="1:21" ht="25.15" customHeight="1" x14ac:dyDescent="0.25">
      <c r="A58" s="722"/>
      <c r="B58" s="723"/>
      <c r="C58" s="717"/>
      <c r="D58" s="725"/>
      <c r="E58" s="726"/>
      <c r="F58" s="382"/>
      <c r="G58" s="382"/>
      <c r="H58" s="382"/>
      <c r="I58" s="382"/>
      <c r="J58" s="384"/>
      <c r="K58" s="385"/>
      <c r="L58" s="386"/>
      <c r="M58" s="715"/>
      <c r="N58" s="713"/>
      <c r="O58" s="714"/>
      <c r="P58" s="713"/>
      <c r="Q58" s="715"/>
      <c r="R58" s="727"/>
      <c r="T58" s="298"/>
      <c r="U58" s="252"/>
    </row>
    <row r="59" spans="1:21" ht="25.15" customHeight="1" x14ac:dyDescent="0.25">
      <c r="A59" s="722"/>
      <c r="B59" s="723"/>
      <c r="C59" s="717"/>
      <c r="D59" s="725"/>
      <c r="E59" s="726"/>
      <c r="F59" s="382"/>
      <c r="G59" s="382"/>
      <c r="H59" s="382"/>
      <c r="I59" s="382"/>
      <c r="J59" s="384"/>
      <c r="K59" s="385"/>
      <c r="L59" s="386"/>
      <c r="M59" s="715"/>
      <c r="N59" s="713"/>
      <c r="O59" s="714"/>
      <c r="P59" s="713"/>
      <c r="Q59" s="715"/>
      <c r="R59" s="727"/>
      <c r="T59" s="298"/>
      <c r="U59" s="252"/>
    </row>
    <row r="60" spans="1:21" ht="25.15" customHeight="1" x14ac:dyDescent="0.25">
      <c r="A60" s="722"/>
      <c r="B60" s="723"/>
      <c r="C60" s="724"/>
      <c r="D60" s="725"/>
      <c r="E60" s="726"/>
      <c r="F60" s="382"/>
      <c r="G60" s="382"/>
      <c r="H60" s="382"/>
      <c r="I60" s="382"/>
      <c r="J60" s="384"/>
      <c r="K60" s="385"/>
      <c r="L60" s="386"/>
      <c r="M60" s="715"/>
      <c r="N60" s="713"/>
      <c r="O60" s="714"/>
      <c r="P60" s="713"/>
      <c r="Q60" s="715"/>
      <c r="R60" s="727"/>
      <c r="T60" s="298"/>
      <c r="U60" s="252"/>
    </row>
    <row r="61" spans="1:21" ht="25.15" customHeight="1" x14ac:dyDescent="0.25">
      <c r="A61" s="722"/>
      <c r="B61" s="723"/>
      <c r="C61" s="724"/>
      <c r="D61" s="725"/>
      <c r="E61" s="726"/>
      <c r="F61" s="382"/>
      <c r="G61" s="382"/>
      <c r="H61" s="382"/>
      <c r="I61" s="382"/>
      <c r="J61" s="384"/>
      <c r="K61" s="385"/>
      <c r="L61" s="386"/>
      <c r="M61" s="715"/>
      <c r="N61" s="713"/>
      <c r="O61" s="714"/>
      <c r="P61" s="713"/>
      <c r="Q61" s="715"/>
      <c r="R61" s="727"/>
      <c r="T61" s="298"/>
      <c r="U61" s="252"/>
    </row>
    <row r="62" spans="1:21" ht="25.15" customHeight="1" x14ac:dyDescent="0.25">
      <c r="A62" s="722"/>
      <c r="B62" s="723"/>
      <c r="C62" s="717"/>
      <c r="D62" s="725"/>
      <c r="E62" s="726"/>
      <c r="F62" s="382"/>
      <c r="G62" s="721"/>
      <c r="H62" s="382"/>
      <c r="I62" s="382"/>
      <c r="J62" s="384"/>
      <c r="K62" s="385"/>
      <c r="L62" s="386"/>
      <c r="M62" s="715"/>
      <c r="N62" s="713"/>
      <c r="O62" s="714"/>
      <c r="P62" s="713"/>
      <c r="Q62" s="715"/>
      <c r="R62" s="727"/>
      <c r="S62" s="371"/>
      <c r="T62" s="298"/>
    </row>
    <row r="63" spans="1:21" ht="25.15" customHeight="1" x14ac:dyDescent="0.25">
      <c r="A63" s="722"/>
      <c r="B63" s="723"/>
      <c r="C63" s="717"/>
      <c r="D63" s="725"/>
      <c r="E63" s="726"/>
      <c r="F63" s="382"/>
      <c r="G63" s="721"/>
      <c r="H63" s="382"/>
      <c r="I63" s="382"/>
      <c r="J63" s="384"/>
      <c r="K63" s="385"/>
      <c r="L63" s="386"/>
      <c r="M63" s="715"/>
      <c r="N63" s="713"/>
      <c r="O63" s="714"/>
      <c r="P63" s="713"/>
      <c r="Q63" s="715"/>
      <c r="R63" s="727"/>
      <c r="S63" s="371"/>
      <c r="T63" s="298"/>
    </row>
    <row r="64" spans="1:21" ht="25.15" customHeight="1" x14ac:dyDescent="0.25">
      <c r="A64" s="722"/>
      <c r="B64" s="723"/>
      <c r="C64" s="717"/>
      <c r="D64" s="725"/>
      <c r="E64" s="726"/>
      <c r="F64" s="382"/>
      <c r="G64" s="721"/>
      <c r="H64" s="382"/>
      <c r="I64" s="382"/>
      <c r="J64" s="384"/>
      <c r="K64" s="385"/>
      <c r="L64" s="386"/>
      <c r="M64" s="715"/>
      <c r="N64" s="713"/>
      <c r="O64" s="714"/>
      <c r="P64" s="713"/>
      <c r="Q64" s="715"/>
      <c r="R64" s="727"/>
      <c r="S64" s="371"/>
      <c r="T64" s="298"/>
    </row>
    <row r="65" spans="1:21" ht="25.15" customHeight="1" x14ac:dyDescent="0.25">
      <c r="A65" s="722"/>
      <c r="B65" s="723"/>
      <c r="C65" s="717"/>
      <c r="D65" s="725"/>
      <c r="E65" s="726"/>
      <c r="F65" s="382"/>
      <c r="G65" s="721"/>
      <c r="H65" s="382"/>
      <c r="I65" s="382"/>
      <c r="J65" s="384"/>
      <c r="K65" s="385"/>
      <c r="L65" s="386"/>
      <c r="M65" s="715"/>
      <c r="N65" s="713"/>
      <c r="O65" s="714"/>
      <c r="P65" s="713"/>
      <c r="Q65" s="715"/>
      <c r="R65" s="727"/>
      <c r="S65" s="371"/>
      <c r="T65" s="298"/>
    </row>
    <row r="66" spans="1:21" x14ac:dyDescent="0.25">
      <c r="A66" s="722"/>
      <c r="B66" s="723"/>
      <c r="C66" s="717"/>
      <c r="D66" s="718"/>
      <c r="E66" s="726"/>
      <c r="F66" s="382"/>
      <c r="G66" s="382"/>
      <c r="H66" s="382"/>
      <c r="I66" s="382"/>
      <c r="J66" s="384"/>
      <c r="K66" s="385"/>
      <c r="L66" s="719"/>
      <c r="M66" s="720"/>
      <c r="N66" s="713"/>
      <c r="O66" s="714"/>
      <c r="P66" s="713"/>
      <c r="Q66" s="715"/>
      <c r="R66" s="727"/>
    </row>
    <row r="67" spans="1:21" ht="25.15" customHeight="1" x14ac:dyDescent="0.25">
      <c r="A67" s="722"/>
      <c r="B67" s="723"/>
      <c r="C67" s="731"/>
      <c r="D67" s="725"/>
      <c r="E67" s="732"/>
      <c r="F67" s="728"/>
      <c r="G67" s="228"/>
      <c r="H67" s="728"/>
      <c r="I67" s="228"/>
      <c r="J67" s="729"/>
      <c r="K67" s="730"/>
      <c r="L67" s="386"/>
      <c r="M67" s="715"/>
      <c r="N67" s="713"/>
      <c r="O67" s="714"/>
      <c r="P67" s="713"/>
      <c r="Q67" s="715"/>
      <c r="R67" s="727"/>
      <c r="S67" s="371"/>
      <c r="T67" s="298"/>
      <c r="U67" s="252"/>
    </row>
    <row r="68" spans="1:21" ht="25.15" customHeight="1" x14ac:dyDescent="0.25">
      <c r="A68" s="722"/>
      <c r="B68" s="723"/>
      <c r="C68" s="731"/>
      <c r="D68" s="725"/>
      <c r="E68" s="732"/>
      <c r="F68" s="382"/>
      <c r="G68" s="382"/>
      <c r="H68" s="382"/>
      <c r="I68" s="382"/>
      <c r="J68" s="384"/>
      <c r="K68" s="385"/>
      <c r="L68" s="386"/>
      <c r="M68" s="715"/>
      <c r="N68" s="713"/>
      <c r="O68" s="714"/>
      <c r="P68" s="713"/>
      <c r="Q68" s="715"/>
      <c r="R68" s="727"/>
      <c r="S68" s="371"/>
      <c r="T68" s="298"/>
      <c r="U68" s="252"/>
    </row>
    <row r="69" spans="1:21" ht="25.15" customHeight="1" x14ac:dyDescent="0.25">
      <c r="A69" s="722"/>
      <c r="B69" s="723"/>
      <c r="C69" s="731"/>
      <c r="D69" s="725"/>
      <c r="E69" s="732"/>
      <c r="F69" s="382"/>
      <c r="G69" s="382"/>
      <c r="H69" s="382"/>
      <c r="I69" s="382"/>
      <c r="J69" s="384"/>
      <c r="K69" s="385"/>
      <c r="L69" s="386"/>
      <c r="M69" s="715"/>
      <c r="N69" s="713"/>
      <c r="O69" s="714"/>
      <c r="P69" s="713"/>
      <c r="Q69" s="715"/>
      <c r="R69" s="727"/>
      <c r="S69" s="371"/>
      <c r="T69" s="298"/>
      <c r="U69" s="252"/>
    </row>
    <row r="70" spans="1:21" ht="25.15" customHeight="1" x14ac:dyDescent="0.25">
      <c r="A70" s="722"/>
      <c r="B70" s="723"/>
      <c r="C70" s="731"/>
      <c r="D70" s="725"/>
      <c r="E70" s="732"/>
      <c r="F70" s="382"/>
      <c r="G70" s="382"/>
      <c r="H70" s="382"/>
      <c r="I70" s="382"/>
      <c r="J70" s="384"/>
      <c r="K70" s="385"/>
      <c r="L70" s="386"/>
      <c r="M70" s="715"/>
      <c r="N70" s="713"/>
      <c r="O70" s="714"/>
      <c r="P70" s="713"/>
      <c r="Q70" s="715"/>
      <c r="R70" s="727"/>
      <c r="S70" s="371"/>
      <c r="T70" s="298"/>
      <c r="U70" s="252"/>
    </row>
    <row r="71" spans="1:21" ht="25.15" customHeight="1" x14ac:dyDescent="0.25">
      <c r="A71" s="722"/>
      <c r="B71" s="723"/>
      <c r="C71" s="731"/>
      <c r="D71" s="725"/>
      <c r="E71" s="726"/>
      <c r="F71" s="728"/>
      <c r="G71" s="228"/>
      <c r="H71" s="728"/>
      <c r="I71" s="228"/>
      <c r="J71" s="729"/>
      <c r="K71" s="730"/>
      <c r="L71" s="386"/>
      <c r="M71" s="715"/>
      <c r="N71" s="713"/>
      <c r="O71" s="714"/>
      <c r="P71" s="713"/>
      <c r="Q71" s="715"/>
      <c r="R71" s="727"/>
      <c r="S71" s="371"/>
      <c r="T71" s="298"/>
      <c r="U71" s="252"/>
    </row>
    <row r="72" spans="1:21" ht="25.15" customHeight="1" x14ac:dyDescent="0.25">
      <c r="A72" s="722"/>
      <c r="B72" s="723"/>
      <c r="C72" s="731"/>
      <c r="D72" s="725"/>
      <c r="E72" s="726"/>
      <c r="F72" s="382"/>
      <c r="G72" s="382"/>
      <c r="H72" s="382"/>
      <c r="I72" s="382"/>
      <c r="J72" s="384"/>
      <c r="K72" s="385"/>
      <c r="L72" s="386"/>
      <c r="M72" s="715"/>
      <c r="N72" s="713"/>
      <c r="O72" s="714"/>
      <c r="P72" s="713"/>
      <c r="Q72" s="715"/>
      <c r="R72" s="727"/>
      <c r="S72" s="371"/>
      <c r="T72" s="298"/>
      <c r="U72" s="252"/>
    </row>
    <row r="73" spans="1:21" ht="25.15" customHeight="1" x14ac:dyDescent="0.25">
      <c r="A73" s="722"/>
      <c r="B73" s="723"/>
      <c r="C73" s="731"/>
      <c r="D73" s="725"/>
      <c r="E73" s="726"/>
      <c r="F73" s="382"/>
      <c r="G73" s="382"/>
      <c r="H73" s="382"/>
      <c r="I73" s="382"/>
      <c r="J73" s="384"/>
      <c r="K73" s="385"/>
      <c r="L73" s="386"/>
      <c r="M73" s="715"/>
      <c r="N73" s="713"/>
      <c r="O73" s="714"/>
      <c r="P73" s="713"/>
      <c r="Q73" s="715"/>
      <c r="R73" s="727"/>
      <c r="S73" s="371"/>
      <c r="T73" s="298"/>
      <c r="U73" s="252"/>
    </row>
    <row r="74" spans="1:21" ht="25.15" customHeight="1" x14ac:dyDescent="0.25">
      <c r="A74" s="722"/>
      <c r="B74" s="723"/>
      <c r="C74" s="731"/>
      <c r="D74" s="725"/>
      <c r="E74" s="726"/>
      <c r="F74" s="382"/>
      <c r="G74" s="382"/>
      <c r="H74" s="382"/>
      <c r="I74" s="382"/>
      <c r="J74" s="384"/>
      <c r="K74" s="385"/>
      <c r="L74" s="386"/>
      <c r="M74" s="715"/>
      <c r="N74" s="713"/>
      <c r="O74" s="714"/>
      <c r="P74" s="713"/>
      <c r="Q74" s="715"/>
      <c r="R74" s="727"/>
      <c r="T74" s="298"/>
    </row>
    <row r="75" spans="1:21" ht="25.15" customHeight="1" x14ac:dyDescent="0.25">
      <c r="A75" s="722"/>
      <c r="B75" s="723"/>
      <c r="C75" s="731"/>
      <c r="D75" s="725"/>
      <c r="E75" s="726"/>
      <c r="F75" s="382"/>
      <c r="G75" s="382"/>
      <c r="H75" s="382"/>
      <c r="I75" s="382"/>
      <c r="J75" s="384"/>
      <c r="K75" s="385"/>
      <c r="L75" s="386"/>
      <c r="M75" s="715"/>
      <c r="N75" s="713"/>
      <c r="O75" s="714"/>
      <c r="P75" s="713"/>
      <c r="Q75" s="715"/>
      <c r="R75" s="727"/>
      <c r="T75" s="298"/>
    </row>
    <row r="76" spans="1:21" x14ac:dyDescent="0.25">
      <c r="A76" s="747"/>
      <c r="B76" s="748"/>
      <c r="C76" s="749"/>
      <c r="D76" s="748"/>
      <c r="E76" s="229"/>
      <c r="F76" s="750"/>
      <c r="G76" s="750"/>
      <c r="H76" s="750"/>
      <c r="I76" s="750"/>
      <c r="J76" s="751"/>
      <c r="K76" s="265"/>
      <c r="L76" s="752"/>
      <c r="M76" s="753"/>
      <c r="N76" s="754"/>
      <c r="O76" s="748"/>
      <c r="P76" s="754"/>
      <c r="Q76" s="753"/>
      <c r="R76" s="229"/>
    </row>
    <row r="77" spans="1:21" x14ac:dyDescent="0.25">
      <c r="A77" s="250"/>
      <c r="B77" s="748"/>
      <c r="C77" s="749"/>
      <c r="D77" s="748"/>
      <c r="E77" s="229"/>
      <c r="F77" s="750"/>
      <c r="G77" s="750"/>
      <c r="H77" s="750"/>
      <c r="I77" s="750"/>
      <c r="J77" s="751"/>
      <c r="K77" s="265"/>
      <c r="L77" s="752"/>
      <c r="M77" s="753"/>
      <c r="N77" s="754"/>
      <c r="O77" s="748"/>
      <c r="P77" s="754"/>
      <c r="Q77" s="753"/>
      <c r="R77" s="229"/>
    </row>
    <row r="78" spans="1:21" x14ac:dyDescent="0.25">
      <c r="A78" s="229"/>
      <c r="B78" s="748"/>
      <c r="C78" s="229"/>
      <c r="D78" s="755"/>
      <c r="E78" s="756"/>
      <c r="F78" s="757"/>
      <c r="G78" s="757"/>
      <c r="H78" s="757"/>
      <c r="I78" s="757"/>
      <c r="J78" s="758"/>
      <c r="K78" s="265"/>
      <c r="L78" s="759"/>
      <c r="M78" s="760"/>
      <c r="N78" s="761"/>
      <c r="O78" s="748"/>
      <c r="P78" s="761"/>
      <c r="Q78" s="753"/>
      <c r="R78" s="229"/>
    </row>
    <row r="79" spans="1:21" x14ac:dyDescent="0.25">
      <c r="A79" s="229"/>
      <c r="B79" s="748"/>
      <c r="C79" s="229"/>
      <c r="D79" s="748"/>
      <c r="E79" s="229"/>
      <c r="F79" s="750"/>
      <c r="G79" s="750"/>
      <c r="H79" s="750"/>
      <c r="I79" s="750"/>
      <c r="J79" s="751"/>
      <c r="K79" s="750"/>
      <c r="L79" s="752"/>
      <c r="M79" s="753"/>
      <c r="N79" s="754"/>
      <c r="O79" s="748"/>
      <c r="P79" s="754"/>
      <c r="Q79" s="753"/>
      <c r="R79" s="229"/>
    </row>
    <row r="80" spans="1:21" x14ac:dyDescent="0.25">
      <c r="A80" s="229"/>
      <c r="B80" s="748"/>
      <c r="C80" s="229"/>
      <c r="D80" s="748"/>
      <c r="E80" s="229"/>
      <c r="F80" s="750"/>
      <c r="G80" s="750"/>
      <c r="H80" s="750"/>
      <c r="I80" s="750"/>
      <c r="J80" s="751"/>
      <c r="K80" s="750"/>
      <c r="L80" s="752"/>
      <c r="M80" s="753"/>
      <c r="N80" s="762"/>
      <c r="O80" s="748"/>
      <c r="P80" s="762"/>
      <c r="Q80" s="753"/>
      <c r="R80" s="229"/>
    </row>
    <row r="81" spans="1:18" x14ac:dyDescent="0.25">
      <c r="A81" s="229"/>
      <c r="B81" s="748"/>
      <c r="C81" s="229"/>
      <c r="D81" s="748"/>
      <c r="E81" s="229"/>
      <c r="F81" s="750"/>
      <c r="G81" s="750"/>
      <c r="H81" s="750"/>
      <c r="I81" s="750"/>
      <c r="J81" s="751"/>
      <c r="K81" s="750"/>
      <c r="L81" s="752"/>
      <c r="M81" s="753"/>
      <c r="N81" s="762"/>
      <c r="O81" s="748"/>
      <c r="P81" s="762"/>
      <c r="Q81" s="753"/>
      <c r="R81" s="229"/>
    </row>
    <row r="82" spans="1:18" x14ac:dyDescent="0.25">
      <c r="A82" s="229"/>
      <c r="B82" s="748"/>
      <c r="C82" s="229"/>
      <c r="D82" s="748"/>
      <c r="E82" s="229"/>
      <c r="F82" s="750"/>
      <c r="G82" s="750"/>
      <c r="H82" s="750"/>
      <c r="I82" s="750"/>
      <c r="J82" s="751"/>
      <c r="K82" s="750"/>
      <c r="L82" s="752"/>
      <c r="M82" s="753"/>
      <c r="N82" s="762"/>
      <c r="O82" s="748"/>
      <c r="P82" s="762"/>
      <c r="Q82" s="753"/>
      <c r="R82" s="229"/>
    </row>
    <row r="83" spans="1:18" x14ac:dyDescent="0.25">
      <c r="A83" s="250"/>
      <c r="B83" s="748"/>
      <c r="C83" s="749"/>
      <c r="D83" s="748"/>
      <c r="E83" s="229"/>
      <c r="F83" s="750"/>
      <c r="G83" s="750"/>
      <c r="H83" s="750"/>
      <c r="I83" s="750"/>
      <c r="J83" s="751"/>
      <c r="K83" s="750"/>
      <c r="L83" s="752"/>
      <c r="M83" s="753"/>
      <c r="N83" s="762"/>
      <c r="O83" s="748"/>
      <c r="P83" s="762"/>
      <c r="Q83" s="753"/>
      <c r="R83" s="229"/>
    </row>
    <row r="84" spans="1:18" x14ac:dyDescent="0.25">
      <c r="A84" s="745"/>
      <c r="B84" s="748"/>
      <c r="C84" s="749"/>
      <c r="D84" s="748"/>
      <c r="E84" s="229"/>
      <c r="F84" s="750"/>
      <c r="G84" s="750"/>
      <c r="H84" s="750"/>
      <c r="I84" s="750"/>
      <c r="J84" s="751"/>
      <c r="K84" s="750"/>
      <c r="L84" s="752"/>
      <c r="M84" s="753"/>
      <c r="N84" s="762"/>
      <c r="O84" s="748"/>
      <c r="P84" s="762"/>
      <c r="Q84" s="753"/>
      <c r="R84" s="229"/>
    </row>
    <row r="85" spans="1:18" x14ac:dyDescent="0.25">
      <c r="A85" s="745"/>
      <c r="B85" s="748"/>
      <c r="C85" s="749"/>
      <c r="D85" s="748"/>
      <c r="E85" s="229"/>
      <c r="F85" s="750"/>
      <c r="G85" s="750"/>
      <c r="H85" s="750"/>
      <c r="I85" s="750"/>
      <c r="J85" s="751"/>
      <c r="K85" s="750"/>
      <c r="L85" s="752"/>
      <c r="M85" s="753"/>
      <c r="N85" s="762"/>
      <c r="O85" s="748"/>
      <c r="P85" s="762"/>
      <c r="Q85" s="753"/>
      <c r="R85" s="229"/>
    </row>
    <row r="86" spans="1:18" x14ac:dyDescent="0.25">
      <c r="A86" s="250"/>
      <c r="B86" s="748"/>
      <c r="C86" s="749"/>
      <c r="D86" s="748"/>
      <c r="E86" s="229"/>
      <c r="F86" s="750"/>
      <c r="G86" s="750"/>
      <c r="H86" s="750"/>
      <c r="I86" s="750"/>
      <c r="J86" s="751"/>
      <c r="K86" s="750"/>
      <c r="L86" s="752"/>
      <c r="M86" s="753"/>
      <c r="N86" s="762"/>
      <c r="O86" s="748"/>
      <c r="P86" s="762"/>
      <c r="Q86" s="753"/>
      <c r="R86" s="229"/>
    </row>
    <row r="87" spans="1:18" x14ac:dyDescent="0.25">
      <c r="A87" s="763"/>
      <c r="B87" s="748"/>
      <c r="C87" s="749"/>
      <c r="D87" s="748"/>
      <c r="E87" s="229"/>
      <c r="F87" s="750"/>
      <c r="G87" s="750"/>
      <c r="H87" s="750"/>
      <c r="I87" s="750"/>
      <c r="J87" s="751"/>
      <c r="K87" s="750"/>
      <c r="L87" s="752"/>
      <c r="M87" s="753"/>
      <c r="N87" s="762"/>
      <c r="O87" s="748"/>
      <c r="P87" s="762"/>
      <c r="Q87" s="753"/>
      <c r="R87" s="229"/>
    </row>
    <row r="88" spans="1:18" x14ac:dyDescent="0.25">
      <c r="A88" s="764"/>
      <c r="B88" s="748"/>
      <c r="C88" s="749"/>
      <c r="D88" s="748"/>
      <c r="E88" s="229"/>
      <c r="F88" s="750"/>
      <c r="G88" s="750"/>
      <c r="H88" s="750"/>
      <c r="I88" s="750"/>
      <c r="J88" s="751"/>
      <c r="K88" s="750"/>
      <c r="L88" s="752"/>
      <c r="M88" s="753"/>
      <c r="N88" s="762"/>
      <c r="O88" s="748"/>
      <c r="P88" s="762"/>
      <c r="Q88" s="753"/>
      <c r="R88" s="229"/>
    </row>
    <row r="89" spans="1:18" x14ac:dyDescent="0.25">
      <c r="A89" s="764"/>
      <c r="B89" s="748"/>
      <c r="C89" s="749"/>
      <c r="D89" s="748"/>
      <c r="E89" s="229"/>
      <c r="F89" s="750"/>
      <c r="G89" s="750"/>
      <c r="H89" s="750"/>
      <c r="I89" s="750"/>
      <c r="J89" s="751"/>
      <c r="K89" s="750"/>
      <c r="L89" s="752"/>
      <c r="M89" s="753"/>
      <c r="N89" s="762"/>
      <c r="O89" s="748"/>
      <c r="P89" s="762"/>
      <c r="Q89" s="753"/>
      <c r="R89" s="229"/>
    </row>
    <row r="90" spans="1:18" x14ac:dyDescent="0.25">
      <c r="A90" s="764"/>
      <c r="B90" s="748"/>
      <c r="C90" s="749"/>
      <c r="D90" s="748"/>
      <c r="E90" s="229"/>
      <c r="F90" s="750"/>
      <c r="G90" s="750"/>
      <c r="H90" s="750"/>
      <c r="I90" s="750"/>
      <c r="J90" s="751"/>
      <c r="K90" s="750"/>
      <c r="L90" s="752"/>
      <c r="M90" s="753"/>
      <c r="N90" s="762"/>
      <c r="O90" s="748"/>
      <c r="P90" s="762"/>
      <c r="Q90" s="753"/>
      <c r="R90" s="229"/>
    </row>
    <row r="91" spans="1:18" x14ac:dyDescent="0.25">
      <c r="A91" s="764"/>
      <c r="B91" s="748"/>
      <c r="C91" s="749"/>
      <c r="D91" s="748"/>
      <c r="E91" s="229"/>
      <c r="F91" s="750"/>
      <c r="G91" s="750"/>
      <c r="H91" s="750"/>
      <c r="I91" s="750"/>
      <c r="J91" s="751"/>
      <c r="K91" s="750"/>
      <c r="L91" s="752"/>
      <c r="M91" s="753"/>
      <c r="N91" s="762"/>
      <c r="O91" s="748"/>
      <c r="P91" s="762"/>
      <c r="Q91" s="753"/>
      <c r="R91" s="229"/>
    </row>
    <row r="92" spans="1:18" x14ac:dyDescent="0.25">
      <c r="A92" s="764"/>
      <c r="B92" s="748"/>
      <c r="C92" s="749"/>
      <c r="D92" s="748"/>
      <c r="E92" s="229"/>
      <c r="F92" s="750"/>
      <c r="G92" s="750"/>
      <c r="H92" s="750"/>
      <c r="I92" s="750"/>
      <c r="J92" s="751"/>
      <c r="K92" s="750"/>
      <c r="L92" s="752"/>
      <c r="M92" s="753"/>
      <c r="N92" s="762"/>
      <c r="O92" s="748"/>
      <c r="P92" s="762"/>
      <c r="Q92" s="753"/>
      <c r="R92" s="229"/>
    </row>
    <row r="93" spans="1:18" x14ac:dyDescent="0.25">
      <c r="A93" s="764"/>
      <c r="B93" s="748"/>
      <c r="C93" s="749"/>
      <c r="D93" s="748"/>
      <c r="E93" s="229"/>
      <c r="F93" s="750"/>
      <c r="G93" s="750"/>
      <c r="H93" s="750"/>
      <c r="I93" s="750"/>
      <c r="J93" s="751"/>
      <c r="K93" s="750"/>
      <c r="L93" s="752"/>
      <c r="M93" s="753"/>
      <c r="N93" s="762"/>
      <c r="O93" s="748"/>
      <c r="P93" s="762"/>
      <c r="Q93" s="753"/>
      <c r="R93" s="229"/>
    </row>
    <row r="94" spans="1:18" x14ac:dyDescent="0.25">
      <c r="A94" s="764"/>
      <c r="B94" s="748"/>
      <c r="C94" s="749"/>
      <c r="D94" s="748"/>
      <c r="E94" s="229"/>
      <c r="F94" s="750"/>
      <c r="G94" s="750"/>
      <c r="H94" s="750"/>
      <c r="I94" s="750"/>
      <c r="J94" s="751"/>
      <c r="K94" s="750"/>
      <c r="L94" s="752"/>
      <c r="M94" s="753"/>
      <c r="N94" s="762"/>
      <c r="O94" s="748"/>
      <c r="P94" s="762"/>
      <c r="Q94" s="753"/>
      <c r="R94" s="229"/>
    </row>
    <row r="95" spans="1:18" x14ac:dyDescent="0.25">
      <c r="A95" s="764"/>
      <c r="B95" s="748"/>
      <c r="C95" s="749"/>
      <c r="D95" s="748"/>
      <c r="E95" s="229"/>
      <c r="F95" s="750"/>
      <c r="G95" s="750"/>
      <c r="H95" s="750"/>
      <c r="I95" s="750"/>
      <c r="J95" s="751"/>
      <c r="K95" s="750"/>
      <c r="L95" s="752"/>
      <c r="M95" s="753"/>
      <c r="N95" s="762"/>
      <c r="O95" s="748"/>
      <c r="P95" s="762"/>
      <c r="Q95" s="753"/>
      <c r="R95" s="229"/>
    </row>
    <row r="96" spans="1:18" x14ac:dyDescent="0.25">
      <c r="A96" s="764"/>
      <c r="B96" s="748"/>
      <c r="C96" s="749"/>
      <c r="D96" s="748"/>
      <c r="E96" s="229"/>
      <c r="F96" s="750"/>
      <c r="G96" s="750"/>
      <c r="H96" s="750"/>
      <c r="I96" s="750"/>
      <c r="J96" s="751"/>
      <c r="K96" s="750"/>
      <c r="L96" s="752"/>
      <c r="M96" s="753"/>
      <c r="N96" s="762"/>
      <c r="O96" s="748"/>
      <c r="P96" s="762"/>
      <c r="Q96" s="753"/>
      <c r="R96" s="229"/>
    </row>
    <row r="97" spans="1:18" x14ac:dyDescent="0.25">
      <c r="A97" s="764"/>
      <c r="B97" s="748"/>
      <c r="C97" s="749"/>
      <c r="D97" s="748"/>
      <c r="E97" s="229"/>
      <c r="F97" s="750"/>
      <c r="G97" s="750"/>
      <c r="H97" s="750"/>
      <c r="I97" s="750"/>
      <c r="J97" s="751"/>
      <c r="K97" s="750"/>
      <c r="L97" s="752"/>
      <c r="M97" s="753"/>
      <c r="N97" s="762"/>
      <c r="O97" s="748"/>
      <c r="P97" s="762"/>
      <c r="Q97" s="753"/>
      <c r="R97" s="229"/>
    </row>
    <row r="98" spans="1:18" x14ac:dyDescent="0.25">
      <c r="A98" s="764"/>
      <c r="B98" s="748"/>
      <c r="C98" s="749"/>
      <c r="D98" s="748"/>
      <c r="E98" s="229"/>
      <c r="F98" s="750"/>
      <c r="G98" s="750"/>
      <c r="H98" s="750"/>
      <c r="I98" s="750"/>
      <c r="J98" s="751"/>
      <c r="K98" s="750"/>
      <c r="L98" s="752"/>
      <c r="M98" s="753"/>
      <c r="N98" s="762"/>
      <c r="O98" s="748"/>
      <c r="P98" s="762"/>
      <c r="Q98" s="753"/>
      <c r="R98" s="229"/>
    </row>
    <row r="99" spans="1:18" x14ac:dyDescent="0.25">
      <c r="A99" s="764"/>
      <c r="B99" s="748"/>
      <c r="C99" s="749"/>
      <c r="D99" s="748"/>
      <c r="E99" s="229"/>
      <c r="F99" s="750"/>
      <c r="G99" s="750"/>
      <c r="H99" s="750"/>
      <c r="I99" s="750"/>
      <c r="J99" s="751"/>
      <c r="K99" s="750"/>
      <c r="L99" s="752"/>
      <c r="M99" s="753"/>
      <c r="N99" s="762"/>
      <c r="O99" s="748"/>
      <c r="P99" s="762"/>
      <c r="Q99" s="753"/>
      <c r="R99" s="229"/>
    </row>
    <row r="100" spans="1:18" x14ac:dyDescent="0.25">
      <c r="A100" s="764"/>
      <c r="B100" s="748"/>
      <c r="C100" s="749"/>
      <c r="D100" s="748"/>
      <c r="E100" s="229"/>
      <c r="F100" s="750"/>
      <c r="G100" s="750"/>
      <c r="H100" s="750"/>
      <c r="I100" s="750"/>
      <c r="J100" s="751"/>
      <c r="K100" s="750"/>
      <c r="L100" s="752"/>
      <c r="M100" s="753"/>
      <c r="N100" s="762"/>
      <c r="O100" s="748"/>
      <c r="P100" s="762"/>
      <c r="Q100" s="753"/>
      <c r="R100" s="229"/>
    </row>
    <row r="101" spans="1:18" x14ac:dyDescent="0.25">
      <c r="A101" s="764"/>
      <c r="B101" s="748"/>
      <c r="C101" s="749"/>
      <c r="D101" s="748"/>
      <c r="E101" s="229"/>
      <c r="F101" s="750"/>
      <c r="G101" s="750"/>
      <c r="H101" s="750"/>
      <c r="I101" s="750"/>
      <c r="J101" s="751"/>
      <c r="K101" s="750"/>
      <c r="L101" s="752"/>
      <c r="M101" s="753"/>
      <c r="N101" s="762"/>
      <c r="O101" s="748"/>
      <c r="P101" s="762"/>
      <c r="Q101" s="753"/>
      <c r="R101" s="229"/>
    </row>
    <row r="102" spans="1:18" x14ac:dyDescent="0.25">
      <c r="A102" s="764"/>
      <c r="B102" s="748"/>
      <c r="C102" s="749"/>
      <c r="D102" s="748"/>
      <c r="E102" s="229"/>
      <c r="F102" s="750"/>
      <c r="G102" s="750"/>
      <c r="H102" s="750"/>
      <c r="I102" s="750"/>
      <c r="J102" s="751"/>
      <c r="K102" s="750"/>
      <c r="L102" s="752"/>
      <c r="M102" s="753"/>
      <c r="N102" s="762"/>
      <c r="O102" s="748"/>
      <c r="P102" s="762"/>
      <c r="Q102" s="753"/>
      <c r="R102" s="229"/>
    </row>
    <row r="103" spans="1:18" x14ac:dyDescent="0.25">
      <c r="A103" s="764"/>
      <c r="B103" s="748"/>
      <c r="C103" s="749"/>
      <c r="D103" s="748"/>
      <c r="E103" s="229"/>
      <c r="F103" s="750"/>
      <c r="G103" s="750"/>
      <c r="H103" s="750"/>
      <c r="I103" s="750"/>
      <c r="J103" s="751"/>
      <c r="K103" s="750"/>
      <c r="L103" s="752"/>
      <c r="M103" s="753"/>
      <c r="N103" s="762"/>
      <c r="O103" s="748"/>
      <c r="P103" s="762"/>
      <c r="Q103" s="753"/>
      <c r="R103" s="229"/>
    </row>
    <row r="104" spans="1:18" x14ac:dyDescent="0.25">
      <c r="A104" s="764"/>
      <c r="B104" s="748"/>
      <c r="C104" s="749"/>
      <c r="D104" s="748"/>
      <c r="E104" s="229"/>
      <c r="F104" s="750"/>
      <c r="G104" s="750"/>
      <c r="H104" s="750"/>
      <c r="I104" s="750"/>
      <c r="J104" s="751"/>
      <c r="K104" s="750"/>
      <c r="L104" s="752"/>
      <c r="M104" s="753"/>
      <c r="N104" s="762"/>
      <c r="O104" s="748"/>
      <c r="P104" s="762"/>
      <c r="Q104" s="753"/>
      <c r="R104" s="229"/>
    </row>
    <row r="105" spans="1:18" x14ac:dyDescent="0.25">
      <c r="A105" s="764"/>
      <c r="B105" s="748"/>
      <c r="C105" s="749"/>
      <c r="D105" s="748"/>
      <c r="E105" s="229"/>
      <c r="F105" s="750"/>
      <c r="G105" s="750"/>
      <c r="H105" s="750"/>
      <c r="I105" s="750"/>
      <c r="J105" s="751"/>
      <c r="K105" s="750"/>
      <c r="L105" s="752"/>
      <c r="M105" s="753"/>
      <c r="N105" s="762"/>
      <c r="O105" s="748"/>
      <c r="P105" s="762"/>
      <c r="Q105" s="753"/>
      <c r="R105" s="229"/>
    </row>
    <row r="106" spans="1:18" x14ac:dyDescent="0.25">
      <c r="A106" s="764"/>
      <c r="B106" s="748"/>
      <c r="C106" s="749"/>
      <c r="D106" s="748"/>
      <c r="E106" s="229"/>
      <c r="F106" s="750"/>
      <c r="G106" s="750"/>
      <c r="H106" s="750"/>
      <c r="I106" s="750"/>
      <c r="J106" s="751"/>
      <c r="K106" s="750"/>
      <c r="L106" s="752"/>
      <c r="M106" s="753"/>
      <c r="N106" s="762"/>
      <c r="O106" s="748"/>
      <c r="P106" s="762"/>
      <c r="Q106" s="753"/>
      <c r="R106" s="229"/>
    </row>
    <row r="107" spans="1:18" x14ac:dyDescent="0.25">
      <c r="A107" s="764"/>
      <c r="B107" s="748"/>
      <c r="C107" s="749"/>
      <c r="D107" s="748"/>
      <c r="E107" s="229"/>
      <c r="F107" s="750"/>
      <c r="G107" s="750"/>
      <c r="H107" s="750"/>
      <c r="I107" s="750"/>
      <c r="J107" s="751"/>
      <c r="K107" s="750"/>
      <c r="L107" s="752"/>
      <c r="M107" s="753"/>
      <c r="N107" s="762"/>
      <c r="O107" s="748"/>
      <c r="P107" s="762"/>
      <c r="Q107" s="753"/>
      <c r="R107" s="229"/>
    </row>
    <row r="108" spans="1:18" x14ac:dyDescent="0.25">
      <c r="A108" s="764"/>
      <c r="B108" s="748"/>
      <c r="C108" s="749"/>
      <c r="D108" s="748"/>
      <c r="E108" s="229"/>
      <c r="F108" s="750"/>
      <c r="G108" s="750"/>
      <c r="H108" s="750"/>
      <c r="I108" s="750"/>
      <c r="J108" s="751"/>
      <c r="K108" s="750"/>
      <c r="L108" s="752"/>
      <c r="M108" s="753"/>
      <c r="N108" s="762"/>
      <c r="O108" s="748"/>
      <c r="P108" s="762"/>
      <c r="Q108" s="753"/>
      <c r="R108" s="229"/>
    </row>
    <row r="109" spans="1:18" x14ac:dyDescent="0.25">
      <c r="A109" s="764"/>
      <c r="B109" s="748"/>
      <c r="C109" s="749"/>
      <c r="D109" s="748"/>
      <c r="E109" s="229"/>
      <c r="F109" s="750"/>
      <c r="G109" s="750"/>
      <c r="H109" s="750"/>
      <c r="I109" s="750"/>
      <c r="J109" s="751"/>
      <c r="K109" s="750"/>
      <c r="L109" s="752"/>
      <c r="M109" s="753"/>
      <c r="N109" s="762"/>
      <c r="O109" s="748"/>
      <c r="P109" s="762"/>
      <c r="Q109" s="753"/>
      <c r="R109" s="229"/>
    </row>
    <row r="110" spans="1:18" x14ac:dyDescent="0.25">
      <c r="A110" s="764"/>
      <c r="B110" s="748"/>
      <c r="C110" s="749"/>
      <c r="D110" s="748"/>
      <c r="E110" s="229"/>
      <c r="F110" s="750"/>
      <c r="G110" s="750"/>
      <c r="H110" s="750"/>
      <c r="I110" s="750"/>
      <c r="J110" s="751"/>
      <c r="K110" s="750"/>
      <c r="L110" s="752"/>
      <c r="M110" s="753"/>
      <c r="N110" s="762"/>
      <c r="O110" s="748"/>
      <c r="P110" s="762"/>
      <c r="Q110" s="753"/>
      <c r="R110" s="229"/>
    </row>
    <row r="111" spans="1:18" x14ac:dyDescent="0.25">
      <c r="A111" s="764"/>
      <c r="B111" s="748"/>
      <c r="C111" s="749"/>
      <c r="D111" s="748"/>
      <c r="E111" s="229"/>
      <c r="F111" s="750"/>
      <c r="G111" s="750"/>
      <c r="H111" s="750"/>
      <c r="I111" s="750"/>
      <c r="J111" s="751"/>
      <c r="K111" s="750"/>
      <c r="L111" s="752"/>
      <c r="M111" s="753"/>
      <c r="N111" s="762"/>
      <c r="O111" s="748"/>
      <c r="P111" s="762"/>
      <c r="Q111" s="753"/>
      <c r="R111" s="229"/>
    </row>
    <row r="112" spans="1:18" x14ac:dyDescent="0.25">
      <c r="A112" s="764"/>
      <c r="B112" s="748"/>
      <c r="C112" s="749"/>
      <c r="D112" s="748"/>
      <c r="E112" s="229"/>
      <c r="F112" s="750"/>
      <c r="G112" s="750"/>
      <c r="H112" s="750"/>
      <c r="I112" s="750"/>
      <c r="J112" s="751"/>
      <c r="K112" s="750"/>
      <c r="L112" s="752"/>
      <c r="M112" s="753"/>
      <c r="N112" s="762"/>
      <c r="O112" s="748"/>
      <c r="P112" s="762"/>
      <c r="Q112" s="753"/>
      <c r="R112" s="229"/>
    </row>
    <row r="113" spans="1:18" x14ac:dyDescent="0.25">
      <c r="A113" s="764"/>
      <c r="B113" s="748"/>
      <c r="C113" s="749"/>
      <c r="D113" s="748"/>
      <c r="E113" s="229"/>
      <c r="F113" s="750"/>
      <c r="G113" s="750"/>
      <c r="H113" s="750"/>
      <c r="I113" s="750"/>
      <c r="J113" s="751"/>
      <c r="K113" s="750"/>
      <c r="L113" s="752"/>
      <c r="M113" s="753"/>
      <c r="N113" s="762"/>
      <c r="O113" s="748"/>
      <c r="P113" s="762"/>
      <c r="Q113" s="753"/>
      <c r="R113" s="229"/>
    </row>
    <row r="114" spans="1:18" x14ac:dyDescent="0.25">
      <c r="A114" s="764"/>
      <c r="B114" s="748"/>
      <c r="C114" s="749"/>
      <c r="D114" s="748"/>
      <c r="E114" s="229"/>
      <c r="F114" s="750"/>
      <c r="G114" s="750"/>
      <c r="H114" s="750"/>
      <c r="I114" s="750"/>
      <c r="J114" s="751"/>
      <c r="K114" s="750"/>
      <c r="L114" s="752"/>
      <c r="M114" s="753"/>
      <c r="N114" s="762"/>
      <c r="O114" s="748"/>
      <c r="P114" s="762"/>
      <c r="Q114" s="753"/>
      <c r="R114" s="229"/>
    </row>
    <row r="115" spans="1:18" x14ac:dyDescent="0.25">
      <c r="A115" s="764"/>
      <c r="B115" s="748"/>
      <c r="C115" s="749"/>
      <c r="D115" s="748"/>
      <c r="E115" s="229"/>
      <c r="F115" s="750"/>
      <c r="G115" s="750"/>
      <c r="H115" s="750"/>
      <c r="I115" s="750"/>
      <c r="J115" s="751"/>
      <c r="K115" s="750"/>
      <c r="L115" s="752"/>
      <c r="M115" s="753"/>
      <c r="N115" s="762"/>
      <c r="O115" s="748"/>
      <c r="P115" s="762"/>
      <c r="Q115" s="753"/>
      <c r="R115" s="229"/>
    </row>
    <row r="116" spans="1:18" x14ac:dyDescent="0.25">
      <c r="A116" s="764"/>
      <c r="B116" s="748"/>
      <c r="C116" s="749"/>
      <c r="D116" s="748"/>
      <c r="E116" s="229"/>
      <c r="F116" s="750"/>
      <c r="G116" s="750"/>
      <c r="H116" s="750"/>
      <c r="I116" s="750"/>
      <c r="J116" s="751"/>
      <c r="K116" s="750"/>
      <c r="L116" s="752"/>
      <c r="M116" s="753"/>
      <c r="N116" s="762"/>
      <c r="O116" s="748"/>
      <c r="P116" s="762"/>
      <c r="Q116" s="753"/>
      <c r="R116" s="229"/>
    </row>
    <row r="117" spans="1:18" x14ac:dyDescent="0.25">
      <c r="A117" s="764"/>
      <c r="B117" s="748"/>
      <c r="C117" s="749"/>
      <c r="D117" s="748"/>
      <c r="E117" s="229"/>
      <c r="F117" s="750"/>
      <c r="G117" s="750"/>
      <c r="H117" s="750"/>
      <c r="I117" s="750"/>
      <c r="J117" s="751"/>
      <c r="K117" s="750"/>
      <c r="L117" s="752"/>
      <c r="M117" s="753"/>
      <c r="N117" s="762"/>
      <c r="O117" s="748"/>
      <c r="P117" s="762"/>
      <c r="Q117" s="753"/>
      <c r="R117" s="229"/>
    </row>
    <row r="118" spans="1:18" x14ac:dyDescent="0.25">
      <c r="A118" s="764"/>
      <c r="B118" s="748"/>
      <c r="C118" s="749"/>
      <c r="D118" s="748"/>
      <c r="E118" s="229"/>
      <c r="F118" s="750"/>
      <c r="G118" s="750"/>
      <c r="H118" s="750"/>
      <c r="I118" s="750"/>
      <c r="J118" s="751"/>
      <c r="K118" s="750"/>
      <c r="L118" s="752"/>
      <c r="M118" s="753"/>
      <c r="N118" s="762"/>
      <c r="O118" s="748"/>
      <c r="P118" s="762"/>
      <c r="Q118" s="753"/>
      <c r="R118" s="229"/>
    </row>
    <row r="119" spans="1:18" x14ac:dyDescent="0.25">
      <c r="A119" s="764"/>
      <c r="B119" s="748"/>
      <c r="C119" s="749"/>
      <c r="D119" s="748"/>
      <c r="E119" s="229"/>
      <c r="F119" s="750"/>
      <c r="G119" s="750"/>
      <c r="H119" s="750"/>
      <c r="I119" s="750"/>
      <c r="J119" s="751"/>
      <c r="K119" s="750"/>
      <c r="L119" s="752"/>
      <c r="M119" s="753"/>
      <c r="N119" s="762"/>
      <c r="O119" s="748"/>
      <c r="P119" s="762"/>
      <c r="Q119" s="753"/>
      <c r="R119" s="229"/>
    </row>
    <row r="120" spans="1:18" x14ac:dyDescent="0.25">
      <c r="A120" s="764"/>
      <c r="B120" s="748"/>
      <c r="C120" s="749"/>
      <c r="D120" s="748"/>
      <c r="E120" s="229"/>
      <c r="F120" s="750"/>
      <c r="G120" s="750"/>
      <c r="H120" s="750"/>
      <c r="I120" s="750"/>
      <c r="J120" s="751"/>
      <c r="K120" s="750"/>
      <c r="L120" s="752"/>
      <c r="M120" s="753"/>
      <c r="N120" s="762"/>
      <c r="O120" s="748"/>
      <c r="P120" s="762"/>
      <c r="Q120" s="753"/>
      <c r="R120" s="229"/>
    </row>
    <row r="121" spans="1:18" x14ac:dyDescent="0.25">
      <c r="A121" s="765"/>
      <c r="B121" s="748"/>
      <c r="C121" s="749"/>
      <c r="D121" s="748"/>
      <c r="E121" s="229"/>
      <c r="F121" s="750"/>
      <c r="G121" s="750"/>
      <c r="H121" s="750"/>
      <c r="I121" s="750"/>
      <c r="J121" s="751"/>
      <c r="K121" s="750"/>
      <c r="L121" s="752"/>
      <c r="M121" s="753"/>
      <c r="N121" s="762"/>
      <c r="O121" s="748"/>
      <c r="P121" s="762"/>
      <c r="Q121" s="753"/>
      <c r="R121" s="229"/>
    </row>
    <row r="122" spans="1:18" x14ac:dyDescent="0.25">
      <c r="A122" s="764"/>
      <c r="B122" s="748"/>
      <c r="C122" s="749"/>
      <c r="D122" s="748"/>
      <c r="E122" s="229"/>
      <c r="F122" s="750"/>
      <c r="G122" s="750"/>
      <c r="H122" s="750"/>
      <c r="I122" s="750"/>
      <c r="J122" s="751"/>
      <c r="K122" s="750"/>
      <c r="L122" s="752"/>
      <c r="M122" s="753"/>
      <c r="N122" s="762"/>
      <c r="O122" s="748"/>
      <c r="P122" s="762"/>
      <c r="Q122" s="753"/>
      <c r="R122" s="229"/>
    </row>
    <row r="123" spans="1:18" x14ac:dyDescent="0.25">
      <c r="A123" s="764"/>
      <c r="B123" s="748"/>
      <c r="C123" s="749"/>
      <c r="D123" s="748"/>
      <c r="E123" s="229"/>
      <c r="F123" s="750"/>
      <c r="G123" s="750"/>
      <c r="H123" s="750"/>
      <c r="I123" s="750"/>
      <c r="J123" s="751"/>
      <c r="K123" s="750"/>
      <c r="L123" s="752"/>
      <c r="M123" s="753"/>
      <c r="N123" s="762"/>
      <c r="O123" s="748"/>
      <c r="P123" s="762"/>
      <c r="Q123" s="753"/>
      <c r="R123" s="229"/>
    </row>
    <row r="124" spans="1:18" x14ac:dyDescent="0.25">
      <c r="A124" s="764"/>
      <c r="B124" s="748"/>
      <c r="C124" s="749"/>
      <c r="D124" s="748"/>
      <c r="E124" s="229"/>
      <c r="F124" s="750"/>
      <c r="G124" s="750"/>
      <c r="H124" s="750"/>
      <c r="I124" s="750"/>
      <c r="J124" s="751"/>
      <c r="K124" s="750"/>
      <c r="L124" s="752"/>
      <c r="M124" s="753"/>
      <c r="N124" s="762"/>
      <c r="O124" s="748"/>
      <c r="P124" s="762"/>
      <c r="Q124" s="753"/>
      <c r="R124" s="229"/>
    </row>
    <row r="125" spans="1:18" x14ac:dyDescent="0.25">
      <c r="A125" s="764"/>
      <c r="B125" s="748"/>
      <c r="C125" s="749"/>
      <c r="D125" s="748"/>
      <c r="E125" s="229"/>
      <c r="F125" s="750"/>
      <c r="G125" s="750"/>
      <c r="H125" s="750"/>
      <c r="I125" s="750"/>
      <c r="J125" s="751"/>
      <c r="K125" s="750"/>
      <c r="L125" s="752"/>
      <c r="M125" s="753"/>
      <c r="N125" s="762"/>
      <c r="O125" s="748"/>
      <c r="P125" s="762"/>
      <c r="Q125" s="753"/>
      <c r="R125" s="229"/>
    </row>
    <row r="126" spans="1:18" x14ac:dyDescent="0.25">
      <c r="A126" s="764"/>
      <c r="B126" s="748"/>
      <c r="C126" s="749"/>
      <c r="D126" s="748"/>
      <c r="E126" s="229"/>
      <c r="F126" s="750"/>
      <c r="G126" s="750"/>
      <c r="H126" s="750"/>
      <c r="I126" s="750"/>
      <c r="J126" s="751"/>
      <c r="K126" s="750"/>
      <c r="L126" s="752"/>
      <c r="M126" s="753"/>
      <c r="N126" s="762"/>
      <c r="O126" s="748"/>
      <c r="P126" s="762"/>
      <c r="Q126" s="753"/>
      <c r="R126" s="229"/>
    </row>
    <row r="127" spans="1:18" x14ac:dyDescent="0.25">
      <c r="A127" s="764"/>
      <c r="B127" s="748"/>
      <c r="C127" s="749"/>
      <c r="D127" s="748"/>
      <c r="E127" s="229"/>
      <c r="F127" s="750"/>
      <c r="G127" s="750"/>
      <c r="H127" s="750"/>
      <c r="I127" s="750"/>
      <c r="J127" s="751"/>
      <c r="K127" s="750"/>
      <c r="L127" s="752"/>
      <c r="M127" s="753"/>
      <c r="N127" s="762"/>
      <c r="O127" s="748"/>
      <c r="P127" s="762"/>
      <c r="Q127" s="753"/>
      <c r="R127" s="229"/>
    </row>
    <row r="128" spans="1:18" x14ac:dyDescent="0.25">
      <c r="A128" s="764"/>
      <c r="B128" s="748"/>
      <c r="C128" s="749"/>
      <c r="D128" s="748"/>
      <c r="E128" s="229"/>
      <c r="F128" s="750"/>
      <c r="G128" s="750"/>
      <c r="H128" s="750"/>
      <c r="I128" s="750"/>
      <c r="J128" s="751"/>
      <c r="K128" s="750"/>
      <c r="L128" s="752"/>
      <c r="M128" s="753"/>
      <c r="N128" s="762"/>
      <c r="O128" s="748"/>
      <c r="P128" s="762"/>
      <c r="Q128" s="753"/>
      <c r="R128" s="229"/>
    </row>
    <row r="129" spans="1:18" x14ac:dyDescent="0.25">
      <c r="A129" s="764"/>
      <c r="B129" s="748"/>
      <c r="C129" s="749"/>
      <c r="D129" s="748"/>
      <c r="E129" s="229"/>
      <c r="F129" s="750"/>
      <c r="G129" s="750"/>
      <c r="H129" s="750"/>
      <c r="I129" s="750"/>
      <c r="J129" s="751"/>
      <c r="K129" s="750"/>
      <c r="L129" s="752"/>
      <c r="M129" s="753"/>
      <c r="N129" s="762"/>
      <c r="O129" s="748"/>
      <c r="P129" s="762"/>
      <c r="Q129" s="753"/>
      <c r="R129" s="229"/>
    </row>
    <row r="130" spans="1:18" x14ac:dyDescent="0.25">
      <c r="A130" s="764"/>
      <c r="B130" s="748"/>
      <c r="C130" s="749"/>
      <c r="D130" s="748"/>
      <c r="E130" s="229"/>
      <c r="F130" s="750"/>
      <c r="G130" s="750"/>
      <c r="H130" s="750"/>
      <c r="I130" s="750"/>
      <c r="J130" s="751"/>
      <c r="K130" s="750"/>
      <c r="L130" s="752"/>
      <c r="M130" s="753"/>
      <c r="N130" s="762"/>
      <c r="O130" s="748"/>
      <c r="P130" s="762"/>
      <c r="Q130" s="753"/>
      <c r="R130" s="229"/>
    </row>
    <row r="131" spans="1:18" x14ac:dyDescent="0.25">
      <c r="A131" s="764"/>
      <c r="B131" s="748"/>
      <c r="C131" s="749"/>
      <c r="D131" s="748"/>
      <c r="E131" s="229"/>
      <c r="F131" s="750"/>
      <c r="G131" s="750"/>
      <c r="H131" s="750"/>
      <c r="I131" s="750"/>
      <c r="J131" s="751"/>
      <c r="K131" s="750"/>
      <c r="L131" s="752"/>
      <c r="M131" s="753"/>
      <c r="N131" s="762"/>
      <c r="O131" s="748"/>
      <c r="P131" s="762"/>
      <c r="Q131" s="753"/>
      <c r="R131" s="229"/>
    </row>
    <row r="132" spans="1:18" x14ac:dyDescent="0.25">
      <c r="A132" s="764"/>
      <c r="B132" s="748"/>
      <c r="C132" s="749"/>
      <c r="D132" s="748"/>
      <c r="E132" s="229"/>
      <c r="F132" s="750"/>
      <c r="G132" s="750"/>
      <c r="H132" s="750"/>
      <c r="I132" s="750"/>
      <c r="J132" s="751"/>
      <c r="K132" s="750"/>
      <c r="L132" s="752"/>
      <c r="M132" s="753"/>
      <c r="N132" s="762"/>
      <c r="O132" s="748"/>
      <c r="P132" s="762"/>
      <c r="Q132" s="753"/>
      <c r="R132" s="229"/>
    </row>
    <row r="133" spans="1:18" x14ac:dyDescent="0.25">
      <c r="A133" s="764"/>
      <c r="B133" s="748"/>
      <c r="C133" s="749"/>
      <c r="D133" s="748"/>
      <c r="E133" s="229"/>
      <c r="F133" s="750"/>
      <c r="G133" s="750"/>
      <c r="H133" s="750"/>
      <c r="I133" s="750"/>
      <c r="J133" s="751"/>
      <c r="K133" s="750"/>
      <c r="L133" s="752"/>
      <c r="M133" s="753"/>
      <c r="N133" s="762"/>
      <c r="O133" s="748"/>
      <c r="P133" s="762"/>
      <c r="Q133" s="753"/>
      <c r="R133" s="229"/>
    </row>
    <row r="134" spans="1:18" x14ac:dyDescent="0.25">
      <c r="A134" s="764"/>
      <c r="B134" s="748"/>
      <c r="C134" s="749"/>
      <c r="D134" s="748"/>
      <c r="E134" s="229"/>
      <c r="F134" s="750"/>
      <c r="G134" s="750"/>
      <c r="H134" s="750"/>
      <c r="I134" s="750"/>
      <c r="J134" s="751"/>
      <c r="K134" s="750"/>
      <c r="L134" s="752"/>
      <c r="M134" s="753"/>
      <c r="N134" s="762"/>
      <c r="O134" s="748"/>
      <c r="P134" s="762"/>
      <c r="Q134" s="753"/>
      <c r="R134" s="229"/>
    </row>
    <row r="135" spans="1:18" x14ac:dyDescent="0.25">
      <c r="A135" s="764"/>
      <c r="B135" s="748"/>
      <c r="C135" s="749"/>
      <c r="D135" s="748"/>
      <c r="E135" s="229"/>
      <c r="F135" s="750"/>
      <c r="G135" s="750"/>
      <c r="H135" s="750"/>
      <c r="I135" s="750"/>
      <c r="J135" s="751"/>
      <c r="K135" s="750"/>
      <c r="L135" s="752"/>
      <c r="M135" s="753"/>
      <c r="N135" s="762"/>
      <c r="O135" s="748"/>
      <c r="P135" s="762"/>
      <c r="Q135" s="753"/>
      <c r="R135" s="229"/>
    </row>
    <row r="136" spans="1:18" x14ac:dyDescent="0.25">
      <c r="A136" s="764"/>
      <c r="B136" s="748"/>
      <c r="C136" s="749"/>
      <c r="D136" s="748"/>
      <c r="E136" s="229"/>
      <c r="F136" s="750"/>
      <c r="G136" s="750"/>
      <c r="H136" s="750"/>
      <c r="I136" s="750"/>
      <c r="J136" s="751"/>
      <c r="K136" s="750"/>
      <c r="L136" s="752"/>
      <c r="M136" s="753"/>
      <c r="N136" s="762"/>
      <c r="O136" s="748"/>
      <c r="P136" s="762"/>
      <c r="Q136" s="753"/>
      <c r="R136" s="229"/>
    </row>
    <row r="137" spans="1:18" x14ac:dyDescent="0.25">
      <c r="A137" s="764"/>
      <c r="B137" s="748"/>
      <c r="C137" s="749"/>
      <c r="D137" s="748"/>
      <c r="E137" s="229"/>
      <c r="F137" s="750"/>
      <c r="G137" s="750"/>
      <c r="H137" s="750"/>
      <c r="I137" s="750"/>
      <c r="J137" s="751"/>
      <c r="K137" s="750"/>
      <c r="L137" s="752"/>
      <c r="M137" s="753"/>
      <c r="N137" s="762"/>
      <c r="O137" s="748"/>
      <c r="P137" s="762"/>
      <c r="Q137" s="753"/>
      <c r="R137" s="229"/>
    </row>
    <row r="138" spans="1:18" x14ac:dyDescent="0.25">
      <c r="A138" s="764"/>
      <c r="B138" s="748"/>
      <c r="C138" s="749"/>
      <c r="D138" s="748"/>
      <c r="E138" s="229"/>
      <c r="F138" s="750"/>
      <c r="G138" s="750"/>
      <c r="H138" s="750"/>
      <c r="I138" s="750"/>
      <c r="J138" s="751"/>
      <c r="K138" s="750"/>
      <c r="L138" s="752"/>
      <c r="M138" s="753"/>
      <c r="N138" s="762"/>
      <c r="O138" s="748"/>
      <c r="P138" s="762"/>
      <c r="Q138" s="753"/>
      <c r="R138" s="229"/>
    </row>
    <row r="139" spans="1:18" x14ac:dyDescent="0.25">
      <c r="A139" s="764"/>
      <c r="B139" s="748"/>
      <c r="C139" s="749"/>
      <c r="D139" s="748"/>
      <c r="E139" s="229"/>
      <c r="F139" s="750"/>
      <c r="G139" s="750"/>
      <c r="H139" s="750"/>
      <c r="I139" s="750"/>
      <c r="J139" s="751"/>
      <c r="K139" s="750"/>
      <c r="L139" s="752"/>
      <c r="M139" s="753"/>
      <c r="N139" s="762"/>
      <c r="O139" s="748"/>
      <c r="P139" s="762"/>
      <c r="Q139" s="753"/>
      <c r="R139" s="229"/>
    </row>
    <row r="140" spans="1:18" x14ac:dyDescent="0.25">
      <c r="A140" s="764"/>
      <c r="B140" s="748"/>
      <c r="C140" s="749"/>
      <c r="D140" s="748"/>
      <c r="E140" s="229"/>
      <c r="F140" s="750"/>
      <c r="G140" s="750"/>
      <c r="H140" s="750"/>
      <c r="I140" s="750"/>
      <c r="J140" s="751"/>
      <c r="K140" s="750"/>
      <c r="L140" s="752"/>
      <c r="M140" s="753"/>
      <c r="N140" s="762"/>
      <c r="O140" s="748"/>
      <c r="P140" s="762"/>
      <c r="Q140" s="753"/>
      <c r="R140" s="229"/>
    </row>
    <row r="141" spans="1:18" x14ac:dyDescent="0.25">
      <c r="A141" s="747"/>
      <c r="B141" s="748"/>
      <c r="C141" s="749"/>
      <c r="D141" s="748"/>
      <c r="E141" s="229"/>
      <c r="F141" s="750"/>
      <c r="G141" s="750"/>
      <c r="H141" s="750"/>
      <c r="I141" s="750"/>
      <c r="J141" s="751"/>
      <c r="K141" s="750"/>
      <c r="L141" s="752"/>
      <c r="M141" s="753"/>
      <c r="N141" s="762"/>
      <c r="O141" s="748"/>
      <c r="P141" s="762"/>
      <c r="Q141" s="753"/>
      <c r="R141" s="229"/>
    </row>
    <row r="142" spans="1:18" x14ac:dyDescent="0.25">
      <c r="A142" s="747"/>
      <c r="B142" s="748"/>
      <c r="C142" s="749"/>
      <c r="D142" s="748"/>
      <c r="E142" s="229"/>
      <c r="F142" s="750"/>
      <c r="G142" s="750"/>
      <c r="H142" s="750"/>
      <c r="I142" s="750"/>
      <c r="J142" s="751"/>
      <c r="K142" s="750"/>
      <c r="L142" s="752"/>
      <c r="M142" s="753"/>
      <c r="N142" s="762"/>
      <c r="O142" s="748"/>
      <c r="P142" s="762"/>
      <c r="Q142" s="753"/>
      <c r="R142" s="229"/>
    </row>
    <row r="143" spans="1:18" x14ac:dyDescent="0.25">
      <c r="A143" s="747"/>
      <c r="B143" s="748"/>
      <c r="C143" s="749"/>
      <c r="D143" s="748"/>
      <c r="E143" s="229"/>
      <c r="F143" s="750"/>
      <c r="G143" s="750"/>
      <c r="H143" s="750"/>
      <c r="I143" s="750"/>
      <c r="J143" s="751"/>
      <c r="K143" s="750"/>
      <c r="L143" s="752"/>
      <c r="M143" s="753"/>
      <c r="N143" s="762"/>
      <c r="O143" s="748"/>
      <c r="P143" s="762"/>
      <c r="Q143" s="753"/>
      <c r="R143" s="229"/>
    </row>
    <row r="144" spans="1:18" x14ac:dyDescent="0.25">
      <c r="A144" s="747"/>
      <c r="B144" s="748"/>
      <c r="C144" s="749"/>
      <c r="D144" s="748"/>
      <c r="E144" s="229"/>
      <c r="F144" s="750"/>
      <c r="G144" s="750"/>
      <c r="H144" s="750"/>
      <c r="I144" s="750"/>
      <c r="J144" s="751"/>
      <c r="K144" s="750"/>
      <c r="L144" s="752"/>
      <c r="M144" s="753"/>
      <c r="N144" s="762"/>
      <c r="O144" s="748"/>
      <c r="P144" s="762"/>
      <c r="Q144" s="753"/>
      <c r="R144" s="229"/>
    </row>
    <row r="145" spans="1:18" x14ac:dyDescent="0.25">
      <c r="A145" s="747"/>
      <c r="B145" s="748"/>
      <c r="C145" s="749"/>
      <c r="D145" s="748"/>
      <c r="E145" s="229"/>
      <c r="F145" s="750"/>
      <c r="G145" s="750"/>
      <c r="H145" s="750"/>
      <c r="I145" s="750"/>
      <c r="J145" s="751"/>
      <c r="K145" s="750"/>
      <c r="L145" s="752"/>
      <c r="M145" s="753"/>
      <c r="N145" s="762"/>
      <c r="O145" s="748"/>
      <c r="P145" s="762"/>
      <c r="Q145" s="753"/>
      <c r="R145" s="229"/>
    </row>
    <row r="146" spans="1:18" x14ac:dyDescent="0.25">
      <c r="A146" s="747"/>
      <c r="B146" s="748"/>
      <c r="C146" s="749"/>
      <c r="D146" s="748"/>
      <c r="E146" s="229"/>
      <c r="F146" s="750"/>
      <c r="G146" s="750"/>
      <c r="H146" s="750"/>
      <c r="I146" s="750"/>
      <c r="J146" s="751"/>
      <c r="K146" s="750"/>
      <c r="L146" s="752"/>
      <c r="M146" s="753"/>
      <c r="N146" s="762"/>
      <c r="O146" s="748"/>
      <c r="P146" s="762"/>
      <c r="Q146" s="753"/>
      <c r="R146" s="229"/>
    </row>
    <row r="147" spans="1:18" x14ac:dyDescent="0.25">
      <c r="A147" s="747"/>
      <c r="B147" s="748"/>
      <c r="C147" s="749"/>
      <c r="D147" s="748"/>
      <c r="E147" s="229"/>
      <c r="F147" s="750"/>
      <c r="G147" s="750"/>
      <c r="H147" s="750"/>
      <c r="I147" s="750"/>
      <c r="J147" s="751"/>
      <c r="K147" s="750"/>
      <c r="L147" s="752"/>
      <c r="M147" s="753"/>
      <c r="N147" s="762"/>
      <c r="O147" s="748"/>
      <c r="P147" s="762"/>
      <c r="Q147" s="753"/>
      <c r="R147" s="229"/>
    </row>
    <row r="148" spans="1:18" x14ac:dyDescent="0.25">
      <c r="A148" s="747"/>
      <c r="B148" s="748"/>
      <c r="C148" s="749"/>
      <c r="D148" s="748"/>
      <c r="E148" s="229"/>
      <c r="F148" s="750"/>
      <c r="G148" s="750"/>
      <c r="H148" s="750"/>
      <c r="I148" s="750"/>
      <c r="J148" s="751"/>
      <c r="K148" s="750"/>
      <c r="L148" s="752"/>
      <c r="M148" s="753"/>
      <c r="N148" s="762"/>
      <c r="O148" s="748"/>
      <c r="P148" s="762"/>
      <c r="Q148" s="753"/>
      <c r="R148" s="229"/>
    </row>
    <row r="149" spans="1:18" x14ac:dyDescent="0.25">
      <c r="A149" s="747"/>
      <c r="B149" s="748"/>
      <c r="C149" s="749"/>
      <c r="D149" s="748"/>
      <c r="E149" s="229"/>
      <c r="F149" s="750"/>
      <c r="G149" s="750"/>
      <c r="H149" s="750"/>
      <c r="I149" s="750"/>
      <c r="J149" s="751"/>
      <c r="K149" s="750"/>
      <c r="L149" s="752"/>
      <c r="M149" s="753"/>
      <c r="N149" s="762"/>
      <c r="O149" s="748"/>
      <c r="P149" s="762"/>
      <c r="Q149" s="753"/>
      <c r="R149" s="229"/>
    </row>
    <row r="150" spans="1:18" x14ac:dyDescent="0.25">
      <c r="A150" s="747"/>
      <c r="B150" s="748"/>
      <c r="C150" s="749"/>
      <c r="D150" s="748"/>
      <c r="E150" s="229"/>
      <c r="F150" s="750"/>
      <c r="G150" s="750"/>
      <c r="H150" s="750"/>
      <c r="I150" s="750"/>
      <c r="J150" s="751"/>
      <c r="K150" s="750"/>
      <c r="L150" s="752"/>
      <c r="M150" s="753"/>
      <c r="N150" s="762"/>
      <c r="O150" s="748"/>
      <c r="P150" s="762"/>
      <c r="Q150" s="753"/>
      <c r="R150" s="229"/>
    </row>
    <row r="151" spans="1:18" x14ac:dyDescent="0.25">
      <c r="A151" s="747"/>
      <c r="B151" s="748"/>
      <c r="C151" s="749"/>
      <c r="D151" s="748"/>
      <c r="E151" s="229"/>
      <c r="F151" s="750"/>
      <c r="G151" s="750"/>
      <c r="H151" s="750"/>
      <c r="I151" s="750"/>
      <c r="J151" s="751"/>
      <c r="K151" s="750"/>
      <c r="L151" s="752"/>
      <c r="M151" s="753"/>
      <c r="N151" s="762"/>
      <c r="O151" s="748"/>
      <c r="P151" s="762"/>
      <c r="Q151" s="753"/>
      <c r="R151" s="229"/>
    </row>
    <row r="152" spans="1:18" x14ac:dyDescent="0.25">
      <c r="A152" s="747"/>
      <c r="B152" s="748"/>
      <c r="C152" s="749"/>
      <c r="D152" s="748"/>
      <c r="E152" s="229"/>
      <c r="F152" s="750"/>
      <c r="G152" s="750"/>
      <c r="H152" s="750"/>
      <c r="I152" s="750"/>
      <c r="J152" s="751"/>
      <c r="K152" s="750"/>
      <c r="L152" s="752"/>
      <c r="M152" s="753"/>
      <c r="N152" s="762"/>
      <c r="O152" s="748"/>
      <c r="P152" s="762"/>
      <c r="Q152" s="753"/>
      <c r="R152" s="229"/>
    </row>
  </sheetData>
  <autoFilter ref="A1:Q75" xr:uid="{00000000-0009-0000-0000-000001000000}">
    <sortState xmlns:xlrd2="http://schemas.microsoft.com/office/spreadsheetml/2017/richdata2" ref="A2:Q75">
      <sortCondition descending="1" ref="B1:B75"/>
    </sortState>
  </autoFilter>
  <phoneticPr fontId="71" type="noConversion"/>
  <conditionalFormatting sqref="B2:B28">
    <cfRule type="containsText" dxfId="33" priority="5" operator="containsText" text="Mâle">
      <formula>NOT(ISERROR(SEARCH("Mâle",B2)))</formula>
    </cfRule>
  </conditionalFormatting>
  <conditionalFormatting sqref="A2:A28 E2:E28">
    <cfRule type="containsBlanks" dxfId="32" priority="1">
      <formula>LEN(TRIM(A2))=0</formula>
    </cfRule>
    <cfRule type="expression" dxfId="31" priority="2">
      <formula>SEARCH("*Mâle*",$B$2:$B$28)</formula>
    </cfRule>
  </conditionalFormatting>
  <dataValidations count="2">
    <dataValidation type="list" allowBlank="1" showInputMessage="1" showErrorMessage="1" sqref="AB26" xr:uid="{66A2617E-2231-432D-861D-88255DB02220}">
      <formula1>INDIRECT($AB$13)</formula1>
    </dataValidation>
    <dataValidation type="list" allowBlank="1" showInputMessage="1" showErrorMessage="1" sqref="AB13" xr:uid="{8872A0A8-30EC-4678-A38A-38E68A69B0FE}">
      <formula1>test3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A6CF04-002C-4DAB-AAF4-EA89CE74E5B0}">
  <sheetPr codeName="Feuil6">
    <tabColor theme="1"/>
  </sheetPr>
  <dimension ref="A1:BL80"/>
  <sheetViews>
    <sheetView zoomScale="33" zoomScaleNormal="33" workbookViewId="0">
      <selection activeCell="BE3" sqref="BE3:BF3"/>
    </sheetView>
  </sheetViews>
  <sheetFormatPr baseColWidth="10" defaultRowHeight="15" x14ac:dyDescent="0.25"/>
  <cols>
    <col min="2" max="2" width="22.42578125" customWidth="1"/>
    <col min="3" max="3" width="16.140625" customWidth="1"/>
    <col min="5" max="5" width="22.28515625" customWidth="1"/>
    <col min="6" max="6" width="23.5703125" customWidth="1"/>
    <col min="7" max="7" width="8.28515625" customWidth="1"/>
    <col min="8" max="8" width="8.140625" customWidth="1"/>
    <col min="11" max="11" width="13.7109375" customWidth="1"/>
    <col min="14" max="14" width="13.7109375" customWidth="1"/>
    <col min="15" max="15" width="11.42578125" customWidth="1"/>
    <col min="17" max="17" width="13.7109375" customWidth="1"/>
    <col min="22" max="22" width="13.7109375" customWidth="1"/>
    <col min="25" max="25" width="2.42578125" customWidth="1"/>
    <col min="42" max="42" width="2.42578125" customWidth="1"/>
    <col min="44" max="46" width="13" customWidth="1"/>
    <col min="51" max="51" width="13.28515625" customWidth="1"/>
    <col min="52" max="53" width="13" customWidth="1"/>
    <col min="60" max="60" width="12.28515625" customWidth="1"/>
  </cols>
  <sheetData>
    <row r="1" spans="1:64" s="171" customFormat="1" ht="19.5" customHeight="1" x14ac:dyDescent="0.25">
      <c r="A1" s="921"/>
      <c r="B1" s="922"/>
      <c r="C1" s="922"/>
      <c r="D1" s="922"/>
      <c r="E1" s="922"/>
      <c r="F1" s="922"/>
      <c r="G1" s="922"/>
      <c r="H1" s="210"/>
      <c r="I1" s="1590" t="s">
        <v>402</v>
      </c>
      <c r="J1" s="1591"/>
      <c r="K1" s="1592"/>
      <c r="L1" s="1590" t="s">
        <v>383</v>
      </c>
      <c r="M1" s="1591"/>
      <c r="N1" s="1592"/>
      <c r="O1" s="1590" t="s">
        <v>435</v>
      </c>
      <c r="P1" s="1591"/>
      <c r="Q1" s="1591"/>
      <c r="R1" s="923"/>
      <c r="S1" s="923"/>
      <c r="T1" s="1591" t="s">
        <v>403</v>
      </c>
      <c r="U1" s="1591"/>
      <c r="V1" s="1591"/>
      <c r="W1" s="923"/>
      <c r="X1" s="924"/>
      <c r="Y1" s="910"/>
      <c r="Z1" s="210"/>
      <c r="AA1" s="925"/>
      <c r="AB1" s="926"/>
      <c r="AC1" s="927"/>
      <c r="AD1" s="926"/>
      <c r="AE1" s="923"/>
      <c r="AF1" s="210"/>
      <c r="AG1" s="926"/>
      <c r="AH1" s="923"/>
      <c r="AI1" s="210"/>
      <c r="AJ1" s="926"/>
      <c r="AK1" s="923"/>
      <c r="AL1" s="928"/>
      <c r="AM1" s="929"/>
      <c r="AN1" s="930"/>
      <c r="AO1" s="929"/>
      <c r="AP1" s="910"/>
      <c r="AQ1" s="210"/>
      <c r="AR1" s="1593" t="s">
        <v>434</v>
      </c>
      <c r="AS1" s="1594"/>
      <c r="AT1" s="1595"/>
      <c r="AU1" s="1596" t="s">
        <v>415</v>
      </c>
      <c r="AV1" s="1594"/>
      <c r="AW1" s="1597"/>
      <c r="AX1" s="931"/>
      <c r="AY1" s="1585" t="s">
        <v>434</v>
      </c>
      <c r="AZ1" s="1586"/>
      <c r="BA1" s="1587"/>
      <c r="BB1" s="1588" t="s">
        <v>415</v>
      </c>
      <c r="BC1" s="1586"/>
      <c r="BD1" s="1589"/>
      <c r="BE1" s="931"/>
      <c r="BF1" s="922"/>
      <c r="BG1" s="210"/>
      <c r="BH1" s="923"/>
      <c r="BI1" s="210"/>
      <c r="BJ1" s="922"/>
      <c r="BK1" s="210"/>
      <c r="BL1" s="932"/>
    </row>
    <row r="2" spans="1:64" ht="99" customHeight="1" x14ac:dyDescent="0.25">
      <c r="A2" s="933" t="s">
        <v>354</v>
      </c>
      <c r="B2" s="934" t="s">
        <v>355</v>
      </c>
      <c r="C2" s="934" t="s">
        <v>356</v>
      </c>
      <c r="D2" s="934" t="s">
        <v>357</v>
      </c>
      <c r="E2" s="935" t="s">
        <v>17</v>
      </c>
      <c r="F2" s="935" t="s">
        <v>18</v>
      </c>
      <c r="G2" s="935" t="s">
        <v>436</v>
      </c>
      <c r="H2" s="936" t="s">
        <v>437</v>
      </c>
      <c r="I2" s="899" t="s">
        <v>189</v>
      </c>
      <c r="J2" s="900" t="s">
        <v>384</v>
      </c>
      <c r="K2" s="901" t="s">
        <v>385</v>
      </c>
      <c r="L2" s="899" t="s">
        <v>189</v>
      </c>
      <c r="M2" s="900" t="s">
        <v>384</v>
      </c>
      <c r="N2" s="901" t="s">
        <v>385</v>
      </c>
      <c r="O2" s="899" t="s">
        <v>189</v>
      </c>
      <c r="P2" s="900" t="s">
        <v>384</v>
      </c>
      <c r="Q2" s="902" t="s">
        <v>385</v>
      </c>
      <c r="R2" s="937" t="s">
        <v>372</v>
      </c>
      <c r="S2" s="937" t="s">
        <v>373</v>
      </c>
      <c r="T2" s="908" t="s">
        <v>189</v>
      </c>
      <c r="U2" s="900" t="s">
        <v>384</v>
      </c>
      <c r="V2" s="903" t="s">
        <v>385</v>
      </c>
      <c r="W2" s="937" t="s">
        <v>386</v>
      </c>
      <c r="X2" s="938" t="s">
        <v>358</v>
      </c>
      <c r="Y2" s="846"/>
      <c r="Z2" s="939" t="s">
        <v>359</v>
      </c>
      <c r="AA2" s="940" t="s">
        <v>360</v>
      </c>
      <c r="AB2" s="941" t="s">
        <v>361</v>
      </c>
      <c r="AC2" s="942" t="s">
        <v>362</v>
      </c>
      <c r="AD2" s="943" t="s">
        <v>394</v>
      </c>
      <c r="AE2" s="944" t="s">
        <v>363</v>
      </c>
      <c r="AF2" s="942" t="s">
        <v>364</v>
      </c>
      <c r="AG2" s="943" t="s">
        <v>387</v>
      </c>
      <c r="AH2" s="944" t="s">
        <v>365</v>
      </c>
      <c r="AI2" s="942" t="s">
        <v>366</v>
      </c>
      <c r="AJ2" s="943" t="s">
        <v>367</v>
      </c>
      <c r="AK2" s="945" t="s">
        <v>368</v>
      </c>
      <c r="AL2" s="946" t="s">
        <v>369</v>
      </c>
      <c r="AM2" s="947" t="s">
        <v>368</v>
      </c>
      <c r="AN2" s="948" t="s">
        <v>370</v>
      </c>
      <c r="AO2" s="949" t="s">
        <v>371</v>
      </c>
      <c r="AP2" s="910"/>
      <c r="AQ2" s="950" t="s">
        <v>418</v>
      </c>
      <c r="AR2" s="951" t="s">
        <v>405</v>
      </c>
      <c r="AS2" s="951" t="s">
        <v>410</v>
      </c>
      <c r="AT2" s="952" t="s">
        <v>379</v>
      </c>
      <c r="AU2" s="950" t="s">
        <v>406</v>
      </c>
      <c r="AV2" s="951" t="s">
        <v>407</v>
      </c>
      <c r="AW2" s="953" t="s">
        <v>408</v>
      </c>
      <c r="AX2" s="954" t="s">
        <v>374</v>
      </c>
      <c r="AY2" s="955" t="s">
        <v>412</v>
      </c>
      <c r="AZ2" s="955" t="s">
        <v>409</v>
      </c>
      <c r="BA2" s="956" t="s">
        <v>380</v>
      </c>
      <c r="BB2" s="954" t="s">
        <v>411</v>
      </c>
      <c r="BC2" s="955" t="s">
        <v>413</v>
      </c>
      <c r="BD2" s="957" t="s">
        <v>414</v>
      </c>
      <c r="BE2" s="958" t="s">
        <v>388</v>
      </c>
      <c r="BF2" s="959" t="s">
        <v>389</v>
      </c>
      <c r="BG2" s="960" t="s">
        <v>375</v>
      </c>
      <c r="BH2" s="961" t="s">
        <v>376</v>
      </c>
      <c r="BI2" s="958" t="s">
        <v>390</v>
      </c>
      <c r="BJ2" s="959" t="s">
        <v>391</v>
      </c>
      <c r="BK2" s="962" t="s">
        <v>377</v>
      </c>
    </row>
    <row r="3" spans="1:64" s="21" customFormat="1" ht="35.1" customHeight="1" x14ac:dyDescent="0.25">
      <c r="A3" s="1015"/>
      <c r="B3" s="892" t="str">
        <f>EXPORT_PDF!G3</f>
        <v>MOULIN Grunagel</v>
      </c>
      <c r="C3" s="862" t="str">
        <f>EXPORT_PDF!G4</f>
        <v>AGROGANT</v>
      </c>
      <c r="D3" s="893">
        <f>'Calcul_Densité+Dose'!AH7</f>
        <v>5</v>
      </c>
      <c r="E3" s="862" t="str">
        <f>'Calcul_Densité+Dose'!Y8</f>
        <v>KW 5A1629 x 5A1435</v>
      </c>
      <c r="F3" s="862" t="str">
        <f>'Calcul_Densité+Dose'!Z8</f>
        <v>F 0841 B 731 014 A01</v>
      </c>
      <c r="G3" s="863">
        <f>'Calcul_Densité+Dose'!AH12</f>
        <v>226</v>
      </c>
      <c r="H3" s="1016">
        <f>'Calcul_Densité+Dose'!AD7</f>
        <v>0.9</v>
      </c>
      <c r="I3" s="861">
        <f t="shared" ref="I3:I34" si="0">$K3/$G3*$H3/100*100000</f>
        <v>0</v>
      </c>
      <c r="J3" s="894">
        <f t="shared" ref="J3:J34" si="1">$K3/$G3*1000</f>
        <v>0</v>
      </c>
      <c r="K3" s="904"/>
      <c r="L3" s="861">
        <f t="shared" ref="L3:L34" si="2">$N3/$G3*$H3/100*100000</f>
        <v>0</v>
      </c>
      <c r="M3" s="895">
        <f t="shared" ref="M3:M34" si="3">N3/G3/100*100000</f>
        <v>0</v>
      </c>
      <c r="N3" s="905"/>
      <c r="O3" s="907">
        <f t="shared" ref="O3:O34" si="4">$Q3/$G3*$H3/100*100000</f>
        <v>279.72027972027968</v>
      </c>
      <c r="P3" s="906">
        <f t="shared" ref="P3:P34" si="5">($AD3*$Z3)/1000</f>
        <v>310.80031080031074</v>
      </c>
      <c r="Q3" s="897">
        <f t="shared" ref="Q3:Q34" si="6">($P3*$G3)/1000</f>
        <v>70.240870240870223</v>
      </c>
      <c r="R3" s="970">
        <f t="shared" ref="R3:R34" si="7">$V3-$Q3</f>
        <v>-70.240870240870223</v>
      </c>
      <c r="S3" s="969">
        <f t="shared" ref="S3:S34" si="8">($U3/$P3)-1</f>
        <v>-1</v>
      </c>
      <c r="T3" s="909">
        <f t="shared" ref="T3:T34" si="9">$I3+$L3</f>
        <v>0</v>
      </c>
      <c r="U3" s="896">
        <f t="shared" ref="U3:U34" si="10">$J3+$M3</f>
        <v>0</v>
      </c>
      <c r="V3" s="898">
        <f t="shared" ref="V3:V34" si="11">$K3+$N3</f>
        <v>0</v>
      </c>
      <c r="W3" s="970">
        <f t="shared" ref="W3:W34" si="12">$K3-$V3</f>
        <v>0</v>
      </c>
      <c r="X3" s="971" t="e">
        <f t="shared" ref="X3:X34" si="13">($V3/$K3)-1</f>
        <v>#DIV/0!</v>
      </c>
      <c r="Y3" s="847"/>
      <c r="Z3" s="911">
        <f t="shared" ref="Z3:Z34" si="14">$D3*$AT3</f>
        <v>2.7777777777777777</v>
      </c>
      <c r="AA3" s="864">
        <f>EXPORT_PDF!C16</f>
        <v>65000</v>
      </c>
      <c r="AB3" s="848">
        <f t="shared" ref="AB3:AB34" si="15">$AA3/$AT3</f>
        <v>117000</v>
      </c>
      <c r="AC3" s="865">
        <f>'Calcul_Densité+Dose'!AD20/100</f>
        <v>0.14300000000000002</v>
      </c>
      <c r="AD3" s="848">
        <f t="shared" ref="AD3:AD34" si="16">10000/($AC3*$AS3)</f>
        <v>111888.11188811187</v>
      </c>
      <c r="AE3" s="974">
        <f t="shared" ref="AE3:AE34" si="17">($AG3/$AD3)-1</f>
        <v>-1</v>
      </c>
      <c r="AF3" s="849" t="e">
        <f t="shared" ref="AF3:AF34" si="18">10000/($AG3*$AS3)</f>
        <v>#DIV/0!</v>
      </c>
      <c r="AG3" s="850">
        <f t="shared" ref="AG3:AG34" si="19">($U3/$D3*1000)/$AT3</f>
        <v>0</v>
      </c>
      <c r="AH3" s="974" t="e">
        <f t="shared" ref="AH3:AH34" si="20">($AJ3/$AG3)-1</f>
        <v>#DIV/0!</v>
      </c>
      <c r="AI3" s="851"/>
      <c r="AJ3" s="852" t="e">
        <f t="shared" ref="AJ3:AJ34" si="21">10000/($AV3*$AI3)</f>
        <v>#DIV/0!</v>
      </c>
      <c r="AK3" s="975" t="e">
        <f t="shared" ref="AK3:AK34" si="22">($AJ3/$AB3)</f>
        <v>#DIV/0!</v>
      </c>
      <c r="AL3" s="850" t="e">
        <f t="shared" ref="AL3:AL34" si="23">10000/($AI3*(($BK3*$AT3)/$AQ3))</f>
        <v>#DIV/0!</v>
      </c>
      <c r="AM3" s="975" t="e">
        <f t="shared" ref="AM3:AM34" si="24">($AL3/$AB3)</f>
        <v>#DIV/0!</v>
      </c>
      <c r="AN3" s="853"/>
      <c r="AO3" s="976">
        <f t="shared" ref="AO3:AO34" si="25">($AN3/$AB3)</f>
        <v>0</v>
      </c>
      <c r="AP3" s="912"/>
      <c r="AQ3" s="866">
        <f>'Calcul_Densité+Dose'!F3</f>
        <v>2</v>
      </c>
      <c r="AR3" s="978">
        <f t="shared" ref="AR3:AR34" si="26">$BG3</f>
        <v>2.25</v>
      </c>
      <c r="AS3" s="919">
        <f t="shared" ref="AS3:AS34" si="27">($BE3+($BF$3/3))/$AQ3</f>
        <v>0.625</v>
      </c>
      <c r="AT3" s="920">
        <f t="shared" ref="AT3:AT34" si="28">($BE3+($BF3/3))/$BG3</f>
        <v>0.55555555555555558</v>
      </c>
      <c r="AU3" s="913"/>
      <c r="AV3" s="854"/>
      <c r="AW3" s="914"/>
      <c r="AX3" s="867">
        <f>'Calcul_Densité+Dose'!H3</f>
        <v>2</v>
      </c>
      <c r="AY3" s="855">
        <f t="shared" ref="AY3:AY34" si="29">$BF3</f>
        <v>1.5</v>
      </c>
      <c r="AZ3" s="918">
        <f t="shared" ref="AZ3:AZ34" si="30">($AY3-($AY3/3))/$AX3</f>
        <v>0.5</v>
      </c>
      <c r="BA3" s="917">
        <f t="shared" ref="BA3:BA34" si="31">1-$AT3</f>
        <v>0.44444444444444442</v>
      </c>
      <c r="BB3" s="916"/>
      <c r="BC3" s="855"/>
      <c r="BD3" s="915">
        <f t="shared" ref="BD3:BD34" si="32">1-$AW$3</f>
        <v>1</v>
      </c>
      <c r="BE3" s="868">
        <f>IF('Calcul_Densité+Dose'!B3="2x2",'Calcul_Densité+Dose'!I10,
IF('Calcul_Densité+Dose'!B3="4x2",'Calcul_Densité+Dose'!G32+'Calcul_Densité+Dose'!H32+'Calcul_Densité+Dose'!I32,
IF('Calcul_Densité+Dose'!B3="6x2",'Calcul_Densité+Dose'!E53+'Calcul_Densité+Dose'!F53+'Calcul_Densité+Dose'!G53+'Calcul_Densité+Dose'!H53+'Calcul_Densité+Dose'!I53,
IF('Calcul_Densité+Dose'!B3="4x3",'Calcul_Densité+Dose'!F21+'Calcul_Densité+Dose'!G21+'Calcul_Densité+Dose'!H21,
IF('Calcul_Densité+Dose'!B3="6x3",'Calcul_Densité+Dose'!D43+'Calcul_Densité+Dose'!E43+'Calcul_Densité+Dose'!F43+'Calcul_Densité+Dose'!G43+'Calcul_Densité+Dose'!H43,
)))))</f>
        <v>0.75</v>
      </c>
      <c r="BF3" s="869">
        <f>'Calcul_Densité+Dose'!Q3</f>
        <v>1.5</v>
      </c>
      <c r="BG3" s="857">
        <f t="shared" ref="BG3:BG34" si="33">$BE3+$BF3</f>
        <v>2.25</v>
      </c>
      <c r="BH3" s="981">
        <f t="shared" ref="BH3:BH34" si="34">($BK$3/$BG$3)-1</f>
        <v>-1</v>
      </c>
      <c r="BI3" s="858"/>
      <c r="BJ3" s="856"/>
      <c r="BK3" s="859">
        <f t="shared" ref="BK3:BK34" si="35">$BI3+$BJ3</f>
        <v>0</v>
      </c>
    </row>
    <row r="4" spans="1:64" ht="35.1" customHeight="1" x14ac:dyDescent="0.25">
      <c r="A4" s="963"/>
      <c r="B4" s="964"/>
      <c r="C4" s="965"/>
      <c r="D4" s="966"/>
      <c r="E4" s="965"/>
      <c r="F4" s="965"/>
      <c r="G4" s="967"/>
      <c r="H4" s="968"/>
      <c r="I4" s="861" t="e">
        <f t="shared" si="0"/>
        <v>#DIV/0!</v>
      </c>
      <c r="J4" s="894" t="e">
        <f t="shared" si="1"/>
        <v>#DIV/0!</v>
      </c>
      <c r="K4" s="904"/>
      <c r="L4" s="861" t="e">
        <f t="shared" si="2"/>
        <v>#DIV/0!</v>
      </c>
      <c r="M4" s="895" t="e">
        <f t="shared" si="3"/>
        <v>#DIV/0!</v>
      </c>
      <c r="N4" s="905"/>
      <c r="O4" s="907" t="e">
        <f t="shared" si="4"/>
        <v>#DIV/0!</v>
      </c>
      <c r="P4" s="906" t="e">
        <f t="shared" si="5"/>
        <v>#DIV/0!</v>
      </c>
      <c r="Q4" s="897" t="e">
        <f t="shared" si="6"/>
        <v>#DIV/0!</v>
      </c>
      <c r="R4" s="970" t="e">
        <f t="shared" si="7"/>
        <v>#DIV/0!</v>
      </c>
      <c r="S4" s="969" t="e">
        <f t="shared" si="8"/>
        <v>#DIV/0!</v>
      </c>
      <c r="T4" s="909" t="e">
        <f t="shared" si="9"/>
        <v>#DIV/0!</v>
      </c>
      <c r="U4" s="896" t="e">
        <f t="shared" si="10"/>
        <v>#DIV/0!</v>
      </c>
      <c r="V4" s="898">
        <f t="shared" si="11"/>
        <v>0</v>
      </c>
      <c r="W4" s="970">
        <f t="shared" si="12"/>
        <v>0</v>
      </c>
      <c r="X4" s="971" t="e">
        <f t="shared" si="13"/>
        <v>#DIV/0!</v>
      </c>
      <c r="Y4" s="847"/>
      <c r="Z4" s="911" t="e">
        <f t="shared" si="14"/>
        <v>#DIV/0!</v>
      </c>
      <c r="AA4" s="972"/>
      <c r="AB4" s="848" t="e">
        <f t="shared" si="15"/>
        <v>#DIV/0!</v>
      </c>
      <c r="AC4" s="973"/>
      <c r="AD4" s="848" t="e">
        <f t="shared" si="16"/>
        <v>#DIV/0!</v>
      </c>
      <c r="AE4" s="974" t="e">
        <f t="shared" si="17"/>
        <v>#DIV/0!</v>
      </c>
      <c r="AF4" s="849" t="e">
        <f t="shared" si="18"/>
        <v>#DIV/0!</v>
      </c>
      <c r="AG4" s="850" t="e">
        <f t="shared" si="19"/>
        <v>#DIV/0!</v>
      </c>
      <c r="AH4" s="974" t="e">
        <f t="shared" si="20"/>
        <v>#DIV/0!</v>
      </c>
      <c r="AI4" s="851"/>
      <c r="AJ4" s="852" t="e">
        <f t="shared" si="21"/>
        <v>#DIV/0!</v>
      </c>
      <c r="AK4" s="975" t="e">
        <f t="shared" si="22"/>
        <v>#DIV/0!</v>
      </c>
      <c r="AL4" s="850" t="e">
        <f t="shared" si="23"/>
        <v>#DIV/0!</v>
      </c>
      <c r="AM4" s="975" t="e">
        <f t="shared" si="24"/>
        <v>#DIV/0!</v>
      </c>
      <c r="AN4" s="853"/>
      <c r="AO4" s="976" t="e">
        <f t="shared" si="25"/>
        <v>#DIV/0!</v>
      </c>
      <c r="AP4" s="912"/>
      <c r="AQ4" s="977"/>
      <c r="AR4" s="978">
        <f t="shared" si="26"/>
        <v>0</v>
      </c>
      <c r="AS4" s="919" t="e">
        <f t="shared" si="27"/>
        <v>#DIV/0!</v>
      </c>
      <c r="AT4" s="920" t="e">
        <f t="shared" si="28"/>
        <v>#DIV/0!</v>
      </c>
      <c r="AU4" s="913"/>
      <c r="AV4" s="854"/>
      <c r="AW4" s="914"/>
      <c r="AX4" s="979"/>
      <c r="AY4" s="855">
        <f t="shared" si="29"/>
        <v>0</v>
      </c>
      <c r="AZ4" s="918" t="e">
        <f t="shared" si="30"/>
        <v>#DIV/0!</v>
      </c>
      <c r="BA4" s="917" t="e">
        <f t="shared" si="31"/>
        <v>#DIV/0!</v>
      </c>
      <c r="BB4" s="916"/>
      <c r="BC4" s="855"/>
      <c r="BD4" s="915">
        <f t="shared" si="32"/>
        <v>1</v>
      </c>
      <c r="BE4" s="980"/>
      <c r="BF4" s="856"/>
      <c r="BG4" s="857">
        <f t="shared" si="33"/>
        <v>0</v>
      </c>
      <c r="BH4" s="981">
        <f t="shared" si="34"/>
        <v>-1</v>
      </c>
      <c r="BI4" s="858"/>
      <c r="BJ4" s="856"/>
      <c r="BK4" s="859">
        <f t="shared" si="35"/>
        <v>0</v>
      </c>
    </row>
    <row r="5" spans="1:64" ht="35.1" customHeight="1" x14ac:dyDescent="0.25">
      <c r="A5" s="963"/>
      <c r="B5" s="964"/>
      <c r="C5" s="965"/>
      <c r="D5" s="966"/>
      <c r="E5" s="965"/>
      <c r="F5" s="965"/>
      <c r="G5" s="967"/>
      <c r="H5" s="968"/>
      <c r="I5" s="861" t="e">
        <f t="shared" si="0"/>
        <v>#DIV/0!</v>
      </c>
      <c r="J5" s="894" t="e">
        <f t="shared" si="1"/>
        <v>#DIV/0!</v>
      </c>
      <c r="K5" s="904"/>
      <c r="L5" s="861" t="e">
        <f t="shared" si="2"/>
        <v>#DIV/0!</v>
      </c>
      <c r="M5" s="895" t="e">
        <f t="shared" si="3"/>
        <v>#DIV/0!</v>
      </c>
      <c r="N5" s="905"/>
      <c r="O5" s="907" t="e">
        <f t="shared" si="4"/>
        <v>#DIV/0!</v>
      </c>
      <c r="P5" s="906" t="e">
        <f t="shared" si="5"/>
        <v>#DIV/0!</v>
      </c>
      <c r="Q5" s="897" t="e">
        <f t="shared" si="6"/>
        <v>#DIV/0!</v>
      </c>
      <c r="R5" s="970" t="e">
        <f t="shared" si="7"/>
        <v>#DIV/0!</v>
      </c>
      <c r="S5" s="969" t="e">
        <f t="shared" si="8"/>
        <v>#DIV/0!</v>
      </c>
      <c r="T5" s="909" t="e">
        <f t="shared" si="9"/>
        <v>#DIV/0!</v>
      </c>
      <c r="U5" s="896" t="e">
        <f t="shared" si="10"/>
        <v>#DIV/0!</v>
      </c>
      <c r="V5" s="898">
        <f t="shared" si="11"/>
        <v>0</v>
      </c>
      <c r="W5" s="970">
        <f t="shared" si="12"/>
        <v>0</v>
      </c>
      <c r="X5" s="971" t="e">
        <f t="shared" si="13"/>
        <v>#DIV/0!</v>
      </c>
      <c r="Y5" s="847"/>
      <c r="Z5" s="911" t="e">
        <f t="shared" si="14"/>
        <v>#DIV/0!</v>
      </c>
      <c r="AA5" s="972"/>
      <c r="AB5" s="848" t="e">
        <f t="shared" si="15"/>
        <v>#DIV/0!</v>
      </c>
      <c r="AC5" s="973"/>
      <c r="AD5" s="848" t="e">
        <f t="shared" si="16"/>
        <v>#DIV/0!</v>
      </c>
      <c r="AE5" s="974" t="e">
        <f t="shared" si="17"/>
        <v>#DIV/0!</v>
      </c>
      <c r="AF5" s="849" t="e">
        <f t="shared" si="18"/>
        <v>#DIV/0!</v>
      </c>
      <c r="AG5" s="850" t="e">
        <f t="shared" si="19"/>
        <v>#DIV/0!</v>
      </c>
      <c r="AH5" s="974" t="e">
        <f t="shared" si="20"/>
        <v>#DIV/0!</v>
      </c>
      <c r="AI5" s="851"/>
      <c r="AJ5" s="852" t="e">
        <f t="shared" si="21"/>
        <v>#DIV/0!</v>
      </c>
      <c r="AK5" s="975" t="e">
        <f t="shared" si="22"/>
        <v>#DIV/0!</v>
      </c>
      <c r="AL5" s="850" t="e">
        <f t="shared" si="23"/>
        <v>#DIV/0!</v>
      </c>
      <c r="AM5" s="975" t="e">
        <f t="shared" si="24"/>
        <v>#DIV/0!</v>
      </c>
      <c r="AN5" s="853"/>
      <c r="AO5" s="976" t="e">
        <f t="shared" si="25"/>
        <v>#DIV/0!</v>
      </c>
      <c r="AP5" s="912"/>
      <c r="AQ5" s="977"/>
      <c r="AR5" s="978">
        <f t="shared" si="26"/>
        <v>0</v>
      </c>
      <c r="AS5" s="919" t="e">
        <f t="shared" si="27"/>
        <v>#DIV/0!</v>
      </c>
      <c r="AT5" s="920" t="e">
        <f t="shared" si="28"/>
        <v>#DIV/0!</v>
      </c>
      <c r="AU5" s="913"/>
      <c r="AV5" s="854"/>
      <c r="AW5" s="914"/>
      <c r="AX5" s="979"/>
      <c r="AY5" s="855">
        <f t="shared" si="29"/>
        <v>0</v>
      </c>
      <c r="AZ5" s="918" t="e">
        <f t="shared" si="30"/>
        <v>#DIV/0!</v>
      </c>
      <c r="BA5" s="917" t="e">
        <f t="shared" si="31"/>
        <v>#DIV/0!</v>
      </c>
      <c r="BB5" s="916"/>
      <c r="BC5" s="855"/>
      <c r="BD5" s="915">
        <f t="shared" si="32"/>
        <v>1</v>
      </c>
      <c r="BE5" s="980"/>
      <c r="BF5" s="856"/>
      <c r="BG5" s="857">
        <f t="shared" si="33"/>
        <v>0</v>
      </c>
      <c r="BH5" s="981">
        <f t="shared" si="34"/>
        <v>-1</v>
      </c>
      <c r="BI5" s="858"/>
      <c r="BJ5" s="856"/>
      <c r="BK5" s="859">
        <f t="shared" si="35"/>
        <v>0</v>
      </c>
    </row>
    <row r="6" spans="1:64" ht="35.1" customHeight="1" x14ac:dyDescent="0.25">
      <c r="A6" s="963"/>
      <c r="B6" s="964"/>
      <c r="C6" s="965"/>
      <c r="D6" s="966"/>
      <c r="E6" s="965"/>
      <c r="F6" s="965"/>
      <c r="G6" s="967"/>
      <c r="H6" s="968"/>
      <c r="I6" s="861" t="e">
        <f t="shared" si="0"/>
        <v>#DIV/0!</v>
      </c>
      <c r="J6" s="894" t="e">
        <f t="shared" si="1"/>
        <v>#DIV/0!</v>
      </c>
      <c r="K6" s="904"/>
      <c r="L6" s="861" t="e">
        <f t="shared" si="2"/>
        <v>#DIV/0!</v>
      </c>
      <c r="M6" s="895" t="e">
        <f t="shared" si="3"/>
        <v>#DIV/0!</v>
      </c>
      <c r="N6" s="905"/>
      <c r="O6" s="907" t="e">
        <f t="shared" si="4"/>
        <v>#DIV/0!</v>
      </c>
      <c r="P6" s="906" t="e">
        <f t="shared" si="5"/>
        <v>#DIV/0!</v>
      </c>
      <c r="Q6" s="897" t="e">
        <f t="shared" si="6"/>
        <v>#DIV/0!</v>
      </c>
      <c r="R6" s="970" t="e">
        <f t="shared" si="7"/>
        <v>#DIV/0!</v>
      </c>
      <c r="S6" s="969" t="e">
        <f t="shared" si="8"/>
        <v>#DIV/0!</v>
      </c>
      <c r="T6" s="909" t="e">
        <f t="shared" si="9"/>
        <v>#DIV/0!</v>
      </c>
      <c r="U6" s="896" t="e">
        <f t="shared" si="10"/>
        <v>#DIV/0!</v>
      </c>
      <c r="V6" s="898">
        <f t="shared" si="11"/>
        <v>0</v>
      </c>
      <c r="W6" s="970">
        <f t="shared" si="12"/>
        <v>0</v>
      </c>
      <c r="X6" s="971" t="e">
        <f t="shared" si="13"/>
        <v>#DIV/0!</v>
      </c>
      <c r="Y6" s="847"/>
      <c r="Z6" s="911" t="e">
        <f t="shared" si="14"/>
        <v>#DIV/0!</v>
      </c>
      <c r="AA6" s="972"/>
      <c r="AB6" s="848" t="e">
        <f t="shared" si="15"/>
        <v>#DIV/0!</v>
      </c>
      <c r="AC6" s="973"/>
      <c r="AD6" s="848" t="e">
        <f t="shared" si="16"/>
        <v>#DIV/0!</v>
      </c>
      <c r="AE6" s="974" t="e">
        <f t="shared" si="17"/>
        <v>#DIV/0!</v>
      </c>
      <c r="AF6" s="849" t="e">
        <f t="shared" si="18"/>
        <v>#DIV/0!</v>
      </c>
      <c r="AG6" s="850" t="e">
        <f t="shared" si="19"/>
        <v>#DIV/0!</v>
      </c>
      <c r="AH6" s="974" t="e">
        <f t="shared" si="20"/>
        <v>#DIV/0!</v>
      </c>
      <c r="AI6" s="851"/>
      <c r="AJ6" s="852" t="e">
        <f t="shared" si="21"/>
        <v>#DIV/0!</v>
      </c>
      <c r="AK6" s="975" t="e">
        <f t="shared" si="22"/>
        <v>#DIV/0!</v>
      </c>
      <c r="AL6" s="850" t="e">
        <f t="shared" si="23"/>
        <v>#DIV/0!</v>
      </c>
      <c r="AM6" s="975" t="e">
        <f t="shared" si="24"/>
        <v>#DIV/0!</v>
      </c>
      <c r="AN6" s="853"/>
      <c r="AO6" s="976" t="e">
        <f t="shared" si="25"/>
        <v>#DIV/0!</v>
      </c>
      <c r="AP6" s="912"/>
      <c r="AQ6" s="977"/>
      <c r="AR6" s="978">
        <f t="shared" si="26"/>
        <v>0</v>
      </c>
      <c r="AS6" s="919" t="e">
        <f t="shared" si="27"/>
        <v>#DIV/0!</v>
      </c>
      <c r="AT6" s="920" t="e">
        <f t="shared" si="28"/>
        <v>#DIV/0!</v>
      </c>
      <c r="AU6" s="913"/>
      <c r="AV6" s="854"/>
      <c r="AW6" s="914"/>
      <c r="AX6" s="979"/>
      <c r="AY6" s="855">
        <f t="shared" si="29"/>
        <v>0</v>
      </c>
      <c r="AZ6" s="918" t="e">
        <f t="shared" si="30"/>
        <v>#DIV/0!</v>
      </c>
      <c r="BA6" s="917" t="e">
        <f t="shared" si="31"/>
        <v>#DIV/0!</v>
      </c>
      <c r="BB6" s="916"/>
      <c r="BC6" s="855"/>
      <c r="BD6" s="915">
        <f t="shared" si="32"/>
        <v>1</v>
      </c>
      <c r="BE6" s="980"/>
      <c r="BF6" s="856"/>
      <c r="BG6" s="857">
        <f t="shared" si="33"/>
        <v>0</v>
      </c>
      <c r="BH6" s="981">
        <f t="shared" si="34"/>
        <v>-1</v>
      </c>
      <c r="BI6" s="858"/>
      <c r="BJ6" s="856"/>
      <c r="BK6" s="859">
        <f t="shared" si="35"/>
        <v>0</v>
      </c>
    </row>
    <row r="7" spans="1:64" ht="35.1" customHeight="1" x14ac:dyDescent="0.25">
      <c r="A7" s="963"/>
      <c r="B7" s="964"/>
      <c r="C7" s="965"/>
      <c r="D7" s="966"/>
      <c r="E7" s="965"/>
      <c r="F7" s="965"/>
      <c r="G7" s="967"/>
      <c r="H7" s="968"/>
      <c r="I7" s="861" t="e">
        <f t="shared" si="0"/>
        <v>#DIV/0!</v>
      </c>
      <c r="J7" s="894" t="e">
        <f t="shared" si="1"/>
        <v>#DIV/0!</v>
      </c>
      <c r="K7" s="904"/>
      <c r="L7" s="861" t="e">
        <f t="shared" si="2"/>
        <v>#DIV/0!</v>
      </c>
      <c r="M7" s="895" t="e">
        <f t="shared" si="3"/>
        <v>#DIV/0!</v>
      </c>
      <c r="N7" s="905"/>
      <c r="O7" s="907" t="e">
        <f t="shared" si="4"/>
        <v>#DIV/0!</v>
      </c>
      <c r="P7" s="906" t="e">
        <f t="shared" si="5"/>
        <v>#DIV/0!</v>
      </c>
      <c r="Q7" s="897" t="e">
        <f t="shared" si="6"/>
        <v>#DIV/0!</v>
      </c>
      <c r="R7" s="970" t="e">
        <f t="shared" si="7"/>
        <v>#DIV/0!</v>
      </c>
      <c r="S7" s="969" t="e">
        <f t="shared" si="8"/>
        <v>#DIV/0!</v>
      </c>
      <c r="T7" s="909" t="e">
        <f t="shared" si="9"/>
        <v>#DIV/0!</v>
      </c>
      <c r="U7" s="896" t="e">
        <f t="shared" si="10"/>
        <v>#DIV/0!</v>
      </c>
      <c r="V7" s="898">
        <f t="shared" si="11"/>
        <v>0</v>
      </c>
      <c r="W7" s="970">
        <f t="shared" si="12"/>
        <v>0</v>
      </c>
      <c r="X7" s="971" t="e">
        <f t="shared" si="13"/>
        <v>#DIV/0!</v>
      </c>
      <c r="Y7" s="847"/>
      <c r="Z7" s="911" t="e">
        <f t="shared" si="14"/>
        <v>#DIV/0!</v>
      </c>
      <c r="AA7" s="972"/>
      <c r="AB7" s="848" t="e">
        <f t="shared" si="15"/>
        <v>#DIV/0!</v>
      </c>
      <c r="AC7" s="973"/>
      <c r="AD7" s="848" t="e">
        <f t="shared" si="16"/>
        <v>#DIV/0!</v>
      </c>
      <c r="AE7" s="974" t="e">
        <f t="shared" si="17"/>
        <v>#DIV/0!</v>
      </c>
      <c r="AF7" s="849" t="e">
        <f t="shared" si="18"/>
        <v>#DIV/0!</v>
      </c>
      <c r="AG7" s="850" t="e">
        <f t="shared" si="19"/>
        <v>#DIV/0!</v>
      </c>
      <c r="AH7" s="974" t="e">
        <f t="shared" si="20"/>
        <v>#DIV/0!</v>
      </c>
      <c r="AI7" s="851"/>
      <c r="AJ7" s="852" t="e">
        <f t="shared" si="21"/>
        <v>#DIV/0!</v>
      </c>
      <c r="AK7" s="975" t="e">
        <f t="shared" si="22"/>
        <v>#DIV/0!</v>
      </c>
      <c r="AL7" s="850" t="e">
        <f t="shared" si="23"/>
        <v>#DIV/0!</v>
      </c>
      <c r="AM7" s="975" t="e">
        <f t="shared" si="24"/>
        <v>#DIV/0!</v>
      </c>
      <c r="AN7" s="853"/>
      <c r="AO7" s="976" t="e">
        <f t="shared" si="25"/>
        <v>#DIV/0!</v>
      </c>
      <c r="AP7" s="912"/>
      <c r="AQ7" s="977"/>
      <c r="AR7" s="978">
        <f t="shared" si="26"/>
        <v>0</v>
      </c>
      <c r="AS7" s="919" t="e">
        <f t="shared" si="27"/>
        <v>#DIV/0!</v>
      </c>
      <c r="AT7" s="920" t="e">
        <f t="shared" si="28"/>
        <v>#DIV/0!</v>
      </c>
      <c r="AU7" s="913"/>
      <c r="AV7" s="854"/>
      <c r="AW7" s="914"/>
      <c r="AX7" s="979"/>
      <c r="AY7" s="855">
        <f t="shared" si="29"/>
        <v>0</v>
      </c>
      <c r="AZ7" s="918" t="e">
        <f t="shared" si="30"/>
        <v>#DIV/0!</v>
      </c>
      <c r="BA7" s="917" t="e">
        <f t="shared" si="31"/>
        <v>#DIV/0!</v>
      </c>
      <c r="BB7" s="916"/>
      <c r="BC7" s="855"/>
      <c r="BD7" s="915">
        <f t="shared" si="32"/>
        <v>1</v>
      </c>
      <c r="BE7" s="980"/>
      <c r="BF7" s="856"/>
      <c r="BG7" s="857">
        <f t="shared" si="33"/>
        <v>0</v>
      </c>
      <c r="BH7" s="981">
        <f t="shared" si="34"/>
        <v>-1</v>
      </c>
      <c r="BI7" s="858"/>
      <c r="BJ7" s="856"/>
      <c r="BK7" s="859">
        <f t="shared" si="35"/>
        <v>0</v>
      </c>
    </row>
    <row r="8" spans="1:64" ht="35.1" customHeight="1" x14ac:dyDescent="0.25">
      <c r="A8" s="963"/>
      <c r="B8" s="964"/>
      <c r="C8" s="965"/>
      <c r="D8" s="966"/>
      <c r="E8" s="965"/>
      <c r="F8" s="965"/>
      <c r="G8" s="967"/>
      <c r="H8" s="968"/>
      <c r="I8" s="861" t="e">
        <f t="shared" si="0"/>
        <v>#DIV/0!</v>
      </c>
      <c r="J8" s="894" t="e">
        <f t="shared" si="1"/>
        <v>#DIV/0!</v>
      </c>
      <c r="K8" s="904"/>
      <c r="L8" s="861" t="e">
        <f t="shared" si="2"/>
        <v>#DIV/0!</v>
      </c>
      <c r="M8" s="895" t="e">
        <f t="shared" si="3"/>
        <v>#DIV/0!</v>
      </c>
      <c r="N8" s="905"/>
      <c r="O8" s="907" t="e">
        <f t="shared" si="4"/>
        <v>#DIV/0!</v>
      </c>
      <c r="P8" s="906" t="e">
        <f t="shared" si="5"/>
        <v>#DIV/0!</v>
      </c>
      <c r="Q8" s="897" t="e">
        <f t="shared" si="6"/>
        <v>#DIV/0!</v>
      </c>
      <c r="R8" s="970" t="e">
        <f t="shared" si="7"/>
        <v>#DIV/0!</v>
      </c>
      <c r="S8" s="969" t="e">
        <f t="shared" si="8"/>
        <v>#DIV/0!</v>
      </c>
      <c r="T8" s="909" t="e">
        <f t="shared" si="9"/>
        <v>#DIV/0!</v>
      </c>
      <c r="U8" s="896" t="e">
        <f t="shared" si="10"/>
        <v>#DIV/0!</v>
      </c>
      <c r="V8" s="898">
        <f t="shared" si="11"/>
        <v>0</v>
      </c>
      <c r="W8" s="970">
        <f t="shared" si="12"/>
        <v>0</v>
      </c>
      <c r="X8" s="971" t="e">
        <f t="shared" si="13"/>
        <v>#DIV/0!</v>
      </c>
      <c r="Y8" s="847"/>
      <c r="Z8" s="911" t="e">
        <f t="shared" si="14"/>
        <v>#DIV/0!</v>
      </c>
      <c r="AA8" s="972"/>
      <c r="AB8" s="848" t="e">
        <f t="shared" si="15"/>
        <v>#DIV/0!</v>
      </c>
      <c r="AC8" s="973"/>
      <c r="AD8" s="848" t="e">
        <f t="shared" si="16"/>
        <v>#DIV/0!</v>
      </c>
      <c r="AE8" s="974" t="e">
        <f t="shared" si="17"/>
        <v>#DIV/0!</v>
      </c>
      <c r="AF8" s="849" t="e">
        <f t="shared" si="18"/>
        <v>#DIV/0!</v>
      </c>
      <c r="AG8" s="850" t="e">
        <f t="shared" si="19"/>
        <v>#DIV/0!</v>
      </c>
      <c r="AH8" s="974" t="e">
        <f t="shared" si="20"/>
        <v>#DIV/0!</v>
      </c>
      <c r="AI8" s="851"/>
      <c r="AJ8" s="852" t="e">
        <f t="shared" si="21"/>
        <v>#DIV/0!</v>
      </c>
      <c r="AK8" s="975" t="e">
        <f t="shared" si="22"/>
        <v>#DIV/0!</v>
      </c>
      <c r="AL8" s="850" t="e">
        <f t="shared" si="23"/>
        <v>#DIV/0!</v>
      </c>
      <c r="AM8" s="975" t="e">
        <f t="shared" si="24"/>
        <v>#DIV/0!</v>
      </c>
      <c r="AN8" s="853"/>
      <c r="AO8" s="976" t="e">
        <f t="shared" si="25"/>
        <v>#DIV/0!</v>
      </c>
      <c r="AP8" s="912"/>
      <c r="AQ8" s="977"/>
      <c r="AR8" s="978">
        <f t="shared" si="26"/>
        <v>0</v>
      </c>
      <c r="AS8" s="919" t="e">
        <f t="shared" si="27"/>
        <v>#DIV/0!</v>
      </c>
      <c r="AT8" s="920" t="e">
        <f t="shared" si="28"/>
        <v>#DIV/0!</v>
      </c>
      <c r="AU8" s="913"/>
      <c r="AV8" s="854"/>
      <c r="AW8" s="914"/>
      <c r="AX8" s="979"/>
      <c r="AY8" s="855">
        <f t="shared" si="29"/>
        <v>0</v>
      </c>
      <c r="AZ8" s="918" t="e">
        <f t="shared" si="30"/>
        <v>#DIV/0!</v>
      </c>
      <c r="BA8" s="917" t="e">
        <f t="shared" si="31"/>
        <v>#DIV/0!</v>
      </c>
      <c r="BB8" s="916"/>
      <c r="BC8" s="855"/>
      <c r="BD8" s="915">
        <f t="shared" si="32"/>
        <v>1</v>
      </c>
      <c r="BE8" s="980"/>
      <c r="BF8" s="856"/>
      <c r="BG8" s="857">
        <f t="shared" si="33"/>
        <v>0</v>
      </c>
      <c r="BH8" s="981">
        <f t="shared" si="34"/>
        <v>-1</v>
      </c>
      <c r="BI8" s="858"/>
      <c r="BJ8" s="856"/>
      <c r="BK8" s="859">
        <f t="shared" si="35"/>
        <v>0</v>
      </c>
    </row>
    <row r="9" spans="1:64" ht="35.1" customHeight="1" x14ac:dyDescent="0.25">
      <c r="A9" s="963"/>
      <c r="B9" s="964"/>
      <c r="C9" s="965"/>
      <c r="D9" s="966"/>
      <c r="E9" s="965"/>
      <c r="F9" s="965"/>
      <c r="G9" s="967"/>
      <c r="H9" s="968"/>
      <c r="I9" s="861" t="e">
        <f t="shared" si="0"/>
        <v>#DIV/0!</v>
      </c>
      <c r="J9" s="894" t="e">
        <f t="shared" si="1"/>
        <v>#DIV/0!</v>
      </c>
      <c r="K9" s="904"/>
      <c r="L9" s="861" t="e">
        <f t="shared" si="2"/>
        <v>#DIV/0!</v>
      </c>
      <c r="M9" s="895" t="e">
        <f t="shared" si="3"/>
        <v>#DIV/0!</v>
      </c>
      <c r="N9" s="905"/>
      <c r="O9" s="907" t="e">
        <f t="shared" si="4"/>
        <v>#DIV/0!</v>
      </c>
      <c r="P9" s="906" t="e">
        <f t="shared" si="5"/>
        <v>#DIV/0!</v>
      </c>
      <c r="Q9" s="897" t="e">
        <f t="shared" si="6"/>
        <v>#DIV/0!</v>
      </c>
      <c r="R9" s="970" t="e">
        <f t="shared" si="7"/>
        <v>#DIV/0!</v>
      </c>
      <c r="S9" s="969" t="e">
        <f t="shared" si="8"/>
        <v>#DIV/0!</v>
      </c>
      <c r="T9" s="909" t="e">
        <f t="shared" si="9"/>
        <v>#DIV/0!</v>
      </c>
      <c r="U9" s="896" t="e">
        <f t="shared" si="10"/>
        <v>#DIV/0!</v>
      </c>
      <c r="V9" s="898">
        <f t="shared" si="11"/>
        <v>0</v>
      </c>
      <c r="W9" s="970">
        <f t="shared" si="12"/>
        <v>0</v>
      </c>
      <c r="X9" s="971" t="e">
        <f t="shared" si="13"/>
        <v>#DIV/0!</v>
      </c>
      <c r="Y9" s="847"/>
      <c r="Z9" s="911" t="e">
        <f t="shared" si="14"/>
        <v>#DIV/0!</v>
      </c>
      <c r="AA9" s="972"/>
      <c r="AB9" s="848" t="e">
        <f t="shared" si="15"/>
        <v>#DIV/0!</v>
      </c>
      <c r="AC9" s="973"/>
      <c r="AD9" s="848" t="e">
        <f t="shared" si="16"/>
        <v>#DIV/0!</v>
      </c>
      <c r="AE9" s="974" t="e">
        <f t="shared" si="17"/>
        <v>#DIV/0!</v>
      </c>
      <c r="AF9" s="849" t="e">
        <f t="shared" si="18"/>
        <v>#DIV/0!</v>
      </c>
      <c r="AG9" s="850" t="e">
        <f t="shared" si="19"/>
        <v>#DIV/0!</v>
      </c>
      <c r="AH9" s="974" t="e">
        <f t="shared" si="20"/>
        <v>#DIV/0!</v>
      </c>
      <c r="AI9" s="851"/>
      <c r="AJ9" s="852" t="e">
        <f t="shared" si="21"/>
        <v>#DIV/0!</v>
      </c>
      <c r="AK9" s="975" t="e">
        <f t="shared" si="22"/>
        <v>#DIV/0!</v>
      </c>
      <c r="AL9" s="850" t="e">
        <f t="shared" si="23"/>
        <v>#DIV/0!</v>
      </c>
      <c r="AM9" s="975" t="e">
        <f t="shared" si="24"/>
        <v>#DIV/0!</v>
      </c>
      <c r="AN9" s="853"/>
      <c r="AO9" s="976" t="e">
        <f t="shared" si="25"/>
        <v>#DIV/0!</v>
      </c>
      <c r="AP9" s="912"/>
      <c r="AQ9" s="977"/>
      <c r="AR9" s="978">
        <f t="shared" si="26"/>
        <v>0</v>
      </c>
      <c r="AS9" s="919" t="e">
        <f t="shared" si="27"/>
        <v>#DIV/0!</v>
      </c>
      <c r="AT9" s="920" t="e">
        <f t="shared" si="28"/>
        <v>#DIV/0!</v>
      </c>
      <c r="AU9" s="913"/>
      <c r="AV9" s="854"/>
      <c r="AW9" s="914"/>
      <c r="AX9" s="979"/>
      <c r="AY9" s="855">
        <f t="shared" si="29"/>
        <v>0</v>
      </c>
      <c r="AZ9" s="918" t="e">
        <f t="shared" si="30"/>
        <v>#DIV/0!</v>
      </c>
      <c r="BA9" s="917" t="e">
        <f t="shared" si="31"/>
        <v>#DIV/0!</v>
      </c>
      <c r="BB9" s="916"/>
      <c r="BC9" s="855"/>
      <c r="BD9" s="915">
        <f t="shared" si="32"/>
        <v>1</v>
      </c>
      <c r="BE9" s="980"/>
      <c r="BF9" s="856"/>
      <c r="BG9" s="857">
        <f t="shared" si="33"/>
        <v>0</v>
      </c>
      <c r="BH9" s="981">
        <f t="shared" si="34"/>
        <v>-1</v>
      </c>
      <c r="BI9" s="858"/>
      <c r="BJ9" s="856"/>
      <c r="BK9" s="859">
        <f t="shared" si="35"/>
        <v>0</v>
      </c>
    </row>
    <row r="10" spans="1:64" ht="35.1" customHeight="1" x14ac:dyDescent="0.25">
      <c r="A10" s="963"/>
      <c r="B10" s="964"/>
      <c r="C10" s="965"/>
      <c r="D10" s="966"/>
      <c r="E10" s="965"/>
      <c r="F10" s="965"/>
      <c r="G10" s="967"/>
      <c r="H10" s="968"/>
      <c r="I10" s="861" t="e">
        <f t="shared" si="0"/>
        <v>#DIV/0!</v>
      </c>
      <c r="J10" s="894" t="e">
        <f t="shared" si="1"/>
        <v>#DIV/0!</v>
      </c>
      <c r="K10" s="904"/>
      <c r="L10" s="861" t="e">
        <f t="shared" si="2"/>
        <v>#DIV/0!</v>
      </c>
      <c r="M10" s="895" t="e">
        <f t="shared" si="3"/>
        <v>#DIV/0!</v>
      </c>
      <c r="N10" s="905"/>
      <c r="O10" s="907" t="e">
        <f t="shared" si="4"/>
        <v>#DIV/0!</v>
      </c>
      <c r="P10" s="906" t="e">
        <f t="shared" si="5"/>
        <v>#DIV/0!</v>
      </c>
      <c r="Q10" s="897" t="e">
        <f t="shared" si="6"/>
        <v>#DIV/0!</v>
      </c>
      <c r="R10" s="970" t="e">
        <f t="shared" si="7"/>
        <v>#DIV/0!</v>
      </c>
      <c r="S10" s="969" t="e">
        <f t="shared" si="8"/>
        <v>#DIV/0!</v>
      </c>
      <c r="T10" s="909" t="e">
        <f t="shared" si="9"/>
        <v>#DIV/0!</v>
      </c>
      <c r="U10" s="896" t="e">
        <f t="shared" si="10"/>
        <v>#DIV/0!</v>
      </c>
      <c r="V10" s="898">
        <f t="shared" si="11"/>
        <v>0</v>
      </c>
      <c r="W10" s="970">
        <f t="shared" si="12"/>
        <v>0</v>
      </c>
      <c r="X10" s="971" t="e">
        <f t="shared" si="13"/>
        <v>#DIV/0!</v>
      </c>
      <c r="Y10" s="847"/>
      <c r="Z10" s="911" t="e">
        <f t="shared" si="14"/>
        <v>#DIV/0!</v>
      </c>
      <c r="AA10" s="972"/>
      <c r="AB10" s="848" t="e">
        <f t="shared" si="15"/>
        <v>#DIV/0!</v>
      </c>
      <c r="AC10" s="973"/>
      <c r="AD10" s="848" t="e">
        <f t="shared" si="16"/>
        <v>#DIV/0!</v>
      </c>
      <c r="AE10" s="974" t="e">
        <f t="shared" si="17"/>
        <v>#DIV/0!</v>
      </c>
      <c r="AF10" s="849" t="e">
        <f t="shared" si="18"/>
        <v>#DIV/0!</v>
      </c>
      <c r="AG10" s="850" t="e">
        <f t="shared" si="19"/>
        <v>#DIV/0!</v>
      </c>
      <c r="AH10" s="974" t="e">
        <f t="shared" si="20"/>
        <v>#DIV/0!</v>
      </c>
      <c r="AI10" s="851"/>
      <c r="AJ10" s="852" t="e">
        <f t="shared" si="21"/>
        <v>#DIV/0!</v>
      </c>
      <c r="AK10" s="975" t="e">
        <f t="shared" si="22"/>
        <v>#DIV/0!</v>
      </c>
      <c r="AL10" s="850" t="e">
        <f t="shared" si="23"/>
        <v>#DIV/0!</v>
      </c>
      <c r="AM10" s="975" t="e">
        <f t="shared" si="24"/>
        <v>#DIV/0!</v>
      </c>
      <c r="AN10" s="853"/>
      <c r="AO10" s="976" t="e">
        <f t="shared" si="25"/>
        <v>#DIV/0!</v>
      </c>
      <c r="AP10" s="912"/>
      <c r="AQ10" s="977"/>
      <c r="AR10" s="978">
        <f t="shared" si="26"/>
        <v>0</v>
      </c>
      <c r="AS10" s="919" t="e">
        <f t="shared" si="27"/>
        <v>#DIV/0!</v>
      </c>
      <c r="AT10" s="920" t="e">
        <f t="shared" si="28"/>
        <v>#DIV/0!</v>
      </c>
      <c r="AU10" s="913"/>
      <c r="AV10" s="854"/>
      <c r="AW10" s="914"/>
      <c r="AX10" s="979"/>
      <c r="AY10" s="855">
        <f t="shared" si="29"/>
        <v>0</v>
      </c>
      <c r="AZ10" s="918" t="e">
        <f t="shared" si="30"/>
        <v>#DIV/0!</v>
      </c>
      <c r="BA10" s="917" t="e">
        <f t="shared" si="31"/>
        <v>#DIV/0!</v>
      </c>
      <c r="BB10" s="916"/>
      <c r="BC10" s="855"/>
      <c r="BD10" s="915">
        <f t="shared" si="32"/>
        <v>1</v>
      </c>
      <c r="BE10" s="980"/>
      <c r="BF10" s="856"/>
      <c r="BG10" s="857">
        <f t="shared" si="33"/>
        <v>0</v>
      </c>
      <c r="BH10" s="981">
        <f t="shared" si="34"/>
        <v>-1</v>
      </c>
      <c r="BI10" s="858"/>
      <c r="BJ10" s="856"/>
      <c r="BK10" s="859">
        <f t="shared" si="35"/>
        <v>0</v>
      </c>
    </row>
    <row r="11" spans="1:64" ht="35.1" customHeight="1" x14ac:dyDescent="0.25">
      <c r="A11" s="963"/>
      <c r="B11" s="964"/>
      <c r="C11" s="965"/>
      <c r="D11" s="966"/>
      <c r="E11" s="965"/>
      <c r="F11" s="965"/>
      <c r="G11" s="967"/>
      <c r="H11" s="968"/>
      <c r="I11" s="861" t="e">
        <f t="shared" si="0"/>
        <v>#DIV/0!</v>
      </c>
      <c r="J11" s="894" t="e">
        <f t="shared" si="1"/>
        <v>#DIV/0!</v>
      </c>
      <c r="K11" s="904"/>
      <c r="L11" s="861" t="e">
        <f t="shared" si="2"/>
        <v>#DIV/0!</v>
      </c>
      <c r="M11" s="895" t="e">
        <f t="shared" si="3"/>
        <v>#DIV/0!</v>
      </c>
      <c r="N11" s="905"/>
      <c r="O11" s="907" t="e">
        <f t="shared" si="4"/>
        <v>#DIV/0!</v>
      </c>
      <c r="P11" s="906" t="e">
        <f t="shared" si="5"/>
        <v>#DIV/0!</v>
      </c>
      <c r="Q11" s="897" t="e">
        <f t="shared" si="6"/>
        <v>#DIV/0!</v>
      </c>
      <c r="R11" s="970" t="e">
        <f t="shared" si="7"/>
        <v>#DIV/0!</v>
      </c>
      <c r="S11" s="969" t="e">
        <f t="shared" si="8"/>
        <v>#DIV/0!</v>
      </c>
      <c r="T11" s="909" t="e">
        <f t="shared" si="9"/>
        <v>#DIV/0!</v>
      </c>
      <c r="U11" s="896" t="e">
        <f t="shared" si="10"/>
        <v>#DIV/0!</v>
      </c>
      <c r="V11" s="898">
        <f t="shared" si="11"/>
        <v>0</v>
      </c>
      <c r="W11" s="970">
        <f t="shared" si="12"/>
        <v>0</v>
      </c>
      <c r="X11" s="971" t="e">
        <f t="shared" si="13"/>
        <v>#DIV/0!</v>
      </c>
      <c r="Y11" s="847"/>
      <c r="Z11" s="911" t="e">
        <f t="shared" si="14"/>
        <v>#DIV/0!</v>
      </c>
      <c r="AA11" s="972"/>
      <c r="AB11" s="848" t="e">
        <f t="shared" si="15"/>
        <v>#DIV/0!</v>
      </c>
      <c r="AC11" s="973"/>
      <c r="AD11" s="848" t="e">
        <f t="shared" si="16"/>
        <v>#DIV/0!</v>
      </c>
      <c r="AE11" s="974" t="e">
        <f t="shared" si="17"/>
        <v>#DIV/0!</v>
      </c>
      <c r="AF11" s="849" t="e">
        <f t="shared" si="18"/>
        <v>#DIV/0!</v>
      </c>
      <c r="AG11" s="850" t="e">
        <f t="shared" si="19"/>
        <v>#DIV/0!</v>
      </c>
      <c r="AH11" s="974" t="e">
        <f t="shared" si="20"/>
        <v>#DIV/0!</v>
      </c>
      <c r="AI11" s="851"/>
      <c r="AJ11" s="852" t="e">
        <f t="shared" si="21"/>
        <v>#DIV/0!</v>
      </c>
      <c r="AK11" s="975" t="e">
        <f t="shared" si="22"/>
        <v>#DIV/0!</v>
      </c>
      <c r="AL11" s="850" t="e">
        <f t="shared" si="23"/>
        <v>#DIV/0!</v>
      </c>
      <c r="AM11" s="975" t="e">
        <f t="shared" si="24"/>
        <v>#DIV/0!</v>
      </c>
      <c r="AN11" s="853"/>
      <c r="AO11" s="976" t="e">
        <f t="shared" si="25"/>
        <v>#DIV/0!</v>
      </c>
      <c r="AP11" s="912"/>
      <c r="AQ11" s="977"/>
      <c r="AR11" s="978">
        <f t="shared" si="26"/>
        <v>0</v>
      </c>
      <c r="AS11" s="919" t="e">
        <f t="shared" si="27"/>
        <v>#DIV/0!</v>
      </c>
      <c r="AT11" s="920" t="e">
        <f t="shared" si="28"/>
        <v>#DIV/0!</v>
      </c>
      <c r="AU11" s="913"/>
      <c r="AV11" s="854"/>
      <c r="AW11" s="914"/>
      <c r="AX11" s="979"/>
      <c r="AY11" s="855">
        <f t="shared" si="29"/>
        <v>0</v>
      </c>
      <c r="AZ11" s="918" t="e">
        <f t="shared" si="30"/>
        <v>#DIV/0!</v>
      </c>
      <c r="BA11" s="917" t="e">
        <f t="shared" si="31"/>
        <v>#DIV/0!</v>
      </c>
      <c r="BB11" s="916"/>
      <c r="BC11" s="855"/>
      <c r="BD11" s="915">
        <f t="shared" si="32"/>
        <v>1</v>
      </c>
      <c r="BE11" s="980"/>
      <c r="BF11" s="856"/>
      <c r="BG11" s="857">
        <f t="shared" si="33"/>
        <v>0</v>
      </c>
      <c r="BH11" s="981">
        <f t="shared" si="34"/>
        <v>-1</v>
      </c>
      <c r="BI11" s="858"/>
      <c r="BJ11" s="856"/>
      <c r="BK11" s="859">
        <f t="shared" si="35"/>
        <v>0</v>
      </c>
    </row>
    <row r="12" spans="1:64" ht="35.1" customHeight="1" x14ac:dyDescent="0.25">
      <c r="A12" s="963"/>
      <c r="B12" s="964"/>
      <c r="C12" s="965"/>
      <c r="D12" s="966"/>
      <c r="E12" s="965"/>
      <c r="F12" s="965"/>
      <c r="G12" s="967"/>
      <c r="H12" s="968"/>
      <c r="I12" s="861" t="e">
        <f t="shared" si="0"/>
        <v>#DIV/0!</v>
      </c>
      <c r="J12" s="894" t="e">
        <f t="shared" si="1"/>
        <v>#DIV/0!</v>
      </c>
      <c r="K12" s="904"/>
      <c r="L12" s="861" t="e">
        <f t="shared" si="2"/>
        <v>#DIV/0!</v>
      </c>
      <c r="M12" s="895" t="e">
        <f t="shared" si="3"/>
        <v>#DIV/0!</v>
      </c>
      <c r="N12" s="905"/>
      <c r="O12" s="907" t="e">
        <f t="shared" si="4"/>
        <v>#DIV/0!</v>
      </c>
      <c r="P12" s="906" t="e">
        <f t="shared" si="5"/>
        <v>#DIV/0!</v>
      </c>
      <c r="Q12" s="897" t="e">
        <f t="shared" si="6"/>
        <v>#DIV/0!</v>
      </c>
      <c r="R12" s="970" t="e">
        <f t="shared" si="7"/>
        <v>#DIV/0!</v>
      </c>
      <c r="S12" s="969" t="e">
        <f t="shared" si="8"/>
        <v>#DIV/0!</v>
      </c>
      <c r="T12" s="909" t="e">
        <f t="shared" si="9"/>
        <v>#DIV/0!</v>
      </c>
      <c r="U12" s="896" t="e">
        <f t="shared" si="10"/>
        <v>#DIV/0!</v>
      </c>
      <c r="V12" s="898">
        <f t="shared" si="11"/>
        <v>0</v>
      </c>
      <c r="W12" s="970">
        <f t="shared" si="12"/>
        <v>0</v>
      </c>
      <c r="X12" s="971" t="e">
        <f t="shared" si="13"/>
        <v>#DIV/0!</v>
      </c>
      <c r="Y12" s="847"/>
      <c r="Z12" s="911" t="e">
        <f t="shared" si="14"/>
        <v>#DIV/0!</v>
      </c>
      <c r="AA12" s="972"/>
      <c r="AB12" s="848" t="e">
        <f t="shared" si="15"/>
        <v>#DIV/0!</v>
      </c>
      <c r="AC12" s="973"/>
      <c r="AD12" s="848" t="e">
        <f t="shared" si="16"/>
        <v>#DIV/0!</v>
      </c>
      <c r="AE12" s="974" t="e">
        <f t="shared" si="17"/>
        <v>#DIV/0!</v>
      </c>
      <c r="AF12" s="849" t="e">
        <f t="shared" si="18"/>
        <v>#DIV/0!</v>
      </c>
      <c r="AG12" s="850" t="e">
        <f t="shared" si="19"/>
        <v>#DIV/0!</v>
      </c>
      <c r="AH12" s="974" t="e">
        <f t="shared" si="20"/>
        <v>#DIV/0!</v>
      </c>
      <c r="AI12" s="851"/>
      <c r="AJ12" s="852" t="e">
        <f t="shared" si="21"/>
        <v>#DIV/0!</v>
      </c>
      <c r="AK12" s="975" t="e">
        <f t="shared" si="22"/>
        <v>#DIV/0!</v>
      </c>
      <c r="AL12" s="850" t="e">
        <f t="shared" si="23"/>
        <v>#DIV/0!</v>
      </c>
      <c r="AM12" s="975" t="e">
        <f t="shared" si="24"/>
        <v>#DIV/0!</v>
      </c>
      <c r="AN12" s="853"/>
      <c r="AO12" s="976" t="e">
        <f t="shared" si="25"/>
        <v>#DIV/0!</v>
      </c>
      <c r="AP12" s="912"/>
      <c r="AQ12" s="977"/>
      <c r="AR12" s="978">
        <f t="shared" si="26"/>
        <v>0</v>
      </c>
      <c r="AS12" s="919" t="e">
        <f t="shared" si="27"/>
        <v>#DIV/0!</v>
      </c>
      <c r="AT12" s="920" t="e">
        <f t="shared" si="28"/>
        <v>#DIV/0!</v>
      </c>
      <c r="AU12" s="913"/>
      <c r="AV12" s="854"/>
      <c r="AW12" s="914"/>
      <c r="AX12" s="979"/>
      <c r="AY12" s="855">
        <f t="shared" si="29"/>
        <v>0</v>
      </c>
      <c r="AZ12" s="918" t="e">
        <f t="shared" si="30"/>
        <v>#DIV/0!</v>
      </c>
      <c r="BA12" s="917" t="e">
        <f t="shared" si="31"/>
        <v>#DIV/0!</v>
      </c>
      <c r="BB12" s="916"/>
      <c r="BC12" s="855"/>
      <c r="BD12" s="915">
        <f t="shared" si="32"/>
        <v>1</v>
      </c>
      <c r="BE12" s="980"/>
      <c r="BF12" s="856"/>
      <c r="BG12" s="857">
        <f t="shared" si="33"/>
        <v>0</v>
      </c>
      <c r="BH12" s="981">
        <f t="shared" si="34"/>
        <v>-1</v>
      </c>
      <c r="BI12" s="858"/>
      <c r="BJ12" s="856"/>
      <c r="BK12" s="859">
        <f t="shared" si="35"/>
        <v>0</v>
      </c>
    </row>
    <row r="13" spans="1:64" ht="35.1" customHeight="1" x14ac:dyDescent="0.25">
      <c r="A13" s="963"/>
      <c r="B13" s="964"/>
      <c r="C13" s="965"/>
      <c r="D13" s="966"/>
      <c r="E13" s="965"/>
      <c r="F13" s="965"/>
      <c r="G13" s="967"/>
      <c r="H13" s="968"/>
      <c r="I13" s="861" t="e">
        <f t="shared" si="0"/>
        <v>#DIV/0!</v>
      </c>
      <c r="J13" s="894" t="e">
        <f t="shared" si="1"/>
        <v>#DIV/0!</v>
      </c>
      <c r="K13" s="904"/>
      <c r="L13" s="861" t="e">
        <f t="shared" si="2"/>
        <v>#DIV/0!</v>
      </c>
      <c r="M13" s="895" t="e">
        <f t="shared" si="3"/>
        <v>#DIV/0!</v>
      </c>
      <c r="N13" s="905"/>
      <c r="O13" s="907" t="e">
        <f t="shared" si="4"/>
        <v>#DIV/0!</v>
      </c>
      <c r="P13" s="906" t="e">
        <f t="shared" si="5"/>
        <v>#DIV/0!</v>
      </c>
      <c r="Q13" s="897" t="e">
        <f t="shared" si="6"/>
        <v>#DIV/0!</v>
      </c>
      <c r="R13" s="970" t="e">
        <f t="shared" si="7"/>
        <v>#DIV/0!</v>
      </c>
      <c r="S13" s="969" t="e">
        <f t="shared" si="8"/>
        <v>#DIV/0!</v>
      </c>
      <c r="T13" s="909" t="e">
        <f t="shared" si="9"/>
        <v>#DIV/0!</v>
      </c>
      <c r="U13" s="896" t="e">
        <f t="shared" si="10"/>
        <v>#DIV/0!</v>
      </c>
      <c r="V13" s="898">
        <f t="shared" si="11"/>
        <v>0</v>
      </c>
      <c r="W13" s="970">
        <f t="shared" si="12"/>
        <v>0</v>
      </c>
      <c r="X13" s="971" t="e">
        <f t="shared" si="13"/>
        <v>#DIV/0!</v>
      </c>
      <c r="Y13" s="847"/>
      <c r="Z13" s="911" t="e">
        <f t="shared" si="14"/>
        <v>#DIV/0!</v>
      </c>
      <c r="AA13" s="972"/>
      <c r="AB13" s="848" t="e">
        <f t="shared" si="15"/>
        <v>#DIV/0!</v>
      </c>
      <c r="AC13" s="973"/>
      <c r="AD13" s="848" t="e">
        <f t="shared" si="16"/>
        <v>#DIV/0!</v>
      </c>
      <c r="AE13" s="974" t="e">
        <f t="shared" si="17"/>
        <v>#DIV/0!</v>
      </c>
      <c r="AF13" s="849" t="e">
        <f t="shared" si="18"/>
        <v>#DIV/0!</v>
      </c>
      <c r="AG13" s="850" t="e">
        <f t="shared" si="19"/>
        <v>#DIV/0!</v>
      </c>
      <c r="AH13" s="974" t="e">
        <f t="shared" si="20"/>
        <v>#DIV/0!</v>
      </c>
      <c r="AI13" s="851"/>
      <c r="AJ13" s="852" t="e">
        <f t="shared" si="21"/>
        <v>#DIV/0!</v>
      </c>
      <c r="AK13" s="975" t="e">
        <f t="shared" si="22"/>
        <v>#DIV/0!</v>
      </c>
      <c r="AL13" s="850" t="e">
        <f t="shared" si="23"/>
        <v>#DIV/0!</v>
      </c>
      <c r="AM13" s="975" t="e">
        <f t="shared" si="24"/>
        <v>#DIV/0!</v>
      </c>
      <c r="AN13" s="853"/>
      <c r="AO13" s="976" t="e">
        <f t="shared" si="25"/>
        <v>#DIV/0!</v>
      </c>
      <c r="AP13" s="912"/>
      <c r="AQ13" s="977"/>
      <c r="AR13" s="978">
        <f t="shared" si="26"/>
        <v>0</v>
      </c>
      <c r="AS13" s="919" t="e">
        <f t="shared" si="27"/>
        <v>#DIV/0!</v>
      </c>
      <c r="AT13" s="920" t="e">
        <f t="shared" si="28"/>
        <v>#DIV/0!</v>
      </c>
      <c r="AU13" s="913"/>
      <c r="AV13" s="854"/>
      <c r="AW13" s="914"/>
      <c r="AX13" s="979"/>
      <c r="AY13" s="855">
        <f t="shared" si="29"/>
        <v>0</v>
      </c>
      <c r="AZ13" s="918" t="e">
        <f t="shared" si="30"/>
        <v>#DIV/0!</v>
      </c>
      <c r="BA13" s="917" t="e">
        <f t="shared" si="31"/>
        <v>#DIV/0!</v>
      </c>
      <c r="BB13" s="916"/>
      <c r="BC13" s="855"/>
      <c r="BD13" s="915">
        <f t="shared" si="32"/>
        <v>1</v>
      </c>
      <c r="BE13" s="980"/>
      <c r="BF13" s="856"/>
      <c r="BG13" s="857">
        <f t="shared" si="33"/>
        <v>0</v>
      </c>
      <c r="BH13" s="981">
        <f t="shared" si="34"/>
        <v>-1</v>
      </c>
      <c r="BI13" s="858"/>
      <c r="BJ13" s="856"/>
      <c r="BK13" s="859">
        <f t="shared" si="35"/>
        <v>0</v>
      </c>
    </row>
    <row r="14" spans="1:64" ht="35.1" customHeight="1" x14ac:dyDescent="0.25">
      <c r="A14" s="963"/>
      <c r="B14" s="964"/>
      <c r="C14" s="965"/>
      <c r="D14" s="966"/>
      <c r="E14" s="965"/>
      <c r="F14" s="965"/>
      <c r="G14" s="967"/>
      <c r="H14" s="968"/>
      <c r="I14" s="861" t="e">
        <f t="shared" si="0"/>
        <v>#DIV/0!</v>
      </c>
      <c r="J14" s="894" t="e">
        <f t="shared" si="1"/>
        <v>#DIV/0!</v>
      </c>
      <c r="K14" s="904"/>
      <c r="L14" s="861" t="e">
        <f t="shared" si="2"/>
        <v>#DIV/0!</v>
      </c>
      <c r="M14" s="895" t="e">
        <f t="shared" si="3"/>
        <v>#DIV/0!</v>
      </c>
      <c r="N14" s="905"/>
      <c r="O14" s="907" t="e">
        <f t="shared" si="4"/>
        <v>#DIV/0!</v>
      </c>
      <c r="P14" s="906" t="e">
        <f t="shared" si="5"/>
        <v>#DIV/0!</v>
      </c>
      <c r="Q14" s="897" t="e">
        <f t="shared" si="6"/>
        <v>#DIV/0!</v>
      </c>
      <c r="R14" s="970" t="e">
        <f t="shared" si="7"/>
        <v>#DIV/0!</v>
      </c>
      <c r="S14" s="969" t="e">
        <f t="shared" si="8"/>
        <v>#DIV/0!</v>
      </c>
      <c r="T14" s="909" t="e">
        <f t="shared" si="9"/>
        <v>#DIV/0!</v>
      </c>
      <c r="U14" s="896" t="e">
        <f t="shared" si="10"/>
        <v>#DIV/0!</v>
      </c>
      <c r="V14" s="898">
        <f t="shared" si="11"/>
        <v>0</v>
      </c>
      <c r="W14" s="970">
        <f t="shared" si="12"/>
        <v>0</v>
      </c>
      <c r="X14" s="971" t="e">
        <f t="shared" si="13"/>
        <v>#DIV/0!</v>
      </c>
      <c r="Y14" s="847"/>
      <c r="Z14" s="911" t="e">
        <f t="shared" si="14"/>
        <v>#DIV/0!</v>
      </c>
      <c r="AA14" s="972"/>
      <c r="AB14" s="848" t="e">
        <f t="shared" si="15"/>
        <v>#DIV/0!</v>
      </c>
      <c r="AC14" s="973"/>
      <c r="AD14" s="848" t="e">
        <f t="shared" si="16"/>
        <v>#DIV/0!</v>
      </c>
      <c r="AE14" s="974" t="e">
        <f t="shared" si="17"/>
        <v>#DIV/0!</v>
      </c>
      <c r="AF14" s="849" t="e">
        <f t="shared" si="18"/>
        <v>#DIV/0!</v>
      </c>
      <c r="AG14" s="850" t="e">
        <f t="shared" si="19"/>
        <v>#DIV/0!</v>
      </c>
      <c r="AH14" s="974" t="e">
        <f t="shared" si="20"/>
        <v>#DIV/0!</v>
      </c>
      <c r="AI14" s="851"/>
      <c r="AJ14" s="852" t="e">
        <f t="shared" si="21"/>
        <v>#DIV/0!</v>
      </c>
      <c r="AK14" s="975" t="e">
        <f t="shared" si="22"/>
        <v>#DIV/0!</v>
      </c>
      <c r="AL14" s="850" t="e">
        <f t="shared" si="23"/>
        <v>#DIV/0!</v>
      </c>
      <c r="AM14" s="975" t="e">
        <f t="shared" si="24"/>
        <v>#DIV/0!</v>
      </c>
      <c r="AN14" s="853"/>
      <c r="AO14" s="976" t="e">
        <f t="shared" si="25"/>
        <v>#DIV/0!</v>
      </c>
      <c r="AP14" s="912"/>
      <c r="AQ14" s="977"/>
      <c r="AR14" s="978">
        <f t="shared" si="26"/>
        <v>0</v>
      </c>
      <c r="AS14" s="919" t="e">
        <f t="shared" si="27"/>
        <v>#DIV/0!</v>
      </c>
      <c r="AT14" s="920" t="e">
        <f t="shared" si="28"/>
        <v>#DIV/0!</v>
      </c>
      <c r="AU14" s="913"/>
      <c r="AV14" s="854"/>
      <c r="AW14" s="914"/>
      <c r="AX14" s="979"/>
      <c r="AY14" s="855">
        <f t="shared" si="29"/>
        <v>0</v>
      </c>
      <c r="AZ14" s="918" t="e">
        <f t="shared" si="30"/>
        <v>#DIV/0!</v>
      </c>
      <c r="BA14" s="917" t="e">
        <f t="shared" si="31"/>
        <v>#DIV/0!</v>
      </c>
      <c r="BB14" s="916"/>
      <c r="BC14" s="855"/>
      <c r="BD14" s="915">
        <f t="shared" si="32"/>
        <v>1</v>
      </c>
      <c r="BE14" s="980"/>
      <c r="BF14" s="856"/>
      <c r="BG14" s="857">
        <f t="shared" si="33"/>
        <v>0</v>
      </c>
      <c r="BH14" s="981">
        <f t="shared" si="34"/>
        <v>-1</v>
      </c>
      <c r="BI14" s="858"/>
      <c r="BJ14" s="856"/>
      <c r="BK14" s="859">
        <f t="shared" si="35"/>
        <v>0</v>
      </c>
    </row>
    <row r="15" spans="1:64" ht="35.1" customHeight="1" x14ac:dyDescent="0.25">
      <c r="A15" s="963"/>
      <c r="B15" s="964"/>
      <c r="C15" s="965"/>
      <c r="D15" s="966"/>
      <c r="E15" s="965"/>
      <c r="F15" s="965"/>
      <c r="G15" s="967"/>
      <c r="H15" s="968"/>
      <c r="I15" s="861" t="e">
        <f t="shared" si="0"/>
        <v>#DIV/0!</v>
      </c>
      <c r="J15" s="894" t="e">
        <f t="shared" si="1"/>
        <v>#DIV/0!</v>
      </c>
      <c r="K15" s="904"/>
      <c r="L15" s="861" t="e">
        <f t="shared" si="2"/>
        <v>#DIV/0!</v>
      </c>
      <c r="M15" s="895" t="e">
        <f t="shared" si="3"/>
        <v>#DIV/0!</v>
      </c>
      <c r="N15" s="905"/>
      <c r="O15" s="907" t="e">
        <f t="shared" si="4"/>
        <v>#DIV/0!</v>
      </c>
      <c r="P15" s="906" t="e">
        <f t="shared" si="5"/>
        <v>#DIV/0!</v>
      </c>
      <c r="Q15" s="897" t="e">
        <f t="shared" si="6"/>
        <v>#DIV/0!</v>
      </c>
      <c r="R15" s="970" t="e">
        <f t="shared" si="7"/>
        <v>#DIV/0!</v>
      </c>
      <c r="S15" s="969" t="e">
        <f t="shared" si="8"/>
        <v>#DIV/0!</v>
      </c>
      <c r="T15" s="909" t="e">
        <f t="shared" si="9"/>
        <v>#DIV/0!</v>
      </c>
      <c r="U15" s="896" t="e">
        <f t="shared" si="10"/>
        <v>#DIV/0!</v>
      </c>
      <c r="V15" s="898">
        <f t="shared" si="11"/>
        <v>0</v>
      </c>
      <c r="W15" s="970">
        <f t="shared" si="12"/>
        <v>0</v>
      </c>
      <c r="X15" s="971" t="e">
        <f t="shared" si="13"/>
        <v>#DIV/0!</v>
      </c>
      <c r="Y15" s="847"/>
      <c r="Z15" s="911" t="e">
        <f t="shared" si="14"/>
        <v>#DIV/0!</v>
      </c>
      <c r="AA15" s="972"/>
      <c r="AB15" s="848" t="e">
        <f t="shared" si="15"/>
        <v>#DIV/0!</v>
      </c>
      <c r="AC15" s="973"/>
      <c r="AD15" s="848" t="e">
        <f t="shared" si="16"/>
        <v>#DIV/0!</v>
      </c>
      <c r="AE15" s="974" t="e">
        <f t="shared" si="17"/>
        <v>#DIV/0!</v>
      </c>
      <c r="AF15" s="849" t="e">
        <f t="shared" si="18"/>
        <v>#DIV/0!</v>
      </c>
      <c r="AG15" s="850" t="e">
        <f t="shared" si="19"/>
        <v>#DIV/0!</v>
      </c>
      <c r="AH15" s="974" t="e">
        <f t="shared" si="20"/>
        <v>#DIV/0!</v>
      </c>
      <c r="AI15" s="851"/>
      <c r="AJ15" s="852" t="e">
        <f t="shared" si="21"/>
        <v>#DIV/0!</v>
      </c>
      <c r="AK15" s="975" t="e">
        <f t="shared" si="22"/>
        <v>#DIV/0!</v>
      </c>
      <c r="AL15" s="850" t="e">
        <f t="shared" si="23"/>
        <v>#DIV/0!</v>
      </c>
      <c r="AM15" s="975" t="e">
        <f t="shared" si="24"/>
        <v>#DIV/0!</v>
      </c>
      <c r="AN15" s="853"/>
      <c r="AO15" s="976" t="e">
        <f t="shared" si="25"/>
        <v>#DIV/0!</v>
      </c>
      <c r="AP15" s="912"/>
      <c r="AQ15" s="977"/>
      <c r="AR15" s="978">
        <f t="shared" si="26"/>
        <v>0</v>
      </c>
      <c r="AS15" s="919" t="e">
        <f t="shared" si="27"/>
        <v>#DIV/0!</v>
      </c>
      <c r="AT15" s="920" t="e">
        <f t="shared" si="28"/>
        <v>#DIV/0!</v>
      </c>
      <c r="AU15" s="913"/>
      <c r="AV15" s="854"/>
      <c r="AW15" s="914"/>
      <c r="AX15" s="979"/>
      <c r="AY15" s="855">
        <f t="shared" si="29"/>
        <v>0</v>
      </c>
      <c r="AZ15" s="918" t="e">
        <f t="shared" si="30"/>
        <v>#DIV/0!</v>
      </c>
      <c r="BA15" s="917" t="e">
        <f t="shared" si="31"/>
        <v>#DIV/0!</v>
      </c>
      <c r="BB15" s="916"/>
      <c r="BC15" s="855"/>
      <c r="BD15" s="915">
        <f t="shared" si="32"/>
        <v>1</v>
      </c>
      <c r="BE15" s="980"/>
      <c r="BF15" s="856"/>
      <c r="BG15" s="857">
        <f t="shared" si="33"/>
        <v>0</v>
      </c>
      <c r="BH15" s="981">
        <f t="shared" si="34"/>
        <v>-1</v>
      </c>
      <c r="BI15" s="858"/>
      <c r="BJ15" s="856"/>
      <c r="BK15" s="859">
        <f t="shared" si="35"/>
        <v>0</v>
      </c>
    </row>
    <row r="16" spans="1:64" ht="35.1" customHeight="1" x14ac:dyDescent="0.25">
      <c r="A16" s="963"/>
      <c r="B16" s="964"/>
      <c r="C16" s="965"/>
      <c r="D16" s="966"/>
      <c r="E16" s="965"/>
      <c r="F16" s="965"/>
      <c r="G16" s="967"/>
      <c r="H16" s="968"/>
      <c r="I16" s="861" t="e">
        <f t="shared" si="0"/>
        <v>#DIV/0!</v>
      </c>
      <c r="J16" s="894" t="e">
        <f t="shared" si="1"/>
        <v>#DIV/0!</v>
      </c>
      <c r="K16" s="904"/>
      <c r="L16" s="861" t="e">
        <f t="shared" si="2"/>
        <v>#DIV/0!</v>
      </c>
      <c r="M16" s="895" t="e">
        <f t="shared" si="3"/>
        <v>#DIV/0!</v>
      </c>
      <c r="N16" s="905"/>
      <c r="O16" s="907" t="e">
        <f t="shared" si="4"/>
        <v>#DIV/0!</v>
      </c>
      <c r="P16" s="906" t="e">
        <f t="shared" si="5"/>
        <v>#DIV/0!</v>
      </c>
      <c r="Q16" s="897" t="e">
        <f t="shared" si="6"/>
        <v>#DIV/0!</v>
      </c>
      <c r="R16" s="970" t="e">
        <f t="shared" si="7"/>
        <v>#DIV/0!</v>
      </c>
      <c r="S16" s="969" t="e">
        <f t="shared" si="8"/>
        <v>#DIV/0!</v>
      </c>
      <c r="T16" s="909" t="e">
        <f t="shared" si="9"/>
        <v>#DIV/0!</v>
      </c>
      <c r="U16" s="896" t="e">
        <f t="shared" si="10"/>
        <v>#DIV/0!</v>
      </c>
      <c r="V16" s="898">
        <f t="shared" si="11"/>
        <v>0</v>
      </c>
      <c r="W16" s="970">
        <f t="shared" si="12"/>
        <v>0</v>
      </c>
      <c r="X16" s="971" t="e">
        <f t="shared" si="13"/>
        <v>#DIV/0!</v>
      </c>
      <c r="Y16" s="847"/>
      <c r="Z16" s="911" t="e">
        <f t="shared" si="14"/>
        <v>#DIV/0!</v>
      </c>
      <c r="AA16" s="972"/>
      <c r="AB16" s="848" t="e">
        <f t="shared" si="15"/>
        <v>#DIV/0!</v>
      </c>
      <c r="AC16" s="973"/>
      <c r="AD16" s="848" t="e">
        <f t="shared" si="16"/>
        <v>#DIV/0!</v>
      </c>
      <c r="AE16" s="974" t="e">
        <f t="shared" si="17"/>
        <v>#DIV/0!</v>
      </c>
      <c r="AF16" s="849" t="e">
        <f t="shared" si="18"/>
        <v>#DIV/0!</v>
      </c>
      <c r="AG16" s="850" t="e">
        <f t="shared" si="19"/>
        <v>#DIV/0!</v>
      </c>
      <c r="AH16" s="974" t="e">
        <f t="shared" si="20"/>
        <v>#DIV/0!</v>
      </c>
      <c r="AI16" s="851"/>
      <c r="AJ16" s="852" t="e">
        <f t="shared" si="21"/>
        <v>#DIV/0!</v>
      </c>
      <c r="AK16" s="975" t="e">
        <f t="shared" si="22"/>
        <v>#DIV/0!</v>
      </c>
      <c r="AL16" s="850" t="e">
        <f t="shared" si="23"/>
        <v>#DIV/0!</v>
      </c>
      <c r="AM16" s="975" t="e">
        <f t="shared" si="24"/>
        <v>#DIV/0!</v>
      </c>
      <c r="AN16" s="853"/>
      <c r="AO16" s="976" t="e">
        <f t="shared" si="25"/>
        <v>#DIV/0!</v>
      </c>
      <c r="AP16" s="912"/>
      <c r="AQ16" s="977"/>
      <c r="AR16" s="978">
        <f t="shared" si="26"/>
        <v>0</v>
      </c>
      <c r="AS16" s="919" t="e">
        <f t="shared" si="27"/>
        <v>#DIV/0!</v>
      </c>
      <c r="AT16" s="920" t="e">
        <f t="shared" si="28"/>
        <v>#DIV/0!</v>
      </c>
      <c r="AU16" s="913"/>
      <c r="AV16" s="854"/>
      <c r="AW16" s="914"/>
      <c r="AX16" s="979"/>
      <c r="AY16" s="855">
        <f t="shared" si="29"/>
        <v>0</v>
      </c>
      <c r="AZ16" s="918" t="e">
        <f t="shared" si="30"/>
        <v>#DIV/0!</v>
      </c>
      <c r="BA16" s="917" t="e">
        <f t="shared" si="31"/>
        <v>#DIV/0!</v>
      </c>
      <c r="BB16" s="916"/>
      <c r="BC16" s="855"/>
      <c r="BD16" s="915">
        <f t="shared" si="32"/>
        <v>1</v>
      </c>
      <c r="BE16" s="980"/>
      <c r="BF16" s="856"/>
      <c r="BG16" s="857">
        <f t="shared" si="33"/>
        <v>0</v>
      </c>
      <c r="BH16" s="981">
        <f t="shared" si="34"/>
        <v>-1</v>
      </c>
      <c r="BI16" s="858"/>
      <c r="BJ16" s="856"/>
      <c r="BK16" s="859">
        <f t="shared" si="35"/>
        <v>0</v>
      </c>
    </row>
    <row r="17" spans="1:63" ht="35.1" customHeight="1" x14ac:dyDescent="0.25">
      <c r="A17" s="963"/>
      <c r="B17" s="964"/>
      <c r="C17" s="965"/>
      <c r="D17" s="966"/>
      <c r="E17" s="965"/>
      <c r="F17" s="965"/>
      <c r="G17" s="967"/>
      <c r="H17" s="968"/>
      <c r="I17" s="861" t="e">
        <f t="shared" si="0"/>
        <v>#DIV/0!</v>
      </c>
      <c r="J17" s="894" t="e">
        <f t="shared" si="1"/>
        <v>#DIV/0!</v>
      </c>
      <c r="K17" s="904"/>
      <c r="L17" s="861" t="e">
        <f t="shared" si="2"/>
        <v>#DIV/0!</v>
      </c>
      <c r="M17" s="895" t="e">
        <f t="shared" si="3"/>
        <v>#DIV/0!</v>
      </c>
      <c r="N17" s="905"/>
      <c r="O17" s="907" t="e">
        <f t="shared" si="4"/>
        <v>#DIV/0!</v>
      </c>
      <c r="P17" s="906" t="e">
        <f t="shared" si="5"/>
        <v>#DIV/0!</v>
      </c>
      <c r="Q17" s="897" t="e">
        <f t="shared" si="6"/>
        <v>#DIV/0!</v>
      </c>
      <c r="R17" s="970" t="e">
        <f t="shared" si="7"/>
        <v>#DIV/0!</v>
      </c>
      <c r="S17" s="969" t="e">
        <f t="shared" si="8"/>
        <v>#DIV/0!</v>
      </c>
      <c r="T17" s="909" t="e">
        <f t="shared" si="9"/>
        <v>#DIV/0!</v>
      </c>
      <c r="U17" s="896" t="e">
        <f t="shared" si="10"/>
        <v>#DIV/0!</v>
      </c>
      <c r="V17" s="898">
        <f t="shared" si="11"/>
        <v>0</v>
      </c>
      <c r="W17" s="970">
        <f t="shared" si="12"/>
        <v>0</v>
      </c>
      <c r="X17" s="971" t="e">
        <f t="shared" si="13"/>
        <v>#DIV/0!</v>
      </c>
      <c r="Y17" s="847"/>
      <c r="Z17" s="911" t="e">
        <f t="shared" si="14"/>
        <v>#DIV/0!</v>
      </c>
      <c r="AA17" s="972"/>
      <c r="AB17" s="848" t="e">
        <f t="shared" si="15"/>
        <v>#DIV/0!</v>
      </c>
      <c r="AC17" s="973"/>
      <c r="AD17" s="848" t="e">
        <f t="shared" si="16"/>
        <v>#DIV/0!</v>
      </c>
      <c r="AE17" s="974" t="e">
        <f t="shared" si="17"/>
        <v>#DIV/0!</v>
      </c>
      <c r="AF17" s="849" t="e">
        <f t="shared" si="18"/>
        <v>#DIV/0!</v>
      </c>
      <c r="AG17" s="850" t="e">
        <f t="shared" si="19"/>
        <v>#DIV/0!</v>
      </c>
      <c r="AH17" s="974" t="e">
        <f t="shared" si="20"/>
        <v>#DIV/0!</v>
      </c>
      <c r="AI17" s="851"/>
      <c r="AJ17" s="852" t="e">
        <f t="shared" si="21"/>
        <v>#DIV/0!</v>
      </c>
      <c r="AK17" s="975" t="e">
        <f t="shared" si="22"/>
        <v>#DIV/0!</v>
      </c>
      <c r="AL17" s="850" t="e">
        <f t="shared" si="23"/>
        <v>#DIV/0!</v>
      </c>
      <c r="AM17" s="975" t="e">
        <f t="shared" si="24"/>
        <v>#DIV/0!</v>
      </c>
      <c r="AN17" s="853"/>
      <c r="AO17" s="976" t="e">
        <f t="shared" si="25"/>
        <v>#DIV/0!</v>
      </c>
      <c r="AP17" s="912"/>
      <c r="AQ17" s="977"/>
      <c r="AR17" s="978">
        <f t="shared" si="26"/>
        <v>0</v>
      </c>
      <c r="AS17" s="919" t="e">
        <f t="shared" si="27"/>
        <v>#DIV/0!</v>
      </c>
      <c r="AT17" s="920" t="e">
        <f t="shared" si="28"/>
        <v>#DIV/0!</v>
      </c>
      <c r="AU17" s="913"/>
      <c r="AV17" s="854"/>
      <c r="AW17" s="914"/>
      <c r="AX17" s="979"/>
      <c r="AY17" s="855">
        <f t="shared" si="29"/>
        <v>0</v>
      </c>
      <c r="AZ17" s="918" t="e">
        <f t="shared" si="30"/>
        <v>#DIV/0!</v>
      </c>
      <c r="BA17" s="917" t="e">
        <f t="shared" si="31"/>
        <v>#DIV/0!</v>
      </c>
      <c r="BB17" s="916"/>
      <c r="BC17" s="855"/>
      <c r="BD17" s="915">
        <f t="shared" si="32"/>
        <v>1</v>
      </c>
      <c r="BE17" s="980"/>
      <c r="BF17" s="856"/>
      <c r="BG17" s="857">
        <f t="shared" si="33"/>
        <v>0</v>
      </c>
      <c r="BH17" s="981">
        <f t="shared" si="34"/>
        <v>-1</v>
      </c>
      <c r="BI17" s="858"/>
      <c r="BJ17" s="856"/>
      <c r="BK17" s="859">
        <f t="shared" si="35"/>
        <v>0</v>
      </c>
    </row>
    <row r="18" spans="1:63" ht="35.1" customHeight="1" x14ac:dyDescent="0.25">
      <c r="A18" s="963"/>
      <c r="B18" s="964"/>
      <c r="C18" s="965"/>
      <c r="D18" s="966"/>
      <c r="E18" s="965"/>
      <c r="F18" s="965"/>
      <c r="G18" s="967"/>
      <c r="H18" s="968"/>
      <c r="I18" s="861" t="e">
        <f t="shared" si="0"/>
        <v>#DIV/0!</v>
      </c>
      <c r="J18" s="894" t="e">
        <f t="shared" si="1"/>
        <v>#DIV/0!</v>
      </c>
      <c r="K18" s="904"/>
      <c r="L18" s="861" t="e">
        <f t="shared" si="2"/>
        <v>#DIV/0!</v>
      </c>
      <c r="M18" s="895" t="e">
        <f t="shared" si="3"/>
        <v>#DIV/0!</v>
      </c>
      <c r="N18" s="905"/>
      <c r="O18" s="907" t="e">
        <f t="shared" si="4"/>
        <v>#DIV/0!</v>
      </c>
      <c r="P18" s="906" t="e">
        <f t="shared" si="5"/>
        <v>#DIV/0!</v>
      </c>
      <c r="Q18" s="897" t="e">
        <f t="shared" si="6"/>
        <v>#DIV/0!</v>
      </c>
      <c r="R18" s="970" t="e">
        <f t="shared" si="7"/>
        <v>#DIV/0!</v>
      </c>
      <c r="S18" s="969" t="e">
        <f t="shared" si="8"/>
        <v>#DIV/0!</v>
      </c>
      <c r="T18" s="909" t="e">
        <f t="shared" si="9"/>
        <v>#DIV/0!</v>
      </c>
      <c r="U18" s="896" t="e">
        <f t="shared" si="10"/>
        <v>#DIV/0!</v>
      </c>
      <c r="V18" s="898">
        <f t="shared" si="11"/>
        <v>0</v>
      </c>
      <c r="W18" s="970">
        <f t="shared" si="12"/>
        <v>0</v>
      </c>
      <c r="X18" s="971" t="e">
        <f t="shared" si="13"/>
        <v>#DIV/0!</v>
      </c>
      <c r="Y18" s="847"/>
      <c r="Z18" s="911" t="e">
        <f t="shared" si="14"/>
        <v>#DIV/0!</v>
      </c>
      <c r="AA18" s="972"/>
      <c r="AB18" s="848" t="e">
        <f t="shared" si="15"/>
        <v>#DIV/0!</v>
      </c>
      <c r="AC18" s="973"/>
      <c r="AD18" s="848" t="e">
        <f t="shared" si="16"/>
        <v>#DIV/0!</v>
      </c>
      <c r="AE18" s="974" t="e">
        <f t="shared" si="17"/>
        <v>#DIV/0!</v>
      </c>
      <c r="AF18" s="849" t="e">
        <f t="shared" si="18"/>
        <v>#DIV/0!</v>
      </c>
      <c r="AG18" s="850" t="e">
        <f t="shared" si="19"/>
        <v>#DIV/0!</v>
      </c>
      <c r="AH18" s="974" t="e">
        <f t="shared" si="20"/>
        <v>#DIV/0!</v>
      </c>
      <c r="AI18" s="851"/>
      <c r="AJ18" s="852" t="e">
        <f t="shared" si="21"/>
        <v>#DIV/0!</v>
      </c>
      <c r="AK18" s="975" t="e">
        <f t="shared" si="22"/>
        <v>#DIV/0!</v>
      </c>
      <c r="AL18" s="850" t="e">
        <f t="shared" si="23"/>
        <v>#DIV/0!</v>
      </c>
      <c r="AM18" s="975" t="e">
        <f t="shared" si="24"/>
        <v>#DIV/0!</v>
      </c>
      <c r="AN18" s="853"/>
      <c r="AO18" s="976" t="e">
        <f t="shared" si="25"/>
        <v>#DIV/0!</v>
      </c>
      <c r="AP18" s="912"/>
      <c r="AQ18" s="977"/>
      <c r="AR18" s="978">
        <f t="shared" si="26"/>
        <v>0</v>
      </c>
      <c r="AS18" s="919" t="e">
        <f t="shared" si="27"/>
        <v>#DIV/0!</v>
      </c>
      <c r="AT18" s="920" t="e">
        <f t="shared" si="28"/>
        <v>#DIV/0!</v>
      </c>
      <c r="AU18" s="913"/>
      <c r="AV18" s="854"/>
      <c r="AW18" s="914"/>
      <c r="AX18" s="979"/>
      <c r="AY18" s="855">
        <f t="shared" si="29"/>
        <v>0</v>
      </c>
      <c r="AZ18" s="918" t="e">
        <f t="shared" si="30"/>
        <v>#DIV/0!</v>
      </c>
      <c r="BA18" s="917" t="e">
        <f t="shared" si="31"/>
        <v>#DIV/0!</v>
      </c>
      <c r="BB18" s="916"/>
      <c r="BC18" s="855"/>
      <c r="BD18" s="915">
        <f t="shared" si="32"/>
        <v>1</v>
      </c>
      <c r="BE18" s="980"/>
      <c r="BF18" s="856"/>
      <c r="BG18" s="857">
        <f t="shared" si="33"/>
        <v>0</v>
      </c>
      <c r="BH18" s="981">
        <f t="shared" si="34"/>
        <v>-1</v>
      </c>
      <c r="BI18" s="858"/>
      <c r="BJ18" s="856"/>
      <c r="BK18" s="859">
        <f t="shared" si="35"/>
        <v>0</v>
      </c>
    </row>
    <row r="19" spans="1:63" ht="35.1" customHeight="1" x14ac:dyDescent="0.25">
      <c r="A19" s="963"/>
      <c r="B19" s="964"/>
      <c r="C19" s="965"/>
      <c r="D19" s="966"/>
      <c r="E19" s="965"/>
      <c r="F19" s="965"/>
      <c r="G19" s="967"/>
      <c r="H19" s="968"/>
      <c r="I19" s="861" t="e">
        <f t="shared" si="0"/>
        <v>#DIV/0!</v>
      </c>
      <c r="J19" s="894" t="e">
        <f t="shared" si="1"/>
        <v>#DIV/0!</v>
      </c>
      <c r="K19" s="904"/>
      <c r="L19" s="861" t="e">
        <f t="shared" si="2"/>
        <v>#DIV/0!</v>
      </c>
      <c r="M19" s="895" t="e">
        <f t="shared" si="3"/>
        <v>#DIV/0!</v>
      </c>
      <c r="N19" s="905"/>
      <c r="O19" s="907" t="e">
        <f t="shared" si="4"/>
        <v>#DIV/0!</v>
      </c>
      <c r="P19" s="906" t="e">
        <f t="shared" si="5"/>
        <v>#DIV/0!</v>
      </c>
      <c r="Q19" s="897" t="e">
        <f t="shared" si="6"/>
        <v>#DIV/0!</v>
      </c>
      <c r="R19" s="970" t="e">
        <f t="shared" si="7"/>
        <v>#DIV/0!</v>
      </c>
      <c r="S19" s="969" t="e">
        <f t="shared" si="8"/>
        <v>#DIV/0!</v>
      </c>
      <c r="T19" s="909" t="e">
        <f t="shared" si="9"/>
        <v>#DIV/0!</v>
      </c>
      <c r="U19" s="896" t="e">
        <f t="shared" si="10"/>
        <v>#DIV/0!</v>
      </c>
      <c r="V19" s="898">
        <f t="shared" si="11"/>
        <v>0</v>
      </c>
      <c r="W19" s="970">
        <f t="shared" si="12"/>
        <v>0</v>
      </c>
      <c r="X19" s="971" t="e">
        <f t="shared" si="13"/>
        <v>#DIV/0!</v>
      </c>
      <c r="Y19" s="847"/>
      <c r="Z19" s="911" t="e">
        <f t="shared" si="14"/>
        <v>#DIV/0!</v>
      </c>
      <c r="AA19" s="972"/>
      <c r="AB19" s="848" t="e">
        <f t="shared" si="15"/>
        <v>#DIV/0!</v>
      </c>
      <c r="AC19" s="973"/>
      <c r="AD19" s="848" t="e">
        <f t="shared" si="16"/>
        <v>#DIV/0!</v>
      </c>
      <c r="AE19" s="974" t="e">
        <f t="shared" si="17"/>
        <v>#DIV/0!</v>
      </c>
      <c r="AF19" s="849" t="e">
        <f t="shared" si="18"/>
        <v>#DIV/0!</v>
      </c>
      <c r="AG19" s="850" t="e">
        <f t="shared" si="19"/>
        <v>#DIV/0!</v>
      </c>
      <c r="AH19" s="974" t="e">
        <f t="shared" si="20"/>
        <v>#DIV/0!</v>
      </c>
      <c r="AI19" s="851"/>
      <c r="AJ19" s="852" t="e">
        <f t="shared" si="21"/>
        <v>#DIV/0!</v>
      </c>
      <c r="AK19" s="975" t="e">
        <f t="shared" si="22"/>
        <v>#DIV/0!</v>
      </c>
      <c r="AL19" s="850" t="e">
        <f t="shared" si="23"/>
        <v>#DIV/0!</v>
      </c>
      <c r="AM19" s="975" t="e">
        <f t="shared" si="24"/>
        <v>#DIV/0!</v>
      </c>
      <c r="AN19" s="853"/>
      <c r="AO19" s="976" t="e">
        <f t="shared" si="25"/>
        <v>#DIV/0!</v>
      </c>
      <c r="AP19" s="912"/>
      <c r="AQ19" s="977"/>
      <c r="AR19" s="978">
        <f t="shared" si="26"/>
        <v>0</v>
      </c>
      <c r="AS19" s="919" t="e">
        <f t="shared" si="27"/>
        <v>#DIV/0!</v>
      </c>
      <c r="AT19" s="920" t="e">
        <f t="shared" si="28"/>
        <v>#DIV/0!</v>
      </c>
      <c r="AU19" s="913"/>
      <c r="AV19" s="854"/>
      <c r="AW19" s="914"/>
      <c r="AX19" s="979"/>
      <c r="AY19" s="855">
        <f t="shared" si="29"/>
        <v>0</v>
      </c>
      <c r="AZ19" s="918" t="e">
        <f t="shared" si="30"/>
        <v>#DIV/0!</v>
      </c>
      <c r="BA19" s="917" t="e">
        <f t="shared" si="31"/>
        <v>#DIV/0!</v>
      </c>
      <c r="BB19" s="916"/>
      <c r="BC19" s="855"/>
      <c r="BD19" s="915">
        <f t="shared" si="32"/>
        <v>1</v>
      </c>
      <c r="BE19" s="980"/>
      <c r="BF19" s="856"/>
      <c r="BG19" s="857">
        <f t="shared" si="33"/>
        <v>0</v>
      </c>
      <c r="BH19" s="981">
        <f t="shared" si="34"/>
        <v>-1</v>
      </c>
      <c r="BI19" s="858"/>
      <c r="BJ19" s="856"/>
      <c r="BK19" s="859">
        <f t="shared" si="35"/>
        <v>0</v>
      </c>
    </row>
    <row r="20" spans="1:63" ht="35.1" customHeight="1" x14ac:dyDescent="0.25">
      <c r="A20" s="963"/>
      <c r="B20" s="964"/>
      <c r="C20" s="965"/>
      <c r="D20" s="966"/>
      <c r="E20" s="965"/>
      <c r="F20" s="965"/>
      <c r="G20" s="967"/>
      <c r="H20" s="968"/>
      <c r="I20" s="861" t="e">
        <f t="shared" si="0"/>
        <v>#DIV/0!</v>
      </c>
      <c r="J20" s="894" t="e">
        <f t="shared" si="1"/>
        <v>#DIV/0!</v>
      </c>
      <c r="K20" s="904"/>
      <c r="L20" s="861" t="e">
        <f t="shared" si="2"/>
        <v>#DIV/0!</v>
      </c>
      <c r="M20" s="895" t="e">
        <f t="shared" si="3"/>
        <v>#DIV/0!</v>
      </c>
      <c r="N20" s="905"/>
      <c r="O20" s="907" t="e">
        <f t="shared" si="4"/>
        <v>#DIV/0!</v>
      </c>
      <c r="P20" s="906" t="e">
        <f t="shared" si="5"/>
        <v>#DIV/0!</v>
      </c>
      <c r="Q20" s="897" t="e">
        <f t="shared" si="6"/>
        <v>#DIV/0!</v>
      </c>
      <c r="R20" s="970" t="e">
        <f t="shared" si="7"/>
        <v>#DIV/0!</v>
      </c>
      <c r="S20" s="969" t="e">
        <f t="shared" si="8"/>
        <v>#DIV/0!</v>
      </c>
      <c r="T20" s="909" t="e">
        <f t="shared" si="9"/>
        <v>#DIV/0!</v>
      </c>
      <c r="U20" s="896" t="e">
        <f t="shared" si="10"/>
        <v>#DIV/0!</v>
      </c>
      <c r="V20" s="898">
        <f t="shared" si="11"/>
        <v>0</v>
      </c>
      <c r="W20" s="970">
        <f t="shared" si="12"/>
        <v>0</v>
      </c>
      <c r="X20" s="971" t="e">
        <f t="shared" si="13"/>
        <v>#DIV/0!</v>
      </c>
      <c r="Y20" s="847"/>
      <c r="Z20" s="911" t="e">
        <f t="shared" si="14"/>
        <v>#DIV/0!</v>
      </c>
      <c r="AA20" s="972"/>
      <c r="AB20" s="848" t="e">
        <f t="shared" si="15"/>
        <v>#DIV/0!</v>
      </c>
      <c r="AC20" s="973"/>
      <c r="AD20" s="848" t="e">
        <f t="shared" si="16"/>
        <v>#DIV/0!</v>
      </c>
      <c r="AE20" s="974" t="e">
        <f t="shared" si="17"/>
        <v>#DIV/0!</v>
      </c>
      <c r="AF20" s="849" t="e">
        <f t="shared" si="18"/>
        <v>#DIV/0!</v>
      </c>
      <c r="AG20" s="850" t="e">
        <f t="shared" si="19"/>
        <v>#DIV/0!</v>
      </c>
      <c r="AH20" s="974" t="e">
        <f t="shared" si="20"/>
        <v>#DIV/0!</v>
      </c>
      <c r="AI20" s="851"/>
      <c r="AJ20" s="852" t="e">
        <f t="shared" si="21"/>
        <v>#DIV/0!</v>
      </c>
      <c r="AK20" s="975" t="e">
        <f t="shared" si="22"/>
        <v>#DIV/0!</v>
      </c>
      <c r="AL20" s="850" t="e">
        <f t="shared" si="23"/>
        <v>#DIV/0!</v>
      </c>
      <c r="AM20" s="975" t="e">
        <f t="shared" si="24"/>
        <v>#DIV/0!</v>
      </c>
      <c r="AN20" s="853"/>
      <c r="AO20" s="976" t="e">
        <f t="shared" si="25"/>
        <v>#DIV/0!</v>
      </c>
      <c r="AP20" s="912"/>
      <c r="AQ20" s="977"/>
      <c r="AR20" s="978">
        <f t="shared" si="26"/>
        <v>0</v>
      </c>
      <c r="AS20" s="919" t="e">
        <f t="shared" si="27"/>
        <v>#DIV/0!</v>
      </c>
      <c r="AT20" s="920" t="e">
        <f t="shared" si="28"/>
        <v>#DIV/0!</v>
      </c>
      <c r="AU20" s="913"/>
      <c r="AV20" s="854"/>
      <c r="AW20" s="914"/>
      <c r="AX20" s="979"/>
      <c r="AY20" s="855">
        <f t="shared" si="29"/>
        <v>0</v>
      </c>
      <c r="AZ20" s="918" t="e">
        <f t="shared" si="30"/>
        <v>#DIV/0!</v>
      </c>
      <c r="BA20" s="917" t="e">
        <f t="shared" si="31"/>
        <v>#DIV/0!</v>
      </c>
      <c r="BB20" s="916"/>
      <c r="BC20" s="855"/>
      <c r="BD20" s="915">
        <f t="shared" si="32"/>
        <v>1</v>
      </c>
      <c r="BE20" s="980"/>
      <c r="BF20" s="856"/>
      <c r="BG20" s="857">
        <f t="shared" si="33"/>
        <v>0</v>
      </c>
      <c r="BH20" s="981">
        <f t="shared" si="34"/>
        <v>-1</v>
      </c>
      <c r="BI20" s="858"/>
      <c r="BJ20" s="856"/>
      <c r="BK20" s="859">
        <f t="shared" si="35"/>
        <v>0</v>
      </c>
    </row>
    <row r="21" spans="1:63" ht="35.1" customHeight="1" x14ac:dyDescent="0.25">
      <c r="A21" s="963"/>
      <c r="B21" s="964"/>
      <c r="C21" s="965"/>
      <c r="D21" s="966"/>
      <c r="E21" s="965"/>
      <c r="F21" s="965"/>
      <c r="G21" s="967"/>
      <c r="H21" s="968"/>
      <c r="I21" s="861" t="e">
        <f t="shared" si="0"/>
        <v>#DIV/0!</v>
      </c>
      <c r="J21" s="894" t="e">
        <f t="shared" si="1"/>
        <v>#DIV/0!</v>
      </c>
      <c r="K21" s="904"/>
      <c r="L21" s="861" t="e">
        <f t="shared" si="2"/>
        <v>#DIV/0!</v>
      </c>
      <c r="M21" s="895" t="e">
        <f t="shared" si="3"/>
        <v>#DIV/0!</v>
      </c>
      <c r="N21" s="905"/>
      <c r="O21" s="907" t="e">
        <f t="shared" si="4"/>
        <v>#DIV/0!</v>
      </c>
      <c r="P21" s="906" t="e">
        <f t="shared" si="5"/>
        <v>#DIV/0!</v>
      </c>
      <c r="Q21" s="897" t="e">
        <f t="shared" si="6"/>
        <v>#DIV/0!</v>
      </c>
      <c r="R21" s="970" t="e">
        <f t="shared" si="7"/>
        <v>#DIV/0!</v>
      </c>
      <c r="S21" s="969" t="e">
        <f t="shared" si="8"/>
        <v>#DIV/0!</v>
      </c>
      <c r="T21" s="909" t="e">
        <f t="shared" si="9"/>
        <v>#DIV/0!</v>
      </c>
      <c r="U21" s="896" t="e">
        <f t="shared" si="10"/>
        <v>#DIV/0!</v>
      </c>
      <c r="V21" s="898">
        <f t="shared" si="11"/>
        <v>0</v>
      </c>
      <c r="W21" s="970">
        <f t="shared" si="12"/>
        <v>0</v>
      </c>
      <c r="X21" s="971" t="e">
        <f t="shared" si="13"/>
        <v>#DIV/0!</v>
      </c>
      <c r="Y21" s="847"/>
      <c r="Z21" s="911" t="e">
        <f t="shared" si="14"/>
        <v>#DIV/0!</v>
      </c>
      <c r="AA21" s="972"/>
      <c r="AB21" s="848" t="e">
        <f t="shared" si="15"/>
        <v>#DIV/0!</v>
      </c>
      <c r="AC21" s="973"/>
      <c r="AD21" s="848" t="e">
        <f t="shared" si="16"/>
        <v>#DIV/0!</v>
      </c>
      <c r="AE21" s="974" t="e">
        <f t="shared" si="17"/>
        <v>#DIV/0!</v>
      </c>
      <c r="AF21" s="849" t="e">
        <f t="shared" si="18"/>
        <v>#DIV/0!</v>
      </c>
      <c r="AG21" s="850" t="e">
        <f t="shared" si="19"/>
        <v>#DIV/0!</v>
      </c>
      <c r="AH21" s="974" t="e">
        <f t="shared" si="20"/>
        <v>#DIV/0!</v>
      </c>
      <c r="AI21" s="851"/>
      <c r="AJ21" s="852" t="e">
        <f t="shared" si="21"/>
        <v>#DIV/0!</v>
      </c>
      <c r="AK21" s="975" t="e">
        <f t="shared" si="22"/>
        <v>#DIV/0!</v>
      </c>
      <c r="AL21" s="850" t="e">
        <f t="shared" si="23"/>
        <v>#DIV/0!</v>
      </c>
      <c r="AM21" s="975" t="e">
        <f t="shared" si="24"/>
        <v>#DIV/0!</v>
      </c>
      <c r="AN21" s="853"/>
      <c r="AO21" s="976" t="e">
        <f t="shared" si="25"/>
        <v>#DIV/0!</v>
      </c>
      <c r="AP21" s="912"/>
      <c r="AQ21" s="977"/>
      <c r="AR21" s="978">
        <f t="shared" si="26"/>
        <v>0</v>
      </c>
      <c r="AS21" s="919" t="e">
        <f t="shared" si="27"/>
        <v>#DIV/0!</v>
      </c>
      <c r="AT21" s="920" t="e">
        <f t="shared" si="28"/>
        <v>#DIV/0!</v>
      </c>
      <c r="AU21" s="913"/>
      <c r="AV21" s="854"/>
      <c r="AW21" s="914"/>
      <c r="AX21" s="979"/>
      <c r="AY21" s="855">
        <f t="shared" si="29"/>
        <v>0</v>
      </c>
      <c r="AZ21" s="918" t="e">
        <f t="shared" si="30"/>
        <v>#DIV/0!</v>
      </c>
      <c r="BA21" s="917" t="e">
        <f t="shared" si="31"/>
        <v>#DIV/0!</v>
      </c>
      <c r="BB21" s="916"/>
      <c r="BC21" s="855"/>
      <c r="BD21" s="915">
        <f t="shared" si="32"/>
        <v>1</v>
      </c>
      <c r="BE21" s="980"/>
      <c r="BF21" s="856"/>
      <c r="BG21" s="857">
        <f t="shared" si="33"/>
        <v>0</v>
      </c>
      <c r="BH21" s="981">
        <f t="shared" si="34"/>
        <v>-1</v>
      </c>
      <c r="BI21" s="858"/>
      <c r="BJ21" s="856"/>
      <c r="BK21" s="859">
        <f t="shared" si="35"/>
        <v>0</v>
      </c>
    </row>
    <row r="22" spans="1:63" ht="35.1" customHeight="1" x14ac:dyDescent="0.25">
      <c r="A22" s="963"/>
      <c r="B22" s="964"/>
      <c r="C22" s="965"/>
      <c r="D22" s="966"/>
      <c r="E22" s="965"/>
      <c r="F22" s="965"/>
      <c r="G22" s="967"/>
      <c r="H22" s="968"/>
      <c r="I22" s="861" t="e">
        <f t="shared" si="0"/>
        <v>#DIV/0!</v>
      </c>
      <c r="J22" s="894" t="e">
        <f t="shared" si="1"/>
        <v>#DIV/0!</v>
      </c>
      <c r="K22" s="904"/>
      <c r="L22" s="861" t="e">
        <f t="shared" si="2"/>
        <v>#DIV/0!</v>
      </c>
      <c r="M22" s="895" t="e">
        <f t="shared" si="3"/>
        <v>#DIV/0!</v>
      </c>
      <c r="N22" s="905"/>
      <c r="O22" s="907" t="e">
        <f t="shared" si="4"/>
        <v>#DIV/0!</v>
      </c>
      <c r="P22" s="906" t="e">
        <f t="shared" si="5"/>
        <v>#DIV/0!</v>
      </c>
      <c r="Q22" s="897" t="e">
        <f t="shared" si="6"/>
        <v>#DIV/0!</v>
      </c>
      <c r="R22" s="970" t="e">
        <f t="shared" si="7"/>
        <v>#DIV/0!</v>
      </c>
      <c r="S22" s="969" t="e">
        <f t="shared" si="8"/>
        <v>#DIV/0!</v>
      </c>
      <c r="T22" s="909" t="e">
        <f t="shared" si="9"/>
        <v>#DIV/0!</v>
      </c>
      <c r="U22" s="896" t="e">
        <f t="shared" si="10"/>
        <v>#DIV/0!</v>
      </c>
      <c r="V22" s="898">
        <f t="shared" si="11"/>
        <v>0</v>
      </c>
      <c r="W22" s="970">
        <f t="shared" si="12"/>
        <v>0</v>
      </c>
      <c r="X22" s="971" t="e">
        <f t="shared" si="13"/>
        <v>#DIV/0!</v>
      </c>
      <c r="Y22" s="847"/>
      <c r="Z22" s="911" t="e">
        <f t="shared" si="14"/>
        <v>#DIV/0!</v>
      </c>
      <c r="AA22" s="972"/>
      <c r="AB22" s="848" t="e">
        <f t="shared" si="15"/>
        <v>#DIV/0!</v>
      </c>
      <c r="AC22" s="973"/>
      <c r="AD22" s="848" t="e">
        <f t="shared" si="16"/>
        <v>#DIV/0!</v>
      </c>
      <c r="AE22" s="974" t="e">
        <f t="shared" si="17"/>
        <v>#DIV/0!</v>
      </c>
      <c r="AF22" s="849" t="e">
        <f t="shared" si="18"/>
        <v>#DIV/0!</v>
      </c>
      <c r="AG22" s="850" t="e">
        <f t="shared" si="19"/>
        <v>#DIV/0!</v>
      </c>
      <c r="AH22" s="974" t="e">
        <f t="shared" si="20"/>
        <v>#DIV/0!</v>
      </c>
      <c r="AI22" s="851"/>
      <c r="AJ22" s="852" t="e">
        <f t="shared" si="21"/>
        <v>#DIV/0!</v>
      </c>
      <c r="AK22" s="975" t="e">
        <f t="shared" si="22"/>
        <v>#DIV/0!</v>
      </c>
      <c r="AL22" s="850" t="e">
        <f t="shared" si="23"/>
        <v>#DIV/0!</v>
      </c>
      <c r="AM22" s="975" t="e">
        <f t="shared" si="24"/>
        <v>#DIV/0!</v>
      </c>
      <c r="AN22" s="853"/>
      <c r="AO22" s="976" t="e">
        <f t="shared" si="25"/>
        <v>#DIV/0!</v>
      </c>
      <c r="AP22" s="912"/>
      <c r="AQ22" s="977"/>
      <c r="AR22" s="978">
        <f t="shared" si="26"/>
        <v>0</v>
      </c>
      <c r="AS22" s="919" t="e">
        <f t="shared" si="27"/>
        <v>#DIV/0!</v>
      </c>
      <c r="AT22" s="920" t="e">
        <f t="shared" si="28"/>
        <v>#DIV/0!</v>
      </c>
      <c r="AU22" s="913"/>
      <c r="AV22" s="854"/>
      <c r="AW22" s="914"/>
      <c r="AX22" s="979"/>
      <c r="AY22" s="855">
        <f t="shared" si="29"/>
        <v>0</v>
      </c>
      <c r="AZ22" s="918" t="e">
        <f t="shared" si="30"/>
        <v>#DIV/0!</v>
      </c>
      <c r="BA22" s="917" t="e">
        <f t="shared" si="31"/>
        <v>#DIV/0!</v>
      </c>
      <c r="BB22" s="916"/>
      <c r="BC22" s="855"/>
      <c r="BD22" s="915">
        <f t="shared" si="32"/>
        <v>1</v>
      </c>
      <c r="BE22" s="980"/>
      <c r="BF22" s="856"/>
      <c r="BG22" s="857">
        <f t="shared" si="33"/>
        <v>0</v>
      </c>
      <c r="BH22" s="981">
        <f t="shared" si="34"/>
        <v>-1</v>
      </c>
      <c r="BI22" s="858"/>
      <c r="BJ22" s="856"/>
      <c r="BK22" s="859">
        <f t="shared" si="35"/>
        <v>0</v>
      </c>
    </row>
    <row r="23" spans="1:63" ht="35.1" customHeight="1" x14ac:dyDescent="0.25">
      <c r="A23" s="963"/>
      <c r="B23" s="964"/>
      <c r="C23" s="965"/>
      <c r="D23" s="966"/>
      <c r="E23" s="965"/>
      <c r="F23" s="965"/>
      <c r="G23" s="967"/>
      <c r="H23" s="968"/>
      <c r="I23" s="861" t="e">
        <f t="shared" si="0"/>
        <v>#DIV/0!</v>
      </c>
      <c r="J23" s="894" t="e">
        <f t="shared" si="1"/>
        <v>#DIV/0!</v>
      </c>
      <c r="K23" s="904"/>
      <c r="L23" s="861" t="e">
        <f t="shared" si="2"/>
        <v>#DIV/0!</v>
      </c>
      <c r="M23" s="895" t="e">
        <f t="shared" si="3"/>
        <v>#DIV/0!</v>
      </c>
      <c r="N23" s="905"/>
      <c r="O23" s="907" t="e">
        <f t="shared" si="4"/>
        <v>#DIV/0!</v>
      </c>
      <c r="P23" s="906" t="e">
        <f t="shared" si="5"/>
        <v>#DIV/0!</v>
      </c>
      <c r="Q23" s="897" t="e">
        <f t="shared" si="6"/>
        <v>#DIV/0!</v>
      </c>
      <c r="R23" s="970" t="e">
        <f t="shared" si="7"/>
        <v>#DIV/0!</v>
      </c>
      <c r="S23" s="969" t="e">
        <f t="shared" si="8"/>
        <v>#DIV/0!</v>
      </c>
      <c r="T23" s="909" t="e">
        <f t="shared" si="9"/>
        <v>#DIV/0!</v>
      </c>
      <c r="U23" s="896" t="e">
        <f t="shared" si="10"/>
        <v>#DIV/0!</v>
      </c>
      <c r="V23" s="898">
        <f t="shared" si="11"/>
        <v>0</v>
      </c>
      <c r="W23" s="970">
        <f t="shared" si="12"/>
        <v>0</v>
      </c>
      <c r="X23" s="971" t="e">
        <f t="shared" si="13"/>
        <v>#DIV/0!</v>
      </c>
      <c r="Y23" s="847"/>
      <c r="Z23" s="911" t="e">
        <f t="shared" si="14"/>
        <v>#DIV/0!</v>
      </c>
      <c r="AA23" s="972"/>
      <c r="AB23" s="848" t="e">
        <f t="shared" si="15"/>
        <v>#DIV/0!</v>
      </c>
      <c r="AC23" s="973"/>
      <c r="AD23" s="848" t="e">
        <f t="shared" si="16"/>
        <v>#DIV/0!</v>
      </c>
      <c r="AE23" s="974" t="e">
        <f t="shared" si="17"/>
        <v>#DIV/0!</v>
      </c>
      <c r="AF23" s="849" t="e">
        <f t="shared" si="18"/>
        <v>#DIV/0!</v>
      </c>
      <c r="AG23" s="850" t="e">
        <f t="shared" si="19"/>
        <v>#DIV/0!</v>
      </c>
      <c r="AH23" s="974" t="e">
        <f t="shared" si="20"/>
        <v>#DIV/0!</v>
      </c>
      <c r="AI23" s="851"/>
      <c r="AJ23" s="852" t="e">
        <f t="shared" si="21"/>
        <v>#DIV/0!</v>
      </c>
      <c r="AK23" s="975" t="e">
        <f t="shared" si="22"/>
        <v>#DIV/0!</v>
      </c>
      <c r="AL23" s="850" t="e">
        <f t="shared" si="23"/>
        <v>#DIV/0!</v>
      </c>
      <c r="AM23" s="975" t="e">
        <f t="shared" si="24"/>
        <v>#DIV/0!</v>
      </c>
      <c r="AN23" s="853"/>
      <c r="AO23" s="976" t="e">
        <f t="shared" si="25"/>
        <v>#DIV/0!</v>
      </c>
      <c r="AP23" s="912"/>
      <c r="AQ23" s="977"/>
      <c r="AR23" s="978">
        <f t="shared" si="26"/>
        <v>0</v>
      </c>
      <c r="AS23" s="919" t="e">
        <f t="shared" si="27"/>
        <v>#DIV/0!</v>
      </c>
      <c r="AT23" s="920" t="e">
        <f t="shared" si="28"/>
        <v>#DIV/0!</v>
      </c>
      <c r="AU23" s="913"/>
      <c r="AV23" s="854"/>
      <c r="AW23" s="914"/>
      <c r="AX23" s="979"/>
      <c r="AY23" s="855">
        <f t="shared" si="29"/>
        <v>0</v>
      </c>
      <c r="AZ23" s="918" t="e">
        <f t="shared" si="30"/>
        <v>#DIV/0!</v>
      </c>
      <c r="BA23" s="917" t="e">
        <f t="shared" si="31"/>
        <v>#DIV/0!</v>
      </c>
      <c r="BB23" s="916"/>
      <c r="BC23" s="855"/>
      <c r="BD23" s="915">
        <f t="shared" si="32"/>
        <v>1</v>
      </c>
      <c r="BE23" s="980"/>
      <c r="BF23" s="856"/>
      <c r="BG23" s="857">
        <f t="shared" si="33"/>
        <v>0</v>
      </c>
      <c r="BH23" s="981">
        <f t="shared" si="34"/>
        <v>-1</v>
      </c>
      <c r="BI23" s="858"/>
      <c r="BJ23" s="856"/>
      <c r="BK23" s="859">
        <f t="shared" si="35"/>
        <v>0</v>
      </c>
    </row>
    <row r="24" spans="1:63" ht="35.1" customHeight="1" x14ac:dyDescent="0.25">
      <c r="A24" s="963"/>
      <c r="B24" s="964"/>
      <c r="C24" s="965"/>
      <c r="D24" s="966"/>
      <c r="E24" s="965"/>
      <c r="F24" s="965"/>
      <c r="G24" s="967"/>
      <c r="H24" s="968"/>
      <c r="I24" s="861" t="e">
        <f t="shared" si="0"/>
        <v>#DIV/0!</v>
      </c>
      <c r="J24" s="894" t="e">
        <f t="shared" si="1"/>
        <v>#DIV/0!</v>
      </c>
      <c r="K24" s="904"/>
      <c r="L24" s="861" t="e">
        <f t="shared" si="2"/>
        <v>#DIV/0!</v>
      </c>
      <c r="M24" s="895" t="e">
        <f t="shared" si="3"/>
        <v>#DIV/0!</v>
      </c>
      <c r="N24" s="905"/>
      <c r="O24" s="907" t="e">
        <f t="shared" si="4"/>
        <v>#DIV/0!</v>
      </c>
      <c r="P24" s="906" t="e">
        <f t="shared" si="5"/>
        <v>#DIV/0!</v>
      </c>
      <c r="Q24" s="897" t="e">
        <f t="shared" si="6"/>
        <v>#DIV/0!</v>
      </c>
      <c r="R24" s="970" t="e">
        <f t="shared" si="7"/>
        <v>#DIV/0!</v>
      </c>
      <c r="S24" s="969" t="e">
        <f t="shared" si="8"/>
        <v>#DIV/0!</v>
      </c>
      <c r="T24" s="909" t="e">
        <f t="shared" si="9"/>
        <v>#DIV/0!</v>
      </c>
      <c r="U24" s="896" t="e">
        <f t="shared" si="10"/>
        <v>#DIV/0!</v>
      </c>
      <c r="V24" s="898">
        <f t="shared" si="11"/>
        <v>0</v>
      </c>
      <c r="W24" s="970">
        <f t="shared" si="12"/>
        <v>0</v>
      </c>
      <c r="X24" s="971" t="e">
        <f t="shared" si="13"/>
        <v>#DIV/0!</v>
      </c>
      <c r="Y24" s="847"/>
      <c r="Z24" s="911" t="e">
        <f t="shared" si="14"/>
        <v>#DIV/0!</v>
      </c>
      <c r="AA24" s="972"/>
      <c r="AB24" s="848" t="e">
        <f t="shared" si="15"/>
        <v>#DIV/0!</v>
      </c>
      <c r="AC24" s="973"/>
      <c r="AD24" s="848" t="e">
        <f t="shared" si="16"/>
        <v>#DIV/0!</v>
      </c>
      <c r="AE24" s="974" t="e">
        <f t="shared" si="17"/>
        <v>#DIV/0!</v>
      </c>
      <c r="AF24" s="849" t="e">
        <f t="shared" si="18"/>
        <v>#DIV/0!</v>
      </c>
      <c r="AG24" s="850" t="e">
        <f t="shared" si="19"/>
        <v>#DIV/0!</v>
      </c>
      <c r="AH24" s="974" t="e">
        <f t="shared" si="20"/>
        <v>#DIV/0!</v>
      </c>
      <c r="AI24" s="851"/>
      <c r="AJ24" s="852" t="e">
        <f t="shared" si="21"/>
        <v>#DIV/0!</v>
      </c>
      <c r="AK24" s="975" t="e">
        <f t="shared" si="22"/>
        <v>#DIV/0!</v>
      </c>
      <c r="AL24" s="850" t="e">
        <f t="shared" si="23"/>
        <v>#DIV/0!</v>
      </c>
      <c r="AM24" s="975" t="e">
        <f t="shared" si="24"/>
        <v>#DIV/0!</v>
      </c>
      <c r="AN24" s="853"/>
      <c r="AO24" s="976" t="e">
        <f t="shared" si="25"/>
        <v>#DIV/0!</v>
      </c>
      <c r="AP24" s="912"/>
      <c r="AQ24" s="977"/>
      <c r="AR24" s="978">
        <f t="shared" si="26"/>
        <v>0</v>
      </c>
      <c r="AS24" s="919" t="e">
        <f t="shared" si="27"/>
        <v>#DIV/0!</v>
      </c>
      <c r="AT24" s="920" t="e">
        <f t="shared" si="28"/>
        <v>#DIV/0!</v>
      </c>
      <c r="AU24" s="913"/>
      <c r="AV24" s="854"/>
      <c r="AW24" s="914"/>
      <c r="AX24" s="979"/>
      <c r="AY24" s="855">
        <f t="shared" si="29"/>
        <v>0</v>
      </c>
      <c r="AZ24" s="918" t="e">
        <f t="shared" si="30"/>
        <v>#DIV/0!</v>
      </c>
      <c r="BA24" s="917" t="e">
        <f t="shared" si="31"/>
        <v>#DIV/0!</v>
      </c>
      <c r="BB24" s="916"/>
      <c r="BC24" s="855"/>
      <c r="BD24" s="915">
        <f t="shared" si="32"/>
        <v>1</v>
      </c>
      <c r="BE24" s="980"/>
      <c r="BF24" s="856"/>
      <c r="BG24" s="857">
        <f t="shared" si="33"/>
        <v>0</v>
      </c>
      <c r="BH24" s="981">
        <f t="shared" si="34"/>
        <v>-1</v>
      </c>
      <c r="BI24" s="858"/>
      <c r="BJ24" s="856"/>
      <c r="BK24" s="859">
        <f t="shared" si="35"/>
        <v>0</v>
      </c>
    </row>
    <row r="25" spans="1:63" ht="35.1" customHeight="1" x14ac:dyDescent="0.25">
      <c r="A25" s="963"/>
      <c r="B25" s="964"/>
      <c r="C25" s="965"/>
      <c r="D25" s="966"/>
      <c r="E25" s="965"/>
      <c r="F25" s="965"/>
      <c r="G25" s="967"/>
      <c r="H25" s="968"/>
      <c r="I25" s="861" t="e">
        <f t="shared" si="0"/>
        <v>#DIV/0!</v>
      </c>
      <c r="J25" s="894" t="e">
        <f t="shared" si="1"/>
        <v>#DIV/0!</v>
      </c>
      <c r="K25" s="904"/>
      <c r="L25" s="861" t="e">
        <f t="shared" si="2"/>
        <v>#DIV/0!</v>
      </c>
      <c r="M25" s="895" t="e">
        <f t="shared" si="3"/>
        <v>#DIV/0!</v>
      </c>
      <c r="N25" s="905"/>
      <c r="O25" s="907" t="e">
        <f t="shared" si="4"/>
        <v>#DIV/0!</v>
      </c>
      <c r="P25" s="906" t="e">
        <f t="shared" si="5"/>
        <v>#DIV/0!</v>
      </c>
      <c r="Q25" s="897" t="e">
        <f t="shared" si="6"/>
        <v>#DIV/0!</v>
      </c>
      <c r="R25" s="970" t="e">
        <f t="shared" si="7"/>
        <v>#DIV/0!</v>
      </c>
      <c r="S25" s="969" t="e">
        <f t="shared" si="8"/>
        <v>#DIV/0!</v>
      </c>
      <c r="T25" s="909" t="e">
        <f t="shared" si="9"/>
        <v>#DIV/0!</v>
      </c>
      <c r="U25" s="896" t="e">
        <f t="shared" si="10"/>
        <v>#DIV/0!</v>
      </c>
      <c r="V25" s="898">
        <f t="shared" si="11"/>
        <v>0</v>
      </c>
      <c r="W25" s="970">
        <f t="shared" si="12"/>
        <v>0</v>
      </c>
      <c r="X25" s="971" t="e">
        <f t="shared" si="13"/>
        <v>#DIV/0!</v>
      </c>
      <c r="Y25" s="847"/>
      <c r="Z25" s="911" t="e">
        <f t="shared" si="14"/>
        <v>#DIV/0!</v>
      </c>
      <c r="AA25" s="972"/>
      <c r="AB25" s="848" t="e">
        <f t="shared" si="15"/>
        <v>#DIV/0!</v>
      </c>
      <c r="AC25" s="973"/>
      <c r="AD25" s="848" t="e">
        <f t="shared" si="16"/>
        <v>#DIV/0!</v>
      </c>
      <c r="AE25" s="974" t="e">
        <f t="shared" si="17"/>
        <v>#DIV/0!</v>
      </c>
      <c r="AF25" s="849" t="e">
        <f t="shared" si="18"/>
        <v>#DIV/0!</v>
      </c>
      <c r="AG25" s="850" t="e">
        <f t="shared" si="19"/>
        <v>#DIV/0!</v>
      </c>
      <c r="AH25" s="974" t="e">
        <f t="shared" si="20"/>
        <v>#DIV/0!</v>
      </c>
      <c r="AI25" s="851"/>
      <c r="AJ25" s="852" t="e">
        <f t="shared" si="21"/>
        <v>#DIV/0!</v>
      </c>
      <c r="AK25" s="975" t="e">
        <f t="shared" si="22"/>
        <v>#DIV/0!</v>
      </c>
      <c r="AL25" s="850" t="e">
        <f t="shared" si="23"/>
        <v>#DIV/0!</v>
      </c>
      <c r="AM25" s="975" t="e">
        <f t="shared" si="24"/>
        <v>#DIV/0!</v>
      </c>
      <c r="AN25" s="853"/>
      <c r="AO25" s="976" t="e">
        <f t="shared" si="25"/>
        <v>#DIV/0!</v>
      </c>
      <c r="AP25" s="912"/>
      <c r="AQ25" s="977"/>
      <c r="AR25" s="978">
        <f t="shared" si="26"/>
        <v>0</v>
      </c>
      <c r="AS25" s="919" t="e">
        <f t="shared" si="27"/>
        <v>#DIV/0!</v>
      </c>
      <c r="AT25" s="920" t="e">
        <f t="shared" si="28"/>
        <v>#DIV/0!</v>
      </c>
      <c r="AU25" s="913"/>
      <c r="AV25" s="854"/>
      <c r="AW25" s="914"/>
      <c r="AX25" s="979"/>
      <c r="AY25" s="855">
        <f t="shared" si="29"/>
        <v>0</v>
      </c>
      <c r="AZ25" s="918" t="e">
        <f t="shared" si="30"/>
        <v>#DIV/0!</v>
      </c>
      <c r="BA25" s="917" t="e">
        <f t="shared" si="31"/>
        <v>#DIV/0!</v>
      </c>
      <c r="BB25" s="916"/>
      <c r="BC25" s="855"/>
      <c r="BD25" s="915">
        <f t="shared" si="32"/>
        <v>1</v>
      </c>
      <c r="BE25" s="980"/>
      <c r="BF25" s="856"/>
      <c r="BG25" s="857">
        <f t="shared" si="33"/>
        <v>0</v>
      </c>
      <c r="BH25" s="981">
        <f t="shared" si="34"/>
        <v>-1</v>
      </c>
      <c r="BI25" s="858"/>
      <c r="BJ25" s="856"/>
      <c r="BK25" s="859">
        <f t="shared" si="35"/>
        <v>0</v>
      </c>
    </row>
    <row r="26" spans="1:63" ht="35.1" customHeight="1" x14ac:dyDescent="0.25">
      <c r="A26" s="963"/>
      <c r="B26" s="964"/>
      <c r="C26" s="965"/>
      <c r="D26" s="966"/>
      <c r="E26" s="965"/>
      <c r="F26" s="965"/>
      <c r="G26" s="967"/>
      <c r="H26" s="968"/>
      <c r="I26" s="861" t="e">
        <f t="shared" si="0"/>
        <v>#DIV/0!</v>
      </c>
      <c r="J26" s="894" t="e">
        <f t="shared" si="1"/>
        <v>#DIV/0!</v>
      </c>
      <c r="K26" s="904"/>
      <c r="L26" s="861" t="e">
        <f t="shared" si="2"/>
        <v>#DIV/0!</v>
      </c>
      <c r="M26" s="895" t="e">
        <f t="shared" si="3"/>
        <v>#DIV/0!</v>
      </c>
      <c r="N26" s="905"/>
      <c r="O26" s="907" t="e">
        <f t="shared" si="4"/>
        <v>#DIV/0!</v>
      </c>
      <c r="P26" s="906" t="e">
        <f t="shared" si="5"/>
        <v>#DIV/0!</v>
      </c>
      <c r="Q26" s="897" t="e">
        <f t="shared" si="6"/>
        <v>#DIV/0!</v>
      </c>
      <c r="R26" s="970" t="e">
        <f t="shared" si="7"/>
        <v>#DIV/0!</v>
      </c>
      <c r="S26" s="969" t="e">
        <f t="shared" si="8"/>
        <v>#DIV/0!</v>
      </c>
      <c r="T26" s="909" t="e">
        <f t="shared" si="9"/>
        <v>#DIV/0!</v>
      </c>
      <c r="U26" s="896" t="e">
        <f t="shared" si="10"/>
        <v>#DIV/0!</v>
      </c>
      <c r="V26" s="898">
        <f t="shared" si="11"/>
        <v>0</v>
      </c>
      <c r="W26" s="970">
        <f t="shared" si="12"/>
        <v>0</v>
      </c>
      <c r="X26" s="971" t="e">
        <f t="shared" si="13"/>
        <v>#DIV/0!</v>
      </c>
      <c r="Y26" s="847"/>
      <c r="Z26" s="911" t="e">
        <f t="shared" si="14"/>
        <v>#DIV/0!</v>
      </c>
      <c r="AA26" s="972"/>
      <c r="AB26" s="848" t="e">
        <f t="shared" si="15"/>
        <v>#DIV/0!</v>
      </c>
      <c r="AC26" s="973"/>
      <c r="AD26" s="848" t="e">
        <f t="shared" si="16"/>
        <v>#DIV/0!</v>
      </c>
      <c r="AE26" s="974" t="e">
        <f t="shared" si="17"/>
        <v>#DIV/0!</v>
      </c>
      <c r="AF26" s="849" t="e">
        <f t="shared" si="18"/>
        <v>#DIV/0!</v>
      </c>
      <c r="AG26" s="850" t="e">
        <f t="shared" si="19"/>
        <v>#DIV/0!</v>
      </c>
      <c r="AH26" s="974" t="e">
        <f t="shared" si="20"/>
        <v>#DIV/0!</v>
      </c>
      <c r="AI26" s="851"/>
      <c r="AJ26" s="852" t="e">
        <f t="shared" si="21"/>
        <v>#DIV/0!</v>
      </c>
      <c r="AK26" s="975" t="e">
        <f t="shared" si="22"/>
        <v>#DIV/0!</v>
      </c>
      <c r="AL26" s="850" t="e">
        <f t="shared" si="23"/>
        <v>#DIV/0!</v>
      </c>
      <c r="AM26" s="975" t="e">
        <f t="shared" si="24"/>
        <v>#DIV/0!</v>
      </c>
      <c r="AN26" s="853"/>
      <c r="AO26" s="976" t="e">
        <f t="shared" si="25"/>
        <v>#DIV/0!</v>
      </c>
      <c r="AP26" s="912"/>
      <c r="AQ26" s="977"/>
      <c r="AR26" s="978">
        <f t="shared" si="26"/>
        <v>0</v>
      </c>
      <c r="AS26" s="919" t="e">
        <f t="shared" si="27"/>
        <v>#DIV/0!</v>
      </c>
      <c r="AT26" s="920" t="e">
        <f t="shared" si="28"/>
        <v>#DIV/0!</v>
      </c>
      <c r="AU26" s="913"/>
      <c r="AV26" s="854"/>
      <c r="AW26" s="914"/>
      <c r="AX26" s="979"/>
      <c r="AY26" s="855">
        <f t="shared" si="29"/>
        <v>0</v>
      </c>
      <c r="AZ26" s="918" t="e">
        <f t="shared" si="30"/>
        <v>#DIV/0!</v>
      </c>
      <c r="BA26" s="917" t="e">
        <f t="shared" si="31"/>
        <v>#DIV/0!</v>
      </c>
      <c r="BB26" s="916"/>
      <c r="BC26" s="855"/>
      <c r="BD26" s="915">
        <f t="shared" si="32"/>
        <v>1</v>
      </c>
      <c r="BE26" s="980"/>
      <c r="BF26" s="856"/>
      <c r="BG26" s="857">
        <f t="shared" si="33"/>
        <v>0</v>
      </c>
      <c r="BH26" s="981">
        <f t="shared" si="34"/>
        <v>-1</v>
      </c>
      <c r="BI26" s="858"/>
      <c r="BJ26" s="856"/>
      <c r="BK26" s="859">
        <f t="shared" si="35"/>
        <v>0</v>
      </c>
    </row>
    <row r="27" spans="1:63" ht="35.1" customHeight="1" x14ac:dyDescent="0.25">
      <c r="A27" s="963"/>
      <c r="B27" s="964"/>
      <c r="C27" s="965"/>
      <c r="D27" s="966"/>
      <c r="E27" s="965"/>
      <c r="F27" s="965"/>
      <c r="G27" s="967"/>
      <c r="H27" s="968"/>
      <c r="I27" s="861" t="e">
        <f t="shared" si="0"/>
        <v>#DIV/0!</v>
      </c>
      <c r="J27" s="894" t="e">
        <f t="shared" si="1"/>
        <v>#DIV/0!</v>
      </c>
      <c r="K27" s="904"/>
      <c r="L27" s="861" t="e">
        <f t="shared" si="2"/>
        <v>#DIV/0!</v>
      </c>
      <c r="M27" s="895" t="e">
        <f t="shared" si="3"/>
        <v>#DIV/0!</v>
      </c>
      <c r="N27" s="905"/>
      <c r="O27" s="907" t="e">
        <f t="shared" si="4"/>
        <v>#DIV/0!</v>
      </c>
      <c r="P27" s="906" t="e">
        <f t="shared" si="5"/>
        <v>#DIV/0!</v>
      </c>
      <c r="Q27" s="897" t="e">
        <f t="shared" si="6"/>
        <v>#DIV/0!</v>
      </c>
      <c r="R27" s="970" t="e">
        <f t="shared" si="7"/>
        <v>#DIV/0!</v>
      </c>
      <c r="S27" s="969" t="e">
        <f t="shared" si="8"/>
        <v>#DIV/0!</v>
      </c>
      <c r="T27" s="909" t="e">
        <f t="shared" si="9"/>
        <v>#DIV/0!</v>
      </c>
      <c r="U27" s="896" t="e">
        <f t="shared" si="10"/>
        <v>#DIV/0!</v>
      </c>
      <c r="V27" s="898">
        <f t="shared" si="11"/>
        <v>0</v>
      </c>
      <c r="W27" s="970">
        <f t="shared" si="12"/>
        <v>0</v>
      </c>
      <c r="X27" s="971" t="e">
        <f t="shared" si="13"/>
        <v>#DIV/0!</v>
      </c>
      <c r="Y27" s="847"/>
      <c r="Z27" s="911" t="e">
        <f t="shared" si="14"/>
        <v>#DIV/0!</v>
      </c>
      <c r="AA27" s="972"/>
      <c r="AB27" s="848" t="e">
        <f t="shared" si="15"/>
        <v>#DIV/0!</v>
      </c>
      <c r="AC27" s="973"/>
      <c r="AD27" s="848" t="e">
        <f t="shared" si="16"/>
        <v>#DIV/0!</v>
      </c>
      <c r="AE27" s="974" t="e">
        <f t="shared" si="17"/>
        <v>#DIV/0!</v>
      </c>
      <c r="AF27" s="849" t="e">
        <f t="shared" si="18"/>
        <v>#DIV/0!</v>
      </c>
      <c r="AG27" s="850" t="e">
        <f t="shared" si="19"/>
        <v>#DIV/0!</v>
      </c>
      <c r="AH27" s="974" t="e">
        <f t="shared" si="20"/>
        <v>#DIV/0!</v>
      </c>
      <c r="AI27" s="851"/>
      <c r="AJ27" s="852" t="e">
        <f t="shared" si="21"/>
        <v>#DIV/0!</v>
      </c>
      <c r="AK27" s="975" t="e">
        <f t="shared" si="22"/>
        <v>#DIV/0!</v>
      </c>
      <c r="AL27" s="850" t="e">
        <f t="shared" si="23"/>
        <v>#DIV/0!</v>
      </c>
      <c r="AM27" s="975" t="e">
        <f t="shared" si="24"/>
        <v>#DIV/0!</v>
      </c>
      <c r="AN27" s="853"/>
      <c r="AO27" s="976" t="e">
        <f t="shared" si="25"/>
        <v>#DIV/0!</v>
      </c>
      <c r="AP27" s="912"/>
      <c r="AQ27" s="977"/>
      <c r="AR27" s="978">
        <f t="shared" si="26"/>
        <v>0</v>
      </c>
      <c r="AS27" s="919" t="e">
        <f t="shared" si="27"/>
        <v>#DIV/0!</v>
      </c>
      <c r="AT27" s="920" t="e">
        <f t="shared" si="28"/>
        <v>#DIV/0!</v>
      </c>
      <c r="AU27" s="913"/>
      <c r="AV27" s="854"/>
      <c r="AW27" s="914"/>
      <c r="AX27" s="979"/>
      <c r="AY27" s="855">
        <f t="shared" si="29"/>
        <v>0</v>
      </c>
      <c r="AZ27" s="918" t="e">
        <f t="shared" si="30"/>
        <v>#DIV/0!</v>
      </c>
      <c r="BA27" s="917" t="e">
        <f t="shared" si="31"/>
        <v>#DIV/0!</v>
      </c>
      <c r="BB27" s="916"/>
      <c r="BC27" s="855"/>
      <c r="BD27" s="915">
        <f t="shared" si="32"/>
        <v>1</v>
      </c>
      <c r="BE27" s="980"/>
      <c r="BF27" s="856"/>
      <c r="BG27" s="857">
        <f t="shared" si="33"/>
        <v>0</v>
      </c>
      <c r="BH27" s="981">
        <f t="shared" si="34"/>
        <v>-1</v>
      </c>
      <c r="BI27" s="858"/>
      <c r="BJ27" s="856"/>
      <c r="BK27" s="859">
        <f t="shared" si="35"/>
        <v>0</v>
      </c>
    </row>
    <row r="28" spans="1:63" ht="35.1" customHeight="1" x14ac:dyDescent="0.25">
      <c r="A28" s="963"/>
      <c r="B28" s="964"/>
      <c r="C28" s="965"/>
      <c r="D28" s="966"/>
      <c r="E28" s="965"/>
      <c r="F28" s="965"/>
      <c r="G28" s="967"/>
      <c r="H28" s="968"/>
      <c r="I28" s="861" t="e">
        <f t="shared" si="0"/>
        <v>#DIV/0!</v>
      </c>
      <c r="J28" s="894" t="e">
        <f t="shared" si="1"/>
        <v>#DIV/0!</v>
      </c>
      <c r="K28" s="904"/>
      <c r="L28" s="861" t="e">
        <f t="shared" si="2"/>
        <v>#DIV/0!</v>
      </c>
      <c r="M28" s="895" t="e">
        <f t="shared" si="3"/>
        <v>#DIV/0!</v>
      </c>
      <c r="N28" s="905"/>
      <c r="O28" s="907" t="e">
        <f t="shared" si="4"/>
        <v>#DIV/0!</v>
      </c>
      <c r="P28" s="906" t="e">
        <f t="shared" si="5"/>
        <v>#DIV/0!</v>
      </c>
      <c r="Q28" s="897" t="e">
        <f t="shared" si="6"/>
        <v>#DIV/0!</v>
      </c>
      <c r="R28" s="970" t="e">
        <f t="shared" si="7"/>
        <v>#DIV/0!</v>
      </c>
      <c r="S28" s="969" t="e">
        <f t="shared" si="8"/>
        <v>#DIV/0!</v>
      </c>
      <c r="T28" s="909" t="e">
        <f t="shared" si="9"/>
        <v>#DIV/0!</v>
      </c>
      <c r="U28" s="896" t="e">
        <f t="shared" si="10"/>
        <v>#DIV/0!</v>
      </c>
      <c r="V28" s="898">
        <f t="shared" si="11"/>
        <v>0</v>
      </c>
      <c r="W28" s="970">
        <f t="shared" si="12"/>
        <v>0</v>
      </c>
      <c r="X28" s="971" t="e">
        <f t="shared" si="13"/>
        <v>#DIV/0!</v>
      </c>
      <c r="Y28" s="847"/>
      <c r="Z28" s="911" t="e">
        <f t="shared" si="14"/>
        <v>#DIV/0!</v>
      </c>
      <c r="AA28" s="972"/>
      <c r="AB28" s="848" t="e">
        <f t="shared" si="15"/>
        <v>#DIV/0!</v>
      </c>
      <c r="AC28" s="973"/>
      <c r="AD28" s="848" t="e">
        <f t="shared" si="16"/>
        <v>#DIV/0!</v>
      </c>
      <c r="AE28" s="974" t="e">
        <f t="shared" si="17"/>
        <v>#DIV/0!</v>
      </c>
      <c r="AF28" s="849" t="e">
        <f t="shared" si="18"/>
        <v>#DIV/0!</v>
      </c>
      <c r="AG28" s="850" t="e">
        <f t="shared" si="19"/>
        <v>#DIV/0!</v>
      </c>
      <c r="AH28" s="974" t="e">
        <f t="shared" si="20"/>
        <v>#DIV/0!</v>
      </c>
      <c r="AI28" s="851"/>
      <c r="AJ28" s="852" t="e">
        <f t="shared" si="21"/>
        <v>#DIV/0!</v>
      </c>
      <c r="AK28" s="975" t="e">
        <f t="shared" si="22"/>
        <v>#DIV/0!</v>
      </c>
      <c r="AL28" s="850" t="e">
        <f t="shared" si="23"/>
        <v>#DIV/0!</v>
      </c>
      <c r="AM28" s="975" t="e">
        <f t="shared" si="24"/>
        <v>#DIV/0!</v>
      </c>
      <c r="AN28" s="853"/>
      <c r="AO28" s="976" t="e">
        <f t="shared" si="25"/>
        <v>#DIV/0!</v>
      </c>
      <c r="AP28" s="912"/>
      <c r="AQ28" s="977"/>
      <c r="AR28" s="978">
        <f t="shared" si="26"/>
        <v>0</v>
      </c>
      <c r="AS28" s="919" t="e">
        <f t="shared" si="27"/>
        <v>#DIV/0!</v>
      </c>
      <c r="AT28" s="920" t="e">
        <f t="shared" si="28"/>
        <v>#DIV/0!</v>
      </c>
      <c r="AU28" s="913"/>
      <c r="AV28" s="854"/>
      <c r="AW28" s="914"/>
      <c r="AX28" s="979"/>
      <c r="AY28" s="855">
        <f t="shared" si="29"/>
        <v>0</v>
      </c>
      <c r="AZ28" s="918" t="e">
        <f t="shared" si="30"/>
        <v>#DIV/0!</v>
      </c>
      <c r="BA28" s="917" t="e">
        <f t="shared" si="31"/>
        <v>#DIV/0!</v>
      </c>
      <c r="BB28" s="916"/>
      <c r="BC28" s="855"/>
      <c r="BD28" s="915">
        <f t="shared" si="32"/>
        <v>1</v>
      </c>
      <c r="BE28" s="980"/>
      <c r="BF28" s="856"/>
      <c r="BG28" s="857">
        <f t="shared" si="33"/>
        <v>0</v>
      </c>
      <c r="BH28" s="981">
        <f t="shared" si="34"/>
        <v>-1</v>
      </c>
      <c r="BI28" s="858"/>
      <c r="BJ28" s="856"/>
      <c r="BK28" s="859">
        <f t="shared" si="35"/>
        <v>0</v>
      </c>
    </row>
    <row r="29" spans="1:63" ht="35.1" customHeight="1" x14ac:dyDescent="0.25">
      <c r="A29" s="963"/>
      <c r="B29" s="964"/>
      <c r="C29" s="965"/>
      <c r="D29" s="966"/>
      <c r="E29" s="965"/>
      <c r="F29" s="965"/>
      <c r="G29" s="967"/>
      <c r="H29" s="968"/>
      <c r="I29" s="861" t="e">
        <f t="shared" si="0"/>
        <v>#DIV/0!</v>
      </c>
      <c r="J29" s="894" t="e">
        <f t="shared" si="1"/>
        <v>#DIV/0!</v>
      </c>
      <c r="K29" s="904"/>
      <c r="L29" s="861" t="e">
        <f t="shared" si="2"/>
        <v>#DIV/0!</v>
      </c>
      <c r="M29" s="895" t="e">
        <f t="shared" si="3"/>
        <v>#DIV/0!</v>
      </c>
      <c r="N29" s="905"/>
      <c r="O29" s="907" t="e">
        <f t="shared" si="4"/>
        <v>#DIV/0!</v>
      </c>
      <c r="P29" s="906" t="e">
        <f t="shared" si="5"/>
        <v>#DIV/0!</v>
      </c>
      <c r="Q29" s="897" t="e">
        <f t="shared" si="6"/>
        <v>#DIV/0!</v>
      </c>
      <c r="R29" s="970" t="e">
        <f t="shared" si="7"/>
        <v>#DIV/0!</v>
      </c>
      <c r="S29" s="969" t="e">
        <f t="shared" si="8"/>
        <v>#DIV/0!</v>
      </c>
      <c r="T29" s="909" t="e">
        <f t="shared" si="9"/>
        <v>#DIV/0!</v>
      </c>
      <c r="U29" s="896" t="e">
        <f t="shared" si="10"/>
        <v>#DIV/0!</v>
      </c>
      <c r="V29" s="898">
        <f t="shared" si="11"/>
        <v>0</v>
      </c>
      <c r="W29" s="970">
        <f t="shared" si="12"/>
        <v>0</v>
      </c>
      <c r="X29" s="971" t="e">
        <f t="shared" si="13"/>
        <v>#DIV/0!</v>
      </c>
      <c r="Y29" s="847"/>
      <c r="Z29" s="911" t="e">
        <f t="shared" si="14"/>
        <v>#DIV/0!</v>
      </c>
      <c r="AA29" s="972"/>
      <c r="AB29" s="848" t="e">
        <f t="shared" si="15"/>
        <v>#DIV/0!</v>
      </c>
      <c r="AC29" s="973"/>
      <c r="AD29" s="848" t="e">
        <f t="shared" si="16"/>
        <v>#DIV/0!</v>
      </c>
      <c r="AE29" s="974" t="e">
        <f t="shared" si="17"/>
        <v>#DIV/0!</v>
      </c>
      <c r="AF29" s="849" t="e">
        <f t="shared" si="18"/>
        <v>#DIV/0!</v>
      </c>
      <c r="AG29" s="850" t="e">
        <f t="shared" si="19"/>
        <v>#DIV/0!</v>
      </c>
      <c r="AH29" s="974" t="e">
        <f t="shared" si="20"/>
        <v>#DIV/0!</v>
      </c>
      <c r="AI29" s="851"/>
      <c r="AJ29" s="852" t="e">
        <f t="shared" si="21"/>
        <v>#DIV/0!</v>
      </c>
      <c r="AK29" s="975" t="e">
        <f t="shared" si="22"/>
        <v>#DIV/0!</v>
      </c>
      <c r="AL29" s="850" t="e">
        <f t="shared" si="23"/>
        <v>#DIV/0!</v>
      </c>
      <c r="AM29" s="975" t="e">
        <f t="shared" si="24"/>
        <v>#DIV/0!</v>
      </c>
      <c r="AN29" s="853"/>
      <c r="AO29" s="976" t="e">
        <f t="shared" si="25"/>
        <v>#DIV/0!</v>
      </c>
      <c r="AP29" s="912"/>
      <c r="AQ29" s="977"/>
      <c r="AR29" s="978">
        <f t="shared" si="26"/>
        <v>0</v>
      </c>
      <c r="AS29" s="919" t="e">
        <f t="shared" si="27"/>
        <v>#DIV/0!</v>
      </c>
      <c r="AT29" s="920" t="e">
        <f t="shared" si="28"/>
        <v>#DIV/0!</v>
      </c>
      <c r="AU29" s="913"/>
      <c r="AV29" s="854"/>
      <c r="AW29" s="914"/>
      <c r="AX29" s="979"/>
      <c r="AY29" s="855">
        <f t="shared" si="29"/>
        <v>0</v>
      </c>
      <c r="AZ29" s="918" t="e">
        <f t="shared" si="30"/>
        <v>#DIV/0!</v>
      </c>
      <c r="BA29" s="917" t="e">
        <f t="shared" si="31"/>
        <v>#DIV/0!</v>
      </c>
      <c r="BB29" s="916"/>
      <c r="BC29" s="855"/>
      <c r="BD29" s="915">
        <f t="shared" si="32"/>
        <v>1</v>
      </c>
      <c r="BE29" s="980"/>
      <c r="BF29" s="856"/>
      <c r="BG29" s="857">
        <f t="shared" si="33"/>
        <v>0</v>
      </c>
      <c r="BH29" s="981">
        <f t="shared" si="34"/>
        <v>-1</v>
      </c>
      <c r="BI29" s="858"/>
      <c r="BJ29" s="856"/>
      <c r="BK29" s="859">
        <f t="shared" si="35"/>
        <v>0</v>
      </c>
    </row>
    <row r="30" spans="1:63" ht="35.1" customHeight="1" x14ac:dyDescent="0.25">
      <c r="A30" s="963"/>
      <c r="B30" s="964"/>
      <c r="C30" s="965"/>
      <c r="D30" s="966"/>
      <c r="E30" s="965"/>
      <c r="F30" s="965"/>
      <c r="G30" s="967"/>
      <c r="H30" s="968"/>
      <c r="I30" s="861" t="e">
        <f t="shared" si="0"/>
        <v>#DIV/0!</v>
      </c>
      <c r="J30" s="894" t="e">
        <f t="shared" si="1"/>
        <v>#DIV/0!</v>
      </c>
      <c r="K30" s="904"/>
      <c r="L30" s="861" t="e">
        <f t="shared" si="2"/>
        <v>#DIV/0!</v>
      </c>
      <c r="M30" s="895" t="e">
        <f t="shared" si="3"/>
        <v>#DIV/0!</v>
      </c>
      <c r="N30" s="905"/>
      <c r="O30" s="907" t="e">
        <f t="shared" si="4"/>
        <v>#DIV/0!</v>
      </c>
      <c r="P30" s="906" t="e">
        <f t="shared" si="5"/>
        <v>#DIV/0!</v>
      </c>
      <c r="Q30" s="897" t="e">
        <f t="shared" si="6"/>
        <v>#DIV/0!</v>
      </c>
      <c r="R30" s="970" t="e">
        <f t="shared" si="7"/>
        <v>#DIV/0!</v>
      </c>
      <c r="S30" s="969" t="e">
        <f t="shared" si="8"/>
        <v>#DIV/0!</v>
      </c>
      <c r="T30" s="909" t="e">
        <f t="shared" si="9"/>
        <v>#DIV/0!</v>
      </c>
      <c r="U30" s="896" t="e">
        <f t="shared" si="10"/>
        <v>#DIV/0!</v>
      </c>
      <c r="V30" s="898">
        <f t="shared" si="11"/>
        <v>0</v>
      </c>
      <c r="W30" s="970">
        <f t="shared" si="12"/>
        <v>0</v>
      </c>
      <c r="X30" s="971" t="e">
        <f t="shared" si="13"/>
        <v>#DIV/0!</v>
      </c>
      <c r="Y30" s="847"/>
      <c r="Z30" s="911" t="e">
        <f t="shared" si="14"/>
        <v>#DIV/0!</v>
      </c>
      <c r="AA30" s="972"/>
      <c r="AB30" s="848" t="e">
        <f t="shared" si="15"/>
        <v>#DIV/0!</v>
      </c>
      <c r="AC30" s="973"/>
      <c r="AD30" s="848" t="e">
        <f t="shared" si="16"/>
        <v>#DIV/0!</v>
      </c>
      <c r="AE30" s="974" t="e">
        <f t="shared" si="17"/>
        <v>#DIV/0!</v>
      </c>
      <c r="AF30" s="849" t="e">
        <f t="shared" si="18"/>
        <v>#DIV/0!</v>
      </c>
      <c r="AG30" s="850" t="e">
        <f t="shared" si="19"/>
        <v>#DIV/0!</v>
      </c>
      <c r="AH30" s="974" t="e">
        <f t="shared" si="20"/>
        <v>#DIV/0!</v>
      </c>
      <c r="AI30" s="851"/>
      <c r="AJ30" s="852" t="e">
        <f t="shared" si="21"/>
        <v>#DIV/0!</v>
      </c>
      <c r="AK30" s="975" t="e">
        <f t="shared" si="22"/>
        <v>#DIV/0!</v>
      </c>
      <c r="AL30" s="850" t="e">
        <f t="shared" si="23"/>
        <v>#DIV/0!</v>
      </c>
      <c r="AM30" s="975" t="e">
        <f t="shared" si="24"/>
        <v>#DIV/0!</v>
      </c>
      <c r="AN30" s="853"/>
      <c r="AO30" s="976" t="e">
        <f t="shared" si="25"/>
        <v>#DIV/0!</v>
      </c>
      <c r="AP30" s="912"/>
      <c r="AQ30" s="977"/>
      <c r="AR30" s="978">
        <f t="shared" si="26"/>
        <v>0</v>
      </c>
      <c r="AS30" s="919" t="e">
        <f t="shared" si="27"/>
        <v>#DIV/0!</v>
      </c>
      <c r="AT30" s="920" t="e">
        <f t="shared" si="28"/>
        <v>#DIV/0!</v>
      </c>
      <c r="AU30" s="913"/>
      <c r="AV30" s="854"/>
      <c r="AW30" s="914"/>
      <c r="AX30" s="979"/>
      <c r="AY30" s="855">
        <f t="shared" si="29"/>
        <v>0</v>
      </c>
      <c r="AZ30" s="918" t="e">
        <f t="shared" si="30"/>
        <v>#DIV/0!</v>
      </c>
      <c r="BA30" s="917" t="e">
        <f t="shared" si="31"/>
        <v>#DIV/0!</v>
      </c>
      <c r="BB30" s="916"/>
      <c r="BC30" s="855"/>
      <c r="BD30" s="915">
        <f t="shared" si="32"/>
        <v>1</v>
      </c>
      <c r="BE30" s="980"/>
      <c r="BF30" s="856"/>
      <c r="BG30" s="857">
        <f t="shared" si="33"/>
        <v>0</v>
      </c>
      <c r="BH30" s="981">
        <f t="shared" si="34"/>
        <v>-1</v>
      </c>
      <c r="BI30" s="858"/>
      <c r="BJ30" s="856"/>
      <c r="BK30" s="859">
        <f t="shared" si="35"/>
        <v>0</v>
      </c>
    </row>
    <row r="31" spans="1:63" ht="35.1" customHeight="1" x14ac:dyDescent="0.25">
      <c r="A31" s="963"/>
      <c r="B31" s="964"/>
      <c r="C31" s="965"/>
      <c r="D31" s="966"/>
      <c r="E31" s="965"/>
      <c r="F31" s="965"/>
      <c r="G31" s="967"/>
      <c r="H31" s="968"/>
      <c r="I31" s="861" t="e">
        <f t="shared" si="0"/>
        <v>#DIV/0!</v>
      </c>
      <c r="J31" s="894" t="e">
        <f t="shared" si="1"/>
        <v>#DIV/0!</v>
      </c>
      <c r="K31" s="904"/>
      <c r="L31" s="861" t="e">
        <f t="shared" si="2"/>
        <v>#DIV/0!</v>
      </c>
      <c r="M31" s="895" t="e">
        <f t="shared" si="3"/>
        <v>#DIV/0!</v>
      </c>
      <c r="N31" s="905"/>
      <c r="O31" s="907" t="e">
        <f t="shared" si="4"/>
        <v>#DIV/0!</v>
      </c>
      <c r="P31" s="906" t="e">
        <f t="shared" si="5"/>
        <v>#DIV/0!</v>
      </c>
      <c r="Q31" s="897" t="e">
        <f t="shared" si="6"/>
        <v>#DIV/0!</v>
      </c>
      <c r="R31" s="970" t="e">
        <f t="shared" si="7"/>
        <v>#DIV/0!</v>
      </c>
      <c r="S31" s="969" t="e">
        <f t="shared" si="8"/>
        <v>#DIV/0!</v>
      </c>
      <c r="T31" s="909" t="e">
        <f t="shared" si="9"/>
        <v>#DIV/0!</v>
      </c>
      <c r="U31" s="896" t="e">
        <f t="shared" si="10"/>
        <v>#DIV/0!</v>
      </c>
      <c r="V31" s="898">
        <f t="shared" si="11"/>
        <v>0</v>
      </c>
      <c r="W31" s="970">
        <f t="shared" si="12"/>
        <v>0</v>
      </c>
      <c r="X31" s="971" t="e">
        <f t="shared" si="13"/>
        <v>#DIV/0!</v>
      </c>
      <c r="Y31" s="847"/>
      <c r="Z31" s="911" t="e">
        <f t="shared" si="14"/>
        <v>#DIV/0!</v>
      </c>
      <c r="AA31" s="972"/>
      <c r="AB31" s="848" t="e">
        <f t="shared" si="15"/>
        <v>#DIV/0!</v>
      </c>
      <c r="AC31" s="973"/>
      <c r="AD31" s="848" t="e">
        <f t="shared" si="16"/>
        <v>#DIV/0!</v>
      </c>
      <c r="AE31" s="974" t="e">
        <f t="shared" si="17"/>
        <v>#DIV/0!</v>
      </c>
      <c r="AF31" s="849" t="e">
        <f t="shared" si="18"/>
        <v>#DIV/0!</v>
      </c>
      <c r="AG31" s="850" t="e">
        <f t="shared" si="19"/>
        <v>#DIV/0!</v>
      </c>
      <c r="AH31" s="974" t="e">
        <f t="shared" si="20"/>
        <v>#DIV/0!</v>
      </c>
      <c r="AI31" s="851"/>
      <c r="AJ31" s="852" t="e">
        <f t="shared" si="21"/>
        <v>#DIV/0!</v>
      </c>
      <c r="AK31" s="975" t="e">
        <f t="shared" si="22"/>
        <v>#DIV/0!</v>
      </c>
      <c r="AL31" s="850" t="e">
        <f t="shared" si="23"/>
        <v>#DIV/0!</v>
      </c>
      <c r="AM31" s="975" t="e">
        <f t="shared" si="24"/>
        <v>#DIV/0!</v>
      </c>
      <c r="AN31" s="853"/>
      <c r="AO31" s="976" t="e">
        <f t="shared" si="25"/>
        <v>#DIV/0!</v>
      </c>
      <c r="AP31" s="912"/>
      <c r="AQ31" s="977"/>
      <c r="AR31" s="978">
        <f t="shared" si="26"/>
        <v>0</v>
      </c>
      <c r="AS31" s="919" t="e">
        <f t="shared" si="27"/>
        <v>#DIV/0!</v>
      </c>
      <c r="AT31" s="920" t="e">
        <f t="shared" si="28"/>
        <v>#DIV/0!</v>
      </c>
      <c r="AU31" s="913"/>
      <c r="AV31" s="854"/>
      <c r="AW31" s="914"/>
      <c r="AX31" s="979"/>
      <c r="AY31" s="855">
        <f t="shared" si="29"/>
        <v>0</v>
      </c>
      <c r="AZ31" s="918" t="e">
        <f t="shared" si="30"/>
        <v>#DIV/0!</v>
      </c>
      <c r="BA31" s="917" t="e">
        <f t="shared" si="31"/>
        <v>#DIV/0!</v>
      </c>
      <c r="BB31" s="916"/>
      <c r="BC31" s="855"/>
      <c r="BD31" s="915">
        <f t="shared" si="32"/>
        <v>1</v>
      </c>
      <c r="BE31" s="980"/>
      <c r="BF31" s="856"/>
      <c r="BG31" s="857">
        <f t="shared" si="33"/>
        <v>0</v>
      </c>
      <c r="BH31" s="981">
        <f t="shared" si="34"/>
        <v>-1</v>
      </c>
      <c r="BI31" s="858"/>
      <c r="BJ31" s="856"/>
      <c r="BK31" s="859">
        <f t="shared" si="35"/>
        <v>0</v>
      </c>
    </row>
    <row r="32" spans="1:63" ht="35.1" customHeight="1" x14ac:dyDescent="0.25">
      <c r="A32" s="963"/>
      <c r="B32" s="964"/>
      <c r="C32" s="965"/>
      <c r="D32" s="966"/>
      <c r="E32" s="965"/>
      <c r="F32" s="965"/>
      <c r="G32" s="967"/>
      <c r="H32" s="968"/>
      <c r="I32" s="861" t="e">
        <f t="shared" si="0"/>
        <v>#DIV/0!</v>
      </c>
      <c r="J32" s="894" t="e">
        <f t="shared" si="1"/>
        <v>#DIV/0!</v>
      </c>
      <c r="K32" s="904"/>
      <c r="L32" s="861" t="e">
        <f t="shared" si="2"/>
        <v>#DIV/0!</v>
      </c>
      <c r="M32" s="895" t="e">
        <f t="shared" si="3"/>
        <v>#DIV/0!</v>
      </c>
      <c r="N32" s="905"/>
      <c r="O32" s="907" t="e">
        <f t="shared" si="4"/>
        <v>#DIV/0!</v>
      </c>
      <c r="P32" s="906" t="e">
        <f t="shared" si="5"/>
        <v>#DIV/0!</v>
      </c>
      <c r="Q32" s="897" t="e">
        <f t="shared" si="6"/>
        <v>#DIV/0!</v>
      </c>
      <c r="R32" s="970" t="e">
        <f t="shared" si="7"/>
        <v>#DIV/0!</v>
      </c>
      <c r="S32" s="969" t="e">
        <f t="shared" si="8"/>
        <v>#DIV/0!</v>
      </c>
      <c r="T32" s="909" t="e">
        <f t="shared" si="9"/>
        <v>#DIV/0!</v>
      </c>
      <c r="U32" s="896" t="e">
        <f t="shared" si="10"/>
        <v>#DIV/0!</v>
      </c>
      <c r="V32" s="898">
        <f t="shared" si="11"/>
        <v>0</v>
      </c>
      <c r="W32" s="970">
        <f t="shared" si="12"/>
        <v>0</v>
      </c>
      <c r="X32" s="971" t="e">
        <f t="shared" si="13"/>
        <v>#DIV/0!</v>
      </c>
      <c r="Y32" s="847"/>
      <c r="Z32" s="911" t="e">
        <f t="shared" si="14"/>
        <v>#DIV/0!</v>
      </c>
      <c r="AA32" s="972"/>
      <c r="AB32" s="848" t="e">
        <f t="shared" si="15"/>
        <v>#DIV/0!</v>
      </c>
      <c r="AC32" s="973"/>
      <c r="AD32" s="848" t="e">
        <f t="shared" si="16"/>
        <v>#DIV/0!</v>
      </c>
      <c r="AE32" s="974" t="e">
        <f t="shared" si="17"/>
        <v>#DIV/0!</v>
      </c>
      <c r="AF32" s="849" t="e">
        <f t="shared" si="18"/>
        <v>#DIV/0!</v>
      </c>
      <c r="AG32" s="850" t="e">
        <f t="shared" si="19"/>
        <v>#DIV/0!</v>
      </c>
      <c r="AH32" s="974" t="e">
        <f t="shared" si="20"/>
        <v>#DIV/0!</v>
      </c>
      <c r="AI32" s="851"/>
      <c r="AJ32" s="852" t="e">
        <f t="shared" si="21"/>
        <v>#DIV/0!</v>
      </c>
      <c r="AK32" s="975" t="e">
        <f t="shared" si="22"/>
        <v>#DIV/0!</v>
      </c>
      <c r="AL32" s="850" t="e">
        <f t="shared" si="23"/>
        <v>#DIV/0!</v>
      </c>
      <c r="AM32" s="975" t="e">
        <f t="shared" si="24"/>
        <v>#DIV/0!</v>
      </c>
      <c r="AN32" s="853"/>
      <c r="AO32" s="976" t="e">
        <f t="shared" si="25"/>
        <v>#DIV/0!</v>
      </c>
      <c r="AP32" s="912"/>
      <c r="AQ32" s="977"/>
      <c r="AR32" s="978">
        <f t="shared" si="26"/>
        <v>0</v>
      </c>
      <c r="AS32" s="919" t="e">
        <f t="shared" si="27"/>
        <v>#DIV/0!</v>
      </c>
      <c r="AT32" s="920" t="e">
        <f t="shared" si="28"/>
        <v>#DIV/0!</v>
      </c>
      <c r="AU32" s="913"/>
      <c r="AV32" s="854"/>
      <c r="AW32" s="914"/>
      <c r="AX32" s="979"/>
      <c r="AY32" s="855">
        <f t="shared" si="29"/>
        <v>0</v>
      </c>
      <c r="AZ32" s="918" t="e">
        <f t="shared" si="30"/>
        <v>#DIV/0!</v>
      </c>
      <c r="BA32" s="917" t="e">
        <f t="shared" si="31"/>
        <v>#DIV/0!</v>
      </c>
      <c r="BB32" s="916"/>
      <c r="BC32" s="855"/>
      <c r="BD32" s="915">
        <f t="shared" si="32"/>
        <v>1</v>
      </c>
      <c r="BE32" s="980"/>
      <c r="BF32" s="856"/>
      <c r="BG32" s="857">
        <f t="shared" si="33"/>
        <v>0</v>
      </c>
      <c r="BH32" s="981">
        <f t="shared" si="34"/>
        <v>-1</v>
      </c>
      <c r="BI32" s="858"/>
      <c r="BJ32" s="856"/>
      <c r="BK32" s="859">
        <f t="shared" si="35"/>
        <v>0</v>
      </c>
    </row>
    <row r="33" spans="1:63" ht="35.1" customHeight="1" x14ac:dyDescent="0.25">
      <c r="A33" s="963"/>
      <c r="B33" s="964"/>
      <c r="C33" s="965"/>
      <c r="D33" s="966"/>
      <c r="E33" s="965"/>
      <c r="F33" s="965"/>
      <c r="G33" s="967"/>
      <c r="H33" s="968"/>
      <c r="I33" s="861" t="e">
        <f t="shared" si="0"/>
        <v>#DIV/0!</v>
      </c>
      <c r="J33" s="894" t="e">
        <f t="shared" si="1"/>
        <v>#DIV/0!</v>
      </c>
      <c r="K33" s="904"/>
      <c r="L33" s="861" t="e">
        <f t="shared" si="2"/>
        <v>#DIV/0!</v>
      </c>
      <c r="M33" s="895" t="e">
        <f t="shared" si="3"/>
        <v>#DIV/0!</v>
      </c>
      <c r="N33" s="905"/>
      <c r="O33" s="907" t="e">
        <f t="shared" si="4"/>
        <v>#DIV/0!</v>
      </c>
      <c r="P33" s="906" t="e">
        <f t="shared" si="5"/>
        <v>#DIV/0!</v>
      </c>
      <c r="Q33" s="897" t="e">
        <f t="shared" si="6"/>
        <v>#DIV/0!</v>
      </c>
      <c r="R33" s="970" t="e">
        <f t="shared" si="7"/>
        <v>#DIV/0!</v>
      </c>
      <c r="S33" s="969" t="e">
        <f t="shared" si="8"/>
        <v>#DIV/0!</v>
      </c>
      <c r="T33" s="909" t="e">
        <f t="shared" si="9"/>
        <v>#DIV/0!</v>
      </c>
      <c r="U33" s="896" t="e">
        <f t="shared" si="10"/>
        <v>#DIV/0!</v>
      </c>
      <c r="V33" s="898">
        <f t="shared" si="11"/>
        <v>0</v>
      </c>
      <c r="W33" s="970">
        <f t="shared" si="12"/>
        <v>0</v>
      </c>
      <c r="X33" s="971" t="e">
        <f t="shared" si="13"/>
        <v>#DIV/0!</v>
      </c>
      <c r="Y33" s="847"/>
      <c r="Z33" s="911" t="e">
        <f t="shared" si="14"/>
        <v>#DIV/0!</v>
      </c>
      <c r="AA33" s="972"/>
      <c r="AB33" s="848" t="e">
        <f t="shared" si="15"/>
        <v>#DIV/0!</v>
      </c>
      <c r="AC33" s="973"/>
      <c r="AD33" s="848" t="e">
        <f t="shared" si="16"/>
        <v>#DIV/0!</v>
      </c>
      <c r="AE33" s="974" t="e">
        <f t="shared" si="17"/>
        <v>#DIV/0!</v>
      </c>
      <c r="AF33" s="849" t="e">
        <f t="shared" si="18"/>
        <v>#DIV/0!</v>
      </c>
      <c r="AG33" s="850" t="e">
        <f t="shared" si="19"/>
        <v>#DIV/0!</v>
      </c>
      <c r="AH33" s="974" t="e">
        <f t="shared" si="20"/>
        <v>#DIV/0!</v>
      </c>
      <c r="AI33" s="851"/>
      <c r="AJ33" s="852" t="e">
        <f t="shared" si="21"/>
        <v>#DIV/0!</v>
      </c>
      <c r="AK33" s="975" t="e">
        <f t="shared" si="22"/>
        <v>#DIV/0!</v>
      </c>
      <c r="AL33" s="850" t="e">
        <f t="shared" si="23"/>
        <v>#DIV/0!</v>
      </c>
      <c r="AM33" s="975" t="e">
        <f t="shared" si="24"/>
        <v>#DIV/0!</v>
      </c>
      <c r="AN33" s="853"/>
      <c r="AO33" s="976" t="e">
        <f t="shared" si="25"/>
        <v>#DIV/0!</v>
      </c>
      <c r="AP33" s="912"/>
      <c r="AQ33" s="977"/>
      <c r="AR33" s="978">
        <f t="shared" si="26"/>
        <v>0</v>
      </c>
      <c r="AS33" s="919" t="e">
        <f t="shared" si="27"/>
        <v>#DIV/0!</v>
      </c>
      <c r="AT33" s="920" t="e">
        <f t="shared" si="28"/>
        <v>#DIV/0!</v>
      </c>
      <c r="AU33" s="913"/>
      <c r="AV33" s="854"/>
      <c r="AW33" s="914"/>
      <c r="AX33" s="979"/>
      <c r="AY33" s="855">
        <f t="shared" si="29"/>
        <v>0</v>
      </c>
      <c r="AZ33" s="918" t="e">
        <f t="shared" si="30"/>
        <v>#DIV/0!</v>
      </c>
      <c r="BA33" s="917" t="e">
        <f t="shared" si="31"/>
        <v>#DIV/0!</v>
      </c>
      <c r="BB33" s="916"/>
      <c r="BC33" s="855"/>
      <c r="BD33" s="915">
        <f t="shared" si="32"/>
        <v>1</v>
      </c>
      <c r="BE33" s="980"/>
      <c r="BF33" s="856"/>
      <c r="BG33" s="857">
        <f t="shared" si="33"/>
        <v>0</v>
      </c>
      <c r="BH33" s="981">
        <f t="shared" si="34"/>
        <v>-1</v>
      </c>
      <c r="BI33" s="858"/>
      <c r="BJ33" s="856"/>
      <c r="BK33" s="859">
        <f t="shared" si="35"/>
        <v>0</v>
      </c>
    </row>
    <row r="34" spans="1:63" ht="35.1" customHeight="1" x14ac:dyDescent="0.25">
      <c r="A34" s="963"/>
      <c r="B34" s="964"/>
      <c r="C34" s="965"/>
      <c r="D34" s="966"/>
      <c r="E34" s="965"/>
      <c r="F34" s="965"/>
      <c r="G34" s="967"/>
      <c r="H34" s="968"/>
      <c r="I34" s="861" t="e">
        <f t="shared" si="0"/>
        <v>#DIV/0!</v>
      </c>
      <c r="J34" s="894" t="e">
        <f t="shared" si="1"/>
        <v>#DIV/0!</v>
      </c>
      <c r="K34" s="904"/>
      <c r="L34" s="861" t="e">
        <f t="shared" si="2"/>
        <v>#DIV/0!</v>
      </c>
      <c r="M34" s="895" t="e">
        <f t="shared" si="3"/>
        <v>#DIV/0!</v>
      </c>
      <c r="N34" s="905"/>
      <c r="O34" s="907" t="e">
        <f t="shared" si="4"/>
        <v>#DIV/0!</v>
      </c>
      <c r="P34" s="906" t="e">
        <f t="shared" si="5"/>
        <v>#DIV/0!</v>
      </c>
      <c r="Q34" s="897" t="e">
        <f t="shared" si="6"/>
        <v>#DIV/0!</v>
      </c>
      <c r="R34" s="970" t="e">
        <f t="shared" si="7"/>
        <v>#DIV/0!</v>
      </c>
      <c r="S34" s="969" t="e">
        <f t="shared" si="8"/>
        <v>#DIV/0!</v>
      </c>
      <c r="T34" s="909" t="e">
        <f t="shared" si="9"/>
        <v>#DIV/0!</v>
      </c>
      <c r="U34" s="896" t="e">
        <f t="shared" si="10"/>
        <v>#DIV/0!</v>
      </c>
      <c r="V34" s="898">
        <f t="shared" si="11"/>
        <v>0</v>
      </c>
      <c r="W34" s="970">
        <f t="shared" si="12"/>
        <v>0</v>
      </c>
      <c r="X34" s="971" t="e">
        <f t="shared" si="13"/>
        <v>#DIV/0!</v>
      </c>
      <c r="Y34" s="847"/>
      <c r="Z34" s="911" t="e">
        <f t="shared" si="14"/>
        <v>#DIV/0!</v>
      </c>
      <c r="AA34" s="972"/>
      <c r="AB34" s="848" t="e">
        <f t="shared" si="15"/>
        <v>#DIV/0!</v>
      </c>
      <c r="AC34" s="973"/>
      <c r="AD34" s="848" t="e">
        <f t="shared" si="16"/>
        <v>#DIV/0!</v>
      </c>
      <c r="AE34" s="974" t="e">
        <f t="shared" si="17"/>
        <v>#DIV/0!</v>
      </c>
      <c r="AF34" s="849" t="e">
        <f t="shared" si="18"/>
        <v>#DIV/0!</v>
      </c>
      <c r="AG34" s="850" t="e">
        <f t="shared" si="19"/>
        <v>#DIV/0!</v>
      </c>
      <c r="AH34" s="974" t="e">
        <f t="shared" si="20"/>
        <v>#DIV/0!</v>
      </c>
      <c r="AI34" s="851"/>
      <c r="AJ34" s="852" t="e">
        <f t="shared" si="21"/>
        <v>#DIV/0!</v>
      </c>
      <c r="AK34" s="975" t="e">
        <f t="shared" si="22"/>
        <v>#DIV/0!</v>
      </c>
      <c r="AL34" s="850" t="e">
        <f t="shared" si="23"/>
        <v>#DIV/0!</v>
      </c>
      <c r="AM34" s="975" t="e">
        <f t="shared" si="24"/>
        <v>#DIV/0!</v>
      </c>
      <c r="AN34" s="853"/>
      <c r="AO34" s="976" t="e">
        <f t="shared" si="25"/>
        <v>#DIV/0!</v>
      </c>
      <c r="AP34" s="912"/>
      <c r="AQ34" s="977"/>
      <c r="AR34" s="978">
        <f t="shared" si="26"/>
        <v>0</v>
      </c>
      <c r="AS34" s="919" t="e">
        <f t="shared" si="27"/>
        <v>#DIV/0!</v>
      </c>
      <c r="AT34" s="920" t="e">
        <f t="shared" si="28"/>
        <v>#DIV/0!</v>
      </c>
      <c r="AU34" s="913"/>
      <c r="AV34" s="854"/>
      <c r="AW34" s="914"/>
      <c r="AX34" s="979"/>
      <c r="AY34" s="855">
        <f t="shared" si="29"/>
        <v>0</v>
      </c>
      <c r="AZ34" s="918" t="e">
        <f t="shared" si="30"/>
        <v>#DIV/0!</v>
      </c>
      <c r="BA34" s="917" t="e">
        <f t="shared" si="31"/>
        <v>#DIV/0!</v>
      </c>
      <c r="BB34" s="916"/>
      <c r="BC34" s="855"/>
      <c r="BD34" s="915">
        <f t="shared" si="32"/>
        <v>1</v>
      </c>
      <c r="BE34" s="980"/>
      <c r="BF34" s="856"/>
      <c r="BG34" s="857">
        <f t="shared" si="33"/>
        <v>0</v>
      </c>
      <c r="BH34" s="981">
        <f t="shared" si="34"/>
        <v>-1</v>
      </c>
      <c r="BI34" s="858"/>
      <c r="BJ34" s="856"/>
      <c r="BK34" s="859">
        <f t="shared" si="35"/>
        <v>0</v>
      </c>
    </row>
    <row r="35" spans="1:63" ht="35.1" customHeight="1" x14ac:dyDescent="0.25">
      <c r="A35" s="963"/>
      <c r="B35" s="964"/>
      <c r="C35" s="965"/>
      <c r="D35" s="966"/>
      <c r="E35" s="965"/>
      <c r="F35" s="965"/>
      <c r="G35" s="967"/>
      <c r="H35" s="968"/>
      <c r="I35" s="861" t="e">
        <f t="shared" ref="I35:I66" si="36">$K35/$G35*$H35/100*100000</f>
        <v>#DIV/0!</v>
      </c>
      <c r="J35" s="894" t="e">
        <f t="shared" ref="J35:J66" si="37">$K35/$G35*1000</f>
        <v>#DIV/0!</v>
      </c>
      <c r="K35" s="904"/>
      <c r="L35" s="861" t="e">
        <f t="shared" ref="L35:L66" si="38">$N35/$G35*$H35/100*100000</f>
        <v>#DIV/0!</v>
      </c>
      <c r="M35" s="895" t="e">
        <f t="shared" ref="M35:M66" si="39">N35/G35/100*100000</f>
        <v>#DIV/0!</v>
      </c>
      <c r="N35" s="905"/>
      <c r="O35" s="907" t="e">
        <f t="shared" ref="O35:O66" si="40">$Q35/$G35*$H35/100*100000</f>
        <v>#DIV/0!</v>
      </c>
      <c r="P35" s="906" t="e">
        <f t="shared" ref="P35:P66" si="41">($AD35*$Z35)/1000</f>
        <v>#DIV/0!</v>
      </c>
      <c r="Q35" s="897" t="e">
        <f t="shared" ref="Q35:Q66" si="42">($P35*$G35)/1000</f>
        <v>#DIV/0!</v>
      </c>
      <c r="R35" s="970" t="e">
        <f t="shared" ref="R35:R66" si="43">$V35-$Q35</f>
        <v>#DIV/0!</v>
      </c>
      <c r="S35" s="969" t="e">
        <f t="shared" ref="S35:S66" si="44">($U35/$P35)-1</f>
        <v>#DIV/0!</v>
      </c>
      <c r="T35" s="909" t="e">
        <f t="shared" ref="T35:T66" si="45">$I35+$L35</f>
        <v>#DIV/0!</v>
      </c>
      <c r="U35" s="896" t="e">
        <f t="shared" ref="U35:U66" si="46">$J35+$M35</f>
        <v>#DIV/0!</v>
      </c>
      <c r="V35" s="898">
        <f t="shared" ref="V35:V66" si="47">$K35+$N35</f>
        <v>0</v>
      </c>
      <c r="W35" s="970">
        <f t="shared" ref="W35:W66" si="48">$K35-$V35</f>
        <v>0</v>
      </c>
      <c r="X35" s="971" t="e">
        <f t="shared" ref="X35:X66" si="49">($V35/$K35)-1</f>
        <v>#DIV/0!</v>
      </c>
      <c r="Y35" s="847"/>
      <c r="Z35" s="911" t="e">
        <f t="shared" ref="Z35:Z66" si="50">$D35*$AT35</f>
        <v>#DIV/0!</v>
      </c>
      <c r="AA35" s="972"/>
      <c r="AB35" s="848" t="e">
        <f t="shared" ref="AB35:AB66" si="51">$AA35/$AT35</f>
        <v>#DIV/0!</v>
      </c>
      <c r="AC35" s="973"/>
      <c r="AD35" s="848" t="e">
        <f t="shared" ref="AD35:AD66" si="52">10000/($AC35*$AS35)</f>
        <v>#DIV/0!</v>
      </c>
      <c r="AE35" s="974" t="e">
        <f t="shared" ref="AE35:AE66" si="53">($AG35/$AD35)-1</f>
        <v>#DIV/0!</v>
      </c>
      <c r="AF35" s="849" t="e">
        <f t="shared" ref="AF35:AF66" si="54">10000/($AG35*$AS35)</f>
        <v>#DIV/0!</v>
      </c>
      <c r="AG35" s="850" t="e">
        <f t="shared" ref="AG35:AG66" si="55">($U35/$D35*1000)/$AT35</f>
        <v>#DIV/0!</v>
      </c>
      <c r="AH35" s="974" t="e">
        <f t="shared" ref="AH35:AH66" si="56">($AJ35/$AG35)-1</f>
        <v>#DIV/0!</v>
      </c>
      <c r="AI35" s="851"/>
      <c r="AJ35" s="852" t="e">
        <f t="shared" ref="AJ35:AJ66" si="57">10000/($AV35*$AI35)</f>
        <v>#DIV/0!</v>
      </c>
      <c r="AK35" s="975" t="e">
        <f t="shared" ref="AK35:AK66" si="58">($AJ35/$AB35)</f>
        <v>#DIV/0!</v>
      </c>
      <c r="AL35" s="850" t="e">
        <f t="shared" ref="AL35:AL66" si="59">10000/($AI35*(($BK35*$AT35)/$AQ35))</f>
        <v>#DIV/0!</v>
      </c>
      <c r="AM35" s="975" t="e">
        <f t="shared" ref="AM35:AM66" si="60">($AL35/$AB35)</f>
        <v>#DIV/0!</v>
      </c>
      <c r="AN35" s="853"/>
      <c r="AO35" s="976" t="e">
        <f t="shared" ref="AO35:AO66" si="61">($AN35/$AB35)</f>
        <v>#DIV/0!</v>
      </c>
      <c r="AP35" s="912"/>
      <c r="AQ35" s="977"/>
      <c r="AR35" s="978">
        <f t="shared" ref="AR35:AR66" si="62">$BG35</f>
        <v>0</v>
      </c>
      <c r="AS35" s="919" t="e">
        <f t="shared" ref="AS35:AS66" si="63">($BE35+($BF$3/3))/$AQ35</f>
        <v>#DIV/0!</v>
      </c>
      <c r="AT35" s="920" t="e">
        <f t="shared" ref="AT35:AT66" si="64">($BE35+($BF35/3))/$BG35</f>
        <v>#DIV/0!</v>
      </c>
      <c r="AU35" s="913"/>
      <c r="AV35" s="854"/>
      <c r="AW35" s="914"/>
      <c r="AX35" s="979"/>
      <c r="AY35" s="855">
        <f t="shared" ref="AY35:AY66" si="65">$BF35</f>
        <v>0</v>
      </c>
      <c r="AZ35" s="918" t="e">
        <f t="shared" ref="AZ35:AZ66" si="66">($AY35-($AY35/3))/$AX35</f>
        <v>#DIV/0!</v>
      </c>
      <c r="BA35" s="917" t="e">
        <f t="shared" ref="BA35:BA66" si="67">1-$AT35</f>
        <v>#DIV/0!</v>
      </c>
      <c r="BB35" s="916"/>
      <c r="BC35" s="855"/>
      <c r="BD35" s="915">
        <f t="shared" ref="BD35:BD66" si="68">1-$AW$3</f>
        <v>1</v>
      </c>
      <c r="BE35" s="980"/>
      <c r="BF35" s="856"/>
      <c r="BG35" s="857">
        <f t="shared" ref="BG35:BG66" si="69">$BE35+$BF35</f>
        <v>0</v>
      </c>
      <c r="BH35" s="981">
        <f t="shared" ref="BH35:BH66" si="70">($BK$3/$BG$3)-1</f>
        <v>-1</v>
      </c>
      <c r="BI35" s="858"/>
      <c r="BJ35" s="856"/>
      <c r="BK35" s="859">
        <f t="shared" ref="BK35:BK66" si="71">$BI35+$BJ35</f>
        <v>0</v>
      </c>
    </row>
    <row r="36" spans="1:63" ht="35.1" customHeight="1" x14ac:dyDescent="0.25">
      <c r="A36" s="963"/>
      <c r="B36" s="964"/>
      <c r="C36" s="965"/>
      <c r="D36" s="966"/>
      <c r="E36" s="965"/>
      <c r="F36" s="965"/>
      <c r="G36" s="967"/>
      <c r="H36" s="968"/>
      <c r="I36" s="861" t="e">
        <f t="shared" si="36"/>
        <v>#DIV/0!</v>
      </c>
      <c r="J36" s="894" t="e">
        <f t="shared" si="37"/>
        <v>#DIV/0!</v>
      </c>
      <c r="K36" s="904"/>
      <c r="L36" s="861" t="e">
        <f t="shared" si="38"/>
        <v>#DIV/0!</v>
      </c>
      <c r="M36" s="895" t="e">
        <f t="shared" si="39"/>
        <v>#DIV/0!</v>
      </c>
      <c r="N36" s="905"/>
      <c r="O36" s="907" t="e">
        <f t="shared" si="40"/>
        <v>#DIV/0!</v>
      </c>
      <c r="P36" s="906" t="e">
        <f t="shared" si="41"/>
        <v>#DIV/0!</v>
      </c>
      <c r="Q36" s="897" t="e">
        <f t="shared" si="42"/>
        <v>#DIV/0!</v>
      </c>
      <c r="R36" s="970" t="e">
        <f t="shared" si="43"/>
        <v>#DIV/0!</v>
      </c>
      <c r="S36" s="969" t="e">
        <f t="shared" si="44"/>
        <v>#DIV/0!</v>
      </c>
      <c r="T36" s="909" t="e">
        <f t="shared" si="45"/>
        <v>#DIV/0!</v>
      </c>
      <c r="U36" s="896" t="e">
        <f t="shared" si="46"/>
        <v>#DIV/0!</v>
      </c>
      <c r="V36" s="898">
        <f t="shared" si="47"/>
        <v>0</v>
      </c>
      <c r="W36" s="970">
        <f t="shared" si="48"/>
        <v>0</v>
      </c>
      <c r="X36" s="971" t="e">
        <f t="shared" si="49"/>
        <v>#DIV/0!</v>
      </c>
      <c r="Y36" s="847"/>
      <c r="Z36" s="911" t="e">
        <f t="shared" si="50"/>
        <v>#DIV/0!</v>
      </c>
      <c r="AA36" s="972"/>
      <c r="AB36" s="848" t="e">
        <f t="shared" si="51"/>
        <v>#DIV/0!</v>
      </c>
      <c r="AC36" s="973"/>
      <c r="AD36" s="848" t="e">
        <f t="shared" si="52"/>
        <v>#DIV/0!</v>
      </c>
      <c r="AE36" s="974" t="e">
        <f t="shared" si="53"/>
        <v>#DIV/0!</v>
      </c>
      <c r="AF36" s="849" t="e">
        <f t="shared" si="54"/>
        <v>#DIV/0!</v>
      </c>
      <c r="AG36" s="850" t="e">
        <f t="shared" si="55"/>
        <v>#DIV/0!</v>
      </c>
      <c r="AH36" s="974" t="e">
        <f t="shared" si="56"/>
        <v>#DIV/0!</v>
      </c>
      <c r="AI36" s="851"/>
      <c r="AJ36" s="852" t="e">
        <f t="shared" si="57"/>
        <v>#DIV/0!</v>
      </c>
      <c r="AK36" s="975" t="e">
        <f t="shared" si="58"/>
        <v>#DIV/0!</v>
      </c>
      <c r="AL36" s="850" t="e">
        <f t="shared" si="59"/>
        <v>#DIV/0!</v>
      </c>
      <c r="AM36" s="975" t="e">
        <f t="shared" si="60"/>
        <v>#DIV/0!</v>
      </c>
      <c r="AN36" s="853"/>
      <c r="AO36" s="976" t="e">
        <f t="shared" si="61"/>
        <v>#DIV/0!</v>
      </c>
      <c r="AP36" s="912"/>
      <c r="AQ36" s="977"/>
      <c r="AR36" s="978">
        <f t="shared" si="62"/>
        <v>0</v>
      </c>
      <c r="AS36" s="919" t="e">
        <f t="shared" si="63"/>
        <v>#DIV/0!</v>
      </c>
      <c r="AT36" s="920" t="e">
        <f t="shared" si="64"/>
        <v>#DIV/0!</v>
      </c>
      <c r="AU36" s="913"/>
      <c r="AV36" s="854"/>
      <c r="AW36" s="914"/>
      <c r="AX36" s="979"/>
      <c r="AY36" s="855">
        <f t="shared" si="65"/>
        <v>0</v>
      </c>
      <c r="AZ36" s="918" t="e">
        <f t="shared" si="66"/>
        <v>#DIV/0!</v>
      </c>
      <c r="BA36" s="917" t="e">
        <f t="shared" si="67"/>
        <v>#DIV/0!</v>
      </c>
      <c r="BB36" s="916"/>
      <c r="BC36" s="855"/>
      <c r="BD36" s="915">
        <f t="shared" si="68"/>
        <v>1</v>
      </c>
      <c r="BE36" s="980"/>
      <c r="BF36" s="856"/>
      <c r="BG36" s="857">
        <f t="shared" si="69"/>
        <v>0</v>
      </c>
      <c r="BH36" s="981">
        <f t="shared" si="70"/>
        <v>-1</v>
      </c>
      <c r="BI36" s="858"/>
      <c r="BJ36" s="856"/>
      <c r="BK36" s="859">
        <f t="shared" si="71"/>
        <v>0</v>
      </c>
    </row>
    <row r="37" spans="1:63" ht="35.1" customHeight="1" x14ac:dyDescent="0.25">
      <c r="A37" s="963"/>
      <c r="B37" s="964"/>
      <c r="C37" s="965"/>
      <c r="D37" s="966"/>
      <c r="E37" s="965"/>
      <c r="F37" s="965"/>
      <c r="G37" s="967"/>
      <c r="H37" s="968"/>
      <c r="I37" s="861" t="e">
        <f t="shared" si="36"/>
        <v>#DIV/0!</v>
      </c>
      <c r="J37" s="894" t="e">
        <f t="shared" si="37"/>
        <v>#DIV/0!</v>
      </c>
      <c r="K37" s="904"/>
      <c r="L37" s="861" t="e">
        <f t="shared" si="38"/>
        <v>#DIV/0!</v>
      </c>
      <c r="M37" s="895" t="e">
        <f t="shared" si="39"/>
        <v>#DIV/0!</v>
      </c>
      <c r="N37" s="905"/>
      <c r="O37" s="907" t="e">
        <f t="shared" si="40"/>
        <v>#DIV/0!</v>
      </c>
      <c r="P37" s="906" t="e">
        <f t="shared" si="41"/>
        <v>#DIV/0!</v>
      </c>
      <c r="Q37" s="897" t="e">
        <f t="shared" si="42"/>
        <v>#DIV/0!</v>
      </c>
      <c r="R37" s="970" t="e">
        <f t="shared" si="43"/>
        <v>#DIV/0!</v>
      </c>
      <c r="S37" s="969" t="e">
        <f t="shared" si="44"/>
        <v>#DIV/0!</v>
      </c>
      <c r="T37" s="909" t="e">
        <f t="shared" si="45"/>
        <v>#DIV/0!</v>
      </c>
      <c r="U37" s="896" t="e">
        <f t="shared" si="46"/>
        <v>#DIV/0!</v>
      </c>
      <c r="V37" s="898">
        <f t="shared" si="47"/>
        <v>0</v>
      </c>
      <c r="W37" s="970">
        <f t="shared" si="48"/>
        <v>0</v>
      </c>
      <c r="X37" s="971" t="e">
        <f t="shared" si="49"/>
        <v>#DIV/0!</v>
      </c>
      <c r="Y37" s="847"/>
      <c r="Z37" s="911" t="e">
        <f t="shared" si="50"/>
        <v>#DIV/0!</v>
      </c>
      <c r="AA37" s="972"/>
      <c r="AB37" s="848" t="e">
        <f t="shared" si="51"/>
        <v>#DIV/0!</v>
      </c>
      <c r="AC37" s="973"/>
      <c r="AD37" s="848" t="e">
        <f t="shared" si="52"/>
        <v>#DIV/0!</v>
      </c>
      <c r="AE37" s="974" t="e">
        <f t="shared" si="53"/>
        <v>#DIV/0!</v>
      </c>
      <c r="AF37" s="849" t="e">
        <f t="shared" si="54"/>
        <v>#DIV/0!</v>
      </c>
      <c r="AG37" s="850" t="e">
        <f t="shared" si="55"/>
        <v>#DIV/0!</v>
      </c>
      <c r="AH37" s="974" t="e">
        <f t="shared" si="56"/>
        <v>#DIV/0!</v>
      </c>
      <c r="AI37" s="851"/>
      <c r="AJ37" s="852" t="e">
        <f t="shared" si="57"/>
        <v>#DIV/0!</v>
      </c>
      <c r="AK37" s="975" t="e">
        <f t="shared" si="58"/>
        <v>#DIV/0!</v>
      </c>
      <c r="AL37" s="850" t="e">
        <f t="shared" si="59"/>
        <v>#DIV/0!</v>
      </c>
      <c r="AM37" s="975" t="e">
        <f t="shared" si="60"/>
        <v>#DIV/0!</v>
      </c>
      <c r="AN37" s="853"/>
      <c r="AO37" s="976" t="e">
        <f t="shared" si="61"/>
        <v>#DIV/0!</v>
      </c>
      <c r="AP37" s="912"/>
      <c r="AQ37" s="977"/>
      <c r="AR37" s="978">
        <f t="shared" si="62"/>
        <v>0</v>
      </c>
      <c r="AS37" s="919" t="e">
        <f t="shared" si="63"/>
        <v>#DIV/0!</v>
      </c>
      <c r="AT37" s="920" t="e">
        <f t="shared" si="64"/>
        <v>#DIV/0!</v>
      </c>
      <c r="AU37" s="913"/>
      <c r="AV37" s="854"/>
      <c r="AW37" s="914"/>
      <c r="AX37" s="979"/>
      <c r="AY37" s="855">
        <f t="shared" si="65"/>
        <v>0</v>
      </c>
      <c r="AZ37" s="918" t="e">
        <f t="shared" si="66"/>
        <v>#DIV/0!</v>
      </c>
      <c r="BA37" s="917" t="e">
        <f t="shared" si="67"/>
        <v>#DIV/0!</v>
      </c>
      <c r="BB37" s="916"/>
      <c r="BC37" s="855"/>
      <c r="BD37" s="915">
        <f t="shared" si="68"/>
        <v>1</v>
      </c>
      <c r="BE37" s="980"/>
      <c r="BF37" s="856"/>
      <c r="BG37" s="857">
        <f t="shared" si="69"/>
        <v>0</v>
      </c>
      <c r="BH37" s="981">
        <f t="shared" si="70"/>
        <v>-1</v>
      </c>
      <c r="BI37" s="858"/>
      <c r="BJ37" s="856"/>
      <c r="BK37" s="859">
        <f t="shared" si="71"/>
        <v>0</v>
      </c>
    </row>
    <row r="38" spans="1:63" ht="35.1" customHeight="1" x14ac:dyDescent="0.25">
      <c r="A38" s="963"/>
      <c r="B38" s="964"/>
      <c r="C38" s="965"/>
      <c r="D38" s="966"/>
      <c r="E38" s="965"/>
      <c r="F38" s="965"/>
      <c r="G38" s="967"/>
      <c r="H38" s="968"/>
      <c r="I38" s="861" t="e">
        <f t="shared" si="36"/>
        <v>#DIV/0!</v>
      </c>
      <c r="J38" s="894" t="e">
        <f t="shared" si="37"/>
        <v>#DIV/0!</v>
      </c>
      <c r="K38" s="904"/>
      <c r="L38" s="861" t="e">
        <f t="shared" si="38"/>
        <v>#DIV/0!</v>
      </c>
      <c r="M38" s="895" t="e">
        <f t="shared" si="39"/>
        <v>#DIV/0!</v>
      </c>
      <c r="N38" s="905"/>
      <c r="O38" s="907" t="e">
        <f t="shared" si="40"/>
        <v>#DIV/0!</v>
      </c>
      <c r="P38" s="906" t="e">
        <f t="shared" si="41"/>
        <v>#DIV/0!</v>
      </c>
      <c r="Q38" s="897" t="e">
        <f t="shared" si="42"/>
        <v>#DIV/0!</v>
      </c>
      <c r="R38" s="970" t="e">
        <f t="shared" si="43"/>
        <v>#DIV/0!</v>
      </c>
      <c r="S38" s="969" t="e">
        <f t="shared" si="44"/>
        <v>#DIV/0!</v>
      </c>
      <c r="T38" s="909" t="e">
        <f t="shared" si="45"/>
        <v>#DIV/0!</v>
      </c>
      <c r="U38" s="896" t="e">
        <f t="shared" si="46"/>
        <v>#DIV/0!</v>
      </c>
      <c r="V38" s="898">
        <f t="shared" si="47"/>
        <v>0</v>
      </c>
      <c r="W38" s="970">
        <f t="shared" si="48"/>
        <v>0</v>
      </c>
      <c r="X38" s="971" t="e">
        <f t="shared" si="49"/>
        <v>#DIV/0!</v>
      </c>
      <c r="Y38" s="847"/>
      <c r="Z38" s="911" t="e">
        <f t="shared" si="50"/>
        <v>#DIV/0!</v>
      </c>
      <c r="AA38" s="972"/>
      <c r="AB38" s="848" t="e">
        <f t="shared" si="51"/>
        <v>#DIV/0!</v>
      </c>
      <c r="AC38" s="973"/>
      <c r="AD38" s="848" t="e">
        <f t="shared" si="52"/>
        <v>#DIV/0!</v>
      </c>
      <c r="AE38" s="974" t="e">
        <f t="shared" si="53"/>
        <v>#DIV/0!</v>
      </c>
      <c r="AF38" s="849" t="e">
        <f t="shared" si="54"/>
        <v>#DIV/0!</v>
      </c>
      <c r="AG38" s="850" t="e">
        <f t="shared" si="55"/>
        <v>#DIV/0!</v>
      </c>
      <c r="AH38" s="974" t="e">
        <f t="shared" si="56"/>
        <v>#DIV/0!</v>
      </c>
      <c r="AI38" s="851"/>
      <c r="AJ38" s="852" t="e">
        <f t="shared" si="57"/>
        <v>#DIV/0!</v>
      </c>
      <c r="AK38" s="975" t="e">
        <f t="shared" si="58"/>
        <v>#DIV/0!</v>
      </c>
      <c r="AL38" s="850" t="e">
        <f t="shared" si="59"/>
        <v>#DIV/0!</v>
      </c>
      <c r="AM38" s="975" t="e">
        <f t="shared" si="60"/>
        <v>#DIV/0!</v>
      </c>
      <c r="AN38" s="853"/>
      <c r="AO38" s="976" t="e">
        <f t="shared" si="61"/>
        <v>#DIV/0!</v>
      </c>
      <c r="AP38" s="912"/>
      <c r="AQ38" s="977"/>
      <c r="AR38" s="978">
        <f t="shared" si="62"/>
        <v>0</v>
      </c>
      <c r="AS38" s="919" t="e">
        <f t="shared" si="63"/>
        <v>#DIV/0!</v>
      </c>
      <c r="AT38" s="920" t="e">
        <f t="shared" si="64"/>
        <v>#DIV/0!</v>
      </c>
      <c r="AU38" s="913"/>
      <c r="AV38" s="854"/>
      <c r="AW38" s="914"/>
      <c r="AX38" s="979"/>
      <c r="AY38" s="855">
        <f t="shared" si="65"/>
        <v>0</v>
      </c>
      <c r="AZ38" s="918" t="e">
        <f t="shared" si="66"/>
        <v>#DIV/0!</v>
      </c>
      <c r="BA38" s="917" t="e">
        <f t="shared" si="67"/>
        <v>#DIV/0!</v>
      </c>
      <c r="BB38" s="916"/>
      <c r="BC38" s="855"/>
      <c r="BD38" s="915">
        <f t="shared" si="68"/>
        <v>1</v>
      </c>
      <c r="BE38" s="980"/>
      <c r="BF38" s="856"/>
      <c r="BG38" s="857">
        <f t="shared" si="69"/>
        <v>0</v>
      </c>
      <c r="BH38" s="981">
        <f t="shared" si="70"/>
        <v>-1</v>
      </c>
      <c r="BI38" s="858"/>
      <c r="BJ38" s="856"/>
      <c r="BK38" s="859">
        <f t="shared" si="71"/>
        <v>0</v>
      </c>
    </row>
    <row r="39" spans="1:63" ht="35.1" customHeight="1" x14ac:dyDescent="0.25">
      <c r="A39" s="963"/>
      <c r="B39" s="964"/>
      <c r="C39" s="965"/>
      <c r="D39" s="966"/>
      <c r="E39" s="965"/>
      <c r="F39" s="965"/>
      <c r="G39" s="967"/>
      <c r="H39" s="968"/>
      <c r="I39" s="861" t="e">
        <f t="shared" si="36"/>
        <v>#DIV/0!</v>
      </c>
      <c r="J39" s="894" t="e">
        <f t="shared" si="37"/>
        <v>#DIV/0!</v>
      </c>
      <c r="K39" s="904"/>
      <c r="L39" s="861" t="e">
        <f t="shared" si="38"/>
        <v>#DIV/0!</v>
      </c>
      <c r="M39" s="895" t="e">
        <f t="shared" si="39"/>
        <v>#DIV/0!</v>
      </c>
      <c r="N39" s="905"/>
      <c r="O39" s="907" t="e">
        <f t="shared" si="40"/>
        <v>#DIV/0!</v>
      </c>
      <c r="P39" s="906" t="e">
        <f t="shared" si="41"/>
        <v>#DIV/0!</v>
      </c>
      <c r="Q39" s="897" t="e">
        <f t="shared" si="42"/>
        <v>#DIV/0!</v>
      </c>
      <c r="R39" s="970" t="e">
        <f t="shared" si="43"/>
        <v>#DIV/0!</v>
      </c>
      <c r="S39" s="969" t="e">
        <f t="shared" si="44"/>
        <v>#DIV/0!</v>
      </c>
      <c r="T39" s="909" t="e">
        <f t="shared" si="45"/>
        <v>#DIV/0!</v>
      </c>
      <c r="U39" s="896" t="e">
        <f t="shared" si="46"/>
        <v>#DIV/0!</v>
      </c>
      <c r="V39" s="898">
        <f t="shared" si="47"/>
        <v>0</v>
      </c>
      <c r="W39" s="970">
        <f t="shared" si="48"/>
        <v>0</v>
      </c>
      <c r="X39" s="971" t="e">
        <f t="shared" si="49"/>
        <v>#DIV/0!</v>
      </c>
      <c r="Y39" s="847"/>
      <c r="Z39" s="911" t="e">
        <f t="shared" si="50"/>
        <v>#DIV/0!</v>
      </c>
      <c r="AA39" s="972"/>
      <c r="AB39" s="848" t="e">
        <f t="shared" si="51"/>
        <v>#DIV/0!</v>
      </c>
      <c r="AC39" s="973"/>
      <c r="AD39" s="848" t="e">
        <f t="shared" si="52"/>
        <v>#DIV/0!</v>
      </c>
      <c r="AE39" s="974" t="e">
        <f t="shared" si="53"/>
        <v>#DIV/0!</v>
      </c>
      <c r="AF39" s="849" t="e">
        <f t="shared" si="54"/>
        <v>#DIV/0!</v>
      </c>
      <c r="AG39" s="850" t="e">
        <f t="shared" si="55"/>
        <v>#DIV/0!</v>
      </c>
      <c r="AH39" s="974" t="e">
        <f t="shared" si="56"/>
        <v>#DIV/0!</v>
      </c>
      <c r="AI39" s="851"/>
      <c r="AJ39" s="852" t="e">
        <f t="shared" si="57"/>
        <v>#DIV/0!</v>
      </c>
      <c r="AK39" s="975" t="e">
        <f t="shared" si="58"/>
        <v>#DIV/0!</v>
      </c>
      <c r="AL39" s="850" t="e">
        <f t="shared" si="59"/>
        <v>#DIV/0!</v>
      </c>
      <c r="AM39" s="975" t="e">
        <f t="shared" si="60"/>
        <v>#DIV/0!</v>
      </c>
      <c r="AN39" s="853"/>
      <c r="AO39" s="976" t="e">
        <f t="shared" si="61"/>
        <v>#DIV/0!</v>
      </c>
      <c r="AP39" s="912"/>
      <c r="AQ39" s="977"/>
      <c r="AR39" s="978">
        <f t="shared" si="62"/>
        <v>0</v>
      </c>
      <c r="AS39" s="919" t="e">
        <f t="shared" si="63"/>
        <v>#DIV/0!</v>
      </c>
      <c r="AT39" s="920" t="e">
        <f t="shared" si="64"/>
        <v>#DIV/0!</v>
      </c>
      <c r="AU39" s="913"/>
      <c r="AV39" s="854"/>
      <c r="AW39" s="914"/>
      <c r="AX39" s="979"/>
      <c r="AY39" s="855">
        <f t="shared" si="65"/>
        <v>0</v>
      </c>
      <c r="AZ39" s="918" t="e">
        <f t="shared" si="66"/>
        <v>#DIV/0!</v>
      </c>
      <c r="BA39" s="917" t="e">
        <f t="shared" si="67"/>
        <v>#DIV/0!</v>
      </c>
      <c r="BB39" s="916"/>
      <c r="BC39" s="855"/>
      <c r="BD39" s="915">
        <f t="shared" si="68"/>
        <v>1</v>
      </c>
      <c r="BE39" s="980"/>
      <c r="BF39" s="856"/>
      <c r="BG39" s="857">
        <f t="shared" si="69"/>
        <v>0</v>
      </c>
      <c r="BH39" s="981">
        <f t="shared" si="70"/>
        <v>-1</v>
      </c>
      <c r="BI39" s="858"/>
      <c r="BJ39" s="856"/>
      <c r="BK39" s="859">
        <f t="shared" si="71"/>
        <v>0</v>
      </c>
    </row>
    <row r="40" spans="1:63" ht="35.1" customHeight="1" x14ac:dyDescent="0.25">
      <c r="A40" s="963"/>
      <c r="B40" s="964"/>
      <c r="C40" s="965"/>
      <c r="D40" s="966"/>
      <c r="E40" s="965"/>
      <c r="F40" s="965"/>
      <c r="G40" s="967"/>
      <c r="H40" s="968"/>
      <c r="I40" s="861" t="e">
        <f t="shared" si="36"/>
        <v>#DIV/0!</v>
      </c>
      <c r="J40" s="894" t="e">
        <f t="shared" si="37"/>
        <v>#DIV/0!</v>
      </c>
      <c r="K40" s="904"/>
      <c r="L40" s="861" t="e">
        <f t="shared" si="38"/>
        <v>#DIV/0!</v>
      </c>
      <c r="M40" s="895" t="e">
        <f t="shared" si="39"/>
        <v>#DIV/0!</v>
      </c>
      <c r="N40" s="905"/>
      <c r="O40" s="907" t="e">
        <f t="shared" si="40"/>
        <v>#DIV/0!</v>
      </c>
      <c r="P40" s="906" t="e">
        <f t="shared" si="41"/>
        <v>#DIV/0!</v>
      </c>
      <c r="Q40" s="897" t="e">
        <f t="shared" si="42"/>
        <v>#DIV/0!</v>
      </c>
      <c r="R40" s="970" t="e">
        <f t="shared" si="43"/>
        <v>#DIV/0!</v>
      </c>
      <c r="S40" s="969" t="e">
        <f t="shared" si="44"/>
        <v>#DIV/0!</v>
      </c>
      <c r="T40" s="909" t="e">
        <f t="shared" si="45"/>
        <v>#DIV/0!</v>
      </c>
      <c r="U40" s="896" t="e">
        <f t="shared" si="46"/>
        <v>#DIV/0!</v>
      </c>
      <c r="V40" s="898">
        <f t="shared" si="47"/>
        <v>0</v>
      </c>
      <c r="W40" s="970">
        <f t="shared" si="48"/>
        <v>0</v>
      </c>
      <c r="X40" s="971" t="e">
        <f t="shared" si="49"/>
        <v>#DIV/0!</v>
      </c>
      <c r="Y40" s="847"/>
      <c r="Z40" s="911" t="e">
        <f t="shared" si="50"/>
        <v>#DIV/0!</v>
      </c>
      <c r="AA40" s="972"/>
      <c r="AB40" s="848" t="e">
        <f t="shared" si="51"/>
        <v>#DIV/0!</v>
      </c>
      <c r="AC40" s="973"/>
      <c r="AD40" s="848" t="e">
        <f t="shared" si="52"/>
        <v>#DIV/0!</v>
      </c>
      <c r="AE40" s="974" t="e">
        <f t="shared" si="53"/>
        <v>#DIV/0!</v>
      </c>
      <c r="AF40" s="849" t="e">
        <f t="shared" si="54"/>
        <v>#DIV/0!</v>
      </c>
      <c r="AG40" s="850" t="e">
        <f t="shared" si="55"/>
        <v>#DIV/0!</v>
      </c>
      <c r="AH40" s="974" t="e">
        <f t="shared" si="56"/>
        <v>#DIV/0!</v>
      </c>
      <c r="AI40" s="851"/>
      <c r="AJ40" s="852" t="e">
        <f t="shared" si="57"/>
        <v>#DIV/0!</v>
      </c>
      <c r="AK40" s="975" t="e">
        <f t="shared" si="58"/>
        <v>#DIV/0!</v>
      </c>
      <c r="AL40" s="850" t="e">
        <f t="shared" si="59"/>
        <v>#DIV/0!</v>
      </c>
      <c r="AM40" s="975" t="e">
        <f t="shared" si="60"/>
        <v>#DIV/0!</v>
      </c>
      <c r="AN40" s="853"/>
      <c r="AO40" s="976" t="e">
        <f t="shared" si="61"/>
        <v>#DIV/0!</v>
      </c>
      <c r="AP40" s="912"/>
      <c r="AQ40" s="977"/>
      <c r="AR40" s="978">
        <f t="shared" si="62"/>
        <v>0</v>
      </c>
      <c r="AS40" s="919" t="e">
        <f t="shared" si="63"/>
        <v>#DIV/0!</v>
      </c>
      <c r="AT40" s="920" t="e">
        <f t="shared" si="64"/>
        <v>#DIV/0!</v>
      </c>
      <c r="AU40" s="913"/>
      <c r="AV40" s="854"/>
      <c r="AW40" s="914"/>
      <c r="AX40" s="979"/>
      <c r="AY40" s="855">
        <f t="shared" si="65"/>
        <v>0</v>
      </c>
      <c r="AZ40" s="918" t="e">
        <f t="shared" si="66"/>
        <v>#DIV/0!</v>
      </c>
      <c r="BA40" s="917" t="e">
        <f t="shared" si="67"/>
        <v>#DIV/0!</v>
      </c>
      <c r="BB40" s="916"/>
      <c r="BC40" s="855"/>
      <c r="BD40" s="915">
        <f t="shared" si="68"/>
        <v>1</v>
      </c>
      <c r="BE40" s="980"/>
      <c r="BF40" s="856"/>
      <c r="BG40" s="857">
        <f t="shared" si="69"/>
        <v>0</v>
      </c>
      <c r="BH40" s="981">
        <f t="shared" si="70"/>
        <v>-1</v>
      </c>
      <c r="BI40" s="858"/>
      <c r="BJ40" s="856"/>
      <c r="BK40" s="859">
        <f t="shared" si="71"/>
        <v>0</v>
      </c>
    </row>
    <row r="41" spans="1:63" ht="35.1" customHeight="1" x14ac:dyDescent="0.25">
      <c r="A41" s="963"/>
      <c r="B41" s="964"/>
      <c r="C41" s="965"/>
      <c r="D41" s="966"/>
      <c r="E41" s="965"/>
      <c r="F41" s="965"/>
      <c r="G41" s="967"/>
      <c r="H41" s="968"/>
      <c r="I41" s="861" t="e">
        <f t="shared" si="36"/>
        <v>#DIV/0!</v>
      </c>
      <c r="J41" s="894" t="e">
        <f t="shared" si="37"/>
        <v>#DIV/0!</v>
      </c>
      <c r="K41" s="904"/>
      <c r="L41" s="861" t="e">
        <f t="shared" si="38"/>
        <v>#DIV/0!</v>
      </c>
      <c r="M41" s="895" t="e">
        <f t="shared" si="39"/>
        <v>#DIV/0!</v>
      </c>
      <c r="N41" s="905"/>
      <c r="O41" s="907" t="e">
        <f t="shared" si="40"/>
        <v>#DIV/0!</v>
      </c>
      <c r="P41" s="906" t="e">
        <f t="shared" si="41"/>
        <v>#DIV/0!</v>
      </c>
      <c r="Q41" s="897" t="e">
        <f t="shared" si="42"/>
        <v>#DIV/0!</v>
      </c>
      <c r="R41" s="970" t="e">
        <f t="shared" si="43"/>
        <v>#DIV/0!</v>
      </c>
      <c r="S41" s="969" t="e">
        <f t="shared" si="44"/>
        <v>#DIV/0!</v>
      </c>
      <c r="T41" s="909" t="e">
        <f t="shared" si="45"/>
        <v>#DIV/0!</v>
      </c>
      <c r="U41" s="896" t="e">
        <f t="shared" si="46"/>
        <v>#DIV/0!</v>
      </c>
      <c r="V41" s="898">
        <f t="shared" si="47"/>
        <v>0</v>
      </c>
      <c r="W41" s="970">
        <f t="shared" si="48"/>
        <v>0</v>
      </c>
      <c r="X41" s="971" t="e">
        <f t="shared" si="49"/>
        <v>#DIV/0!</v>
      </c>
      <c r="Y41" s="847"/>
      <c r="Z41" s="911" t="e">
        <f t="shared" si="50"/>
        <v>#DIV/0!</v>
      </c>
      <c r="AA41" s="972"/>
      <c r="AB41" s="848" t="e">
        <f t="shared" si="51"/>
        <v>#DIV/0!</v>
      </c>
      <c r="AC41" s="973"/>
      <c r="AD41" s="848" t="e">
        <f t="shared" si="52"/>
        <v>#DIV/0!</v>
      </c>
      <c r="AE41" s="974" t="e">
        <f t="shared" si="53"/>
        <v>#DIV/0!</v>
      </c>
      <c r="AF41" s="849" t="e">
        <f t="shared" si="54"/>
        <v>#DIV/0!</v>
      </c>
      <c r="AG41" s="850" t="e">
        <f t="shared" si="55"/>
        <v>#DIV/0!</v>
      </c>
      <c r="AH41" s="974" t="e">
        <f t="shared" si="56"/>
        <v>#DIV/0!</v>
      </c>
      <c r="AI41" s="851"/>
      <c r="AJ41" s="852" t="e">
        <f t="shared" si="57"/>
        <v>#DIV/0!</v>
      </c>
      <c r="AK41" s="975" t="e">
        <f t="shared" si="58"/>
        <v>#DIV/0!</v>
      </c>
      <c r="AL41" s="850" t="e">
        <f t="shared" si="59"/>
        <v>#DIV/0!</v>
      </c>
      <c r="AM41" s="975" t="e">
        <f t="shared" si="60"/>
        <v>#DIV/0!</v>
      </c>
      <c r="AN41" s="853"/>
      <c r="AO41" s="976" t="e">
        <f t="shared" si="61"/>
        <v>#DIV/0!</v>
      </c>
      <c r="AP41" s="912"/>
      <c r="AQ41" s="977"/>
      <c r="AR41" s="978">
        <f t="shared" si="62"/>
        <v>0</v>
      </c>
      <c r="AS41" s="919" t="e">
        <f t="shared" si="63"/>
        <v>#DIV/0!</v>
      </c>
      <c r="AT41" s="920" t="e">
        <f t="shared" si="64"/>
        <v>#DIV/0!</v>
      </c>
      <c r="AU41" s="913"/>
      <c r="AV41" s="854"/>
      <c r="AW41" s="914"/>
      <c r="AX41" s="979"/>
      <c r="AY41" s="855">
        <f t="shared" si="65"/>
        <v>0</v>
      </c>
      <c r="AZ41" s="918" t="e">
        <f t="shared" si="66"/>
        <v>#DIV/0!</v>
      </c>
      <c r="BA41" s="917" t="e">
        <f t="shared" si="67"/>
        <v>#DIV/0!</v>
      </c>
      <c r="BB41" s="916"/>
      <c r="BC41" s="855"/>
      <c r="BD41" s="915">
        <f t="shared" si="68"/>
        <v>1</v>
      </c>
      <c r="BE41" s="980"/>
      <c r="BF41" s="856"/>
      <c r="BG41" s="857">
        <f t="shared" si="69"/>
        <v>0</v>
      </c>
      <c r="BH41" s="981">
        <f t="shared" si="70"/>
        <v>-1</v>
      </c>
      <c r="BI41" s="858"/>
      <c r="BJ41" s="856"/>
      <c r="BK41" s="859">
        <f t="shared" si="71"/>
        <v>0</v>
      </c>
    </row>
    <row r="42" spans="1:63" ht="35.1" customHeight="1" x14ac:dyDescent="0.25">
      <c r="A42" s="963"/>
      <c r="B42" s="964"/>
      <c r="C42" s="965"/>
      <c r="D42" s="966"/>
      <c r="E42" s="965"/>
      <c r="F42" s="965"/>
      <c r="G42" s="967"/>
      <c r="H42" s="968"/>
      <c r="I42" s="861" t="e">
        <f t="shared" si="36"/>
        <v>#DIV/0!</v>
      </c>
      <c r="J42" s="894" t="e">
        <f t="shared" si="37"/>
        <v>#DIV/0!</v>
      </c>
      <c r="K42" s="904"/>
      <c r="L42" s="861" t="e">
        <f t="shared" si="38"/>
        <v>#DIV/0!</v>
      </c>
      <c r="M42" s="895" t="e">
        <f t="shared" si="39"/>
        <v>#DIV/0!</v>
      </c>
      <c r="N42" s="905"/>
      <c r="O42" s="907" t="e">
        <f t="shared" si="40"/>
        <v>#DIV/0!</v>
      </c>
      <c r="P42" s="906" t="e">
        <f t="shared" si="41"/>
        <v>#DIV/0!</v>
      </c>
      <c r="Q42" s="897" t="e">
        <f t="shared" si="42"/>
        <v>#DIV/0!</v>
      </c>
      <c r="R42" s="970" t="e">
        <f t="shared" si="43"/>
        <v>#DIV/0!</v>
      </c>
      <c r="S42" s="969" t="e">
        <f t="shared" si="44"/>
        <v>#DIV/0!</v>
      </c>
      <c r="T42" s="909" t="e">
        <f t="shared" si="45"/>
        <v>#DIV/0!</v>
      </c>
      <c r="U42" s="896" t="e">
        <f t="shared" si="46"/>
        <v>#DIV/0!</v>
      </c>
      <c r="V42" s="898">
        <f t="shared" si="47"/>
        <v>0</v>
      </c>
      <c r="W42" s="970">
        <f t="shared" si="48"/>
        <v>0</v>
      </c>
      <c r="X42" s="971" t="e">
        <f t="shared" si="49"/>
        <v>#DIV/0!</v>
      </c>
      <c r="Y42" s="847"/>
      <c r="Z42" s="911" t="e">
        <f t="shared" si="50"/>
        <v>#DIV/0!</v>
      </c>
      <c r="AA42" s="972"/>
      <c r="AB42" s="848" t="e">
        <f t="shared" si="51"/>
        <v>#DIV/0!</v>
      </c>
      <c r="AC42" s="973"/>
      <c r="AD42" s="848" t="e">
        <f t="shared" si="52"/>
        <v>#DIV/0!</v>
      </c>
      <c r="AE42" s="974" t="e">
        <f t="shared" si="53"/>
        <v>#DIV/0!</v>
      </c>
      <c r="AF42" s="849" t="e">
        <f t="shared" si="54"/>
        <v>#DIV/0!</v>
      </c>
      <c r="AG42" s="850" t="e">
        <f t="shared" si="55"/>
        <v>#DIV/0!</v>
      </c>
      <c r="AH42" s="974" t="e">
        <f t="shared" si="56"/>
        <v>#DIV/0!</v>
      </c>
      <c r="AI42" s="851"/>
      <c r="AJ42" s="852" t="e">
        <f t="shared" si="57"/>
        <v>#DIV/0!</v>
      </c>
      <c r="AK42" s="975" t="e">
        <f t="shared" si="58"/>
        <v>#DIV/0!</v>
      </c>
      <c r="AL42" s="850" t="e">
        <f t="shared" si="59"/>
        <v>#DIV/0!</v>
      </c>
      <c r="AM42" s="975" t="e">
        <f t="shared" si="60"/>
        <v>#DIV/0!</v>
      </c>
      <c r="AN42" s="853"/>
      <c r="AO42" s="976" t="e">
        <f t="shared" si="61"/>
        <v>#DIV/0!</v>
      </c>
      <c r="AP42" s="912"/>
      <c r="AQ42" s="977"/>
      <c r="AR42" s="978">
        <f t="shared" si="62"/>
        <v>0</v>
      </c>
      <c r="AS42" s="919" t="e">
        <f t="shared" si="63"/>
        <v>#DIV/0!</v>
      </c>
      <c r="AT42" s="920" t="e">
        <f t="shared" si="64"/>
        <v>#DIV/0!</v>
      </c>
      <c r="AU42" s="913"/>
      <c r="AV42" s="854"/>
      <c r="AW42" s="914"/>
      <c r="AX42" s="979"/>
      <c r="AY42" s="855">
        <f t="shared" si="65"/>
        <v>0</v>
      </c>
      <c r="AZ42" s="918" t="e">
        <f t="shared" si="66"/>
        <v>#DIV/0!</v>
      </c>
      <c r="BA42" s="917" t="e">
        <f t="shared" si="67"/>
        <v>#DIV/0!</v>
      </c>
      <c r="BB42" s="916"/>
      <c r="BC42" s="855"/>
      <c r="BD42" s="915">
        <f t="shared" si="68"/>
        <v>1</v>
      </c>
      <c r="BE42" s="980"/>
      <c r="BF42" s="856"/>
      <c r="BG42" s="857">
        <f t="shared" si="69"/>
        <v>0</v>
      </c>
      <c r="BH42" s="981">
        <f t="shared" si="70"/>
        <v>-1</v>
      </c>
      <c r="BI42" s="858"/>
      <c r="BJ42" s="856"/>
      <c r="BK42" s="859">
        <f t="shared" si="71"/>
        <v>0</v>
      </c>
    </row>
    <row r="43" spans="1:63" ht="35.1" customHeight="1" x14ac:dyDescent="0.25">
      <c r="A43" s="963"/>
      <c r="B43" s="964"/>
      <c r="C43" s="965"/>
      <c r="D43" s="966"/>
      <c r="E43" s="965"/>
      <c r="F43" s="965"/>
      <c r="G43" s="967"/>
      <c r="H43" s="968"/>
      <c r="I43" s="861" t="e">
        <f t="shared" si="36"/>
        <v>#DIV/0!</v>
      </c>
      <c r="J43" s="894" t="e">
        <f t="shared" si="37"/>
        <v>#DIV/0!</v>
      </c>
      <c r="K43" s="904"/>
      <c r="L43" s="861" t="e">
        <f t="shared" si="38"/>
        <v>#DIV/0!</v>
      </c>
      <c r="M43" s="895" t="e">
        <f t="shared" si="39"/>
        <v>#DIV/0!</v>
      </c>
      <c r="N43" s="905"/>
      <c r="O43" s="907" t="e">
        <f t="shared" si="40"/>
        <v>#DIV/0!</v>
      </c>
      <c r="P43" s="906" t="e">
        <f t="shared" si="41"/>
        <v>#DIV/0!</v>
      </c>
      <c r="Q43" s="897" t="e">
        <f t="shared" si="42"/>
        <v>#DIV/0!</v>
      </c>
      <c r="R43" s="970" t="e">
        <f t="shared" si="43"/>
        <v>#DIV/0!</v>
      </c>
      <c r="S43" s="969" t="e">
        <f t="shared" si="44"/>
        <v>#DIV/0!</v>
      </c>
      <c r="T43" s="909" t="e">
        <f t="shared" si="45"/>
        <v>#DIV/0!</v>
      </c>
      <c r="U43" s="896" t="e">
        <f t="shared" si="46"/>
        <v>#DIV/0!</v>
      </c>
      <c r="V43" s="898">
        <f t="shared" si="47"/>
        <v>0</v>
      </c>
      <c r="W43" s="970">
        <f t="shared" si="48"/>
        <v>0</v>
      </c>
      <c r="X43" s="971" t="e">
        <f t="shared" si="49"/>
        <v>#DIV/0!</v>
      </c>
      <c r="Y43" s="847"/>
      <c r="Z43" s="911" t="e">
        <f t="shared" si="50"/>
        <v>#DIV/0!</v>
      </c>
      <c r="AA43" s="972"/>
      <c r="AB43" s="848" t="e">
        <f t="shared" si="51"/>
        <v>#DIV/0!</v>
      </c>
      <c r="AC43" s="973"/>
      <c r="AD43" s="848" t="e">
        <f t="shared" si="52"/>
        <v>#DIV/0!</v>
      </c>
      <c r="AE43" s="974" t="e">
        <f t="shared" si="53"/>
        <v>#DIV/0!</v>
      </c>
      <c r="AF43" s="849" t="e">
        <f t="shared" si="54"/>
        <v>#DIV/0!</v>
      </c>
      <c r="AG43" s="850" t="e">
        <f t="shared" si="55"/>
        <v>#DIV/0!</v>
      </c>
      <c r="AH43" s="974" t="e">
        <f t="shared" si="56"/>
        <v>#DIV/0!</v>
      </c>
      <c r="AI43" s="851"/>
      <c r="AJ43" s="852" t="e">
        <f t="shared" si="57"/>
        <v>#DIV/0!</v>
      </c>
      <c r="AK43" s="975" t="e">
        <f t="shared" si="58"/>
        <v>#DIV/0!</v>
      </c>
      <c r="AL43" s="850" t="e">
        <f t="shared" si="59"/>
        <v>#DIV/0!</v>
      </c>
      <c r="AM43" s="975" t="e">
        <f t="shared" si="60"/>
        <v>#DIV/0!</v>
      </c>
      <c r="AN43" s="853"/>
      <c r="AO43" s="976" t="e">
        <f t="shared" si="61"/>
        <v>#DIV/0!</v>
      </c>
      <c r="AP43" s="912"/>
      <c r="AQ43" s="977"/>
      <c r="AR43" s="978">
        <f t="shared" si="62"/>
        <v>0</v>
      </c>
      <c r="AS43" s="919" t="e">
        <f t="shared" si="63"/>
        <v>#DIV/0!</v>
      </c>
      <c r="AT43" s="920" t="e">
        <f t="shared" si="64"/>
        <v>#DIV/0!</v>
      </c>
      <c r="AU43" s="913"/>
      <c r="AV43" s="854"/>
      <c r="AW43" s="914"/>
      <c r="AX43" s="979"/>
      <c r="AY43" s="855">
        <f t="shared" si="65"/>
        <v>0</v>
      </c>
      <c r="AZ43" s="918" t="e">
        <f t="shared" si="66"/>
        <v>#DIV/0!</v>
      </c>
      <c r="BA43" s="917" t="e">
        <f t="shared" si="67"/>
        <v>#DIV/0!</v>
      </c>
      <c r="BB43" s="916"/>
      <c r="BC43" s="855"/>
      <c r="BD43" s="915">
        <f t="shared" si="68"/>
        <v>1</v>
      </c>
      <c r="BE43" s="980"/>
      <c r="BF43" s="856"/>
      <c r="BG43" s="857">
        <f t="shared" si="69"/>
        <v>0</v>
      </c>
      <c r="BH43" s="981">
        <f t="shared" si="70"/>
        <v>-1</v>
      </c>
      <c r="BI43" s="858"/>
      <c r="BJ43" s="856"/>
      <c r="BK43" s="859">
        <f t="shared" si="71"/>
        <v>0</v>
      </c>
    </row>
    <row r="44" spans="1:63" ht="35.1" customHeight="1" x14ac:dyDescent="0.25">
      <c r="A44" s="963"/>
      <c r="B44" s="964"/>
      <c r="C44" s="965"/>
      <c r="D44" s="966"/>
      <c r="E44" s="965"/>
      <c r="F44" s="965"/>
      <c r="G44" s="967"/>
      <c r="H44" s="968"/>
      <c r="I44" s="861" t="e">
        <f t="shared" si="36"/>
        <v>#DIV/0!</v>
      </c>
      <c r="J44" s="894" t="e">
        <f t="shared" si="37"/>
        <v>#DIV/0!</v>
      </c>
      <c r="K44" s="904"/>
      <c r="L44" s="861" t="e">
        <f t="shared" si="38"/>
        <v>#DIV/0!</v>
      </c>
      <c r="M44" s="895" t="e">
        <f t="shared" si="39"/>
        <v>#DIV/0!</v>
      </c>
      <c r="N44" s="905"/>
      <c r="O44" s="907" t="e">
        <f t="shared" si="40"/>
        <v>#DIV/0!</v>
      </c>
      <c r="P44" s="906" t="e">
        <f t="shared" si="41"/>
        <v>#DIV/0!</v>
      </c>
      <c r="Q44" s="897" t="e">
        <f t="shared" si="42"/>
        <v>#DIV/0!</v>
      </c>
      <c r="R44" s="970" t="e">
        <f t="shared" si="43"/>
        <v>#DIV/0!</v>
      </c>
      <c r="S44" s="969" t="e">
        <f t="shared" si="44"/>
        <v>#DIV/0!</v>
      </c>
      <c r="T44" s="909" t="e">
        <f t="shared" si="45"/>
        <v>#DIV/0!</v>
      </c>
      <c r="U44" s="896" t="e">
        <f t="shared" si="46"/>
        <v>#DIV/0!</v>
      </c>
      <c r="V44" s="898">
        <f t="shared" si="47"/>
        <v>0</v>
      </c>
      <c r="W44" s="970">
        <f t="shared" si="48"/>
        <v>0</v>
      </c>
      <c r="X44" s="971" t="e">
        <f t="shared" si="49"/>
        <v>#DIV/0!</v>
      </c>
      <c r="Y44" s="847"/>
      <c r="Z44" s="911" t="e">
        <f t="shared" si="50"/>
        <v>#DIV/0!</v>
      </c>
      <c r="AA44" s="972"/>
      <c r="AB44" s="848" t="e">
        <f t="shared" si="51"/>
        <v>#DIV/0!</v>
      </c>
      <c r="AC44" s="973"/>
      <c r="AD44" s="848" t="e">
        <f t="shared" si="52"/>
        <v>#DIV/0!</v>
      </c>
      <c r="AE44" s="974" t="e">
        <f t="shared" si="53"/>
        <v>#DIV/0!</v>
      </c>
      <c r="AF44" s="849" t="e">
        <f t="shared" si="54"/>
        <v>#DIV/0!</v>
      </c>
      <c r="AG44" s="850" t="e">
        <f t="shared" si="55"/>
        <v>#DIV/0!</v>
      </c>
      <c r="AH44" s="974" t="e">
        <f t="shared" si="56"/>
        <v>#DIV/0!</v>
      </c>
      <c r="AI44" s="851"/>
      <c r="AJ44" s="852" t="e">
        <f t="shared" si="57"/>
        <v>#DIV/0!</v>
      </c>
      <c r="AK44" s="975" t="e">
        <f t="shared" si="58"/>
        <v>#DIV/0!</v>
      </c>
      <c r="AL44" s="850" t="e">
        <f t="shared" si="59"/>
        <v>#DIV/0!</v>
      </c>
      <c r="AM44" s="975" t="e">
        <f t="shared" si="60"/>
        <v>#DIV/0!</v>
      </c>
      <c r="AN44" s="853"/>
      <c r="AO44" s="976" t="e">
        <f t="shared" si="61"/>
        <v>#DIV/0!</v>
      </c>
      <c r="AP44" s="912"/>
      <c r="AQ44" s="977"/>
      <c r="AR44" s="978">
        <f t="shared" si="62"/>
        <v>0</v>
      </c>
      <c r="AS44" s="919" t="e">
        <f t="shared" si="63"/>
        <v>#DIV/0!</v>
      </c>
      <c r="AT44" s="920" t="e">
        <f t="shared" si="64"/>
        <v>#DIV/0!</v>
      </c>
      <c r="AU44" s="913"/>
      <c r="AV44" s="854"/>
      <c r="AW44" s="914"/>
      <c r="AX44" s="979"/>
      <c r="AY44" s="855">
        <f t="shared" si="65"/>
        <v>0</v>
      </c>
      <c r="AZ44" s="918" t="e">
        <f t="shared" si="66"/>
        <v>#DIV/0!</v>
      </c>
      <c r="BA44" s="917" t="e">
        <f t="shared" si="67"/>
        <v>#DIV/0!</v>
      </c>
      <c r="BB44" s="916"/>
      <c r="BC44" s="855"/>
      <c r="BD44" s="915">
        <f t="shared" si="68"/>
        <v>1</v>
      </c>
      <c r="BE44" s="980"/>
      <c r="BF44" s="856"/>
      <c r="BG44" s="857">
        <f t="shared" si="69"/>
        <v>0</v>
      </c>
      <c r="BH44" s="981">
        <f t="shared" si="70"/>
        <v>-1</v>
      </c>
      <c r="BI44" s="858"/>
      <c r="BJ44" s="856"/>
      <c r="BK44" s="859">
        <f t="shared" si="71"/>
        <v>0</v>
      </c>
    </row>
    <row r="45" spans="1:63" ht="35.1" customHeight="1" x14ac:dyDescent="0.25">
      <c r="A45" s="963"/>
      <c r="B45" s="964"/>
      <c r="C45" s="965"/>
      <c r="D45" s="966"/>
      <c r="E45" s="965"/>
      <c r="F45" s="965"/>
      <c r="G45" s="967"/>
      <c r="H45" s="968"/>
      <c r="I45" s="861" t="e">
        <f t="shared" si="36"/>
        <v>#DIV/0!</v>
      </c>
      <c r="J45" s="894" t="e">
        <f t="shared" si="37"/>
        <v>#DIV/0!</v>
      </c>
      <c r="K45" s="904"/>
      <c r="L45" s="861" t="e">
        <f t="shared" si="38"/>
        <v>#DIV/0!</v>
      </c>
      <c r="M45" s="895" t="e">
        <f t="shared" si="39"/>
        <v>#DIV/0!</v>
      </c>
      <c r="N45" s="905"/>
      <c r="O45" s="907" t="e">
        <f t="shared" si="40"/>
        <v>#DIV/0!</v>
      </c>
      <c r="P45" s="906" t="e">
        <f t="shared" si="41"/>
        <v>#DIV/0!</v>
      </c>
      <c r="Q45" s="897" t="e">
        <f t="shared" si="42"/>
        <v>#DIV/0!</v>
      </c>
      <c r="R45" s="970" t="e">
        <f t="shared" si="43"/>
        <v>#DIV/0!</v>
      </c>
      <c r="S45" s="969" t="e">
        <f t="shared" si="44"/>
        <v>#DIV/0!</v>
      </c>
      <c r="T45" s="909" t="e">
        <f t="shared" si="45"/>
        <v>#DIV/0!</v>
      </c>
      <c r="U45" s="896" t="e">
        <f t="shared" si="46"/>
        <v>#DIV/0!</v>
      </c>
      <c r="V45" s="898">
        <f t="shared" si="47"/>
        <v>0</v>
      </c>
      <c r="W45" s="970">
        <f t="shared" si="48"/>
        <v>0</v>
      </c>
      <c r="X45" s="971" t="e">
        <f t="shared" si="49"/>
        <v>#DIV/0!</v>
      </c>
      <c r="Y45" s="847"/>
      <c r="Z45" s="911" t="e">
        <f t="shared" si="50"/>
        <v>#DIV/0!</v>
      </c>
      <c r="AA45" s="972"/>
      <c r="AB45" s="848" t="e">
        <f t="shared" si="51"/>
        <v>#DIV/0!</v>
      </c>
      <c r="AC45" s="973"/>
      <c r="AD45" s="848" t="e">
        <f t="shared" si="52"/>
        <v>#DIV/0!</v>
      </c>
      <c r="AE45" s="974" t="e">
        <f t="shared" si="53"/>
        <v>#DIV/0!</v>
      </c>
      <c r="AF45" s="849" t="e">
        <f t="shared" si="54"/>
        <v>#DIV/0!</v>
      </c>
      <c r="AG45" s="850" t="e">
        <f t="shared" si="55"/>
        <v>#DIV/0!</v>
      </c>
      <c r="AH45" s="974" t="e">
        <f t="shared" si="56"/>
        <v>#DIV/0!</v>
      </c>
      <c r="AI45" s="851"/>
      <c r="AJ45" s="852" t="e">
        <f t="shared" si="57"/>
        <v>#DIV/0!</v>
      </c>
      <c r="AK45" s="975" t="e">
        <f t="shared" si="58"/>
        <v>#DIV/0!</v>
      </c>
      <c r="AL45" s="850" t="e">
        <f t="shared" si="59"/>
        <v>#DIV/0!</v>
      </c>
      <c r="AM45" s="975" t="e">
        <f t="shared" si="60"/>
        <v>#DIV/0!</v>
      </c>
      <c r="AN45" s="853"/>
      <c r="AO45" s="976" t="e">
        <f t="shared" si="61"/>
        <v>#DIV/0!</v>
      </c>
      <c r="AP45" s="912"/>
      <c r="AQ45" s="977"/>
      <c r="AR45" s="978">
        <f t="shared" si="62"/>
        <v>0</v>
      </c>
      <c r="AS45" s="919" t="e">
        <f t="shared" si="63"/>
        <v>#DIV/0!</v>
      </c>
      <c r="AT45" s="920" t="e">
        <f t="shared" si="64"/>
        <v>#DIV/0!</v>
      </c>
      <c r="AU45" s="913"/>
      <c r="AV45" s="854"/>
      <c r="AW45" s="914"/>
      <c r="AX45" s="979"/>
      <c r="AY45" s="855">
        <f t="shared" si="65"/>
        <v>0</v>
      </c>
      <c r="AZ45" s="918" t="e">
        <f t="shared" si="66"/>
        <v>#DIV/0!</v>
      </c>
      <c r="BA45" s="917" t="e">
        <f t="shared" si="67"/>
        <v>#DIV/0!</v>
      </c>
      <c r="BB45" s="916"/>
      <c r="BC45" s="855"/>
      <c r="BD45" s="915">
        <f t="shared" si="68"/>
        <v>1</v>
      </c>
      <c r="BE45" s="980"/>
      <c r="BF45" s="856"/>
      <c r="BG45" s="857">
        <f t="shared" si="69"/>
        <v>0</v>
      </c>
      <c r="BH45" s="981">
        <f t="shared" si="70"/>
        <v>-1</v>
      </c>
      <c r="BI45" s="858"/>
      <c r="BJ45" s="856"/>
      <c r="BK45" s="859">
        <f t="shared" si="71"/>
        <v>0</v>
      </c>
    </row>
    <row r="46" spans="1:63" ht="35.1" customHeight="1" x14ac:dyDescent="0.25">
      <c r="A46" s="963"/>
      <c r="B46" s="964"/>
      <c r="C46" s="965"/>
      <c r="D46" s="966"/>
      <c r="E46" s="965"/>
      <c r="F46" s="965"/>
      <c r="G46" s="967"/>
      <c r="H46" s="968"/>
      <c r="I46" s="861" t="e">
        <f t="shared" si="36"/>
        <v>#DIV/0!</v>
      </c>
      <c r="J46" s="894" t="e">
        <f t="shared" si="37"/>
        <v>#DIV/0!</v>
      </c>
      <c r="K46" s="904"/>
      <c r="L46" s="861" t="e">
        <f t="shared" si="38"/>
        <v>#DIV/0!</v>
      </c>
      <c r="M46" s="895" t="e">
        <f t="shared" si="39"/>
        <v>#DIV/0!</v>
      </c>
      <c r="N46" s="905"/>
      <c r="O46" s="907" t="e">
        <f t="shared" si="40"/>
        <v>#DIV/0!</v>
      </c>
      <c r="P46" s="906" t="e">
        <f t="shared" si="41"/>
        <v>#DIV/0!</v>
      </c>
      <c r="Q46" s="897" t="e">
        <f t="shared" si="42"/>
        <v>#DIV/0!</v>
      </c>
      <c r="R46" s="970" t="e">
        <f t="shared" si="43"/>
        <v>#DIV/0!</v>
      </c>
      <c r="S46" s="969" t="e">
        <f t="shared" si="44"/>
        <v>#DIV/0!</v>
      </c>
      <c r="T46" s="909" t="e">
        <f t="shared" si="45"/>
        <v>#DIV/0!</v>
      </c>
      <c r="U46" s="896" t="e">
        <f t="shared" si="46"/>
        <v>#DIV/0!</v>
      </c>
      <c r="V46" s="898">
        <f t="shared" si="47"/>
        <v>0</v>
      </c>
      <c r="W46" s="970">
        <f t="shared" si="48"/>
        <v>0</v>
      </c>
      <c r="X46" s="971" t="e">
        <f t="shared" si="49"/>
        <v>#DIV/0!</v>
      </c>
      <c r="Y46" s="847"/>
      <c r="Z46" s="911" t="e">
        <f t="shared" si="50"/>
        <v>#DIV/0!</v>
      </c>
      <c r="AA46" s="972"/>
      <c r="AB46" s="848" t="e">
        <f t="shared" si="51"/>
        <v>#DIV/0!</v>
      </c>
      <c r="AC46" s="973"/>
      <c r="AD46" s="848" t="e">
        <f t="shared" si="52"/>
        <v>#DIV/0!</v>
      </c>
      <c r="AE46" s="974" t="e">
        <f t="shared" si="53"/>
        <v>#DIV/0!</v>
      </c>
      <c r="AF46" s="849" t="e">
        <f t="shared" si="54"/>
        <v>#DIV/0!</v>
      </c>
      <c r="AG46" s="850" t="e">
        <f t="shared" si="55"/>
        <v>#DIV/0!</v>
      </c>
      <c r="AH46" s="974" t="e">
        <f t="shared" si="56"/>
        <v>#DIV/0!</v>
      </c>
      <c r="AI46" s="851"/>
      <c r="AJ46" s="852" t="e">
        <f t="shared" si="57"/>
        <v>#DIV/0!</v>
      </c>
      <c r="AK46" s="975" t="e">
        <f t="shared" si="58"/>
        <v>#DIV/0!</v>
      </c>
      <c r="AL46" s="850" t="e">
        <f t="shared" si="59"/>
        <v>#DIV/0!</v>
      </c>
      <c r="AM46" s="975" t="e">
        <f t="shared" si="60"/>
        <v>#DIV/0!</v>
      </c>
      <c r="AN46" s="853"/>
      <c r="AO46" s="976" t="e">
        <f t="shared" si="61"/>
        <v>#DIV/0!</v>
      </c>
      <c r="AP46" s="912"/>
      <c r="AQ46" s="977"/>
      <c r="AR46" s="978">
        <f t="shared" si="62"/>
        <v>0</v>
      </c>
      <c r="AS46" s="919" t="e">
        <f t="shared" si="63"/>
        <v>#DIV/0!</v>
      </c>
      <c r="AT46" s="920" t="e">
        <f t="shared" si="64"/>
        <v>#DIV/0!</v>
      </c>
      <c r="AU46" s="913"/>
      <c r="AV46" s="854"/>
      <c r="AW46" s="914"/>
      <c r="AX46" s="979"/>
      <c r="AY46" s="855">
        <f t="shared" si="65"/>
        <v>0</v>
      </c>
      <c r="AZ46" s="918" t="e">
        <f t="shared" si="66"/>
        <v>#DIV/0!</v>
      </c>
      <c r="BA46" s="917" t="e">
        <f t="shared" si="67"/>
        <v>#DIV/0!</v>
      </c>
      <c r="BB46" s="916"/>
      <c r="BC46" s="855"/>
      <c r="BD46" s="915">
        <f t="shared" si="68"/>
        <v>1</v>
      </c>
      <c r="BE46" s="980"/>
      <c r="BF46" s="856"/>
      <c r="BG46" s="857">
        <f t="shared" si="69"/>
        <v>0</v>
      </c>
      <c r="BH46" s="981">
        <f t="shared" si="70"/>
        <v>-1</v>
      </c>
      <c r="BI46" s="858"/>
      <c r="BJ46" s="856"/>
      <c r="BK46" s="859">
        <f t="shared" si="71"/>
        <v>0</v>
      </c>
    </row>
    <row r="47" spans="1:63" ht="35.1" customHeight="1" x14ac:dyDescent="0.25">
      <c r="A47" s="963"/>
      <c r="B47" s="964"/>
      <c r="C47" s="965"/>
      <c r="D47" s="966"/>
      <c r="E47" s="965"/>
      <c r="F47" s="965"/>
      <c r="G47" s="967"/>
      <c r="H47" s="968"/>
      <c r="I47" s="861" t="e">
        <f t="shared" si="36"/>
        <v>#DIV/0!</v>
      </c>
      <c r="J47" s="894" t="e">
        <f t="shared" si="37"/>
        <v>#DIV/0!</v>
      </c>
      <c r="K47" s="904"/>
      <c r="L47" s="861" t="e">
        <f t="shared" si="38"/>
        <v>#DIV/0!</v>
      </c>
      <c r="M47" s="895" t="e">
        <f t="shared" si="39"/>
        <v>#DIV/0!</v>
      </c>
      <c r="N47" s="905"/>
      <c r="O47" s="907" t="e">
        <f t="shared" si="40"/>
        <v>#DIV/0!</v>
      </c>
      <c r="P47" s="906" t="e">
        <f t="shared" si="41"/>
        <v>#DIV/0!</v>
      </c>
      <c r="Q47" s="897" t="e">
        <f t="shared" si="42"/>
        <v>#DIV/0!</v>
      </c>
      <c r="R47" s="970" t="e">
        <f t="shared" si="43"/>
        <v>#DIV/0!</v>
      </c>
      <c r="S47" s="969" t="e">
        <f t="shared" si="44"/>
        <v>#DIV/0!</v>
      </c>
      <c r="T47" s="909" t="e">
        <f t="shared" si="45"/>
        <v>#DIV/0!</v>
      </c>
      <c r="U47" s="896" t="e">
        <f t="shared" si="46"/>
        <v>#DIV/0!</v>
      </c>
      <c r="V47" s="898">
        <f t="shared" si="47"/>
        <v>0</v>
      </c>
      <c r="W47" s="970">
        <f t="shared" si="48"/>
        <v>0</v>
      </c>
      <c r="X47" s="971" t="e">
        <f t="shared" si="49"/>
        <v>#DIV/0!</v>
      </c>
      <c r="Y47" s="847"/>
      <c r="Z47" s="911" t="e">
        <f t="shared" si="50"/>
        <v>#DIV/0!</v>
      </c>
      <c r="AA47" s="972"/>
      <c r="AB47" s="848" t="e">
        <f t="shared" si="51"/>
        <v>#DIV/0!</v>
      </c>
      <c r="AC47" s="973"/>
      <c r="AD47" s="848" t="e">
        <f t="shared" si="52"/>
        <v>#DIV/0!</v>
      </c>
      <c r="AE47" s="974" t="e">
        <f t="shared" si="53"/>
        <v>#DIV/0!</v>
      </c>
      <c r="AF47" s="849" t="e">
        <f t="shared" si="54"/>
        <v>#DIV/0!</v>
      </c>
      <c r="AG47" s="850" t="e">
        <f t="shared" si="55"/>
        <v>#DIV/0!</v>
      </c>
      <c r="AH47" s="974" t="e">
        <f t="shared" si="56"/>
        <v>#DIV/0!</v>
      </c>
      <c r="AI47" s="851"/>
      <c r="AJ47" s="852" t="e">
        <f t="shared" si="57"/>
        <v>#DIV/0!</v>
      </c>
      <c r="AK47" s="975" t="e">
        <f t="shared" si="58"/>
        <v>#DIV/0!</v>
      </c>
      <c r="AL47" s="850" t="e">
        <f t="shared" si="59"/>
        <v>#DIV/0!</v>
      </c>
      <c r="AM47" s="975" t="e">
        <f t="shared" si="60"/>
        <v>#DIV/0!</v>
      </c>
      <c r="AN47" s="853"/>
      <c r="AO47" s="976" t="e">
        <f t="shared" si="61"/>
        <v>#DIV/0!</v>
      </c>
      <c r="AP47" s="912"/>
      <c r="AQ47" s="977"/>
      <c r="AR47" s="978">
        <f t="shared" si="62"/>
        <v>0</v>
      </c>
      <c r="AS47" s="919" t="e">
        <f t="shared" si="63"/>
        <v>#DIV/0!</v>
      </c>
      <c r="AT47" s="920" t="e">
        <f t="shared" si="64"/>
        <v>#DIV/0!</v>
      </c>
      <c r="AU47" s="913"/>
      <c r="AV47" s="854"/>
      <c r="AW47" s="914"/>
      <c r="AX47" s="979"/>
      <c r="AY47" s="855">
        <f t="shared" si="65"/>
        <v>0</v>
      </c>
      <c r="AZ47" s="918" t="e">
        <f t="shared" si="66"/>
        <v>#DIV/0!</v>
      </c>
      <c r="BA47" s="917" t="e">
        <f t="shared" si="67"/>
        <v>#DIV/0!</v>
      </c>
      <c r="BB47" s="916"/>
      <c r="BC47" s="855"/>
      <c r="BD47" s="915">
        <f t="shared" si="68"/>
        <v>1</v>
      </c>
      <c r="BE47" s="980"/>
      <c r="BF47" s="856"/>
      <c r="BG47" s="857">
        <f t="shared" si="69"/>
        <v>0</v>
      </c>
      <c r="BH47" s="981">
        <f t="shared" si="70"/>
        <v>-1</v>
      </c>
      <c r="BI47" s="858"/>
      <c r="BJ47" s="856"/>
      <c r="BK47" s="859">
        <f t="shared" si="71"/>
        <v>0</v>
      </c>
    </row>
    <row r="48" spans="1:63" ht="35.1" customHeight="1" x14ac:dyDescent="0.25">
      <c r="A48" s="963"/>
      <c r="B48" s="964"/>
      <c r="C48" s="965"/>
      <c r="D48" s="966"/>
      <c r="E48" s="965"/>
      <c r="F48" s="965"/>
      <c r="G48" s="967"/>
      <c r="H48" s="968"/>
      <c r="I48" s="861" t="e">
        <f t="shared" si="36"/>
        <v>#DIV/0!</v>
      </c>
      <c r="J48" s="894" t="e">
        <f t="shared" si="37"/>
        <v>#DIV/0!</v>
      </c>
      <c r="K48" s="904"/>
      <c r="L48" s="861" t="e">
        <f t="shared" si="38"/>
        <v>#DIV/0!</v>
      </c>
      <c r="M48" s="895" t="e">
        <f t="shared" si="39"/>
        <v>#DIV/0!</v>
      </c>
      <c r="N48" s="905"/>
      <c r="O48" s="907" t="e">
        <f t="shared" si="40"/>
        <v>#DIV/0!</v>
      </c>
      <c r="P48" s="906" t="e">
        <f t="shared" si="41"/>
        <v>#DIV/0!</v>
      </c>
      <c r="Q48" s="897" t="e">
        <f t="shared" si="42"/>
        <v>#DIV/0!</v>
      </c>
      <c r="R48" s="970" t="e">
        <f t="shared" si="43"/>
        <v>#DIV/0!</v>
      </c>
      <c r="S48" s="969" t="e">
        <f t="shared" si="44"/>
        <v>#DIV/0!</v>
      </c>
      <c r="T48" s="909" t="e">
        <f t="shared" si="45"/>
        <v>#DIV/0!</v>
      </c>
      <c r="U48" s="896" t="e">
        <f t="shared" si="46"/>
        <v>#DIV/0!</v>
      </c>
      <c r="V48" s="898">
        <f t="shared" si="47"/>
        <v>0</v>
      </c>
      <c r="W48" s="970">
        <f t="shared" si="48"/>
        <v>0</v>
      </c>
      <c r="X48" s="971" t="e">
        <f t="shared" si="49"/>
        <v>#DIV/0!</v>
      </c>
      <c r="Y48" s="847"/>
      <c r="Z48" s="911" t="e">
        <f t="shared" si="50"/>
        <v>#DIV/0!</v>
      </c>
      <c r="AA48" s="972"/>
      <c r="AB48" s="848" t="e">
        <f t="shared" si="51"/>
        <v>#DIV/0!</v>
      </c>
      <c r="AC48" s="973"/>
      <c r="AD48" s="848" t="e">
        <f t="shared" si="52"/>
        <v>#DIV/0!</v>
      </c>
      <c r="AE48" s="974" t="e">
        <f t="shared" si="53"/>
        <v>#DIV/0!</v>
      </c>
      <c r="AF48" s="849" t="e">
        <f t="shared" si="54"/>
        <v>#DIV/0!</v>
      </c>
      <c r="AG48" s="850" t="e">
        <f t="shared" si="55"/>
        <v>#DIV/0!</v>
      </c>
      <c r="AH48" s="974" t="e">
        <f t="shared" si="56"/>
        <v>#DIV/0!</v>
      </c>
      <c r="AI48" s="851"/>
      <c r="AJ48" s="852" t="e">
        <f t="shared" si="57"/>
        <v>#DIV/0!</v>
      </c>
      <c r="AK48" s="975" t="e">
        <f t="shared" si="58"/>
        <v>#DIV/0!</v>
      </c>
      <c r="AL48" s="850" t="e">
        <f t="shared" si="59"/>
        <v>#DIV/0!</v>
      </c>
      <c r="AM48" s="975" t="e">
        <f t="shared" si="60"/>
        <v>#DIV/0!</v>
      </c>
      <c r="AN48" s="853"/>
      <c r="AO48" s="976" t="e">
        <f t="shared" si="61"/>
        <v>#DIV/0!</v>
      </c>
      <c r="AP48" s="912"/>
      <c r="AQ48" s="977"/>
      <c r="AR48" s="978">
        <f t="shared" si="62"/>
        <v>0</v>
      </c>
      <c r="AS48" s="919" t="e">
        <f t="shared" si="63"/>
        <v>#DIV/0!</v>
      </c>
      <c r="AT48" s="920" t="e">
        <f t="shared" si="64"/>
        <v>#DIV/0!</v>
      </c>
      <c r="AU48" s="913"/>
      <c r="AV48" s="854"/>
      <c r="AW48" s="914"/>
      <c r="AX48" s="979"/>
      <c r="AY48" s="855">
        <f t="shared" si="65"/>
        <v>0</v>
      </c>
      <c r="AZ48" s="918" t="e">
        <f t="shared" si="66"/>
        <v>#DIV/0!</v>
      </c>
      <c r="BA48" s="917" t="e">
        <f t="shared" si="67"/>
        <v>#DIV/0!</v>
      </c>
      <c r="BB48" s="916"/>
      <c r="BC48" s="855"/>
      <c r="BD48" s="915">
        <f t="shared" si="68"/>
        <v>1</v>
      </c>
      <c r="BE48" s="980"/>
      <c r="BF48" s="856"/>
      <c r="BG48" s="857">
        <f t="shared" si="69"/>
        <v>0</v>
      </c>
      <c r="BH48" s="981">
        <f t="shared" si="70"/>
        <v>-1</v>
      </c>
      <c r="BI48" s="858"/>
      <c r="BJ48" s="856"/>
      <c r="BK48" s="859">
        <f t="shared" si="71"/>
        <v>0</v>
      </c>
    </row>
    <row r="49" spans="1:63" ht="35.1" customHeight="1" x14ac:dyDescent="0.25">
      <c r="A49" s="963"/>
      <c r="B49" s="964"/>
      <c r="C49" s="965"/>
      <c r="D49" s="966"/>
      <c r="E49" s="965"/>
      <c r="F49" s="965"/>
      <c r="G49" s="967"/>
      <c r="H49" s="968"/>
      <c r="I49" s="861" t="e">
        <f t="shared" si="36"/>
        <v>#DIV/0!</v>
      </c>
      <c r="J49" s="894" t="e">
        <f t="shared" si="37"/>
        <v>#DIV/0!</v>
      </c>
      <c r="K49" s="904"/>
      <c r="L49" s="861" t="e">
        <f t="shared" si="38"/>
        <v>#DIV/0!</v>
      </c>
      <c r="M49" s="895" t="e">
        <f t="shared" si="39"/>
        <v>#DIV/0!</v>
      </c>
      <c r="N49" s="905"/>
      <c r="O49" s="907" t="e">
        <f t="shared" si="40"/>
        <v>#DIV/0!</v>
      </c>
      <c r="P49" s="906" t="e">
        <f t="shared" si="41"/>
        <v>#DIV/0!</v>
      </c>
      <c r="Q49" s="897" t="e">
        <f t="shared" si="42"/>
        <v>#DIV/0!</v>
      </c>
      <c r="R49" s="970" t="e">
        <f t="shared" si="43"/>
        <v>#DIV/0!</v>
      </c>
      <c r="S49" s="969" t="e">
        <f t="shared" si="44"/>
        <v>#DIV/0!</v>
      </c>
      <c r="T49" s="909" t="e">
        <f t="shared" si="45"/>
        <v>#DIV/0!</v>
      </c>
      <c r="U49" s="896" t="e">
        <f t="shared" si="46"/>
        <v>#DIV/0!</v>
      </c>
      <c r="V49" s="898">
        <f t="shared" si="47"/>
        <v>0</v>
      </c>
      <c r="W49" s="970">
        <f t="shared" si="48"/>
        <v>0</v>
      </c>
      <c r="X49" s="971" t="e">
        <f t="shared" si="49"/>
        <v>#DIV/0!</v>
      </c>
      <c r="Y49" s="847"/>
      <c r="Z49" s="911" t="e">
        <f t="shared" si="50"/>
        <v>#DIV/0!</v>
      </c>
      <c r="AA49" s="972"/>
      <c r="AB49" s="848" t="e">
        <f t="shared" si="51"/>
        <v>#DIV/0!</v>
      </c>
      <c r="AC49" s="973"/>
      <c r="AD49" s="848" t="e">
        <f t="shared" si="52"/>
        <v>#DIV/0!</v>
      </c>
      <c r="AE49" s="974" t="e">
        <f t="shared" si="53"/>
        <v>#DIV/0!</v>
      </c>
      <c r="AF49" s="849" t="e">
        <f t="shared" si="54"/>
        <v>#DIV/0!</v>
      </c>
      <c r="AG49" s="850" t="e">
        <f t="shared" si="55"/>
        <v>#DIV/0!</v>
      </c>
      <c r="AH49" s="974" t="e">
        <f t="shared" si="56"/>
        <v>#DIV/0!</v>
      </c>
      <c r="AI49" s="851"/>
      <c r="AJ49" s="852" t="e">
        <f t="shared" si="57"/>
        <v>#DIV/0!</v>
      </c>
      <c r="AK49" s="975" t="e">
        <f t="shared" si="58"/>
        <v>#DIV/0!</v>
      </c>
      <c r="AL49" s="850" t="e">
        <f t="shared" si="59"/>
        <v>#DIV/0!</v>
      </c>
      <c r="AM49" s="975" t="e">
        <f t="shared" si="60"/>
        <v>#DIV/0!</v>
      </c>
      <c r="AN49" s="853"/>
      <c r="AO49" s="976" t="e">
        <f t="shared" si="61"/>
        <v>#DIV/0!</v>
      </c>
      <c r="AP49" s="912"/>
      <c r="AQ49" s="977"/>
      <c r="AR49" s="978">
        <f t="shared" si="62"/>
        <v>0</v>
      </c>
      <c r="AS49" s="919" t="e">
        <f t="shared" si="63"/>
        <v>#DIV/0!</v>
      </c>
      <c r="AT49" s="920" t="e">
        <f t="shared" si="64"/>
        <v>#DIV/0!</v>
      </c>
      <c r="AU49" s="913"/>
      <c r="AV49" s="854"/>
      <c r="AW49" s="914"/>
      <c r="AX49" s="979"/>
      <c r="AY49" s="855">
        <f t="shared" si="65"/>
        <v>0</v>
      </c>
      <c r="AZ49" s="918" t="e">
        <f t="shared" si="66"/>
        <v>#DIV/0!</v>
      </c>
      <c r="BA49" s="917" t="e">
        <f t="shared" si="67"/>
        <v>#DIV/0!</v>
      </c>
      <c r="BB49" s="916"/>
      <c r="BC49" s="855"/>
      <c r="BD49" s="915">
        <f t="shared" si="68"/>
        <v>1</v>
      </c>
      <c r="BE49" s="980"/>
      <c r="BF49" s="856"/>
      <c r="BG49" s="857">
        <f t="shared" si="69"/>
        <v>0</v>
      </c>
      <c r="BH49" s="981">
        <f t="shared" si="70"/>
        <v>-1</v>
      </c>
      <c r="BI49" s="858"/>
      <c r="BJ49" s="856"/>
      <c r="BK49" s="859">
        <f t="shared" si="71"/>
        <v>0</v>
      </c>
    </row>
    <row r="50" spans="1:63" ht="35.1" customHeight="1" x14ac:dyDescent="0.25">
      <c r="A50" s="963"/>
      <c r="B50" s="964"/>
      <c r="C50" s="965"/>
      <c r="D50" s="966"/>
      <c r="E50" s="965"/>
      <c r="F50" s="965"/>
      <c r="G50" s="967"/>
      <c r="H50" s="968"/>
      <c r="I50" s="861" t="e">
        <f t="shared" si="36"/>
        <v>#DIV/0!</v>
      </c>
      <c r="J50" s="894" t="e">
        <f t="shared" si="37"/>
        <v>#DIV/0!</v>
      </c>
      <c r="K50" s="904"/>
      <c r="L50" s="861" t="e">
        <f t="shared" si="38"/>
        <v>#DIV/0!</v>
      </c>
      <c r="M50" s="895" t="e">
        <f t="shared" si="39"/>
        <v>#DIV/0!</v>
      </c>
      <c r="N50" s="905"/>
      <c r="O50" s="907" t="e">
        <f t="shared" si="40"/>
        <v>#DIV/0!</v>
      </c>
      <c r="P50" s="906" t="e">
        <f t="shared" si="41"/>
        <v>#DIV/0!</v>
      </c>
      <c r="Q50" s="897" t="e">
        <f t="shared" si="42"/>
        <v>#DIV/0!</v>
      </c>
      <c r="R50" s="970" t="e">
        <f t="shared" si="43"/>
        <v>#DIV/0!</v>
      </c>
      <c r="S50" s="969" t="e">
        <f t="shared" si="44"/>
        <v>#DIV/0!</v>
      </c>
      <c r="T50" s="909" t="e">
        <f t="shared" si="45"/>
        <v>#DIV/0!</v>
      </c>
      <c r="U50" s="896" t="e">
        <f t="shared" si="46"/>
        <v>#DIV/0!</v>
      </c>
      <c r="V50" s="898">
        <f t="shared" si="47"/>
        <v>0</v>
      </c>
      <c r="W50" s="970">
        <f t="shared" si="48"/>
        <v>0</v>
      </c>
      <c r="X50" s="971" t="e">
        <f t="shared" si="49"/>
        <v>#DIV/0!</v>
      </c>
      <c r="Y50" s="847"/>
      <c r="Z50" s="911" t="e">
        <f t="shared" si="50"/>
        <v>#DIV/0!</v>
      </c>
      <c r="AA50" s="972"/>
      <c r="AB50" s="848" t="e">
        <f t="shared" si="51"/>
        <v>#DIV/0!</v>
      </c>
      <c r="AC50" s="973"/>
      <c r="AD50" s="848" t="e">
        <f t="shared" si="52"/>
        <v>#DIV/0!</v>
      </c>
      <c r="AE50" s="974" t="e">
        <f t="shared" si="53"/>
        <v>#DIV/0!</v>
      </c>
      <c r="AF50" s="849" t="e">
        <f t="shared" si="54"/>
        <v>#DIV/0!</v>
      </c>
      <c r="AG50" s="850" t="e">
        <f t="shared" si="55"/>
        <v>#DIV/0!</v>
      </c>
      <c r="AH50" s="974" t="e">
        <f t="shared" si="56"/>
        <v>#DIV/0!</v>
      </c>
      <c r="AI50" s="851"/>
      <c r="AJ50" s="852" t="e">
        <f t="shared" si="57"/>
        <v>#DIV/0!</v>
      </c>
      <c r="AK50" s="975" t="e">
        <f t="shared" si="58"/>
        <v>#DIV/0!</v>
      </c>
      <c r="AL50" s="850" t="e">
        <f t="shared" si="59"/>
        <v>#DIV/0!</v>
      </c>
      <c r="AM50" s="975" t="e">
        <f t="shared" si="60"/>
        <v>#DIV/0!</v>
      </c>
      <c r="AN50" s="853"/>
      <c r="AO50" s="976" t="e">
        <f t="shared" si="61"/>
        <v>#DIV/0!</v>
      </c>
      <c r="AP50" s="912"/>
      <c r="AQ50" s="977"/>
      <c r="AR50" s="978">
        <f t="shared" si="62"/>
        <v>0</v>
      </c>
      <c r="AS50" s="919" t="e">
        <f t="shared" si="63"/>
        <v>#DIV/0!</v>
      </c>
      <c r="AT50" s="920" t="e">
        <f t="shared" si="64"/>
        <v>#DIV/0!</v>
      </c>
      <c r="AU50" s="913"/>
      <c r="AV50" s="854"/>
      <c r="AW50" s="914"/>
      <c r="AX50" s="979"/>
      <c r="AY50" s="855">
        <f t="shared" si="65"/>
        <v>0</v>
      </c>
      <c r="AZ50" s="918" t="e">
        <f t="shared" si="66"/>
        <v>#DIV/0!</v>
      </c>
      <c r="BA50" s="917" t="e">
        <f t="shared" si="67"/>
        <v>#DIV/0!</v>
      </c>
      <c r="BB50" s="916"/>
      <c r="BC50" s="855"/>
      <c r="BD50" s="915">
        <f t="shared" si="68"/>
        <v>1</v>
      </c>
      <c r="BE50" s="980"/>
      <c r="BF50" s="856"/>
      <c r="BG50" s="857">
        <f t="shared" si="69"/>
        <v>0</v>
      </c>
      <c r="BH50" s="981">
        <f t="shared" si="70"/>
        <v>-1</v>
      </c>
      <c r="BI50" s="858"/>
      <c r="BJ50" s="856"/>
      <c r="BK50" s="859">
        <f t="shared" si="71"/>
        <v>0</v>
      </c>
    </row>
    <row r="51" spans="1:63" ht="35.1" customHeight="1" x14ac:dyDescent="0.25">
      <c r="A51" s="963"/>
      <c r="B51" s="964"/>
      <c r="C51" s="965"/>
      <c r="D51" s="966"/>
      <c r="E51" s="965"/>
      <c r="F51" s="965"/>
      <c r="G51" s="967"/>
      <c r="H51" s="968"/>
      <c r="I51" s="861" t="e">
        <f t="shared" si="36"/>
        <v>#DIV/0!</v>
      </c>
      <c r="J51" s="894" t="e">
        <f t="shared" si="37"/>
        <v>#DIV/0!</v>
      </c>
      <c r="K51" s="904"/>
      <c r="L51" s="861" t="e">
        <f t="shared" si="38"/>
        <v>#DIV/0!</v>
      </c>
      <c r="M51" s="895" t="e">
        <f t="shared" si="39"/>
        <v>#DIV/0!</v>
      </c>
      <c r="N51" s="905"/>
      <c r="O51" s="907" t="e">
        <f t="shared" si="40"/>
        <v>#DIV/0!</v>
      </c>
      <c r="P51" s="906" t="e">
        <f t="shared" si="41"/>
        <v>#DIV/0!</v>
      </c>
      <c r="Q51" s="897" t="e">
        <f t="shared" si="42"/>
        <v>#DIV/0!</v>
      </c>
      <c r="R51" s="970" t="e">
        <f t="shared" si="43"/>
        <v>#DIV/0!</v>
      </c>
      <c r="S51" s="969" t="e">
        <f t="shared" si="44"/>
        <v>#DIV/0!</v>
      </c>
      <c r="T51" s="909" t="e">
        <f t="shared" si="45"/>
        <v>#DIV/0!</v>
      </c>
      <c r="U51" s="896" t="e">
        <f t="shared" si="46"/>
        <v>#DIV/0!</v>
      </c>
      <c r="V51" s="898">
        <f t="shared" si="47"/>
        <v>0</v>
      </c>
      <c r="W51" s="970">
        <f t="shared" si="48"/>
        <v>0</v>
      </c>
      <c r="X51" s="971" t="e">
        <f t="shared" si="49"/>
        <v>#DIV/0!</v>
      </c>
      <c r="Y51" s="847"/>
      <c r="Z51" s="911" t="e">
        <f t="shared" si="50"/>
        <v>#DIV/0!</v>
      </c>
      <c r="AA51" s="972"/>
      <c r="AB51" s="848" t="e">
        <f t="shared" si="51"/>
        <v>#DIV/0!</v>
      </c>
      <c r="AC51" s="973"/>
      <c r="AD51" s="848" t="e">
        <f t="shared" si="52"/>
        <v>#DIV/0!</v>
      </c>
      <c r="AE51" s="974" t="e">
        <f t="shared" si="53"/>
        <v>#DIV/0!</v>
      </c>
      <c r="AF51" s="849" t="e">
        <f t="shared" si="54"/>
        <v>#DIV/0!</v>
      </c>
      <c r="AG51" s="850" t="e">
        <f t="shared" si="55"/>
        <v>#DIV/0!</v>
      </c>
      <c r="AH51" s="974" t="e">
        <f t="shared" si="56"/>
        <v>#DIV/0!</v>
      </c>
      <c r="AI51" s="851"/>
      <c r="AJ51" s="852" t="e">
        <f t="shared" si="57"/>
        <v>#DIV/0!</v>
      </c>
      <c r="AK51" s="975" t="e">
        <f t="shared" si="58"/>
        <v>#DIV/0!</v>
      </c>
      <c r="AL51" s="850" t="e">
        <f t="shared" si="59"/>
        <v>#DIV/0!</v>
      </c>
      <c r="AM51" s="975" t="e">
        <f t="shared" si="60"/>
        <v>#DIV/0!</v>
      </c>
      <c r="AN51" s="853"/>
      <c r="AO51" s="976" t="e">
        <f t="shared" si="61"/>
        <v>#DIV/0!</v>
      </c>
      <c r="AP51" s="912"/>
      <c r="AQ51" s="977"/>
      <c r="AR51" s="978">
        <f t="shared" si="62"/>
        <v>0</v>
      </c>
      <c r="AS51" s="919" t="e">
        <f t="shared" si="63"/>
        <v>#DIV/0!</v>
      </c>
      <c r="AT51" s="920" t="e">
        <f t="shared" si="64"/>
        <v>#DIV/0!</v>
      </c>
      <c r="AU51" s="913"/>
      <c r="AV51" s="854"/>
      <c r="AW51" s="914"/>
      <c r="AX51" s="979"/>
      <c r="AY51" s="855">
        <f t="shared" si="65"/>
        <v>0</v>
      </c>
      <c r="AZ51" s="918" t="e">
        <f t="shared" si="66"/>
        <v>#DIV/0!</v>
      </c>
      <c r="BA51" s="917" t="e">
        <f t="shared" si="67"/>
        <v>#DIV/0!</v>
      </c>
      <c r="BB51" s="916"/>
      <c r="BC51" s="855"/>
      <c r="BD51" s="915">
        <f t="shared" si="68"/>
        <v>1</v>
      </c>
      <c r="BE51" s="980"/>
      <c r="BF51" s="856"/>
      <c r="BG51" s="857">
        <f t="shared" si="69"/>
        <v>0</v>
      </c>
      <c r="BH51" s="981">
        <f t="shared" si="70"/>
        <v>-1</v>
      </c>
      <c r="BI51" s="858"/>
      <c r="BJ51" s="856"/>
      <c r="BK51" s="859">
        <f t="shared" si="71"/>
        <v>0</v>
      </c>
    </row>
    <row r="52" spans="1:63" ht="35.1" customHeight="1" x14ac:dyDescent="0.25">
      <c r="A52" s="963"/>
      <c r="B52" s="964"/>
      <c r="C52" s="965"/>
      <c r="D52" s="966"/>
      <c r="E52" s="965"/>
      <c r="F52" s="965"/>
      <c r="G52" s="967"/>
      <c r="H52" s="968"/>
      <c r="I52" s="861" t="e">
        <f t="shared" si="36"/>
        <v>#DIV/0!</v>
      </c>
      <c r="J52" s="894" t="e">
        <f t="shared" si="37"/>
        <v>#DIV/0!</v>
      </c>
      <c r="K52" s="904"/>
      <c r="L52" s="861" t="e">
        <f t="shared" si="38"/>
        <v>#DIV/0!</v>
      </c>
      <c r="M52" s="895" t="e">
        <f t="shared" si="39"/>
        <v>#DIV/0!</v>
      </c>
      <c r="N52" s="905"/>
      <c r="O52" s="907" t="e">
        <f t="shared" si="40"/>
        <v>#DIV/0!</v>
      </c>
      <c r="P52" s="906" t="e">
        <f t="shared" si="41"/>
        <v>#DIV/0!</v>
      </c>
      <c r="Q52" s="897" t="e">
        <f t="shared" si="42"/>
        <v>#DIV/0!</v>
      </c>
      <c r="R52" s="970" t="e">
        <f t="shared" si="43"/>
        <v>#DIV/0!</v>
      </c>
      <c r="S52" s="969" t="e">
        <f t="shared" si="44"/>
        <v>#DIV/0!</v>
      </c>
      <c r="T52" s="909" t="e">
        <f t="shared" si="45"/>
        <v>#DIV/0!</v>
      </c>
      <c r="U52" s="896" t="e">
        <f t="shared" si="46"/>
        <v>#DIV/0!</v>
      </c>
      <c r="V52" s="898">
        <f t="shared" si="47"/>
        <v>0</v>
      </c>
      <c r="W52" s="970">
        <f t="shared" si="48"/>
        <v>0</v>
      </c>
      <c r="X52" s="971" t="e">
        <f t="shared" si="49"/>
        <v>#DIV/0!</v>
      </c>
      <c r="Y52" s="847"/>
      <c r="Z52" s="911" t="e">
        <f t="shared" si="50"/>
        <v>#DIV/0!</v>
      </c>
      <c r="AA52" s="972"/>
      <c r="AB52" s="848" t="e">
        <f t="shared" si="51"/>
        <v>#DIV/0!</v>
      </c>
      <c r="AC52" s="973"/>
      <c r="AD52" s="848" t="e">
        <f t="shared" si="52"/>
        <v>#DIV/0!</v>
      </c>
      <c r="AE52" s="974" t="e">
        <f t="shared" si="53"/>
        <v>#DIV/0!</v>
      </c>
      <c r="AF52" s="849" t="e">
        <f t="shared" si="54"/>
        <v>#DIV/0!</v>
      </c>
      <c r="AG52" s="850" t="e">
        <f t="shared" si="55"/>
        <v>#DIV/0!</v>
      </c>
      <c r="AH52" s="974" t="e">
        <f t="shared" si="56"/>
        <v>#DIV/0!</v>
      </c>
      <c r="AI52" s="851"/>
      <c r="AJ52" s="852" t="e">
        <f t="shared" si="57"/>
        <v>#DIV/0!</v>
      </c>
      <c r="AK52" s="975" t="e">
        <f t="shared" si="58"/>
        <v>#DIV/0!</v>
      </c>
      <c r="AL52" s="850" t="e">
        <f t="shared" si="59"/>
        <v>#DIV/0!</v>
      </c>
      <c r="AM52" s="975" t="e">
        <f t="shared" si="60"/>
        <v>#DIV/0!</v>
      </c>
      <c r="AN52" s="853"/>
      <c r="AO52" s="976" t="e">
        <f t="shared" si="61"/>
        <v>#DIV/0!</v>
      </c>
      <c r="AP52" s="912"/>
      <c r="AQ52" s="977"/>
      <c r="AR52" s="978">
        <f t="shared" si="62"/>
        <v>0</v>
      </c>
      <c r="AS52" s="919" t="e">
        <f t="shared" si="63"/>
        <v>#DIV/0!</v>
      </c>
      <c r="AT52" s="920" t="e">
        <f t="shared" si="64"/>
        <v>#DIV/0!</v>
      </c>
      <c r="AU52" s="913"/>
      <c r="AV52" s="854"/>
      <c r="AW52" s="914"/>
      <c r="AX52" s="979"/>
      <c r="AY52" s="855">
        <f t="shared" si="65"/>
        <v>0</v>
      </c>
      <c r="AZ52" s="918" t="e">
        <f t="shared" si="66"/>
        <v>#DIV/0!</v>
      </c>
      <c r="BA52" s="917" t="e">
        <f t="shared" si="67"/>
        <v>#DIV/0!</v>
      </c>
      <c r="BB52" s="916"/>
      <c r="BC52" s="855"/>
      <c r="BD52" s="915">
        <f t="shared" si="68"/>
        <v>1</v>
      </c>
      <c r="BE52" s="980"/>
      <c r="BF52" s="856"/>
      <c r="BG52" s="857">
        <f t="shared" si="69"/>
        <v>0</v>
      </c>
      <c r="BH52" s="981">
        <f t="shared" si="70"/>
        <v>-1</v>
      </c>
      <c r="BI52" s="858"/>
      <c r="BJ52" s="856"/>
      <c r="BK52" s="859">
        <f t="shared" si="71"/>
        <v>0</v>
      </c>
    </row>
    <row r="53" spans="1:63" ht="35.1" customHeight="1" x14ac:dyDescent="0.25">
      <c r="A53" s="963"/>
      <c r="B53" s="964"/>
      <c r="C53" s="965"/>
      <c r="D53" s="966"/>
      <c r="E53" s="965"/>
      <c r="F53" s="965"/>
      <c r="G53" s="967"/>
      <c r="H53" s="968"/>
      <c r="I53" s="861" t="e">
        <f t="shared" si="36"/>
        <v>#DIV/0!</v>
      </c>
      <c r="J53" s="894" t="e">
        <f t="shared" si="37"/>
        <v>#DIV/0!</v>
      </c>
      <c r="K53" s="904"/>
      <c r="L53" s="861" t="e">
        <f t="shared" si="38"/>
        <v>#DIV/0!</v>
      </c>
      <c r="M53" s="895" t="e">
        <f t="shared" si="39"/>
        <v>#DIV/0!</v>
      </c>
      <c r="N53" s="905"/>
      <c r="O53" s="907" t="e">
        <f t="shared" si="40"/>
        <v>#DIV/0!</v>
      </c>
      <c r="P53" s="906" t="e">
        <f t="shared" si="41"/>
        <v>#DIV/0!</v>
      </c>
      <c r="Q53" s="897" t="e">
        <f t="shared" si="42"/>
        <v>#DIV/0!</v>
      </c>
      <c r="R53" s="970" t="e">
        <f t="shared" si="43"/>
        <v>#DIV/0!</v>
      </c>
      <c r="S53" s="969" t="e">
        <f t="shared" si="44"/>
        <v>#DIV/0!</v>
      </c>
      <c r="T53" s="909" t="e">
        <f t="shared" si="45"/>
        <v>#DIV/0!</v>
      </c>
      <c r="U53" s="896" t="e">
        <f t="shared" si="46"/>
        <v>#DIV/0!</v>
      </c>
      <c r="V53" s="898">
        <f t="shared" si="47"/>
        <v>0</v>
      </c>
      <c r="W53" s="970">
        <f t="shared" si="48"/>
        <v>0</v>
      </c>
      <c r="X53" s="971" t="e">
        <f t="shared" si="49"/>
        <v>#DIV/0!</v>
      </c>
      <c r="Y53" s="847"/>
      <c r="Z53" s="911" t="e">
        <f t="shared" si="50"/>
        <v>#DIV/0!</v>
      </c>
      <c r="AA53" s="972"/>
      <c r="AB53" s="848" t="e">
        <f t="shared" si="51"/>
        <v>#DIV/0!</v>
      </c>
      <c r="AC53" s="973"/>
      <c r="AD53" s="848" t="e">
        <f t="shared" si="52"/>
        <v>#DIV/0!</v>
      </c>
      <c r="AE53" s="974" t="e">
        <f t="shared" si="53"/>
        <v>#DIV/0!</v>
      </c>
      <c r="AF53" s="849" t="e">
        <f t="shared" si="54"/>
        <v>#DIV/0!</v>
      </c>
      <c r="AG53" s="850" t="e">
        <f t="shared" si="55"/>
        <v>#DIV/0!</v>
      </c>
      <c r="AH53" s="974" t="e">
        <f t="shared" si="56"/>
        <v>#DIV/0!</v>
      </c>
      <c r="AI53" s="851"/>
      <c r="AJ53" s="852" t="e">
        <f t="shared" si="57"/>
        <v>#DIV/0!</v>
      </c>
      <c r="AK53" s="975" t="e">
        <f t="shared" si="58"/>
        <v>#DIV/0!</v>
      </c>
      <c r="AL53" s="850" t="e">
        <f t="shared" si="59"/>
        <v>#DIV/0!</v>
      </c>
      <c r="AM53" s="975" t="e">
        <f t="shared" si="60"/>
        <v>#DIV/0!</v>
      </c>
      <c r="AN53" s="853"/>
      <c r="AO53" s="976" t="e">
        <f t="shared" si="61"/>
        <v>#DIV/0!</v>
      </c>
      <c r="AP53" s="912"/>
      <c r="AQ53" s="977"/>
      <c r="AR53" s="978">
        <f t="shared" si="62"/>
        <v>0</v>
      </c>
      <c r="AS53" s="919" t="e">
        <f t="shared" si="63"/>
        <v>#DIV/0!</v>
      </c>
      <c r="AT53" s="920" t="e">
        <f t="shared" si="64"/>
        <v>#DIV/0!</v>
      </c>
      <c r="AU53" s="913"/>
      <c r="AV53" s="854"/>
      <c r="AW53" s="914"/>
      <c r="AX53" s="979"/>
      <c r="AY53" s="855">
        <f t="shared" si="65"/>
        <v>0</v>
      </c>
      <c r="AZ53" s="918" t="e">
        <f t="shared" si="66"/>
        <v>#DIV/0!</v>
      </c>
      <c r="BA53" s="917" t="e">
        <f t="shared" si="67"/>
        <v>#DIV/0!</v>
      </c>
      <c r="BB53" s="916"/>
      <c r="BC53" s="855"/>
      <c r="BD53" s="915">
        <f t="shared" si="68"/>
        <v>1</v>
      </c>
      <c r="BE53" s="980"/>
      <c r="BF53" s="856"/>
      <c r="BG53" s="857">
        <f t="shared" si="69"/>
        <v>0</v>
      </c>
      <c r="BH53" s="981">
        <f t="shared" si="70"/>
        <v>-1</v>
      </c>
      <c r="BI53" s="858"/>
      <c r="BJ53" s="856"/>
      <c r="BK53" s="859">
        <f t="shared" si="71"/>
        <v>0</v>
      </c>
    </row>
    <row r="54" spans="1:63" ht="35.1" customHeight="1" x14ac:dyDescent="0.25">
      <c r="A54" s="963"/>
      <c r="B54" s="964"/>
      <c r="C54" s="965"/>
      <c r="D54" s="966"/>
      <c r="E54" s="965"/>
      <c r="F54" s="965"/>
      <c r="G54" s="967"/>
      <c r="H54" s="968"/>
      <c r="I54" s="861" t="e">
        <f t="shared" si="36"/>
        <v>#DIV/0!</v>
      </c>
      <c r="J54" s="894" t="e">
        <f t="shared" si="37"/>
        <v>#DIV/0!</v>
      </c>
      <c r="K54" s="904"/>
      <c r="L54" s="861" t="e">
        <f t="shared" si="38"/>
        <v>#DIV/0!</v>
      </c>
      <c r="M54" s="895" t="e">
        <f t="shared" si="39"/>
        <v>#DIV/0!</v>
      </c>
      <c r="N54" s="905"/>
      <c r="O54" s="907" t="e">
        <f t="shared" si="40"/>
        <v>#DIV/0!</v>
      </c>
      <c r="P54" s="906" t="e">
        <f t="shared" si="41"/>
        <v>#DIV/0!</v>
      </c>
      <c r="Q54" s="897" t="e">
        <f t="shared" si="42"/>
        <v>#DIV/0!</v>
      </c>
      <c r="R54" s="970" t="e">
        <f t="shared" si="43"/>
        <v>#DIV/0!</v>
      </c>
      <c r="S54" s="969" t="e">
        <f t="shared" si="44"/>
        <v>#DIV/0!</v>
      </c>
      <c r="T54" s="909" t="e">
        <f t="shared" si="45"/>
        <v>#DIV/0!</v>
      </c>
      <c r="U54" s="896" t="e">
        <f t="shared" si="46"/>
        <v>#DIV/0!</v>
      </c>
      <c r="V54" s="898">
        <f t="shared" si="47"/>
        <v>0</v>
      </c>
      <c r="W54" s="970">
        <f t="shared" si="48"/>
        <v>0</v>
      </c>
      <c r="X54" s="971" t="e">
        <f t="shared" si="49"/>
        <v>#DIV/0!</v>
      </c>
      <c r="Y54" s="847"/>
      <c r="Z54" s="911" t="e">
        <f t="shared" si="50"/>
        <v>#DIV/0!</v>
      </c>
      <c r="AA54" s="972"/>
      <c r="AB54" s="848" t="e">
        <f t="shared" si="51"/>
        <v>#DIV/0!</v>
      </c>
      <c r="AC54" s="973"/>
      <c r="AD54" s="848" t="e">
        <f t="shared" si="52"/>
        <v>#DIV/0!</v>
      </c>
      <c r="AE54" s="974" t="e">
        <f t="shared" si="53"/>
        <v>#DIV/0!</v>
      </c>
      <c r="AF54" s="849" t="e">
        <f t="shared" si="54"/>
        <v>#DIV/0!</v>
      </c>
      <c r="AG54" s="850" t="e">
        <f t="shared" si="55"/>
        <v>#DIV/0!</v>
      </c>
      <c r="AH54" s="974" t="e">
        <f t="shared" si="56"/>
        <v>#DIV/0!</v>
      </c>
      <c r="AI54" s="851"/>
      <c r="AJ54" s="852" t="e">
        <f t="shared" si="57"/>
        <v>#DIV/0!</v>
      </c>
      <c r="AK54" s="975" t="e">
        <f t="shared" si="58"/>
        <v>#DIV/0!</v>
      </c>
      <c r="AL54" s="850" t="e">
        <f t="shared" si="59"/>
        <v>#DIV/0!</v>
      </c>
      <c r="AM54" s="975" t="e">
        <f t="shared" si="60"/>
        <v>#DIV/0!</v>
      </c>
      <c r="AN54" s="853"/>
      <c r="AO54" s="976" t="e">
        <f t="shared" si="61"/>
        <v>#DIV/0!</v>
      </c>
      <c r="AP54" s="912"/>
      <c r="AQ54" s="977"/>
      <c r="AR54" s="978">
        <f t="shared" si="62"/>
        <v>0</v>
      </c>
      <c r="AS54" s="919" t="e">
        <f t="shared" si="63"/>
        <v>#DIV/0!</v>
      </c>
      <c r="AT54" s="920" t="e">
        <f t="shared" si="64"/>
        <v>#DIV/0!</v>
      </c>
      <c r="AU54" s="913"/>
      <c r="AV54" s="854"/>
      <c r="AW54" s="914"/>
      <c r="AX54" s="979"/>
      <c r="AY54" s="855">
        <f t="shared" si="65"/>
        <v>0</v>
      </c>
      <c r="AZ54" s="918" t="e">
        <f t="shared" si="66"/>
        <v>#DIV/0!</v>
      </c>
      <c r="BA54" s="917" t="e">
        <f t="shared" si="67"/>
        <v>#DIV/0!</v>
      </c>
      <c r="BB54" s="916"/>
      <c r="BC54" s="855"/>
      <c r="BD54" s="915">
        <f t="shared" si="68"/>
        <v>1</v>
      </c>
      <c r="BE54" s="980"/>
      <c r="BF54" s="856"/>
      <c r="BG54" s="857">
        <f t="shared" si="69"/>
        <v>0</v>
      </c>
      <c r="BH54" s="981">
        <f t="shared" si="70"/>
        <v>-1</v>
      </c>
      <c r="BI54" s="858"/>
      <c r="BJ54" s="856"/>
      <c r="BK54" s="859">
        <f t="shared" si="71"/>
        <v>0</v>
      </c>
    </row>
    <row r="55" spans="1:63" ht="35.1" customHeight="1" x14ac:dyDescent="0.25">
      <c r="A55" s="963"/>
      <c r="B55" s="964"/>
      <c r="C55" s="965"/>
      <c r="D55" s="966"/>
      <c r="E55" s="965"/>
      <c r="F55" s="965"/>
      <c r="G55" s="967"/>
      <c r="H55" s="968"/>
      <c r="I55" s="861" t="e">
        <f t="shared" si="36"/>
        <v>#DIV/0!</v>
      </c>
      <c r="J55" s="894" t="e">
        <f t="shared" si="37"/>
        <v>#DIV/0!</v>
      </c>
      <c r="K55" s="904"/>
      <c r="L55" s="861" t="e">
        <f t="shared" si="38"/>
        <v>#DIV/0!</v>
      </c>
      <c r="M55" s="895" t="e">
        <f t="shared" si="39"/>
        <v>#DIV/0!</v>
      </c>
      <c r="N55" s="905"/>
      <c r="O55" s="907" t="e">
        <f t="shared" si="40"/>
        <v>#DIV/0!</v>
      </c>
      <c r="P55" s="906" t="e">
        <f t="shared" si="41"/>
        <v>#DIV/0!</v>
      </c>
      <c r="Q55" s="897" t="e">
        <f t="shared" si="42"/>
        <v>#DIV/0!</v>
      </c>
      <c r="R55" s="970" t="e">
        <f t="shared" si="43"/>
        <v>#DIV/0!</v>
      </c>
      <c r="S55" s="969" t="e">
        <f t="shared" si="44"/>
        <v>#DIV/0!</v>
      </c>
      <c r="T55" s="909" t="e">
        <f t="shared" si="45"/>
        <v>#DIV/0!</v>
      </c>
      <c r="U55" s="896" t="e">
        <f t="shared" si="46"/>
        <v>#DIV/0!</v>
      </c>
      <c r="V55" s="898">
        <f t="shared" si="47"/>
        <v>0</v>
      </c>
      <c r="W55" s="970">
        <f t="shared" si="48"/>
        <v>0</v>
      </c>
      <c r="X55" s="971" t="e">
        <f t="shared" si="49"/>
        <v>#DIV/0!</v>
      </c>
      <c r="Y55" s="847"/>
      <c r="Z55" s="911" t="e">
        <f t="shared" si="50"/>
        <v>#DIV/0!</v>
      </c>
      <c r="AA55" s="972"/>
      <c r="AB55" s="848" t="e">
        <f t="shared" si="51"/>
        <v>#DIV/0!</v>
      </c>
      <c r="AC55" s="973"/>
      <c r="AD55" s="848" t="e">
        <f t="shared" si="52"/>
        <v>#DIV/0!</v>
      </c>
      <c r="AE55" s="974" t="e">
        <f t="shared" si="53"/>
        <v>#DIV/0!</v>
      </c>
      <c r="AF55" s="849" t="e">
        <f t="shared" si="54"/>
        <v>#DIV/0!</v>
      </c>
      <c r="AG55" s="850" t="e">
        <f t="shared" si="55"/>
        <v>#DIV/0!</v>
      </c>
      <c r="AH55" s="974" t="e">
        <f t="shared" si="56"/>
        <v>#DIV/0!</v>
      </c>
      <c r="AI55" s="851"/>
      <c r="AJ55" s="852" t="e">
        <f t="shared" si="57"/>
        <v>#DIV/0!</v>
      </c>
      <c r="AK55" s="975" t="e">
        <f t="shared" si="58"/>
        <v>#DIV/0!</v>
      </c>
      <c r="AL55" s="850" t="e">
        <f t="shared" si="59"/>
        <v>#DIV/0!</v>
      </c>
      <c r="AM55" s="975" t="e">
        <f t="shared" si="60"/>
        <v>#DIV/0!</v>
      </c>
      <c r="AN55" s="853"/>
      <c r="AO55" s="976" t="e">
        <f t="shared" si="61"/>
        <v>#DIV/0!</v>
      </c>
      <c r="AP55" s="912"/>
      <c r="AQ55" s="977"/>
      <c r="AR55" s="978">
        <f t="shared" si="62"/>
        <v>0</v>
      </c>
      <c r="AS55" s="919" t="e">
        <f t="shared" si="63"/>
        <v>#DIV/0!</v>
      </c>
      <c r="AT55" s="920" t="e">
        <f t="shared" si="64"/>
        <v>#DIV/0!</v>
      </c>
      <c r="AU55" s="913"/>
      <c r="AV55" s="854"/>
      <c r="AW55" s="914"/>
      <c r="AX55" s="979"/>
      <c r="AY55" s="855">
        <f t="shared" si="65"/>
        <v>0</v>
      </c>
      <c r="AZ55" s="918" t="e">
        <f t="shared" si="66"/>
        <v>#DIV/0!</v>
      </c>
      <c r="BA55" s="917" t="e">
        <f t="shared" si="67"/>
        <v>#DIV/0!</v>
      </c>
      <c r="BB55" s="916"/>
      <c r="BC55" s="855"/>
      <c r="BD55" s="915">
        <f t="shared" si="68"/>
        <v>1</v>
      </c>
      <c r="BE55" s="980"/>
      <c r="BF55" s="856"/>
      <c r="BG55" s="857">
        <f t="shared" si="69"/>
        <v>0</v>
      </c>
      <c r="BH55" s="981">
        <f t="shared" si="70"/>
        <v>-1</v>
      </c>
      <c r="BI55" s="858"/>
      <c r="BJ55" s="856"/>
      <c r="BK55" s="859">
        <f t="shared" si="71"/>
        <v>0</v>
      </c>
    </row>
    <row r="56" spans="1:63" ht="35.1" customHeight="1" x14ac:dyDescent="0.25">
      <c r="A56" s="963"/>
      <c r="B56" s="964"/>
      <c r="C56" s="965"/>
      <c r="D56" s="966"/>
      <c r="E56" s="965"/>
      <c r="F56" s="965"/>
      <c r="G56" s="967"/>
      <c r="H56" s="968"/>
      <c r="I56" s="861" t="e">
        <f t="shared" si="36"/>
        <v>#DIV/0!</v>
      </c>
      <c r="J56" s="894" t="e">
        <f t="shared" si="37"/>
        <v>#DIV/0!</v>
      </c>
      <c r="K56" s="904"/>
      <c r="L56" s="861" t="e">
        <f t="shared" si="38"/>
        <v>#DIV/0!</v>
      </c>
      <c r="M56" s="895" t="e">
        <f t="shared" si="39"/>
        <v>#DIV/0!</v>
      </c>
      <c r="N56" s="905"/>
      <c r="O56" s="907" t="e">
        <f t="shared" si="40"/>
        <v>#DIV/0!</v>
      </c>
      <c r="P56" s="906" t="e">
        <f t="shared" si="41"/>
        <v>#DIV/0!</v>
      </c>
      <c r="Q56" s="897" t="e">
        <f t="shared" si="42"/>
        <v>#DIV/0!</v>
      </c>
      <c r="R56" s="970" t="e">
        <f t="shared" si="43"/>
        <v>#DIV/0!</v>
      </c>
      <c r="S56" s="969" t="e">
        <f t="shared" si="44"/>
        <v>#DIV/0!</v>
      </c>
      <c r="T56" s="909" t="e">
        <f t="shared" si="45"/>
        <v>#DIV/0!</v>
      </c>
      <c r="U56" s="896" t="e">
        <f t="shared" si="46"/>
        <v>#DIV/0!</v>
      </c>
      <c r="V56" s="898">
        <f t="shared" si="47"/>
        <v>0</v>
      </c>
      <c r="W56" s="970">
        <f t="shared" si="48"/>
        <v>0</v>
      </c>
      <c r="X56" s="971" t="e">
        <f t="shared" si="49"/>
        <v>#DIV/0!</v>
      </c>
      <c r="Y56" s="847"/>
      <c r="Z56" s="911" t="e">
        <f t="shared" si="50"/>
        <v>#DIV/0!</v>
      </c>
      <c r="AA56" s="972"/>
      <c r="AB56" s="848" t="e">
        <f t="shared" si="51"/>
        <v>#DIV/0!</v>
      </c>
      <c r="AC56" s="973"/>
      <c r="AD56" s="848" t="e">
        <f t="shared" si="52"/>
        <v>#DIV/0!</v>
      </c>
      <c r="AE56" s="974" t="e">
        <f t="shared" si="53"/>
        <v>#DIV/0!</v>
      </c>
      <c r="AF56" s="849" t="e">
        <f t="shared" si="54"/>
        <v>#DIV/0!</v>
      </c>
      <c r="AG56" s="850" t="e">
        <f t="shared" si="55"/>
        <v>#DIV/0!</v>
      </c>
      <c r="AH56" s="974" t="e">
        <f t="shared" si="56"/>
        <v>#DIV/0!</v>
      </c>
      <c r="AI56" s="851"/>
      <c r="AJ56" s="852" t="e">
        <f t="shared" si="57"/>
        <v>#DIV/0!</v>
      </c>
      <c r="AK56" s="975" t="e">
        <f t="shared" si="58"/>
        <v>#DIV/0!</v>
      </c>
      <c r="AL56" s="850" t="e">
        <f t="shared" si="59"/>
        <v>#DIV/0!</v>
      </c>
      <c r="AM56" s="975" t="e">
        <f t="shared" si="60"/>
        <v>#DIV/0!</v>
      </c>
      <c r="AN56" s="853"/>
      <c r="AO56" s="976" t="e">
        <f t="shared" si="61"/>
        <v>#DIV/0!</v>
      </c>
      <c r="AP56" s="912"/>
      <c r="AQ56" s="977"/>
      <c r="AR56" s="978">
        <f t="shared" si="62"/>
        <v>0</v>
      </c>
      <c r="AS56" s="919" t="e">
        <f t="shared" si="63"/>
        <v>#DIV/0!</v>
      </c>
      <c r="AT56" s="920" t="e">
        <f t="shared" si="64"/>
        <v>#DIV/0!</v>
      </c>
      <c r="AU56" s="913"/>
      <c r="AV56" s="854"/>
      <c r="AW56" s="914"/>
      <c r="AX56" s="979"/>
      <c r="AY56" s="855">
        <f t="shared" si="65"/>
        <v>0</v>
      </c>
      <c r="AZ56" s="918" t="e">
        <f t="shared" si="66"/>
        <v>#DIV/0!</v>
      </c>
      <c r="BA56" s="917" t="e">
        <f t="shared" si="67"/>
        <v>#DIV/0!</v>
      </c>
      <c r="BB56" s="916"/>
      <c r="BC56" s="855"/>
      <c r="BD56" s="915">
        <f t="shared" si="68"/>
        <v>1</v>
      </c>
      <c r="BE56" s="980"/>
      <c r="BF56" s="856"/>
      <c r="BG56" s="857">
        <f t="shared" si="69"/>
        <v>0</v>
      </c>
      <c r="BH56" s="981">
        <f t="shared" si="70"/>
        <v>-1</v>
      </c>
      <c r="BI56" s="858"/>
      <c r="BJ56" s="856"/>
      <c r="BK56" s="859">
        <f t="shared" si="71"/>
        <v>0</v>
      </c>
    </row>
    <row r="57" spans="1:63" ht="35.1" customHeight="1" x14ac:dyDescent="0.25">
      <c r="A57" s="963"/>
      <c r="B57" s="964"/>
      <c r="C57" s="965"/>
      <c r="D57" s="966"/>
      <c r="E57" s="965"/>
      <c r="F57" s="965"/>
      <c r="G57" s="967"/>
      <c r="H57" s="968"/>
      <c r="I57" s="861" t="e">
        <f t="shared" si="36"/>
        <v>#DIV/0!</v>
      </c>
      <c r="J57" s="894" t="e">
        <f t="shared" si="37"/>
        <v>#DIV/0!</v>
      </c>
      <c r="K57" s="904"/>
      <c r="L57" s="861" t="e">
        <f t="shared" si="38"/>
        <v>#DIV/0!</v>
      </c>
      <c r="M57" s="895" t="e">
        <f t="shared" si="39"/>
        <v>#DIV/0!</v>
      </c>
      <c r="N57" s="905"/>
      <c r="O57" s="907" t="e">
        <f t="shared" si="40"/>
        <v>#DIV/0!</v>
      </c>
      <c r="P57" s="906" t="e">
        <f t="shared" si="41"/>
        <v>#DIV/0!</v>
      </c>
      <c r="Q57" s="897" t="e">
        <f t="shared" si="42"/>
        <v>#DIV/0!</v>
      </c>
      <c r="R57" s="970" t="e">
        <f t="shared" si="43"/>
        <v>#DIV/0!</v>
      </c>
      <c r="S57" s="969" t="e">
        <f t="shared" si="44"/>
        <v>#DIV/0!</v>
      </c>
      <c r="T57" s="909" t="e">
        <f t="shared" si="45"/>
        <v>#DIV/0!</v>
      </c>
      <c r="U57" s="896" t="e">
        <f t="shared" si="46"/>
        <v>#DIV/0!</v>
      </c>
      <c r="V57" s="898">
        <f t="shared" si="47"/>
        <v>0</v>
      </c>
      <c r="W57" s="970">
        <f t="shared" si="48"/>
        <v>0</v>
      </c>
      <c r="X57" s="971" t="e">
        <f t="shared" si="49"/>
        <v>#DIV/0!</v>
      </c>
      <c r="Y57" s="847"/>
      <c r="Z57" s="911" t="e">
        <f t="shared" si="50"/>
        <v>#DIV/0!</v>
      </c>
      <c r="AA57" s="972"/>
      <c r="AB57" s="848" t="e">
        <f t="shared" si="51"/>
        <v>#DIV/0!</v>
      </c>
      <c r="AC57" s="973"/>
      <c r="AD57" s="848" t="e">
        <f t="shared" si="52"/>
        <v>#DIV/0!</v>
      </c>
      <c r="AE57" s="974" t="e">
        <f t="shared" si="53"/>
        <v>#DIV/0!</v>
      </c>
      <c r="AF57" s="849" t="e">
        <f t="shared" si="54"/>
        <v>#DIV/0!</v>
      </c>
      <c r="AG57" s="850" t="e">
        <f t="shared" si="55"/>
        <v>#DIV/0!</v>
      </c>
      <c r="AH57" s="974" t="e">
        <f t="shared" si="56"/>
        <v>#DIV/0!</v>
      </c>
      <c r="AI57" s="851"/>
      <c r="AJ57" s="852" t="e">
        <f t="shared" si="57"/>
        <v>#DIV/0!</v>
      </c>
      <c r="AK57" s="975" t="e">
        <f t="shared" si="58"/>
        <v>#DIV/0!</v>
      </c>
      <c r="AL57" s="850" t="e">
        <f t="shared" si="59"/>
        <v>#DIV/0!</v>
      </c>
      <c r="AM57" s="975" t="e">
        <f t="shared" si="60"/>
        <v>#DIV/0!</v>
      </c>
      <c r="AN57" s="853"/>
      <c r="AO57" s="976" t="e">
        <f t="shared" si="61"/>
        <v>#DIV/0!</v>
      </c>
      <c r="AP57" s="912"/>
      <c r="AQ57" s="977"/>
      <c r="AR57" s="978">
        <f t="shared" si="62"/>
        <v>0</v>
      </c>
      <c r="AS57" s="919" t="e">
        <f t="shared" si="63"/>
        <v>#DIV/0!</v>
      </c>
      <c r="AT57" s="920" t="e">
        <f t="shared" si="64"/>
        <v>#DIV/0!</v>
      </c>
      <c r="AU57" s="913"/>
      <c r="AV57" s="854"/>
      <c r="AW57" s="914"/>
      <c r="AX57" s="979"/>
      <c r="AY57" s="855">
        <f t="shared" si="65"/>
        <v>0</v>
      </c>
      <c r="AZ57" s="918" t="e">
        <f t="shared" si="66"/>
        <v>#DIV/0!</v>
      </c>
      <c r="BA57" s="917" t="e">
        <f t="shared" si="67"/>
        <v>#DIV/0!</v>
      </c>
      <c r="BB57" s="916"/>
      <c r="BC57" s="855"/>
      <c r="BD57" s="915">
        <f t="shared" si="68"/>
        <v>1</v>
      </c>
      <c r="BE57" s="980"/>
      <c r="BF57" s="856"/>
      <c r="BG57" s="857">
        <f t="shared" si="69"/>
        <v>0</v>
      </c>
      <c r="BH57" s="981">
        <f t="shared" si="70"/>
        <v>-1</v>
      </c>
      <c r="BI57" s="858"/>
      <c r="BJ57" s="856"/>
      <c r="BK57" s="859">
        <f t="shared" si="71"/>
        <v>0</v>
      </c>
    </row>
    <row r="58" spans="1:63" ht="35.1" customHeight="1" x14ac:dyDescent="0.25">
      <c r="A58" s="963"/>
      <c r="B58" s="964"/>
      <c r="C58" s="965"/>
      <c r="D58" s="966"/>
      <c r="E58" s="965"/>
      <c r="F58" s="965"/>
      <c r="G58" s="967"/>
      <c r="H58" s="968"/>
      <c r="I58" s="861" t="e">
        <f t="shared" si="36"/>
        <v>#DIV/0!</v>
      </c>
      <c r="J58" s="894" t="e">
        <f t="shared" si="37"/>
        <v>#DIV/0!</v>
      </c>
      <c r="K58" s="904"/>
      <c r="L58" s="861" t="e">
        <f t="shared" si="38"/>
        <v>#DIV/0!</v>
      </c>
      <c r="M58" s="895" t="e">
        <f t="shared" si="39"/>
        <v>#DIV/0!</v>
      </c>
      <c r="N58" s="905"/>
      <c r="O58" s="907" t="e">
        <f t="shared" si="40"/>
        <v>#DIV/0!</v>
      </c>
      <c r="P58" s="906" t="e">
        <f t="shared" si="41"/>
        <v>#DIV/0!</v>
      </c>
      <c r="Q58" s="897" t="e">
        <f t="shared" si="42"/>
        <v>#DIV/0!</v>
      </c>
      <c r="R58" s="970" t="e">
        <f t="shared" si="43"/>
        <v>#DIV/0!</v>
      </c>
      <c r="S58" s="969" t="e">
        <f t="shared" si="44"/>
        <v>#DIV/0!</v>
      </c>
      <c r="T58" s="909" t="e">
        <f t="shared" si="45"/>
        <v>#DIV/0!</v>
      </c>
      <c r="U58" s="896" t="e">
        <f t="shared" si="46"/>
        <v>#DIV/0!</v>
      </c>
      <c r="V58" s="898">
        <f t="shared" si="47"/>
        <v>0</v>
      </c>
      <c r="W58" s="970">
        <f t="shared" si="48"/>
        <v>0</v>
      </c>
      <c r="X58" s="971" t="e">
        <f t="shared" si="49"/>
        <v>#DIV/0!</v>
      </c>
      <c r="Y58" s="847"/>
      <c r="Z58" s="911" t="e">
        <f t="shared" si="50"/>
        <v>#DIV/0!</v>
      </c>
      <c r="AA58" s="972"/>
      <c r="AB58" s="848" t="e">
        <f t="shared" si="51"/>
        <v>#DIV/0!</v>
      </c>
      <c r="AC58" s="973"/>
      <c r="AD58" s="848" t="e">
        <f t="shared" si="52"/>
        <v>#DIV/0!</v>
      </c>
      <c r="AE58" s="974" t="e">
        <f t="shared" si="53"/>
        <v>#DIV/0!</v>
      </c>
      <c r="AF58" s="849" t="e">
        <f t="shared" si="54"/>
        <v>#DIV/0!</v>
      </c>
      <c r="AG58" s="850" t="e">
        <f t="shared" si="55"/>
        <v>#DIV/0!</v>
      </c>
      <c r="AH58" s="974" t="e">
        <f t="shared" si="56"/>
        <v>#DIV/0!</v>
      </c>
      <c r="AI58" s="851"/>
      <c r="AJ58" s="852" t="e">
        <f t="shared" si="57"/>
        <v>#DIV/0!</v>
      </c>
      <c r="AK58" s="975" t="e">
        <f t="shared" si="58"/>
        <v>#DIV/0!</v>
      </c>
      <c r="AL58" s="850" t="e">
        <f t="shared" si="59"/>
        <v>#DIV/0!</v>
      </c>
      <c r="AM58" s="975" t="e">
        <f t="shared" si="60"/>
        <v>#DIV/0!</v>
      </c>
      <c r="AN58" s="853"/>
      <c r="AO58" s="976" t="e">
        <f t="shared" si="61"/>
        <v>#DIV/0!</v>
      </c>
      <c r="AP58" s="912"/>
      <c r="AQ58" s="977"/>
      <c r="AR58" s="978">
        <f t="shared" si="62"/>
        <v>0</v>
      </c>
      <c r="AS58" s="919" t="e">
        <f t="shared" si="63"/>
        <v>#DIV/0!</v>
      </c>
      <c r="AT58" s="920" t="e">
        <f t="shared" si="64"/>
        <v>#DIV/0!</v>
      </c>
      <c r="AU58" s="913"/>
      <c r="AV58" s="854"/>
      <c r="AW58" s="914"/>
      <c r="AX58" s="979"/>
      <c r="AY58" s="855">
        <f t="shared" si="65"/>
        <v>0</v>
      </c>
      <c r="AZ58" s="918" t="e">
        <f t="shared" si="66"/>
        <v>#DIV/0!</v>
      </c>
      <c r="BA58" s="917" t="e">
        <f t="shared" si="67"/>
        <v>#DIV/0!</v>
      </c>
      <c r="BB58" s="916"/>
      <c r="BC58" s="855"/>
      <c r="BD58" s="915">
        <f t="shared" si="68"/>
        <v>1</v>
      </c>
      <c r="BE58" s="980"/>
      <c r="BF58" s="856"/>
      <c r="BG58" s="857">
        <f t="shared" si="69"/>
        <v>0</v>
      </c>
      <c r="BH58" s="981">
        <f t="shared" si="70"/>
        <v>-1</v>
      </c>
      <c r="BI58" s="858"/>
      <c r="BJ58" s="856"/>
      <c r="BK58" s="859">
        <f t="shared" si="71"/>
        <v>0</v>
      </c>
    </row>
    <row r="59" spans="1:63" ht="35.1" customHeight="1" x14ac:dyDescent="0.25">
      <c r="A59" s="963"/>
      <c r="B59" s="964"/>
      <c r="C59" s="965"/>
      <c r="D59" s="966"/>
      <c r="E59" s="965"/>
      <c r="F59" s="965"/>
      <c r="G59" s="967"/>
      <c r="H59" s="968"/>
      <c r="I59" s="861" t="e">
        <f t="shared" si="36"/>
        <v>#DIV/0!</v>
      </c>
      <c r="J59" s="894" t="e">
        <f t="shared" si="37"/>
        <v>#DIV/0!</v>
      </c>
      <c r="K59" s="904"/>
      <c r="L59" s="861" t="e">
        <f t="shared" si="38"/>
        <v>#DIV/0!</v>
      </c>
      <c r="M59" s="895" t="e">
        <f t="shared" si="39"/>
        <v>#DIV/0!</v>
      </c>
      <c r="N59" s="905"/>
      <c r="O59" s="907" t="e">
        <f t="shared" si="40"/>
        <v>#DIV/0!</v>
      </c>
      <c r="P59" s="906" t="e">
        <f t="shared" si="41"/>
        <v>#DIV/0!</v>
      </c>
      <c r="Q59" s="897" t="e">
        <f t="shared" si="42"/>
        <v>#DIV/0!</v>
      </c>
      <c r="R59" s="970" t="e">
        <f t="shared" si="43"/>
        <v>#DIV/0!</v>
      </c>
      <c r="S59" s="969" t="e">
        <f t="shared" si="44"/>
        <v>#DIV/0!</v>
      </c>
      <c r="T59" s="909" t="e">
        <f t="shared" si="45"/>
        <v>#DIV/0!</v>
      </c>
      <c r="U59" s="896" t="e">
        <f t="shared" si="46"/>
        <v>#DIV/0!</v>
      </c>
      <c r="V59" s="898">
        <f t="shared" si="47"/>
        <v>0</v>
      </c>
      <c r="W59" s="970">
        <f t="shared" si="48"/>
        <v>0</v>
      </c>
      <c r="X59" s="971" t="e">
        <f t="shared" si="49"/>
        <v>#DIV/0!</v>
      </c>
      <c r="Y59" s="847"/>
      <c r="Z59" s="911" t="e">
        <f t="shared" si="50"/>
        <v>#DIV/0!</v>
      </c>
      <c r="AA59" s="972"/>
      <c r="AB59" s="848" t="e">
        <f t="shared" si="51"/>
        <v>#DIV/0!</v>
      </c>
      <c r="AC59" s="973"/>
      <c r="AD59" s="848" t="e">
        <f t="shared" si="52"/>
        <v>#DIV/0!</v>
      </c>
      <c r="AE59" s="974" t="e">
        <f t="shared" si="53"/>
        <v>#DIV/0!</v>
      </c>
      <c r="AF59" s="849" t="e">
        <f t="shared" si="54"/>
        <v>#DIV/0!</v>
      </c>
      <c r="AG59" s="850" t="e">
        <f t="shared" si="55"/>
        <v>#DIV/0!</v>
      </c>
      <c r="AH59" s="974" t="e">
        <f t="shared" si="56"/>
        <v>#DIV/0!</v>
      </c>
      <c r="AI59" s="851"/>
      <c r="AJ59" s="852" t="e">
        <f t="shared" si="57"/>
        <v>#DIV/0!</v>
      </c>
      <c r="AK59" s="975" t="e">
        <f t="shared" si="58"/>
        <v>#DIV/0!</v>
      </c>
      <c r="AL59" s="850" t="e">
        <f t="shared" si="59"/>
        <v>#DIV/0!</v>
      </c>
      <c r="AM59" s="975" t="e">
        <f t="shared" si="60"/>
        <v>#DIV/0!</v>
      </c>
      <c r="AN59" s="853"/>
      <c r="AO59" s="976" t="e">
        <f t="shared" si="61"/>
        <v>#DIV/0!</v>
      </c>
      <c r="AP59" s="912"/>
      <c r="AQ59" s="977"/>
      <c r="AR59" s="978">
        <f t="shared" si="62"/>
        <v>0</v>
      </c>
      <c r="AS59" s="919" t="e">
        <f t="shared" si="63"/>
        <v>#DIV/0!</v>
      </c>
      <c r="AT59" s="920" t="e">
        <f t="shared" si="64"/>
        <v>#DIV/0!</v>
      </c>
      <c r="AU59" s="913"/>
      <c r="AV59" s="854"/>
      <c r="AW59" s="914"/>
      <c r="AX59" s="979"/>
      <c r="AY59" s="855">
        <f t="shared" si="65"/>
        <v>0</v>
      </c>
      <c r="AZ59" s="918" t="e">
        <f t="shared" si="66"/>
        <v>#DIV/0!</v>
      </c>
      <c r="BA59" s="917" t="e">
        <f t="shared" si="67"/>
        <v>#DIV/0!</v>
      </c>
      <c r="BB59" s="916"/>
      <c r="BC59" s="855"/>
      <c r="BD59" s="915">
        <f t="shared" si="68"/>
        <v>1</v>
      </c>
      <c r="BE59" s="980"/>
      <c r="BF59" s="856"/>
      <c r="BG59" s="857">
        <f t="shared" si="69"/>
        <v>0</v>
      </c>
      <c r="BH59" s="981">
        <f t="shared" si="70"/>
        <v>-1</v>
      </c>
      <c r="BI59" s="858"/>
      <c r="BJ59" s="856"/>
      <c r="BK59" s="859">
        <f t="shared" si="71"/>
        <v>0</v>
      </c>
    </row>
    <row r="60" spans="1:63" ht="35.1" customHeight="1" x14ac:dyDescent="0.25">
      <c r="A60" s="963"/>
      <c r="B60" s="964"/>
      <c r="C60" s="965"/>
      <c r="D60" s="966"/>
      <c r="E60" s="965"/>
      <c r="F60" s="965"/>
      <c r="G60" s="967"/>
      <c r="H60" s="968"/>
      <c r="I60" s="861" t="e">
        <f t="shared" si="36"/>
        <v>#DIV/0!</v>
      </c>
      <c r="J60" s="894" t="e">
        <f t="shared" si="37"/>
        <v>#DIV/0!</v>
      </c>
      <c r="K60" s="904"/>
      <c r="L60" s="861" t="e">
        <f t="shared" si="38"/>
        <v>#DIV/0!</v>
      </c>
      <c r="M60" s="895" t="e">
        <f t="shared" si="39"/>
        <v>#DIV/0!</v>
      </c>
      <c r="N60" s="905"/>
      <c r="O60" s="907" t="e">
        <f t="shared" si="40"/>
        <v>#DIV/0!</v>
      </c>
      <c r="P60" s="906" t="e">
        <f t="shared" si="41"/>
        <v>#DIV/0!</v>
      </c>
      <c r="Q60" s="897" t="e">
        <f t="shared" si="42"/>
        <v>#DIV/0!</v>
      </c>
      <c r="R60" s="970" t="e">
        <f t="shared" si="43"/>
        <v>#DIV/0!</v>
      </c>
      <c r="S60" s="969" t="e">
        <f t="shared" si="44"/>
        <v>#DIV/0!</v>
      </c>
      <c r="T60" s="909" t="e">
        <f t="shared" si="45"/>
        <v>#DIV/0!</v>
      </c>
      <c r="U60" s="896" t="e">
        <f t="shared" si="46"/>
        <v>#DIV/0!</v>
      </c>
      <c r="V60" s="898">
        <f t="shared" si="47"/>
        <v>0</v>
      </c>
      <c r="W60" s="970">
        <f t="shared" si="48"/>
        <v>0</v>
      </c>
      <c r="X60" s="971" t="e">
        <f t="shared" si="49"/>
        <v>#DIV/0!</v>
      </c>
      <c r="Y60" s="847"/>
      <c r="Z60" s="911" t="e">
        <f t="shared" si="50"/>
        <v>#DIV/0!</v>
      </c>
      <c r="AA60" s="972"/>
      <c r="AB60" s="848" t="e">
        <f t="shared" si="51"/>
        <v>#DIV/0!</v>
      </c>
      <c r="AC60" s="973"/>
      <c r="AD60" s="848" t="e">
        <f t="shared" si="52"/>
        <v>#DIV/0!</v>
      </c>
      <c r="AE60" s="974" t="e">
        <f t="shared" si="53"/>
        <v>#DIV/0!</v>
      </c>
      <c r="AF60" s="849" t="e">
        <f t="shared" si="54"/>
        <v>#DIV/0!</v>
      </c>
      <c r="AG60" s="850" t="e">
        <f t="shared" si="55"/>
        <v>#DIV/0!</v>
      </c>
      <c r="AH60" s="974" t="e">
        <f t="shared" si="56"/>
        <v>#DIV/0!</v>
      </c>
      <c r="AI60" s="851"/>
      <c r="AJ60" s="852" t="e">
        <f t="shared" si="57"/>
        <v>#DIV/0!</v>
      </c>
      <c r="AK60" s="975" t="e">
        <f t="shared" si="58"/>
        <v>#DIV/0!</v>
      </c>
      <c r="AL60" s="850" t="e">
        <f t="shared" si="59"/>
        <v>#DIV/0!</v>
      </c>
      <c r="AM60" s="975" t="e">
        <f t="shared" si="60"/>
        <v>#DIV/0!</v>
      </c>
      <c r="AN60" s="853"/>
      <c r="AO60" s="976" t="e">
        <f t="shared" si="61"/>
        <v>#DIV/0!</v>
      </c>
      <c r="AP60" s="912"/>
      <c r="AQ60" s="977"/>
      <c r="AR60" s="978">
        <f t="shared" si="62"/>
        <v>0</v>
      </c>
      <c r="AS60" s="919" t="e">
        <f t="shared" si="63"/>
        <v>#DIV/0!</v>
      </c>
      <c r="AT60" s="920" t="e">
        <f t="shared" si="64"/>
        <v>#DIV/0!</v>
      </c>
      <c r="AU60" s="913"/>
      <c r="AV60" s="854"/>
      <c r="AW60" s="914"/>
      <c r="AX60" s="979"/>
      <c r="AY60" s="855">
        <f t="shared" si="65"/>
        <v>0</v>
      </c>
      <c r="AZ60" s="918" t="e">
        <f t="shared" si="66"/>
        <v>#DIV/0!</v>
      </c>
      <c r="BA60" s="917" t="e">
        <f t="shared" si="67"/>
        <v>#DIV/0!</v>
      </c>
      <c r="BB60" s="916"/>
      <c r="BC60" s="855"/>
      <c r="BD60" s="915">
        <f t="shared" si="68"/>
        <v>1</v>
      </c>
      <c r="BE60" s="980"/>
      <c r="BF60" s="856"/>
      <c r="BG60" s="857">
        <f t="shared" si="69"/>
        <v>0</v>
      </c>
      <c r="BH60" s="981">
        <f t="shared" si="70"/>
        <v>-1</v>
      </c>
      <c r="BI60" s="858"/>
      <c r="BJ60" s="856"/>
      <c r="BK60" s="859">
        <f t="shared" si="71"/>
        <v>0</v>
      </c>
    </row>
    <row r="61" spans="1:63" ht="35.1" customHeight="1" x14ac:dyDescent="0.25">
      <c r="A61" s="963"/>
      <c r="B61" s="964"/>
      <c r="C61" s="965"/>
      <c r="D61" s="966"/>
      <c r="E61" s="965"/>
      <c r="F61" s="965"/>
      <c r="G61" s="967"/>
      <c r="H61" s="968"/>
      <c r="I61" s="861" t="e">
        <f t="shared" si="36"/>
        <v>#DIV/0!</v>
      </c>
      <c r="J61" s="894" t="e">
        <f t="shared" si="37"/>
        <v>#DIV/0!</v>
      </c>
      <c r="K61" s="904"/>
      <c r="L61" s="861" t="e">
        <f t="shared" si="38"/>
        <v>#DIV/0!</v>
      </c>
      <c r="M61" s="895" t="e">
        <f t="shared" si="39"/>
        <v>#DIV/0!</v>
      </c>
      <c r="N61" s="905"/>
      <c r="O61" s="907" t="e">
        <f t="shared" si="40"/>
        <v>#DIV/0!</v>
      </c>
      <c r="P61" s="906" t="e">
        <f t="shared" si="41"/>
        <v>#DIV/0!</v>
      </c>
      <c r="Q61" s="897" t="e">
        <f t="shared" si="42"/>
        <v>#DIV/0!</v>
      </c>
      <c r="R61" s="970" t="e">
        <f t="shared" si="43"/>
        <v>#DIV/0!</v>
      </c>
      <c r="S61" s="969" t="e">
        <f t="shared" si="44"/>
        <v>#DIV/0!</v>
      </c>
      <c r="T61" s="909" t="e">
        <f t="shared" si="45"/>
        <v>#DIV/0!</v>
      </c>
      <c r="U61" s="896" t="e">
        <f t="shared" si="46"/>
        <v>#DIV/0!</v>
      </c>
      <c r="V61" s="898">
        <f t="shared" si="47"/>
        <v>0</v>
      </c>
      <c r="W61" s="970">
        <f t="shared" si="48"/>
        <v>0</v>
      </c>
      <c r="X61" s="971" t="e">
        <f t="shared" si="49"/>
        <v>#DIV/0!</v>
      </c>
      <c r="Y61" s="847"/>
      <c r="Z61" s="911" t="e">
        <f t="shared" si="50"/>
        <v>#DIV/0!</v>
      </c>
      <c r="AA61" s="972"/>
      <c r="AB61" s="848" t="e">
        <f t="shared" si="51"/>
        <v>#DIV/0!</v>
      </c>
      <c r="AC61" s="973"/>
      <c r="AD61" s="848" t="e">
        <f t="shared" si="52"/>
        <v>#DIV/0!</v>
      </c>
      <c r="AE61" s="974" t="e">
        <f t="shared" si="53"/>
        <v>#DIV/0!</v>
      </c>
      <c r="AF61" s="849" t="e">
        <f t="shared" si="54"/>
        <v>#DIV/0!</v>
      </c>
      <c r="AG61" s="850" t="e">
        <f t="shared" si="55"/>
        <v>#DIV/0!</v>
      </c>
      <c r="AH61" s="974" t="e">
        <f t="shared" si="56"/>
        <v>#DIV/0!</v>
      </c>
      <c r="AI61" s="851"/>
      <c r="AJ61" s="852" t="e">
        <f t="shared" si="57"/>
        <v>#DIV/0!</v>
      </c>
      <c r="AK61" s="975" t="e">
        <f t="shared" si="58"/>
        <v>#DIV/0!</v>
      </c>
      <c r="AL61" s="850" t="e">
        <f t="shared" si="59"/>
        <v>#DIV/0!</v>
      </c>
      <c r="AM61" s="975" t="e">
        <f t="shared" si="60"/>
        <v>#DIV/0!</v>
      </c>
      <c r="AN61" s="853"/>
      <c r="AO61" s="976" t="e">
        <f t="shared" si="61"/>
        <v>#DIV/0!</v>
      </c>
      <c r="AP61" s="912"/>
      <c r="AQ61" s="977"/>
      <c r="AR61" s="978">
        <f t="shared" si="62"/>
        <v>0</v>
      </c>
      <c r="AS61" s="919" t="e">
        <f t="shared" si="63"/>
        <v>#DIV/0!</v>
      </c>
      <c r="AT61" s="920" t="e">
        <f t="shared" si="64"/>
        <v>#DIV/0!</v>
      </c>
      <c r="AU61" s="913"/>
      <c r="AV61" s="854"/>
      <c r="AW61" s="914"/>
      <c r="AX61" s="979"/>
      <c r="AY61" s="855">
        <f t="shared" si="65"/>
        <v>0</v>
      </c>
      <c r="AZ61" s="918" t="e">
        <f t="shared" si="66"/>
        <v>#DIV/0!</v>
      </c>
      <c r="BA61" s="917" t="e">
        <f t="shared" si="67"/>
        <v>#DIV/0!</v>
      </c>
      <c r="BB61" s="916"/>
      <c r="BC61" s="855"/>
      <c r="BD61" s="915">
        <f t="shared" si="68"/>
        <v>1</v>
      </c>
      <c r="BE61" s="980"/>
      <c r="BF61" s="856"/>
      <c r="BG61" s="857">
        <f t="shared" si="69"/>
        <v>0</v>
      </c>
      <c r="BH61" s="981">
        <f t="shared" si="70"/>
        <v>-1</v>
      </c>
      <c r="BI61" s="858"/>
      <c r="BJ61" s="856"/>
      <c r="BK61" s="859">
        <f t="shared" si="71"/>
        <v>0</v>
      </c>
    </row>
    <row r="62" spans="1:63" ht="35.1" customHeight="1" x14ac:dyDescent="0.25">
      <c r="A62" s="963"/>
      <c r="B62" s="964"/>
      <c r="C62" s="965"/>
      <c r="D62" s="966"/>
      <c r="E62" s="965"/>
      <c r="F62" s="965"/>
      <c r="G62" s="967"/>
      <c r="H62" s="968"/>
      <c r="I62" s="861" t="e">
        <f t="shared" si="36"/>
        <v>#DIV/0!</v>
      </c>
      <c r="J62" s="894" t="e">
        <f t="shared" si="37"/>
        <v>#DIV/0!</v>
      </c>
      <c r="K62" s="904"/>
      <c r="L62" s="861" t="e">
        <f t="shared" si="38"/>
        <v>#DIV/0!</v>
      </c>
      <c r="M62" s="895" t="e">
        <f t="shared" si="39"/>
        <v>#DIV/0!</v>
      </c>
      <c r="N62" s="905"/>
      <c r="O62" s="907" t="e">
        <f t="shared" si="40"/>
        <v>#DIV/0!</v>
      </c>
      <c r="P62" s="906" t="e">
        <f t="shared" si="41"/>
        <v>#DIV/0!</v>
      </c>
      <c r="Q62" s="897" t="e">
        <f t="shared" si="42"/>
        <v>#DIV/0!</v>
      </c>
      <c r="R62" s="970" t="e">
        <f t="shared" si="43"/>
        <v>#DIV/0!</v>
      </c>
      <c r="S62" s="969" t="e">
        <f t="shared" si="44"/>
        <v>#DIV/0!</v>
      </c>
      <c r="T62" s="909" t="e">
        <f t="shared" si="45"/>
        <v>#DIV/0!</v>
      </c>
      <c r="U62" s="896" t="e">
        <f t="shared" si="46"/>
        <v>#DIV/0!</v>
      </c>
      <c r="V62" s="898">
        <f t="shared" si="47"/>
        <v>0</v>
      </c>
      <c r="W62" s="970">
        <f t="shared" si="48"/>
        <v>0</v>
      </c>
      <c r="X62" s="971" t="e">
        <f t="shared" si="49"/>
        <v>#DIV/0!</v>
      </c>
      <c r="Y62" s="847"/>
      <c r="Z62" s="911" t="e">
        <f t="shared" si="50"/>
        <v>#DIV/0!</v>
      </c>
      <c r="AA62" s="972"/>
      <c r="AB62" s="848" t="e">
        <f t="shared" si="51"/>
        <v>#DIV/0!</v>
      </c>
      <c r="AC62" s="973"/>
      <c r="AD62" s="848" t="e">
        <f t="shared" si="52"/>
        <v>#DIV/0!</v>
      </c>
      <c r="AE62" s="974" t="e">
        <f t="shared" si="53"/>
        <v>#DIV/0!</v>
      </c>
      <c r="AF62" s="849" t="e">
        <f t="shared" si="54"/>
        <v>#DIV/0!</v>
      </c>
      <c r="AG62" s="850" t="e">
        <f t="shared" si="55"/>
        <v>#DIV/0!</v>
      </c>
      <c r="AH62" s="974" t="e">
        <f t="shared" si="56"/>
        <v>#DIV/0!</v>
      </c>
      <c r="AI62" s="851"/>
      <c r="AJ62" s="852" t="e">
        <f t="shared" si="57"/>
        <v>#DIV/0!</v>
      </c>
      <c r="AK62" s="975" t="e">
        <f t="shared" si="58"/>
        <v>#DIV/0!</v>
      </c>
      <c r="AL62" s="850" t="e">
        <f t="shared" si="59"/>
        <v>#DIV/0!</v>
      </c>
      <c r="AM62" s="975" t="e">
        <f t="shared" si="60"/>
        <v>#DIV/0!</v>
      </c>
      <c r="AN62" s="853"/>
      <c r="AO62" s="976" t="e">
        <f t="shared" si="61"/>
        <v>#DIV/0!</v>
      </c>
      <c r="AP62" s="912"/>
      <c r="AQ62" s="977"/>
      <c r="AR62" s="978">
        <f t="shared" si="62"/>
        <v>0</v>
      </c>
      <c r="AS62" s="919" t="e">
        <f t="shared" si="63"/>
        <v>#DIV/0!</v>
      </c>
      <c r="AT62" s="920" t="e">
        <f t="shared" si="64"/>
        <v>#DIV/0!</v>
      </c>
      <c r="AU62" s="913"/>
      <c r="AV62" s="854"/>
      <c r="AW62" s="914"/>
      <c r="AX62" s="979"/>
      <c r="AY62" s="855">
        <f t="shared" si="65"/>
        <v>0</v>
      </c>
      <c r="AZ62" s="918" t="e">
        <f t="shared" si="66"/>
        <v>#DIV/0!</v>
      </c>
      <c r="BA62" s="917" t="e">
        <f t="shared" si="67"/>
        <v>#DIV/0!</v>
      </c>
      <c r="BB62" s="916"/>
      <c r="BC62" s="855"/>
      <c r="BD62" s="915">
        <f t="shared" si="68"/>
        <v>1</v>
      </c>
      <c r="BE62" s="980"/>
      <c r="BF62" s="856"/>
      <c r="BG62" s="857">
        <f t="shared" si="69"/>
        <v>0</v>
      </c>
      <c r="BH62" s="981">
        <f t="shared" si="70"/>
        <v>-1</v>
      </c>
      <c r="BI62" s="858"/>
      <c r="BJ62" s="856"/>
      <c r="BK62" s="859">
        <f t="shared" si="71"/>
        <v>0</v>
      </c>
    </row>
    <row r="63" spans="1:63" ht="35.1" customHeight="1" x14ac:dyDescent="0.25">
      <c r="A63" s="963"/>
      <c r="B63" s="964"/>
      <c r="C63" s="965"/>
      <c r="D63" s="966"/>
      <c r="E63" s="965"/>
      <c r="F63" s="965"/>
      <c r="G63" s="967"/>
      <c r="H63" s="968"/>
      <c r="I63" s="861" t="e">
        <f t="shared" si="36"/>
        <v>#DIV/0!</v>
      </c>
      <c r="J63" s="894" t="e">
        <f t="shared" si="37"/>
        <v>#DIV/0!</v>
      </c>
      <c r="K63" s="904"/>
      <c r="L63" s="861" t="e">
        <f t="shared" si="38"/>
        <v>#DIV/0!</v>
      </c>
      <c r="M63" s="895" t="e">
        <f t="shared" si="39"/>
        <v>#DIV/0!</v>
      </c>
      <c r="N63" s="905"/>
      <c r="O63" s="907" t="e">
        <f t="shared" si="40"/>
        <v>#DIV/0!</v>
      </c>
      <c r="P63" s="906" t="e">
        <f t="shared" si="41"/>
        <v>#DIV/0!</v>
      </c>
      <c r="Q63" s="897" t="e">
        <f t="shared" si="42"/>
        <v>#DIV/0!</v>
      </c>
      <c r="R63" s="970" t="e">
        <f t="shared" si="43"/>
        <v>#DIV/0!</v>
      </c>
      <c r="S63" s="969" t="e">
        <f t="shared" si="44"/>
        <v>#DIV/0!</v>
      </c>
      <c r="T63" s="909" t="e">
        <f t="shared" si="45"/>
        <v>#DIV/0!</v>
      </c>
      <c r="U63" s="896" t="e">
        <f t="shared" si="46"/>
        <v>#DIV/0!</v>
      </c>
      <c r="V63" s="898">
        <f t="shared" si="47"/>
        <v>0</v>
      </c>
      <c r="W63" s="970">
        <f t="shared" si="48"/>
        <v>0</v>
      </c>
      <c r="X63" s="971" t="e">
        <f t="shared" si="49"/>
        <v>#DIV/0!</v>
      </c>
      <c r="Y63" s="847"/>
      <c r="Z63" s="911" t="e">
        <f t="shared" si="50"/>
        <v>#DIV/0!</v>
      </c>
      <c r="AA63" s="972"/>
      <c r="AB63" s="848" t="e">
        <f t="shared" si="51"/>
        <v>#DIV/0!</v>
      </c>
      <c r="AC63" s="973"/>
      <c r="AD63" s="848" t="e">
        <f t="shared" si="52"/>
        <v>#DIV/0!</v>
      </c>
      <c r="AE63" s="974" t="e">
        <f t="shared" si="53"/>
        <v>#DIV/0!</v>
      </c>
      <c r="AF63" s="849" t="e">
        <f t="shared" si="54"/>
        <v>#DIV/0!</v>
      </c>
      <c r="AG63" s="850" t="e">
        <f t="shared" si="55"/>
        <v>#DIV/0!</v>
      </c>
      <c r="AH63" s="974" t="e">
        <f t="shared" si="56"/>
        <v>#DIV/0!</v>
      </c>
      <c r="AI63" s="851"/>
      <c r="AJ63" s="852" t="e">
        <f t="shared" si="57"/>
        <v>#DIV/0!</v>
      </c>
      <c r="AK63" s="975" t="e">
        <f t="shared" si="58"/>
        <v>#DIV/0!</v>
      </c>
      <c r="AL63" s="850" t="e">
        <f t="shared" si="59"/>
        <v>#DIV/0!</v>
      </c>
      <c r="AM63" s="975" t="e">
        <f t="shared" si="60"/>
        <v>#DIV/0!</v>
      </c>
      <c r="AN63" s="853"/>
      <c r="AO63" s="976" t="e">
        <f t="shared" si="61"/>
        <v>#DIV/0!</v>
      </c>
      <c r="AP63" s="912"/>
      <c r="AQ63" s="977"/>
      <c r="AR63" s="978">
        <f t="shared" si="62"/>
        <v>0</v>
      </c>
      <c r="AS63" s="919" t="e">
        <f t="shared" si="63"/>
        <v>#DIV/0!</v>
      </c>
      <c r="AT63" s="920" t="e">
        <f t="shared" si="64"/>
        <v>#DIV/0!</v>
      </c>
      <c r="AU63" s="913"/>
      <c r="AV63" s="854"/>
      <c r="AW63" s="914"/>
      <c r="AX63" s="979"/>
      <c r="AY63" s="855">
        <f t="shared" si="65"/>
        <v>0</v>
      </c>
      <c r="AZ63" s="918" t="e">
        <f t="shared" si="66"/>
        <v>#DIV/0!</v>
      </c>
      <c r="BA63" s="917" t="e">
        <f t="shared" si="67"/>
        <v>#DIV/0!</v>
      </c>
      <c r="BB63" s="916"/>
      <c r="BC63" s="855"/>
      <c r="BD63" s="915">
        <f t="shared" si="68"/>
        <v>1</v>
      </c>
      <c r="BE63" s="980"/>
      <c r="BF63" s="856"/>
      <c r="BG63" s="857">
        <f t="shared" si="69"/>
        <v>0</v>
      </c>
      <c r="BH63" s="981">
        <f t="shared" si="70"/>
        <v>-1</v>
      </c>
      <c r="BI63" s="858"/>
      <c r="BJ63" s="856"/>
      <c r="BK63" s="859">
        <f t="shared" si="71"/>
        <v>0</v>
      </c>
    </row>
    <row r="64" spans="1:63" ht="35.1" customHeight="1" x14ac:dyDescent="0.25">
      <c r="A64" s="963"/>
      <c r="B64" s="964"/>
      <c r="C64" s="965"/>
      <c r="D64" s="966"/>
      <c r="E64" s="965"/>
      <c r="F64" s="965"/>
      <c r="G64" s="967"/>
      <c r="H64" s="968"/>
      <c r="I64" s="861" t="e">
        <f t="shared" si="36"/>
        <v>#DIV/0!</v>
      </c>
      <c r="J64" s="894" t="e">
        <f t="shared" si="37"/>
        <v>#DIV/0!</v>
      </c>
      <c r="K64" s="904"/>
      <c r="L64" s="861" t="e">
        <f t="shared" si="38"/>
        <v>#DIV/0!</v>
      </c>
      <c r="M64" s="895" t="e">
        <f t="shared" si="39"/>
        <v>#DIV/0!</v>
      </c>
      <c r="N64" s="905"/>
      <c r="O64" s="907" t="e">
        <f t="shared" si="40"/>
        <v>#DIV/0!</v>
      </c>
      <c r="P64" s="906" t="e">
        <f t="shared" si="41"/>
        <v>#DIV/0!</v>
      </c>
      <c r="Q64" s="897" t="e">
        <f t="shared" si="42"/>
        <v>#DIV/0!</v>
      </c>
      <c r="R64" s="970" t="e">
        <f t="shared" si="43"/>
        <v>#DIV/0!</v>
      </c>
      <c r="S64" s="969" t="e">
        <f t="shared" si="44"/>
        <v>#DIV/0!</v>
      </c>
      <c r="T64" s="909" t="e">
        <f t="shared" si="45"/>
        <v>#DIV/0!</v>
      </c>
      <c r="U64" s="896" t="e">
        <f t="shared" si="46"/>
        <v>#DIV/0!</v>
      </c>
      <c r="V64" s="898">
        <f t="shared" si="47"/>
        <v>0</v>
      </c>
      <c r="W64" s="970">
        <f t="shared" si="48"/>
        <v>0</v>
      </c>
      <c r="X64" s="971" t="e">
        <f t="shared" si="49"/>
        <v>#DIV/0!</v>
      </c>
      <c r="Y64" s="847"/>
      <c r="Z64" s="911" t="e">
        <f t="shared" si="50"/>
        <v>#DIV/0!</v>
      </c>
      <c r="AA64" s="972"/>
      <c r="AB64" s="848" t="e">
        <f t="shared" si="51"/>
        <v>#DIV/0!</v>
      </c>
      <c r="AC64" s="973"/>
      <c r="AD64" s="848" t="e">
        <f t="shared" si="52"/>
        <v>#DIV/0!</v>
      </c>
      <c r="AE64" s="974" t="e">
        <f t="shared" si="53"/>
        <v>#DIV/0!</v>
      </c>
      <c r="AF64" s="849" t="e">
        <f t="shared" si="54"/>
        <v>#DIV/0!</v>
      </c>
      <c r="AG64" s="850" t="e">
        <f t="shared" si="55"/>
        <v>#DIV/0!</v>
      </c>
      <c r="AH64" s="974" t="e">
        <f t="shared" si="56"/>
        <v>#DIV/0!</v>
      </c>
      <c r="AI64" s="851"/>
      <c r="AJ64" s="852" t="e">
        <f t="shared" si="57"/>
        <v>#DIV/0!</v>
      </c>
      <c r="AK64" s="975" t="e">
        <f t="shared" si="58"/>
        <v>#DIV/0!</v>
      </c>
      <c r="AL64" s="850" t="e">
        <f t="shared" si="59"/>
        <v>#DIV/0!</v>
      </c>
      <c r="AM64" s="975" t="e">
        <f t="shared" si="60"/>
        <v>#DIV/0!</v>
      </c>
      <c r="AN64" s="853"/>
      <c r="AO64" s="976" t="e">
        <f t="shared" si="61"/>
        <v>#DIV/0!</v>
      </c>
      <c r="AP64" s="912"/>
      <c r="AQ64" s="977"/>
      <c r="AR64" s="978">
        <f t="shared" si="62"/>
        <v>0</v>
      </c>
      <c r="AS64" s="919" t="e">
        <f t="shared" si="63"/>
        <v>#DIV/0!</v>
      </c>
      <c r="AT64" s="920" t="e">
        <f t="shared" si="64"/>
        <v>#DIV/0!</v>
      </c>
      <c r="AU64" s="913"/>
      <c r="AV64" s="854"/>
      <c r="AW64" s="914"/>
      <c r="AX64" s="979"/>
      <c r="AY64" s="855">
        <f t="shared" si="65"/>
        <v>0</v>
      </c>
      <c r="AZ64" s="918" t="e">
        <f t="shared" si="66"/>
        <v>#DIV/0!</v>
      </c>
      <c r="BA64" s="917" t="e">
        <f t="shared" si="67"/>
        <v>#DIV/0!</v>
      </c>
      <c r="BB64" s="916"/>
      <c r="BC64" s="855"/>
      <c r="BD64" s="915">
        <f t="shared" si="68"/>
        <v>1</v>
      </c>
      <c r="BE64" s="980"/>
      <c r="BF64" s="856"/>
      <c r="BG64" s="857">
        <f t="shared" si="69"/>
        <v>0</v>
      </c>
      <c r="BH64" s="981">
        <f t="shared" si="70"/>
        <v>-1</v>
      </c>
      <c r="BI64" s="858"/>
      <c r="BJ64" s="856"/>
      <c r="BK64" s="859">
        <f t="shared" si="71"/>
        <v>0</v>
      </c>
    </row>
    <row r="65" spans="1:63" ht="35.1" customHeight="1" x14ac:dyDescent="0.25">
      <c r="A65" s="963"/>
      <c r="B65" s="964"/>
      <c r="C65" s="965"/>
      <c r="D65" s="966"/>
      <c r="E65" s="965"/>
      <c r="F65" s="965"/>
      <c r="G65" s="967"/>
      <c r="H65" s="968"/>
      <c r="I65" s="861" t="e">
        <f t="shared" si="36"/>
        <v>#DIV/0!</v>
      </c>
      <c r="J65" s="894" t="e">
        <f t="shared" si="37"/>
        <v>#DIV/0!</v>
      </c>
      <c r="K65" s="904"/>
      <c r="L65" s="861" t="e">
        <f t="shared" si="38"/>
        <v>#DIV/0!</v>
      </c>
      <c r="M65" s="895" t="e">
        <f t="shared" si="39"/>
        <v>#DIV/0!</v>
      </c>
      <c r="N65" s="905"/>
      <c r="O65" s="907" t="e">
        <f t="shared" si="40"/>
        <v>#DIV/0!</v>
      </c>
      <c r="P65" s="906" t="e">
        <f t="shared" si="41"/>
        <v>#DIV/0!</v>
      </c>
      <c r="Q65" s="897" t="e">
        <f t="shared" si="42"/>
        <v>#DIV/0!</v>
      </c>
      <c r="R65" s="970" t="e">
        <f t="shared" si="43"/>
        <v>#DIV/0!</v>
      </c>
      <c r="S65" s="969" t="e">
        <f t="shared" si="44"/>
        <v>#DIV/0!</v>
      </c>
      <c r="T65" s="909" t="e">
        <f t="shared" si="45"/>
        <v>#DIV/0!</v>
      </c>
      <c r="U65" s="896" t="e">
        <f t="shared" si="46"/>
        <v>#DIV/0!</v>
      </c>
      <c r="V65" s="898">
        <f t="shared" si="47"/>
        <v>0</v>
      </c>
      <c r="W65" s="970">
        <f t="shared" si="48"/>
        <v>0</v>
      </c>
      <c r="X65" s="971" t="e">
        <f t="shared" si="49"/>
        <v>#DIV/0!</v>
      </c>
      <c r="Y65" s="847"/>
      <c r="Z65" s="911" t="e">
        <f t="shared" si="50"/>
        <v>#DIV/0!</v>
      </c>
      <c r="AA65" s="972"/>
      <c r="AB65" s="848" t="e">
        <f t="shared" si="51"/>
        <v>#DIV/0!</v>
      </c>
      <c r="AC65" s="973"/>
      <c r="AD65" s="848" t="e">
        <f t="shared" si="52"/>
        <v>#DIV/0!</v>
      </c>
      <c r="AE65" s="974" t="e">
        <f t="shared" si="53"/>
        <v>#DIV/0!</v>
      </c>
      <c r="AF65" s="849" t="e">
        <f t="shared" si="54"/>
        <v>#DIV/0!</v>
      </c>
      <c r="AG65" s="850" t="e">
        <f t="shared" si="55"/>
        <v>#DIV/0!</v>
      </c>
      <c r="AH65" s="974" t="e">
        <f t="shared" si="56"/>
        <v>#DIV/0!</v>
      </c>
      <c r="AI65" s="851"/>
      <c r="AJ65" s="852" t="e">
        <f t="shared" si="57"/>
        <v>#DIV/0!</v>
      </c>
      <c r="AK65" s="975" t="e">
        <f t="shared" si="58"/>
        <v>#DIV/0!</v>
      </c>
      <c r="AL65" s="850" t="e">
        <f t="shared" si="59"/>
        <v>#DIV/0!</v>
      </c>
      <c r="AM65" s="975" t="e">
        <f t="shared" si="60"/>
        <v>#DIV/0!</v>
      </c>
      <c r="AN65" s="853"/>
      <c r="AO65" s="976" t="e">
        <f t="shared" si="61"/>
        <v>#DIV/0!</v>
      </c>
      <c r="AP65" s="912"/>
      <c r="AQ65" s="977"/>
      <c r="AR65" s="978">
        <f t="shared" si="62"/>
        <v>0</v>
      </c>
      <c r="AS65" s="919" t="e">
        <f t="shared" si="63"/>
        <v>#DIV/0!</v>
      </c>
      <c r="AT65" s="920" t="e">
        <f t="shared" si="64"/>
        <v>#DIV/0!</v>
      </c>
      <c r="AU65" s="913"/>
      <c r="AV65" s="854"/>
      <c r="AW65" s="914"/>
      <c r="AX65" s="979"/>
      <c r="AY65" s="855">
        <f t="shared" si="65"/>
        <v>0</v>
      </c>
      <c r="AZ65" s="918" t="e">
        <f t="shared" si="66"/>
        <v>#DIV/0!</v>
      </c>
      <c r="BA65" s="917" t="e">
        <f t="shared" si="67"/>
        <v>#DIV/0!</v>
      </c>
      <c r="BB65" s="916"/>
      <c r="BC65" s="855"/>
      <c r="BD65" s="915">
        <f t="shared" si="68"/>
        <v>1</v>
      </c>
      <c r="BE65" s="980"/>
      <c r="BF65" s="856"/>
      <c r="BG65" s="857">
        <f t="shared" si="69"/>
        <v>0</v>
      </c>
      <c r="BH65" s="981">
        <f t="shared" si="70"/>
        <v>-1</v>
      </c>
      <c r="BI65" s="858"/>
      <c r="BJ65" s="856"/>
      <c r="BK65" s="859">
        <f t="shared" si="71"/>
        <v>0</v>
      </c>
    </row>
    <row r="66" spans="1:63" ht="35.1" customHeight="1" x14ac:dyDescent="0.25">
      <c r="A66" s="963"/>
      <c r="B66" s="964"/>
      <c r="C66" s="965"/>
      <c r="D66" s="966"/>
      <c r="E66" s="965"/>
      <c r="F66" s="965"/>
      <c r="G66" s="967"/>
      <c r="H66" s="968"/>
      <c r="I66" s="861" t="e">
        <f t="shared" si="36"/>
        <v>#DIV/0!</v>
      </c>
      <c r="J66" s="894" t="e">
        <f t="shared" si="37"/>
        <v>#DIV/0!</v>
      </c>
      <c r="K66" s="904"/>
      <c r="L66" s="861" t="e">
        <f t="shared" si="38"/>
        <v>#DIV/0!</v>
      </c>
      <c r="M66" s="895" t="e">
        <f t="shared" si="39"/>
        <v>#DIV/0!</v>
      </c>
      <c r="N66" s="905"/>
      <c r="O66" s="907" t="e">
        <f t="shared" si="40"/>
        <v>#DIV/0!</v>
      </c>
      <c r="P66" s="906" t="e">
        <f t="shared" si="41"/>
        <v>#DIV/0!</v>
      </c>
      <c r="Q66" s="897" t="e">
        <f t="shared" si="42"/>
        <v>#DIV/0!</v>
      </c>
      <c r="R66" s="970" t="e">
        <f t="shared" si="43"/>
        <v>#DIV/0!</v>
      </c>
      <c r="S66" s="969" t="e">
        <f t="shared" si="44"/>
        <v>#DIV/0!</v>
      </c>
      <c r="T66" s="909" t="e">
        <f t="shared" si="45"/>
        <v>#DIV/0!</v>
      </c>
      <c r="U66" s="896" t="e">
        <f t="shared" si="46"/>
        <v>#DIV/0!</v>
      </c>
      <c r="V66" s="898">
        <f t="shared" si="47"/>
        <v>0</v>
      </c>
      <c r="W66" s="970">
        <f t="shared" si="48"/>
        <v>0</v>
      </c>
      <c r="X66" s="971" t="e">
        <f t="shared" si="49"/>
        <v>#DIV/0!</v>
      </c>
      <c r="Y66" s="847"/>
      <c r="Z66" s="911" t="e">
        <f t="shared" si="50"/>
        <v>#DIV/0!</v>
      </c>
      <c r="AA66" s="972"/>
      <c r="AB66" s="848" t="e">
        <f t="shared" si="51"/>
        <v>#DIV/0!</v>
      </c>
      <c r="AC66" s="973"/>
      <c r="AD66" s="848" t="e">
        <f t="shared" si="52"/>
        <v>#DIV/0!</v>
      </c>
      <c r="AE66" s="974" t="e">
        <f t="shared" si="53"/>
        <v>#DIV/0!</v>
      </c>
      <c r="AF66" s="849" t="e">
        <f t="shared" si="54"/>
        <v>#DIV/0!</v>
      </c>
      <c r="AG66" s="850" t="e">
        <f t="shared" si="55"/>
        <v>#DIV/0!</v>
      </c>
      <c r="AH66" s="974" t="e">
        <f t="shared" si="56"/>
        <v>#DIV/0!</v>
      </c>
      <c r="AI66" s="851"/>
      <c r="AJ66" s="852" t="e">
        <f t="shared" si="57"/>
        <v>#DIV/0!</v>
      </c>
      <c r="AK66" s="975" t="e">
        <f t="shared" si="58"/>
        <v>#DIV/0!</v>
      </c>
      <c r="AL66" s="850" t="e">
        <f t="shared" si="59"/>
        <v>#DIV/0!</v>
      </c>
      <c r="AM66" s="975" t="e">
        <f t="shared" si="60"/>
        <v>#DIV/0!</v>
      </c>
      <c r="AN66" s="853"/>
      <c r="AO66" s="976" t="e">
        <f t="shared" si="61"/>
        <v>#DIV/0!</v>
      </c>
      <c r="AP66" s="912"/>
      <c r="AQ66" s="977"/>
      <c r="AR66" s="978">
        <f t="shared" si="62"/>
        <v>0</v>
      </c>
      <c r="AS66" s="919" t="e">
        <f t="shared" si="63"/>
        <v>#DIV/0!</v>
      </c>
      <c r="AT66" s="920" t="e">
        <f t="shared" si="64"/>
        <v>#DIV/0!</v>
      </c>
      <c r="AU66" s="913"/>
      <c r="AV66" s="854"/>
      <c r="AW66" s="914"/>
      <c r="AX66" s="979"/>
      <c r="AY66" s="855">
        <f t="shared" si="65"/>
        <v>0</v>
      </c>
      <c r="AZ66" s="918" t="e">
        <f t="shared" si="66"/>
        <v>#DIV/0!</v>
      </c>
      <c r="BA66" s="917" t="e">
        <f t="shared" si="67"/>
        <v>#DIV/0!</v>
      </c>
      <c r="BB66" s="916"/>
      <c r="BC66" s="855"/>
      <c r="BD66" s="915">
        <f t="shared" si="68"/>
        <v>1</v>
      </c>
      <c r="BE66" s="980"/>
      <c r="BF66" s="856"/>
      <c r="BG66" s="857">
        <f t="shared" si="69"/>
        <v>0</v>
      </c>
      <c r="BH66" s="981">
        <f t="shared" si="70"/>
        <v>-1</v>
      </c>
      <c r="BI66" s="858"/>
      <c r="BJ66" s="856"/>
      <c r="BK66" s="859">
        <f t="shared" si="71"/>
        <v>0</v>
      </c>
    </row>
    <row r="67" spans="1:63" ht="35.1" customHeight="1" x14ac:dyDescent="0.25">
      <c r="A67" s="963"/>
      <c r="B67" s="964"/>
      <c r="C67" s="965"/>
      <c r="D67" s="966"/>
      <c r="E67" s="965"/>
      <c r="F67" s="965"/>
      <c r="G67" s="967"/>
      <c r="H67" s="968"/>
      <c r="I67" s="861" t="e">
        <f t="shared" ref="I67:I80" si="72">$K67/$G67*$H67/100*100000</f>
        <v>#DIV/0!</v>
      </c>
      <c r="J67" s="894" t="e">
        <f t="shared" ref="J67:J80" si="73">$K67/$G67*1000</f>
        <v>#DIV/0!</v>
      </c>
      <c r="K67" s="904"/>
      <c r="L67" s="861" t="e">
        <f t="shared" ref="L67:L80" si="74">$N67/$G67*$H67/100*100000</f>
        <v>#DIV/0!</v>
      </c>
      <c r="M67" s="895" t="e">
        <f t="shared" ref="M67:M98" si="75">N67/G67/100*100000</f>
        <v>#DIV/0!</v>
      </c>
      <c r="N67" s="905"/>
      <c r="O67" s="907" t="e">
        <f t="shared" ref="O67:O80" si="76">$Q67/$G67*$H67/100*100000</f>
        <v>#DIV/0!</v>
      </c>
      <c r="P67" s="906" t="e">
        <f t="shared" ref="P67:P80" si="77">($AD67*$Z67)/1000</f>
        <v>#DIV/0!</v>
      </c>
      <c r="Q67" s="897" t="e">
        <f t="shared" ref="Q67:Q80" si="78">($P67*$G67)/1000</f>
        <v>#DIV/0!</v>
      </c>
      <c r="R67" s="970" t="e">
        <f t="shared" ref="R67:R80" si="79">$V67-$Q67</f>
        <v>#DIV/0!</v>
      </c>
      <c r="S67" s="969" t="e">
        <f t="shared" ref="S67:S80" si="80">($U67/$P67)-1</f>
        <v>#DIV/0!</v>
      </c>
      <c r="T67" s="909" t="e">
        <f t="shared" ref="T67:T80" si="81">$I67+$L67</f>
        <v>#DIV/0!</v>
      </c>
      <c r="U67" s="896" t="e">
        <f t="shared" ref="U67:U80" si="82">$J67+$M67</f>
        <v>#DIV/0!</v>
      </c>
      <c r="V67" s="898">
        <f t="shared" ref="V67:V80" si="83">$K67+$N67</f>
        <v>0</v>
      </c>
      <c r="W67" s="970">
        <f t="shared" ref="W67:W80" si="84">$K67-$V67</f>
        <v>0</v>
      </c>
      <c r="X67" s="971" t="e">
        <f t="shared" ref="X67:X80" si="85">($V67/$K67)-1</f>
        <v>#DIV/0!</v>
      </c>
      <c r="Y67" s="847"/>
      <c r="Z67" s="911" t="e">
        <f t="shared" ref="Z67:Z80" si="86">$D67*$AT67</f>
        <v>#DIV/0!</v>
      </c>
      <c r="AA67" s="972"/>
      <c r="AB67" s="848" t="e">
        <f t="shared" ref="AB67:AB80" si="87">$AA67/$AT67</f>
        <v>#DIV/0!</v>
      </c>
      <c r="AC67" s="973"/>
      <c r="AD67" s="848" t="e">
        <f t="shared" ref="AD67:AD80" si="88">10000/($AC67*$AS67)</f>
        <v>#DIV/0!</v>
      </c>
      <c r="AE67" s="974" t="e">
        <f t="shared" ref="AE67:AE80" si="89">($AG67/$AD67)-1</f>
        <v>#DIV/0!</v>
      </c>
      <c r="AF67" s="849" t="e">
        <f t="shared" ref="AF67:AF80" si="90">10000/($AG67*$AS67)</f>
        <v>#DIV/0!</v>
      </c>
      <c r="AG67" s="850" t="e">
        <f t="shared" ref="AG67:AG80" si="91">($U67/$D67*1000)/$AT67</f>
        <v>#DIV/0!</v>
      </c>
      <c r="AH67" s="974" t="e">
        <f t="shared" ref="AH67:AH80" si="92">($AJ67/$AG67)-1</f>
        <v>#DIV/0!</v>
      </c>
      <c r="AI67" s="851"/>
      <c r="AJ67" s="852" t="e">
        <f t="shared" ref="AJ67:AJ80" si="93">10000/($AV67*$AI67)</f>
        <v>#DIV/0!</v>
      </c>
      <c r="AK67" s="975" t="e">
        <f t="shared" ref="AK67:AK80" si="94">($AJ67/$AB67)</f>
        <v>#DIV/0!</v>
      </c>
      <c r="AL67" s="850" t="e">
        <f t="shared" ref="AL67:AL80" si="95">10000/($AI67*(($BK67*$AT67)/$AQ67))</f>
        <v>#DIV/0!</v>
      </c>
      <c r="AM67" s="975" t="e">
        <f t="shared" ref="AM67:AM80" si="96">($AL67/$AB67)</f>
        <v>#DIV/0!</v>
      </c>
      <c r="AN67" s="853"/>
      <c r="AO67" s="976" t="e">
        <f t="shared" ref="AO67:AO80" si="97">($AN67/$AB67)</f>
        <v>#DIV/0!</v>
      </c>
      <c r="AP67" s="912"/>
      <c r="AQ67" s="977"/>
      <c r="AR67" s="978">
        <f t="shared" ref="AR67:AR80" si="98">$BG67</f>
        <v>0</v>
      </c>
      <c r="AS67" s="919" t="e">
        <f t="shared" ref="AS67:AS80" si="99">($BE67+($BF$3/3))/$AQ67</f>
        <v>#DIV/0!</v>
      </c>
      <c r="AT67" s="920" t="e">
        <f t="shared" ref="AT67:AT80" si="100">($BE67+($BF67/3))/$BG67</f>
        <v>#DIV/0!</v>
      </c>
      <c r="AU67" s="913"/>
      <c r="AV67" s="854"/>
      <c r="AW67" s="914"/>
      <c r="AX67" s="979"/>
      <c r="AY67" s="855">
        <f t="shared" ref="AY67:AY80" si="101">$BF67</f>
        <v>0</v>
      </c>
      <c r="AZ67" s="918" t="e">
        <f t="shared" ref="AZ67:AZ80" si="102">($AY67-($AY67/3))/$AX67</f>
        <v>#DIV/0!</v>
      </c>
      <c r="BA67" s="917" t="e">
        <f t="shared" ref="BA67:BA80" si="103">1-$AT67</f>
        <v>#DIV/0!</v>
      </c>
      <c r="BB67" s="916"/>
      <c r="BC67" s="855"/>
      <c r="BD67" s="915">
        <f t="shared" ref="BD67:BD80" si="104">1-$AW$3</f>
        <v>1</v>
      </c>
      <c r="BE67" s="980"/>
      <c r="BF67" s="856"/>
      <c r="BG67" s="857">
        <f t="shared" ref="BG67:BG80" si="105">$BE67+$BF67</f>
        <v>0</v>
      </c>
      <c r="BH67" s="981">
        <f t="shared" ref="BH67:BH80" si="106">($BK$3/$BG$3)-1</f>
        <v>-1</v>
      </c>
      <c r="BI67" s="858"/>
      <c r="BJ67" s="856"/>
      <c r="BK67" s="859">
        <f t="shared" ref="BK67:BK80" si="107">$BI67+$BJ67</f>
        <v>0</v>
      </c>
    </row>
    <row r="68" spans="1:63" ht="35.1" customHeight="1" x14ac:dyDescent="0.25">
      <c r="A68" s="963"/>
      <c r="B68" s="964"/>
      <c r="C68" s="965"/>
      <c r="D68" s="966"/>
      <c r="E68" s="965"/>
      <c r="F68" s="965"/>
      <c r="G68" s="967"/>
      <c r="H68" s="968"/>
      <c r="I68" s="861" t="e">
        <f t="shared" si="72"/>
        <v>#DIV/0!</v>
      </c>
      <c r="J68" s="894" t="e">
        <f t="shared" si="73"/>
        <v>#DIV/0!</v>
      </c>
      <c r="K68" s="904"/>
      <c r="L68" s="861" t="e">
        <f t="shared" si="74"/>
        <v>#DIV/0!</v>
      </c>
      <c r="M68" s="895" t="e">
        <f t="shared" si="75"/>
        <v>#DIV/0!</v>
      </c>
      <c r="N68" s="905"/>
      <c r="O68" s="907" t="e">
        <f t="shared" si="76"/>
        <v>#DIV/0!</v>
      </c>
      <c r="P68" s="906" t="e">
        <f t="shared" si="77"/>
        <v>#DIV/0!</v>
      </c>
      <c r="Q68" s="897" t="e">
        <f t="shared" si="78"/>
        <v>#DIV/0!</v>
      </c>
      <c r="R68" s="970" t="e">
        <f t="shared" si="79"/>
        <v>#DIV/0!</v>
      </c>
      <c r="S68" s="969" t="e">
        <f t="shared" si="80"/>
        <v>#DIV/0!</v>
      </c>
      <c r="T68" s="909" t="e">
        <f t="shared" si="81"/>
        <v>#DIV/0!</v>
      </c>
      <c r="U68" s="896" t="e">
        <f t="shared" si="82"/>
        <v>#DIV/0!</v>
      </c>
      <c r="V68" s="898">
        <f t="shared" si="83"/>
        <v>0</v>
      </c>
      <c r="W68" s="970">
        <f t="shared" si="84"/>
        <v>0</v>
      </c>
      <c r="X68" s="971" t="e">
        <f t="shared" si="85"/>
        <v>#DIV/0!</v>
      </c>
      <c r="Y68" s="847"/>
      <c r="Z68" s="911" t="e">
        <f t="shared" si="86"/>
        <v>#DIV/0!</v>
      </c>
      <c r="AA68" s="972"/>
      <c r="AB68" s="848" t="e">
        <f t="shared" si="87"/>
        <v>#DIV/0!</v>
      </c>
      <c r="AC68" s="973"/>
      <c r="AD68" s="848" t="e">
        <f t="shared" si="88"/>
        <v>#DIV/0!</v>
      </c>
      <c r="AE68" s="974" t="e">
        <f t="shared" si="89"/>
        <v>#DIV/0!</v>
      </c>
      <c r="AF68" s="849" t="e">
        <f t="shared" si="90"/>
        <v>#DIV/0!</v>
      </c>
      <c r="AG68" s="850" t="e">
        <f t="shared" si="91"/>
        <v>#DIV/0!</v>
      </c>
      <c r="AH68" s="974" t="e">
        <f t="shared" si="92"/>
        <v>#DIV/0!</v>
      </c>
      <c r="AI68" s="851"/>
      <c r="AJ68" s="852" t="e">
        <f t="shared" si="93"/>
        <v>#DIV/0!</v>
      </c>
      <c r="AK68" s="975" t="e">
        <f t="shared" si="94"/>
        <v>#DIV/0!</v>
      </c>
      <c r="AL68" s="850" t="e">
        <f t="shared" si="95"/>
        <v>#DIV/0!</v>
      </c>
      <c r="AM68" s="975" t="e">
        <f t="shared" si="96"/>
        <v>#DIV/0!</v>
      </c>
      <c r="AN68" s="853"/>
      <c r="AO68" s="976" t="e">
        <f t="shared" si="97"/>
        <v>#DIV/0!</v>
      </c>
      <c r="AP68" s="912"/>
      <c r="AQ68" s="977"/>
      <c r="AR68" s="978">
        <f t="shared" si="98"/>
        <v>0</v>
      </c>
      <c r="AS68" s="919" t="e">
        <f t="shared" si="99"/>
        <v>#DIV/0!</v>
      </c>
      <c r="AT68" s="920" t="e">
        <f t="shared" si="100"/>
        <v>#DIV/0!</v>
      </c>
      <c r="AU68" s="913"/>
      <c r="AV68" s="854"/>
      <c r="AW68" s="914"/>
      <c r="AX68" s="979"/>
      <c r="AY68" s="855">
        <f t="shared" si="101"/>
        <v>0</v>
      </c>
      <c r="AZ68" s="918" t="e">
        <f t="shared" si="102"/>
        <v>#DIV/0!</v>
      </c>
      <c r="BA68" s="917" t="e">
        <f t="shared" si="103"/>
        <v>#DIV/0!</v>
      </c>
      <c r="BB68" s="916"/>
      <c r="BC68" s="855"/>
      <c r="BD68" s="915">
        <f t="shared" si="104"/>
        <v>1</v>
      </c>
      <c r="BE68" s="980"/>
      <c r="BF68" s="856"/>
      <c r="BG68" s="857">
        <f t="shared" si="105"/>
        <v>0</v>
      </c>
      <c r="BH68" s="981">
        <f t="shared" si="106"/>
        <v>-1</v>
      </c>
      <c r="BI68" s="858"/>
      <c r="BJ68" s="856"/>
      <c r="BK68" s="859">
        <f t="shared" si="107"/>
        <v>0</v>
      </c>
    </row>
    <row r="69" spans="1:63" ht="35.1" customHeight="1" x14ac:dyDescent="0.25">
      <c r="A69" s="963"/>
      <c r="B69" s="964"/>
      <c r="C69" s="965"/>
      <c r="D69" s="966"/>
      <c r="E69" s="965"/>
      <c r="F69" s="965"/>
      <c r="G69" s="967"/>
      <c r="H69" s="968"/>
      <c r="I69" s="861" t="e">
        <f t="shared" si="72"/>
        <v>#DIV/0!</v>
      </c>
      <c r="J69" s="894" t="e">
        <f t="shared" si="73"/>
        <v>#DIV/0!</v>
      </c>
      <c r="K69" s="904"/>
      <c r="L69" s="861" t="e">
        <f t="shared" si="74"/>
        <v>#DIV/0!</v>
      </c>
      <c r="M69" s="895" t="e">
        <f t="shared" si="75"/>
        <v>#DIV/0!</v>
      </c>
      <c r="N69" s="905"/>
      <c r="O69" s="907" t="e">
        <f t="shared" si="76"/>
        <v>#DIV/0!</v>
      </c>
      <c r="P69" s="906" t="e">
        <f t="shared" si="77"/>
        <v>#DIV/0!</v>
      </c>
      <c r="Q69" s="897" t="e">
        <f t="shared" si="78"/>
        <v>#DIV/0!</v>
      </c>
      <c r="R69" s="970" t="e">
        <f t="shared" si="79"/>
        <v>#DIV/0!</v>
      </c>
      <c r="S69" s="969" t="e">
        <f t="shared" si="80"/>
        <v>#DIV/0!</v>
      </c>
      <c r="T69" s="909" t="e">
        <f t="shared" si="81"/>
        <v>#DIV/0!</v>
      </c>
      <c r="U69" s="896" t="e">
        <f t="shared" si="82"/>
        <v>#DIV/0!</v>
      </c>
      <c r="V69" s="898">
        <f t="shared" si="83"/>
        <v>0</v>
      </c>
      <c r="W69" s="970">
        <f t="shared" si="84"/>
        <v>0</v>
      </c>
      <c r="X69" s="971" t="e">
        <f t="shared" si="85"/>
        <v>#DIV/0!</v>
      </c>
      <c r="Y69" s="847"/>
      <c r="Z69" s="911" t="e">
        <f t="shared" si="86"/>
        <v>#DIV/0!</v>
      </c>
      <c r="AA69" s="972"/>
      <c r="AB69" s="848" t="e">
        <f t="shared" si="87"/>
        <v>#DIV/0!</v>
      </c>
      <c r="AC69" s="973"/>
      <c r="AD69" s="848" t="e">
        <f t="shared" si="88"/>
        <v>#DIV/0!</v>
      </c>
      <c r="AE69" s="974" t="e">
        <f t="shared" si="89"/>
        <v>#DIV/0!</v>
      </c>
      <c r="AF69" s="849" t="e">
        <f t="shared" si="90"/>
        <v>#DIV/0!</v>
      </c>
      <c r="AG69" s="850" t="e">
        <f t="shared" si="91"/>
        <v>#DIV/0!</v>
      </c>
      <c r="AH69" s="974" t="e">
        <f t="shared" si="92"/>
        <v>#DIV/0!</v>
      </c>
      <c r="AI69" s="851"/>
      <c r="AJ69" s="852" t="e">
        <f t="shared" si="93"/>
        <v>#DIV/0!</v>
      </c>
      <c r="AK69" s="975" t="e">
        <f t="shared" si="94"/>
        <v>#DIV/0!</v>
      </c>
      <c r="AL69" s="850" t="e">
        <f t="shared" si="95"/>
        <v>#DIV/0!</v>
      </c>
      <c r="AM69" s="975" t="e">
        <f t="shared" si="96"/>
        <v>#DIV/0!</v>
      </c>
      <c r="AN69" s="853"/>
      <c r="AO69" s="976" t="e">
        <f t="shared" si="97"/>
        <v>#DIV/0!</v>
      </c>
      <c r="AP69" s="912"/>
      <c r="AQ69" s="977"/>
      <c r="AR69" s="978">
        <f t="shared" si="98"/>
        <v>0</v>
      </c>
      <c r="AS69" s="919" t="e">
        <f t="shared" si="99"/>
        <v>#DIV/0!</v>
      </c>
      <c r="AT69" s="920" t="e">
        <f t="shared" si="100"/>
        <v>#DIV/0!</v>
      </c>
      <c r="AU69" s="913"/>
      <c r="AV69" s="854"/>
      <c r="AW69" s="914"/>
      <c r="AX69" s="979"/>
      <c r="AY69" s="855">
        <f t="shared" si="101"/>
        <v>0</v>
      </c>
      <c r="AZ69" s="918" t="e">
        <f t="shared" si="102"/>
        <v>#DIV/0!</v>
      </c>
      <c r="BA69" s="917" t="e">
        <f t="shared" si="103"/>
        <v>#DIV/0!</v>
      </c>
      <c r="BB69" s="916"/>
      <c r="BC69" s="855"/>
      <c r="BD69" s="915">
        <f t="shared" si="104"/>
        <v>1</v>
      </c>
      <c r="BE69" s="980"/>
      <c r="BF69" s="856"/>
      <c r="BG69" s="857">
        <f t="shared" si="105"/>
        <v>0</v>
      </c>
      <c r="BH69" s="981">
        <f t="shared" si="106"/>
        <v>-1</v>
      </c>
      <c r="BI69" s="858"/>
      <c r="BJ69" s="856"/>
      <c r="BK69" s="859">
        <f t="shared" si="107"/>
        <v>0</v>
      </c>
    </row>
    <row r="70" spans="1:63" ht="35.1" customHeight="1" x14ac:dyDescent="0.25">
      <c r="A70" s="963"/>
      <c r="B70" s="964"/>
      <c r="C70" s="965"/>
      <c r="D70" s="966"/>
      <c r="E70" s="965"/>
      <c r="F70" s="965"/>
      <c r="G70" s="967"/>
      <c r="H70" s="968"/>
      <c r="I70" s="861" t="e">
        <f t="shared" si="72"/>
        <v>#DIV/0!</v>
      </c>
      <c r="J70" s="894" t="e">
        <f t="shared" si="73"/>
        <v>#DIV/0!</v>
      </c>
      <c r="K70" s="904"/>
      <c r="L70" s="861" t="e">
        <f t="shared" si="74"/>
        <v>#DIV/0!</v>
      </c>
      <c r="M70" s="895" t="e">
        <f t="shared" si="75"/>
        <v>#DIV/0!</v>
      </c>
      <c r="N70" s="905"/>
      <c r="O70" s="907" t="e">
        <f t="shared" si="76"/>
        <v>#DIV/0!</v>
      </c>
      <c r="P70" s="906" t="e">
        <f t="shared" si="77"/>
        <v>#DIV/0!</v>
      </c>
      <c r="Q70" s="897" t="e">
        <f t="shared" si="78"/>
        <v>#DIV/0!</v>
      </c>
      <c r="R70" s="970" t="e">
        <f t="shared" si="79"/>
        <v>#DIV/0!</v>
      </c>
      <c r="S70" s="969" t="e">
        <f t="shared" si="80"/>
        <v>#DIV/0!</v>
      </c>
      <c r="T70" s="909" t="e">
        <f t="shared" si="81"/>
        <v>#DIV/0!</v>
      </c>
      <c r="U70" s="896" t="e">
        <f t="shared" si="82"/>
        <v>#DIV/0!</v>
      </c>
      <c r="V70" s="898">
        <f t="shared" si="83"/>
        <v>0</v>
      </c>
      <c r="W70" s="970">
        <f t="shared" si="84"/>
        <v>0</v>
      </c>
      <c r="X70" s="971" t="e">
        <f t="shared" si="85"/>
        <v>#DIV/0!</v>
      </c>
      <c r="Y70" s="847"/>
      <c r="Z70" s="911" t="e">
        <f t="shared" si="86"/>
        <v>#DIV/0!</v>
      </c>
      <c r="AA70" s="972"/>
      <c r="AB70" s="848" t="e">
        <f t="shared" si="87"/>
        <v>#DIV/0!</v>
      </c>
      <c r="AC70" s="973"/>
      <c r="AD70" s="848" t="e">
        <f t="shared" si="88"/>
        <v>#DIV/0!</v>
      </c>
      <c r="AE70" s="974" t="e">
        <f t="shared" si="89"/>
        <v>#DIV/0!</v>
      </c>
      <c r="AF70" s="849" t="e">
        <f t="shared" si="90"/>
        <v>#DIV/0!</v>
      </c>
      <c r="AG70" s="850" t="e">
        <f t="shared" si="91"/>
        <v>#DIV/0!</v>
      </c>
      <c r="AH70" s="974" t="e">
        <f t="shared" si="92"/>
        <v>#DIV/0!</v>
      </c>
      <c r="AI70" s="851"/>
      <c r="AJ70" s="852" t="e">
        <f t="shared" si="93"/>
        <v>#DIV/0!</v>
      </c>
      <c r="AK70" s="975" t="e">
        <f t="shared" si="94"/>
        <v>#DIV/0!</v>
      </c>
      <c r="AL70" s="850" t="e">
        <f t="shared" si="95"/>
        <v>#DIV/0!</v>
      </c>
      <c r="AM70" s="975" t="e">
        <f t="shared" si="96"/>
        <v>#DIV/0!</v>
      </c>
      <c r="AN70" s="853"/>
      <c r="AO70" s="976" t="e">
        <f t="shared" si="97"/>
        <v>#DIV/0!</v>
      </c>
      <c r="AP70" s="912"/>
      <c r="AQ70" s="977"/>
      <c r="AR70" s="978">
        <f t="shared" si="98"/>
        <v>0</v>
      </c>
      <c r="AS70" s="919" t="e">
        <f t="shared" si="99"/>
        <v>#DIV/0!</v>
      </c>
      <c r="AT70" s="920" t="e">
        <f t="shared" si="100"/>
        <v>#DIV/0!</v>
      </c>
      <c r="AU70" s="913"/>
      <c r="AV70" s="854"/>
      <c r="AW70" s="914"/>
      <c r="AX70" s="979"/>
      <c r="AY70" s="855">
        <f t="shared" si="101"/>
        <v>0</v>
      </c>
      <c r="AZ70" s="918" t="e">
        <f t="shared" si="102"/>
        <v>#DIV/0!</v>
      </c>
      <c r="BA70" s="917" t="e">
        <f t="shared" si="103"/>
        <v>#DIV/0!</v>
      </c>
      <c r="BB70" s="916"/>
      <c r="BC70" s="855"/>
      <c r="BD70" s="915">
        <f t="shared" si="104"/>
        <v>1</v>
      </c>
      <c r="BE70" s="980"/>
      <c r="BF70" s="856"/>
      <c r="BG70" s="857">
        <f t="shared" si="105"/>
        <v>0</v>
      </c>
      <c r="BH70" s="981">
        <f t="shared" si="106"/>
        <v>-1</v>
      </c>
      <c r="BI70" s="858"/>
      <c r="BJ70" s="856"/>
      <c r="BK70" s="859">
        <f t="shared" si="107"/>
        <v>0</v>
      </c>
    </row>
    <row r="71" spans="1:63" ht="35.1" customHeight="1" x14ac:dyDescent="0.25">
      <c r="A71" s="963"/>
      <c r="B71" s="964"/>
      <c r="C71" s="965"/>
      <c r="D71" s="966"/>
      <c r="E71" s="965"/>
      <c r="F71" s="965"/>
      <c r="G71" s="967"/>
      <c r="H71" s="968"/>
      <c r="I71" s="861" t="e">
        <f t="shared" si="72"/>
        <v>#DIV/0!</v>
      </c>
      <c r="J71" s="894" t="e">
        <f t="shared" si="73"/>
        <v>#DIV/0!</v>
      </c>
      <c r="K71" s="904"/>
      <c r="L71" s="861" t="e">
        <f t="shared" si="74"/>
        <v>#DIV/0!</v>
      </c>
      <c r="M71" s="895" t="e">
        <f t="shared" si="75"/>
        <v>#DIV/0!</v>
      </c>
      <c r="N71" s="905"/>
      <c r="O71" s="907" t="e">
        <f t="shared" si="76"/>
        <v>#DIV/0!</v>
      </c>
      <c r="P71" s="906" t="e">
        <f t="shared" si="77"/>
        <v>#DIV/0!</v>
      </c>
      <c r="Q71" s="897" t="e">
        <f t="shared" si="78"/>
        <v>#DIV/0!</v>
      </c>
      <c r="R71" s="970" t="e">
        <f t="shared" si="79"/>
        <v>#DIV/0!</v>
      </c>
      <c r="S71" s="969" t="e">
        <f t="shared" si="80"/>
        <v>#DIV/0!</v>
      </c>
      <c r="T71" s="909" t="e">
        <f t="shared" si="81"/>
        <v>#DIV/0!</v>
      </c>
      <c r="U71" s="896" t="e">
        <f t="shared" si="82"/>
        <v>#DIV/0!</v>
      </c>
      <c r="V71" s="898">
        <f t="shared" si="83"/>
        <v>0</v>
      </c>
      <c r="W71" s="970">
        <f t="shared" si="84"/>
        <v>0</v>
      </c>
      <c r="X71" s="971" t="e">
        <f t="shared" si="85"/>
        <v>#DIV/0!</v>
      </c>
      <c r="Y71" s="847"/>
      <c r="Z71" s="911" t="e">
        <f t="shared" si="86"/>
        <v>#DIV/0!</v>
      </c>
      <c r="AA71" s="972"/>
      <c r="AB71" s="848" t="e">
        <f t="shared" si="87"/>
        <v>#DIV/0!</v>
      </c>
      <c r="AC71" s="973"/>
      <c r="AD71" s="848" t="e">
        <f t="shared" si="88"/>
        <v>#DIV/0!</v>
      </c>
      <c r="AE71" s="974" t="e">
        <f t="shared" si="89"/>
        <v>#DIV/0!</v>
      </c>
      <c r="AF71" s="849" t="e">
        <f t="shared" si="90"/>
        <v>#DIV/0!</v>
      </c>
      <c r="AG71" s="850" t="e">
        <f t="shared" si="91"/>
        <v>#DIV/0!</v>
      </c>
      <c r="AH71" s="974" t="e">
        <f t="shared" si="92"/>
        <v>#DIV/0!</v>
      </c>
      <c r="AI71" s="851"/>
      <c r="AJ71" s="852" t="e">
        <f t="shared" si="93"/>
        <v>#DIV/0!</v>
      </c>
      <c r="AK71" s="975" t="e">
        <f t="shared" si="94"/>
        <v>#DIV/0!</v>
      </c>
      <c r="AL71" s="850" t="e">
        <f t="shared" si="95"/>
        <v>#DIV/0!</v>
      </c>
      <c r="AM71" s="975" t="e">
        <f t="shared" si="96"/>
        <v>#DIV/0!</v>
      </c>
      <c r="AN71" s="853"/>
      <c r="AO71" s="976" t="e">
        <f t="shared" si="97"/>
        <v>#DIV/0!</v>
      </c>
      <c r="AP71" s="912"/>
      <c r="AQ71" s="977"/>
      <c r="AR71" s="978">
        <f t="shared" si="98"/>
        <v>0</v>
      </c>
      <c r="AS71" s="919" t="e">
        <f t="shared" si="99"/>
        <v>#DIV/0!</v>
      </c>
      <c r="AT71" s="920" t="e">
        <f t="shared" si="100"/>
        <v>#DIV/0!</v>
      </c>
      <c r="AU71" s="913"/>
      <c r="AV71" s="854"/>
      <c r="AW71" s="914"/>
      <c r="AX71" s="979"/>
      <c r="AY71" s="855">
        <f t="shared" si="101"/>
        <v>0</v>
      </c>
      <c r="AZ71" s="918" t="e">
        <f t="shared" si="102"/>
        <v>#DIV/0!</v>
      </c>
      <c r="BA71" s="917" t="e">
        <f t="shared" si="103"/>
        <v>#DIV/0!</v>
      </c>
      <c r="BB71" s="916"/>
      <c r="BC71" s="855"/>
      <c r="BD71" s="915">
        <f t="shared" si="104"/>
        <v>1</v>
      </c>
      <c r="BE71" s="980"/>
      <c r="BF71" s="856"/>
      <c r="BG71" s="857">
        <f t="shared" si="105"/>
        <v>0</v>
      </c>
      <c r="BH71" s="981">
        <f t="shared" si="106"/>
        <v>-1</v>
      </c>
      <c r="BI71" s="858"/>
      <c r="BJ71" s="856"/>
      <c r="BK71" s="859">
        <f t="shared" si="107"/>
        <v>0</v>
      </c>
    </row>
    <row r="72" spans="1:63" ht="35.1" customHeight="1" x14ac:dyDescent="0.25">
      <c r="A72" s="963"/>
      <c r="B72" s="964"/>
      <c r="C72" s="965"/>
      <c r="D72" s="966"/>
      <c r="E72" s="965"/>
      <c r="F72" s="965"/>
      <c r="G72" s="967"/>
      <c r="H72" s="968"/>
      <c r="I72" s="861" t="e">
        <f t="shared" si="72"/>
        <v>#DIV/0!</v>
      </c>
      <c r="J72" s="894" t="e">
        <f t="shared" si="73"/>
        <v>#DIV/0!</v>
      </c>
      <c r="K72" s="904"/>
      <c r="L72" s="861" t="e">
        <f t="shared" si="74"/>
        <v>#DIV/0!</v>
      </c>
      <c r="M72" s="895" t="e">
        <f t="shared" si="75"/>
        <v>#DIV/0!</v>
      </c>
      <c r="N72" s="905"/>
      <c r="O72" s="907" t="e">
        <f t="shared" si="76"/>
        <v>#DIV/0!</v>
      </c>
      <c r="P72" s="906" t="e">
        <f t="shared" si="77"/>
        <v>#DIV/0!</v>
      </c>
      <c r="Q72" s="897" t="e">
        <f t="shared" si="78"/>
        <v>#DIV/0!</v>
      </c>
      <c r="R72" s="970" t="e">
        <f t="shared" si="79"/>
        <v>#DIV/0!</v>
      </c>
      <c r="S72" s="969" t="e">
        <f t="shared" si="80"/>
        <v>#DIV/0!</v>
      </c>
      <c r="T72" s="909" t="e">
        <f t="shared" si="81"/>
        <v>#DIV/0!</v>
      </c>
      <c r="U72" s="896" t="e">
        <f t="shared" si="82"/>
        <v>#DIV/0!</v>
      </c>
      <c r="V72" s="898">
        <f t="shared" si="83"/>
        <v>0</v>
      </c>
      <c r="W72" s="970">
        <f t="shared" si="84"/>
        <v>0</v>
      </c>
      <c r="X72" s="971" t="e">
        <f t="shared" si="85"/>
        <v>#DIV/0!</v>
      </c>
      <c r="Y72" s="847"/>
      <c r="Z72" s="911" t="e">
        <f t="shared" si="86"/>
        <v>#DIV/0!</v>
      </c>
      <c r="AA72" s="972"/>
      <c r="AB72" s="848" t="e">
        <f t="shared" si="87"/>
        <v>#DIV/0!</v>
      </c>
      <c r="AC72" s="973"/>
      <c r="AD72" s="848" t="e">
        <f t="shared" si="88"/>
        <v>#DIV/0!</v>
      </c>
      <c r="AE72" s="974" t="e">
        <f t="shared" si="89"/>
        <v>#DIV/0!</v>
      </c>
      <c r="AF72" s="849" t="e">
        <f t="shared" si="90"/>
        <v>#DIV/0!</v>
      </c>
      <c r="AG72" s="850" t="e">
        <f t="shared" si="91"/>
        <v>#DIV/0!</v>
      </c>
      <c r="AH72" s="974" t="e">
        <f t="shared" si="92"/>
        <v>#DIV/0!</v>
      </c>
      <c r="AI72" s="851"/>
      <c r="AJ72" s="852" t="e">
        <f t="shared" si="93"/>
        <v>#DIV/0!</v>
      </c>
      <c r="AK72" s="975" t="e">
        <f t="shared" si="94"/>
        <v>#DIV/0!</v>
      </c>
      <c r="AL72" s="850" t="e">
        <f t="shared" si="95"/>
        <v>#DIV/0!</v>
      </c>
      <c r="AM72" s="975" t="e">
        <f t="shared" si="96"/>
        <v>#DIV/0!</v>
      </c>
      <c r="AN72" s="853"/>
      <c r="AO72" s="976" t="e">
        <f t="shared" si="97"/>
        <v>#DIV/0!</v>
      </c>
      <c r="AP72" s="912"/>
      <c r="AQ72" s="977"/>
      <c r="AR72" s="978">
        <f t="shared" si="98"/>
        <v>0</v>
      </c>
      <c r="AS72" s="919" t="e">
        <f t="shared" si="99"/>
        <v>#DIV/0!</v>
      </c>
      <c r="AT72" s="920" t="e">
        <f t="shared" si="100"/>
        <v>#DIV/0!</v>
      </c>
      <c r="AU72" s="913"/>
      <c r="AV72" s="854"/>
      <c r="AW72" s="914"/>
      <c r="AX72" s="979"/>
      <c r="AY72" s="855">
        <f t="shared" si="101"/>
        <v>0</v>
      </c>
      <c r="AZ72" s="918" t="e">
        <f t="shared" si="102"/>
        <v>#DIV/0!</v>
      </c>
      <c r="BA72" s="917" t="e">
        <f t="shared" si="103"/>
        <v>#DIV/0!</v>
      </c>
      <c r="BB72" s="916"/>
      <c r="BC72" s="855"/>
      <c r="BD72" s="915">
        <f t="shared" si="104"/>
        <v>1</v>
      </c>
      <c r="BE72" s="980"/>
      <c r="BF72" s="856"/>
      <c r="BG72" s="857">
        <f t="shared" si="105"/>
        <v>0</v>
      </c>
      <c r="BH72" s="981">
        <f t="shared" si="106"/>
        <v>-1</v>
      </c>
      <c r="BI72" s="858"/>
      <c r="BJ72" s="856"/>
      <c r="BK72" s="859">
        <f t="shared" si="107"/>
        <v>0</v>
      </c>
    </row>
    <row r="73" spans="1:63" ht="35.1" customHeight="1" x14ac:dyDescent="0.25">
      <c r="A73" s="963"/>
      <c r="B73" s="964"/>
      <c r="C73" s="965"/>
      <c r="D73" s="966"/>
      <c r="E73" s="965"/>
      <c r="F73" s="965"/>
      <c r="G73" s="967"/>
      <c r="H73" s="968"/>
      <c r="I73" s="861" t="e">
        <f t="shared" si="72"/>
        <v>#DIV/0!</v>
      </c>
      <c r="J73" s="894" t="e">
        <f t="shared" si="73"/>
        <v>#DIV/0!</v>
      </c>
      <c r="K73" s="904"/>
      <c r="L73" s="861" t="e">
        <f t="shared" si="74"/>
        <v>#DIV/0!</v>
      </c>
      <c r="M73" s="895" t="e">
        <f t="shared" si="75"/>
        <v>#DIV/0!</v>
      </c>
      <c r="N73" s="905"/>
      <c r="O73" s="907" t="e">
        <f t="shared" si="76"/>
        <v>#DIV/0!</v>
      </c>
      <c r="P73" s="906" t="e">
        <f t="shared" si="77"/>
        <v>#DIV/0!</v>
      </c>
      <c r="Q73" s="897" t="e">
        <f t="shared" si="78"/>
        <v>#DIV/0!</v>
      </c>
      <c r="R73" s="970" t="e">
        <f t="shared" si="79"/>
        <v>#DIV/0!</v>
      </c>
      <c r="S73" s="969" t="e">
        <f t="shared" si="80"/>
        <v>#DIV/0!</v>
      </c>
      <c r="T73" s="909" t="e">
        <f t="shared" si="81"/>
        <v>#DIV/0!</v>
      </c>
      <c r="U73" s="896" t="e">
        <f t="shared" si="82"/>
        <v>#DIV/0!</v>
      </c>
      <c r="V73" s="898">
        <f t="shared" si="83"/>
        <v>0</v>
      </c>
      <c r="W73" s="970">
        <f t="shared" si="84"/>
        <v>0</v>
      </c>
      <c r="X73" s="971" t="e">
        <f t="shared" si="85"/>
        <v>#DIV/0!</v>
      </c>
      <c r="Y73" s="847"/>
      <c r="Z73" s="911" t="e">
        <f t="shared" si="86"/>
        <v>#DIV/0!</v>
      </c>
      <c r="AA73" s="972"/>
      <c r="AB73" s="848" t="e">
        <f t="shared" si="87"/>
        <v>#DIV/0!</v>
      </c>
      <c r="AC73" s="973"/>
      <c r="AD73" s="848" t="e">
        <f t="shared" si="88"/>
        <v>#DIV/0!</v>
      </c>
      <c r="AE73" s="974" t="e">
        <f t="shared" si="89"/>
        <v>#DIV/0!</v>
      </c>
      <c r="AF73" s="849" t="e">
        <f t="shared" si="90"/>
        <v>#DIV/0!</v>
      </c>
      <c r="AG73" s="850" t="e">
        <f t="shared" si="91"/>
        <v>#DIV/0!</v>
      </c>
      <c r="AH73" s="974" t="e">
        <f t="shared" si="92"/>
        <v>#DIV/0!</v>
      </c>
      <c r="AI73" s="851"/>
      <c r="AJ73" s="852" t="e">
        <f t="shared" si="93"/>
        <v>#DIV/0!</v>
      </c>
      <c r="AK73" s="975" t="e">
        <f t="shared" si="94"/>
        <v>#DIV/0!</v>
      </c>
      <c r="AL73" s="850" t="e">
        <f t="shared" si="95"/>
        <v>#DIV/0!</v>
      </c>
      <c r="AM73" s="975" t="e">
        <f t="shared" si="96"/>
        <v>#DIV/0!</v>
      </c>
      <c r="AN73" s="853"/>
      <c r="AO73" s="976" t="e">
        <f t="shared" si="97"/>
        <v>#DIV/0!</v>
      </c>
      <c r="AP73" s="912"/>
      <c r="AQ73" s="977"/>
      <c r="AR73" s="978">
        <f t="shared" si="98"/>
        <v>0</v>
      </c>
      <c r="AS73" s="919" t="e">
        <f t="shared" si="99"/>
        <v>#DIV/0!</v>
      </c>
      <c r="AT73" s="920" t="e">
        <f t="shared" si="100"/>
        <v>#DIV/0!</v>
      </c>
      <c r="AU73" s="913"/>
      <c r="AV73" s="854"/>
      <c r="AW73" s="914"/>
      <c r="AX73" s="979"/>
      <c r="AY73" s="855">
        <f t="shared" si="101"/>
        <v>0</v>
      </c>
      <c r="AZ73" s="918" t="e">
        <f t="shared" si="102"/>
        <v>#DIV/0!</v>
      </c>
      <c r="BA73" s="917" t="e">
        <f t="shared" si="103"/>
        <v>#DIV/0!</v>
      </c>
      <c r="BB73" s="916"/>
      <c r="BC73" s="855"/>
      <c r="BD73" s="915">
        <f t="shared" si="104"/>
        <v>1</v>
      </c>
      <c r="BE73" s="980"/>
      <c r="BF73" s="856"/>
      <c r="BG73" s="857">
        <f t="shared" si="105"/>
        <v>0</v>
      </c>
      <c r="BH73" s="981">
        <f t="shared" si="106"/>
        <v>-1</v>
      </c>
      <c r="BI73" s="858"/>
      <c r="BJ73" s="856"/>
      <c r="BK73" s="859">
        <f t="shared" si="107"/>
        <v>0</v>
      </c>
    </row>
    <row r="74" spans="1:63" ht="35.1" customHeight="1" x14ac:dyDescent="0.25">
      <c r="A74" s="963"/>
      <c r="B74" s="964"/>
      <c r="C74" s="965"/>
      <c r="D74" s="966"/>
      <c r="E74" s="965"/>
      <c r="F74" s="965"/>
      <c r="G74" s="967"/>
      <c r="H74" s="968"/>
      <c r="I74" s="861" t="e">
        <f t="shared" si="72"/>
        <v>#DIV/0!</v>
      </c>
      <c r="J74" s="894" t="e">
        <f t="shared" si="73"/>
        <v>#DIV/0!</v>
      </c>
      <c r="K74" s="904"/>
      <c r="L74" s="861" t="e">
        <f t="shared" si="74"/>
        <v>#DIV/0!</v>
      </c>
      <c r="M74" s="895" t="e">
        <f t="shared" si="75"/>
        <v>#DIV/0!</v>
      </c>
      <c r="N74" s="905"/>
      <c r="O74" s="907" t="e">
        <f t="shared" si="76"/>
        <v>#DIV/0!</v>
      </c>
      <c r="P74" s="906" t="e">
        <f t="shared" si="77"/>
        <v>#DIV/0!</v>
      </c>
      <c r="Q74" s="897" t="e">
        <f t="shared" si="78"/>
        <v>#DIV/0!</v>
      </c>
      <c r="R74" s="970" t="e">
        <f t="shared" si="79"/>
        <v>#DIV/0!</v>
      </c>
      <c r="S74" s="969" t="e">
        <f t="shared" si="80"/>
        <v>#DIV/0!</v>
      </c>
      <c r="T74" s="909" t="e">
        <f t="shared" si="81"/>
        <v>#DIV/0!</v>
      </c>
      <c r="U74" s="896" t="e">
        <f t="shared" si="82"/>
        <v>#DIV/0!</v>
      </c>
      <c r="V74" s="898">
        <f t="shared" si="83"/>
        <v>0</v>
      </c>
      <c r="W74" s="970">
        <f t="shared" si="84"/>
        <v>0</v>
      </c>
      <c r="X74" s="971" t="e">
        <f t="shared" si="85"/>
        <v>#DIV/0!</v>
      </c>
      <c r="Y74" s="847"/>
      <c r="Z74" s="911" t="e">
        <f t="shared" si="86"/>
        <v>#DIV/0!</v>
      </c>
      <c r="AA74" s="972"/>
      <c r="AB74" s="848" t="e">
        <f t="shared" si="87"/>
        <v>#DIV/0!</v>
      </c>
      <c r="AC74" s="973"/>
      <c r="AD74" s="848" t="e">
        <f t="shared" si="88"/>
        <v>#DIV/0!</v>
      </c>
      <c r="AE74" s="974" t="e">
        <f t="shared" si="89"/>
        <v>#DIV/0!</v>
      </c>
      <c r="AF74" s="849" t="e">
        <f t="shared" si="90"/>
        <v>#DIV/0!</v>
      </c>
      <c r="AG74" s="850" t="e">
        <f t="shared" si="91"/>
        <v>#DIV/0!</v>
      </c>
      <c r="AH74" s="974" t="e">
        <f t="shared" si="92"/>
        <v>#DIV/0!</v>
      </c>
      <c r="AI74" s="851"/>
      <c r="AJ74" s="852" t="e">
        <f t="shared" si="93"/>
        <v>#DIV/0!</v>
      </c>
      <c r="AK74" s="975" t="e">
        <f t="shared" si="94"/>
        <v>#DIV/0!</v>
      </c>
      <c r="AL74" s="850" t="e">
        <f t="shared" si="95"/>
        <v>#DIV/0!</v>
      </c>
      <c r="AM74" s="975" t="e">
        <f t="shared" si="96"/>
        <v>#DIV/0!</v>
      </c>
      <c r="AN74" s="853"/>
      <c r="AO74" s="976" t="e">
        <f t="shared" si="97"/>
        <v>#DIV/0!</v>
      </c>
      <c r="AP74" s="912"/>
      <c r="AQ74" s="977"/>
      <c r="AR74" s="978">
        <f t="shared" si="98"/>
        <v>0</v>
      </c>
      <c r="AS74" s="919" t="e">
        <f t="shared" si="99"/>
        <v>#DIV/0!</v>
      </c>
      <c r="AT74" s="920" t="e">
        <f t="shared" si="100"/>
        <v>#DIV/0!</v>
      </c>
      <c r="AU74" s="913"/>
      <c r="AV74" s="854"/>
      <c r="AW74" s="914"/>
      <c r="AX74" s="979"/>
      <c r="AY74" s="855">
        <f t="shared" si="101"/>
        <v>0</v>
      </c>
      <c r="AZ74" s="918" t="e">
        <f t="shared" si="102"/>
        <v>#DIV/0!</v>
      </c>
      <c r="BA74" s="917" t="e">
        <f t="shared" si="103"/>
        <v>#DIV/0!</v>
      </c>
      <c r="BB74" s="916"/>
      <c r="BC74" s="855"/>
      <c r="BD74" s="915">
        <f t="shared" si="104"/>
        <v>1</v>
      </c>
      <c r="BE74" s="980"/>
      <c r="BF74" s="856"/>
      <c r="BG74" s="857">
        <f t="shared" si="105"/>
        <v>0</v>
      </c>
      <c r="BH74" s="981">
        <f t="shared" si="106"/>
        <v>-1</v>
      </c>
      <c r="BI74" s="858"/>
      <c r="BJ74" s="856"/>
      <c r="BK74" s="859">
        <f t="shared" si="107"/>
        <v>0</v>
      </c>
    </row>
    <row r="75" spans="1:63" ht="35.1" customHeight="1" x14ac:dyDescent="0.25">
      <c r="A75" s="963"/>
      <c r="B75" s="964"/>
      <c r="C75" s="965"/>
      <c r="D75" s="966"/>
      <c r="E75" s="965"/>
      <c r="F75" s="965"/>
      <c r="G75" s="967"/>
      <c r="H75" s="968"/>
      <c r="I75" s="861" t="e">
        <f t="shared" si="72"/>
        <v>#DIV/0!</v>
      </c>
      <c r="J75" s="894" t="e">
        <f t="shared" si="73"/>
        <v>#DIV/0!</v>
      </c>
      <c r="K75" s="904"/>
      <c r="L75" s="861" t="e">
        <f t="shared" si="74"/>
        <v>#DIV/0!</v>
      </c>
      <c r="M75" s="895" t="e">
        <f t="shared" si="75"/>
        <v>#DIV/0!</v>
      </c>
      <c r="N75" s="905"/>
      <c r="O75" s="907" t="e">
        <f t="shared" si="76"/>
        <v>#DIV/0!</v>
      </c>
      <c r="P75" s="906" t="e">
        <f t="shared" si="77"/>
        <v>#DIV/0!</v>
      </c>
      <c r="Q75" s="897" t="e">
        <f t="shared" si="78"/>
        <v>#DIV/0!</v>
      </c>
      <c r="R75" s="970" t="e">
        <f t="shared" si="79"/>
        <v>#DIV/0!</v>
      </c>
      <c r="S75" s="969" t="e">
        <f t="shared" si="80"/>
        <v>#DIV/0!</v>
      </c>
      <c r="T75" s="909" t="e">
        <f t="shared" si="81"/>
        <v>#DIV/0!</v>
      </c>
      <c r="U75" s="896" t="e">
        <f t="shared" si="82"/>
        <v>#DIV/0!</v>
      </c>
      <c r="V75" s="898">
        <f t="shared" si="83"/>
        <v>0</v>
      </c>
      <c r="W75" s="970">
        <f t="shared" si="84"/>
        <v>0</v>
      </c>
      <c r="X75" s="971" t="e">
        <f t="shared" si="85"/>
        <v>#DIV/0!</v>
      </c>
      <c r="Y75" s="847"/>
      <c r="Z75" s="911" t="e">
        <f t="shared" si="86"/>
        <v>#DIV/0!</v>
      </c>
      <c r="AA75" s="972"/>
      <c r="AB75" s="848" t="e">
        <f t="shared" si="87"/>
        <v>#DIV/0!</v>
      </c>
      <c r="AC75" s="973"/>
      <c r="AD75" s="848" t="e">
        <f t="shared" si="88"/>
        <v>#DIV/0!</v>
      </c>
      <c r="AE75" s="974" t="e">
        <f t="shared" si="89"/>
        <v>#DIV/0!</v>
      </c>
      <c r="AF75" s="849" t="e">
        <f t="shared" si="90"/>
        <v>#DIV/0!</v>
      </c>
      <c r="AG75" s="850" t="e">
        <f t="shared" si="91"/>
        <v>#DIV/0!</v>
      </c>
      <c r="AH75" s="974" t="e">
        <f t="shared" si="92"/>
        <v>#DIV/0!</v>
      </c>
      <c r="AI75" s="851"/>
      <c r="AJ75" s="852" t="e">
        <f t="shared" si="93"/>
        <v>#DIV/0!</v>
      </c>
      <c r="AK75" s="975" t="e">
        <f t="shared" si="94"/>
        <v>#DIV/0!</v>
      </c>
      <c r="AL75" s="850" t="e">
        <f t="shared" si="95"/>
        <v>#DIV/0!</v>
      </c>
      <c r="AM75" s="975" t="e">
        <f t="shared" si="96"/>
        <v>#DIV/0!</v>
      </c>
      <c r="AN75" s="853"/>
      <c r="AO75" s="976" t="e">
        <f t="shared" si="97"/>
        <v>#DIV/0!</v>
      </c>
      <c r="AP75" s="912"/>
      <c r="AQ75" s="977"/>
      <c r="AR75" s="978">
        <f t="shared" si="98"/>
        <v>0</v>
      </c>
      <c r="AS75" s="919" t="e">
        <f t="shared" si="99"/>
        <v>#DIV/0!</v>
      </c>
      <c r="AT75" s="920" t="e">
        <f t="shared" si="100"/>
        <v>#DIV/0!</v>
      </c>
      <c r="AU75" s="913"/>
      <c r="AV75" s="854"/>
      <c r="AW75" s="914"/>
      <c r="AX75" s="979"/>
      <c r="AY75" s="855">
        <f t="shared" si="101"/>
        <v>0</v>
      </c>
      <c r="AZ75" s="918" t="e">
        <f t="shared" si="102"/>
        <v>#DIV/0!</v>
      </c>
      <c r="BA75" s="917" t="e">
        <f t="shared" si="103"/>
        <v>#DIV/0!</v>
      </c>
      <c r="BB75" s="916"/>
      <c r="BC75" s="855"/>
      <c r="BD75" s="915">
        <f t="shared" si="104"/>
        <v>1</v>
      </c>
      <c r="BE75" s="980"/>
      <c r="BF75" s="856"/>
      <c r="BG75" s="857">
        <f t="shared" si="105"/>
        <v>0</v>
      </c>
      <c r="BH75" s="981">
        <f t="shared" si="106"/>
        <v>-1</v>
      </c>
      <c r="BI75" s="858"/>
      <c r="BJ75" s="856"/>
      <c r="BK75" s="859">
        <f t="shared" si="107"/>
        <v>0</v>
      </c>
    </row>
    <row r="76" spans="1:63" ht="35.1" customHeight="1" x14ac:dyDescent="0.25">
      <c r="A76" s="963"/>
      <c r="B76" s="964"/>
      <c r="C76" s="965"/>
      <c r="D76" s="966"/>
      <c r="E76" s="965"/>
      <c r="F76" s="965"/>
      <c r="G76" s="967"/>
      <c r="H76" s="968"/>
      <c r="I76" s="861" t="e">
        <f t="shared" si="72"/>
        <v>#DIV/0!</v>
      </c>
      <c r="J76" s="894" t="e">
        <f t="shared" si="73"/>
        <v>#DIV/0!</v>
      </c>
      <c r="K76" s="904"/>
      <c r="L76" s="861" t="e">
        <f t="shared" si="74"/>
        <v>#DIV/0!</v>
      </c>
      <c r="M76" s="895" t="e">
        <f t="shared" si="75"/>
        <v>#DIV/0!</v>
      </c>
      <c r="N76" s="905"/>
      <c r="O76" s="907" t="e">
        <f t="shared" si="76"/>
        <v>#DIV/0!</v>
      </c>
      <c r="P76" s="906" t="e">
        <f t="shared" si="77"/>
        <v>#DIV/0!</v>
      </c>
      <c r="Q76" s="897" t="e">
        <f t="shared" si="78"/>
        <v>#DIV/0!</v>
      </c>
      <c r="R76" s="970" t="e">
        <f t="shared" si="79"/>
        <v>#DIV/0!</v>
      </c>
      <c r="S76" s="969" t="e">
        <f t="shared" si="80"/>
        <v>#DIV/0!</v>
      </c>
      <c r="T76" s="909" t="e">
        <f t="shared" si="81"/>
        <v>#DIV/0!</v>
      </c>
      <c r="U76" s="896" t="e">
        <f t="shared" si="82"/>
        <v>#DIV/0!</v>
      </c>
      <c r="V76" s="898">
        <f t="shared" si="83"/>
        <v>0</v>
      </c>
      <c r="W76" s="970">
        <f t="shared" si="84"/>
        <v>0</v>
      </c>
      <c r="X76" s="971" t="e">
        <f t="shared" si="85"/>
        <v>#DIV/0!</v>
      </c>
      <c r="Y76" s="847"/>
      <c r="Z76" s="911" t="e">
        <f t="shared" si="86"/>
        <v>#DIV/0!</v>
      </c>
      <c r="AA76" s="972"/>
      <c r="AB76" s="848" t="e">
        <f t="shared" si="87"/>
        <v>#DIV/0!</v>
      </c>
      <c r="AC76" s="973"/>
      <c r="AD76" s="848" t="e">
        <f t="shared" si="88"/>
        <v>#DIV/0!</v>
      </c>
      <c r="AE76" s="974" t="e">
        <f t="shared" si="89"/>
        <v>#DIV/0!</v>
      </c>
      <c r="AF76" s="849" t="e">
        <f t="shared" si="90"/>
        <v>#DIV/0!</v>
      </c>
      <c r="AG76" s="850" t="e">
        <f t="shared" si="91"/>
        <v>#DIV/0!</v>
      </c>
      <c r="AH76" s="974" t="e">
        <f t="shared" si="92"/>
        <v>#DIV/0!</v>
      </c>
      <c r="AI76" s="851"/>
      <c r="AJ76" s="852" t="e">
        <f t="shared" si="93"/>
        <v>#DIV/0!</v>
      </c>
      <c r="AK76" s="975" t="e">
        <f t="shared" si="94"/>
        <v>#DIV/0!</v>
      </c>
      <c r="AL76" s="850" t="e">
        <f t="shared" si="95"/>
        <v>#DIV/0!</v>
      </c>
      <c r="AM76" s="975" t="e">
        <f t="shared" si="96"/>
        <v>#DIV/0!</v>
      </c>
      <c r="AN76" s="853"/>
      <c r="AO76" s="976" t="e">
        <f t="shared" si="97"/>
        <v>#DIV/0!</v>
      </c>
      <c r="AP76" s="912"/>
      <c r="AQ76" s="977"/>
      <c r="AR76" s="978">
        <f t="shared" si="98"/>
        <v>0</v>
      </c>
      <c r="AS76" s="919" t="e">
        <f t="shared" si="99"/>
        <v>#DIV/0!</v>
      </c>
      <c r="AT76" s="920" t="e">
        <f t="shared" si="100"/>
        <v>#DIV/0!</v>
      </c>
      <c r="AU76" s="913"/>
      <c r="AV76" s="854"/>
      <c r="AW76" s="914"/>
      <c r="AX76" s="979"/>
      <c r="AY76" s="855">
        <f t="shared" si="101"/>
        <v>0</v>
      </c>
      <c r="AZ76" s="918" t="e">
        <f t="shared" si="102"/>
        <v>#DIV/0!</v>
      </c>
      <c r="BA76" s="917" t="e">
        <f t="shared" si="103"/>
        <v>#DIV/0!</v>
      </c>
      <c r="BB76" s="916"/>
      <c r="BC76" s="855"/>
      <c r="BD76" s="915">
        <f t="shared" si="104"/>
        <v>1</v>
      </c>
      <c r="BE76" s="980"/>
      <c r="BF76" s="856"/>
      <c r="BG76" s="857">
        <f t="shared" si="105"/>
        <v>0</v>
      </c>
      <c r="BH76" s="981">
        <f t="shared" si="106"/>
        <v>-1</v>
      </c>
      <c r="BI76" s="858"/>
      <c r="BJ76" s="856"/>
      <c r="BK76" s="859">
        <f t="shared" si="107"/>
        <v>0</v>
      </c>
    </row>
    <row r="77" spans="1:63" ht="35.1" customHeight="1" x14ac:dyDescent="0.25">
      <c r="A77" s="963"/>
      <c r="B77" s="964"/>
      <c r="C77" s="965"/>
      <c r="D77" s="966"/>
      <c r="E77" s="965"/>
      <c r="F77" s="965"/>
      <c r="G77" s="967"/>
      <c r="H77" s="968"/>
      <c r="I77" s="861" t="e">
        <f t="shared" si="72"/>
        <v>#DIV/0!</v>
      </c>
      <c r="J77" s="894" t="e">
        <f t="shared" si="73"/>
        <v>#DIV/0!</v>
      </c>
      <c r="K77" s="904"/>
      <c r="L77" s="861" t="e">
        <f t="shared" si="74"/>
        <v>#DIV/0!</v>
      </c>
      <c r="M77" s="895" t="e">
        <f t="shared" si="75"/>
        <v>#DIV/0!</v>
      </c>
      <c r="N77" s="905"/>
      <c r="O77" s="907" t="e">
        <f t="shared" si="76"/>
        <v>#DIV/0!</v>
      </c>
      <c r="P77" s="906" t="e">
        <f t="shared" si="77"/>
        <v>#DIV/0!</v>
      </c>
      <c r="Q77" s="897" t="e">
        <f t="shared" si="78"/>
        <v>#DIV/0!</v>
      </c>
      <c r="R77" s="970" t="e">
        <f t="shared" si="79"/>
        <v>#DIV/0!</v>
      </c>
      <c r="S77" s="969" t="e">
        <f t="shared" si="80"/>
        <v>#DIV/0!</v>
      </c>
      <c r="T77" s="909" t="e">
        <f t="shared" si="81"/>
        <v>#DIV/0!</v>
      </c>
      <c r="U77" s="896" t="e">
        <f t="shared" si="82"/>
        <v>#DIV/0!</v>
      </c>
      <c r="V77" s="898">
        <f t="shared" si="83"/>
        <v>0</v>
      </c>
      <c r="W77" s="970">
        <f t="shared" si="84"/>
        <v>0</v>
      </c>
      <c r="X77" s="971" t="e">
        <f t="shared" si="85"/>
        <v>#DIV/0!</v>
      </c>
      <c r="Y77" s="847"/>
      <c r="Z77" s="911" t="e">
        <f t="shared" si="86"/>
        <v>#DIV/0!</v>
      </c>
      <c r="AA77" s="972"/>
      <c r="AB77" s="848" t="e">
        <f t="shared" si="87"/>
        <v>#DIV/0!</v>
      </c>
      <c r="AC77" s="973"/>
      <c r="AD77" s="848" t="e">
        <f t="shared" si="88"/>
        <v>#DIV/0!</v>
      </c>
      <c r="AE77" s="974" t="e">
        <f t="shared" si="89"/>
        <v>#DIV/0!</v>
      </c>
      <c r="AF77" s="849" t="e">
        <f t="shared" si="90"/>
        <v>#DIV/0!</v>
      </c>
      <c r="AG77" s="850" t="e">
        <f t="shared" si="91"/>
        <v>#DIV/0!</v>
      </c>
      <c r="AH77" s="974" t="e">
        <f t="shared" si="92"/>
        <v>#DIV/0!</v>
      </c>
      <c r="AI77" s="851"/>
      <c r="AJ77" s="852" t="e">
        <f t="shared" si="93"/>
        <v>#DIV/0!</v>
      </c>
      <c r="AK77" s="975" t="e">
        <f t="shared" si="94"/>
        <v>#DIV/0!</v>
      </c>
      <c r="AL77" s="850" t="e">
        <f t="shared" si="95"/>
        <v>#DIV/0!</v>
      </c>
      <c r="AM77" s="975" t="e">
        <f t="shared" si="96"/>
        <v>#DIV/0!</v>
      </c>
      <c r="AN77" s="853"/>
      <c r="AO77" s="976" t="e">
        <f t="shared" si="97"/>
        <v>#DIV/0!</v>
      </c>
      <c r="AP77" s="912"/>
      <c r="AQ77" s="977"/>
      <c r="AR77" s="978">
        <f t="shared" si="98"/>
        <v>0</v>
      </c>
      <c r="AS77" s="919" t="e">
        <f t="shared" si="99"/>
        <v>#DIV/0!</v>
      </c>
      <c r="AT77" s="920" t="e">
        <f t="shared" si="100"/>
        <v>#DIV/0!</v>
      </c>
      <c r="AU77" s="913"/>
      <c r="AV77" s="854"/>
      <c r="AW77" s="914"/>
      <c r="AX77" s="979"/>
      <c r="AY77" s="855">
        <f t="shared" si="101"/>
        <v>0</v>
      </c>
      <c r="AZ77" s="918" t="e">
        <f t="shared" si="102"/>
        <v>#DIV/0!</v>
      </c>
      <c r="BA77" s="917" t="e">
        <f t="shared" si="103"/>
        <v>#DIV/0!</v>
      </c>
      <c r="BB77" s="916"/>
      <c r="BC77" s="855"/>
      <c r="BD77" s="915">
        <f t="shared" si="104"/>
        <v>1</v>
      </c>
      <c r="BE77" s="980"/>
      <c r="BF77" s="856"/>
      <c r="BG77" s="857">
        <f t="shared" si="105"/>
        <v>0</v>
      </c>
      <c r="BH77" s="981">
        <f t="shared" si="106"/>
        <v>-1</v>
      </c>
      <c r="BI77" s="858"/>
      <c r="BJ77" s="856"/>
      <c r="BK77" s="859">
        <f t="shared" si="107"/>
        <v>0</v>
      </c>
    </row>
    <row r="78" spans="1:63" ht="35.1" customHeight="1" x14ac:dyDescent="0.25">
      <c r="A78" s="963"/>
      <c r="B78" s="964"/>
      <c r="C78" s="965"/>
      <c r="D78" s="966"/>
      <c r="E78" s="965"/>
      <c r="F78" s="965"/>
      <c r="G78" s="967"/>
      <c r="H78" s="968"/>
      <c r="I78" s="861" t="e">
        <f t="shared" si="72"/>
        <v>#DIV/0!</v>
      </c>
      <c r="J78" s="894" t="e">
        <f t="shared" si="73"/>
        <v>#DIV/0!</v>
      </c>
      <c r="K78" s="904"/>
      <c r="L78" s="861" t="e">
        <f t="shared" si="74"/>
        <v>#DIV/0!</v>
      </c>
      <c r="M78" s="895" t="e">
        <f t="shared" si="75"/>
        <v>#DIV/0!</v>
      </c>
      <c r="N78" s="905"/>
      <c r="O78" s="907" t="e">
        <f t="shared" si="76"/>
        <v>#DIV/0!</v>
      </c>
      <c r="P78" s="906" t="e">
        <f t="shared" si="77"/>
        <v>#DIV/0!</v>
      </c>
      <c r="Q78" s="897" t="e">
        <f t="shared" si="78"/>
        <v>#DIV/0!</v>
      </c>
      <c r="R78" s="970" t="e">
        <f t="shared" si="79"/>
        <v>#DIV/0!</v>
      </c>
      <c r="S78" s="969" t="e">
        <f t="shared" si="80"/>
        <v>#DIV/0!</v>
      </c>
      <c r="T78" s="909" t="e">
        <f t="shared" si="81"/>
        <v>#DIV/0!</v>
      </c>
      <c r="U78" s="896" t="e">
        <f t="shared" si="82"/>
        <v>#DIV/0!</v>
      </c>
      <c r="V78" s="898">
        <f t="shared" si="83"/>
        <v>0</v>
      </c>
      <c r="W78" s="970">
        <f t="shared" si="84"/>
        <v>0</v>
      </c>
      <c r="X78" s="971" t="e">
        <f t="shared" si="85"/>
        <v>#DIV/0!</v>
      </c>
      <c r="Y78" s="847"/>
      <c r="Z78" s="911" t="e">
        <f t="shared" si="86"/>
        <v>#DIV/0!</v>
      </c>
      <c r="AA78" s="972"/>
      <c r="AB78" s="848" t="e">
        <f t="shared" si="87"/>
        <v>#DIV/0!</v>
      </c>
      <c r="AC78" s="973"/>
      <c r="AD78" s="848" t="e">
        <f t="shared" si="88"/>
        <v>#DIV/0!</v>
      </c>
      <c r="AE78" s="974" t="e">
        <f t="shared" si="89"/>
        <v>#DIV/0!</v>
      </c>
      <c r="AF78" s="849" t="e">
        <f t="shared" si="90"/>
        <v>#DIV/0!</v>
      </c>
      <c r="AG78" s="850" t="e">
        <f t="shared" si="91"/>
        <v>#DIV/0!</v>
      </c>
      <c r="AH78" s="974" t="e">
        <f t="shared" si="92"/>
        <v>#DIV/0!</v>
      </c>
      <c r="AI78" s="851"/>
      <c r="AJ78" s="852" t="e">
        <f t="shared" si="93"/>
        <v>#DIV/0!</v>
      </c>
      <c r="AK78" s="975" t="e">
        <f t="shared" si="94"/>
        <v>#DIV/0!</v>
      </c>
      <c r="AL78" s="850" t="e">
        <f t="shared" si="95"/>
        <v>#DIV/0!</v>
      </c>
      <c r="AM78" s="975" t="e">
        <f t="shared" si="96"/>
        <v>#DIV/0!</v>
      </c>
      <c r="AN78" s="853"/>
      <c r="AO78" s="976" t="e">
        <f t="shared" si="97"/>
        <v>#DIV/0!</v>
      </c>
      <c r="AP78" s="912"/>
      <c r="AQ78" s="977"/>
      <c r="AR78" s="978">
        <f t="shared" si="98"/>
        <v>0</v>
      </c>
      <c r="AS78" s="919" t="e">
        <f t="shared" si="99"/>
        <v>#DIV/0!</v>
      </c>
      <c r="AT78" s="920" t="e">
        <f t="shared" si="100"/>
        <v>#DIV/0!</v>
      </c>
      <c r="AU78" s="913"/>
      <c r="AV78" s="854"/>
      <c r="AW78" s="914"/>
      <c r="AX78" s="979"/>
      <c r="AY78" s="855">
        <f t="shared" si="101"/>
        <v>0</v>
      </c>
      <c r="AZ78" s="918" t="e">
        <f t="shared" si="102"/>
        <v>#DIV/0!</v>
      </c>
      <c r="BA78" s="917" t="e">
        <f t="shared" si="103"/>
        <v>#DIV/0!</v>
      </c>
      <c r="BB78" s="916"/>
      <c r="BC78" s="855"/>
      <c r="BD78" s="915">
        <f t="shared" si="104"/>
        <v>1</v>
      </c>
      <c r="BE78" s="980"/>
      <c r="BF78" s="856"/>
      <c r="BG78" s="857">
        <f t="shared" si="105"/>
        <v>0</v>
      </c>
      <c r="BH78" s="981">
        <f t="shared" si="106"/>
        <v>-1</v>
      </c>
      <c r="BI78" s="858"/>
      <c r="BJ78" s="856"/>
      <c r="BK78" s="859">
        <f t="shared" si="107"/>
        <v>0</v>
      </c>
    </row>
    <row r="79" spans="1:63" ht="35.1" customHeight="1" x14ac:dyDescent="0.25">
      <c r="A79" s="963"/>
      <c r="B79" s="964"/>
      <c r="C79" s="965"/>
      <c r="D79" s="966"/>
      <c r="E79" s="965"/>
      <c r="F79" s="965"/>
      <c r="G79" s="967"/>
      <c r="H79" s="968"/>
      <c r="I79" s="861" t="e">
        <f t="shared" si="72"/>
        <v>#DIV/0!</v>
      </c>
      <c r="J79" s="894" t="e">
        <f t="shared" si="73"/>
        <v>#DIV/0!</v>
      </c>
      <c r="K79" s="904"/>
      <c r="L79" s="861" t="e">
        <f t="shared" si="74"/>
        <v>#DIV/0!</v>
      </c>
      <c r="M79" s="895" t="e">
        <f t="shared" si="75"/>
        <v>#DIV/0!</v>
      </c>
      <c r="N79" s="905"/>
      <c r="O79" s="907" t="e">
        <f t="shared" si="76"/>
        <v>#DIV/0!</v>
      </c>
      <c r="P79" s="906" t="e">
        <f t="shared" si="77"/>
        <v>#DIV/0!</v>
      </c>
      <c r="Q79" s="897" t="e">
        <f t="shared" si="78"/>
        <v>#DIV/0!</v>
      </c>
      <c r="R79" s="970" t="e">
        <f t="shared" si="79"/>
        <v>#DIV/0!</v>
      </c>
      <c r="S79" s="969" t="e">
        <f t="shared" si="80"/>
        <v>#DIV/0!</v>
      </c>
      <c r="T79" s="909" t="e">
        <f t="shared" si="81"/>
        <v>#DIV/0!</v>
      </c>
      <c r="U79" s="896" t="e">
        <f t="shared" si="82"/>
        <v>#DIV/0!</v>
      </c>
      <c r="V79" s="898">
        <f t="shared" si="83"/>
        <v>0</v>
      </c>
      <c r="W79" s="970">
        <f t="shared" si="84"/>
        <v>0</v>
      </c>
      <c r="X79" s="971" t="e">
        <f t="shared" si="85"/>
        <v>#DIV/0!</v>
      </c>
      <c r="Y79" s="847"/>
      <c r="Z79" s="911" t="e">
        <f t="shared" si="86"/>
        <v>#DIV/0!</v>
      </c>
      <c r="AA79" s="972"/>
      <c r="AB79" s="848" t="e">
        <f t="shared" si="87"/>
        <v>#DIV/0!</v>
      </c>
      <c r="AC79" s="973"/>
      <c r="AD79" s="848" t="e">
        <f t="shared" si="88"/>
        <v>#DIV/0!</v>
      </c>
      <c r="AE79" s="974" t="e">
        <f t="shared" si="89"/>
        <v>#DIV/0!</v>
      </c>
      <c r="AF79" s="849" t="e">
        <f t="shared" si="90"/>
        <v>#DIV/0!</v>
      </c>
      <c r="AG79" s="850" t="e">
        <f t="shared" si="91"/>
        <v>#DIV/0!</v>
      </c>
      <c r="AH79" s="974" t="e">
        <f t="shared" si="92"/>
        <v>#DIV/0!</v>
      </c>
      <c r="AI79" s="851"/>
      <c r="AJ79" s="852" t="e">
        <f t="shared" si="93"/>
        <v>#DIV/0!</v>
      </c>
      <c r="AK79" s="975" t="e">
        <f t="shared" si="94"/>
        <v>#DIV/0!</v>
      </c>
      <c r="AL79" s="850" t="e">
        <f t="shared" si="95"/>
        <v>#DIV/0!</v>
      </c>
      <c r="AM79" s="975" t="e">
        <f t="shared" si="96"/>
        <v>#DIV/0!</v>
      </c>
      <c r="AN79" s="853"/>
      <c r="AO79" s="976" t="e">
        <f t="shared" si="97"/>
        <v>#DIV/0!</v>
      </c>
      <c r="AP79" s="912"/>
      <c r="AQ79" s="977"/>
      <c r="AR79" s="978">
        <f t="shared" si="98"/>
        <v>0</v>
      </c>
      <c r="AS79" s="919" t="e">
        <f t="shared" si="99"/>
        <v>#DIV/0!</v>
      </c>
      <c r="AT79" s="920" t="e">
        <f t="shared" si="100"/>
        <v>#DIV/0!</v>
      </c>
      <c r="AU79" s="913"/>
      <c r="AV79" s="854"/>
      <c r="AW79" s="914"/>
      <c r="AX79" s="979"/>
      <c r="AY79" s="855">
        <f t="shared" si="101"/>
        <v>0</v>
      </c>
      <c r="AZ79" s="918" t="e">
        <f t="shared" si="102"/>
        <v>#DIV/0!</v>
      </c>
      <c r="BA79" s="917" t="e">
        <f t="shared" si="103"/>
        <v>#DIV/0!</v>
      </c>
      <c r="BB79" s="916"/>
      <c r="BC79" s="855"/>
      <c r="BD79" s="915">
        <f t="shared" si="104"/>
        <v>1</v>
      </c>
      <c r="BE79" s="980"/>
      <c r="BF79" s="856"/>
      <c r="BG79" s="857">
        <f t="shared" si="105"/>
        <v>0</v>
      </c>
      <c r="BH79" s="981">
        <f t="shared" si="106"/>
        <v>-1</v>
      </c>
      <c r="BI79" s="858"/>
      <c r="BJ79" s="856"/>
      <c r="BK79" s="859">
        <f t="shared" si="107"/>
        <v>0</v>
      </c>
    </row>
    <row r="80" spans="1:63" ht="35.1" customHeight="1" x14ac:dyDescent="0.25">
      <c r="A80" s="963"/>
      <c r="B80" s="964"/>
      <c r="C80" s="965"/>
      <c r="D80" s="966"/>
      <c r="E80" s="965"/>
      <c r="F80" s="965"/>
      <c r="G80" s="967"/>
      <c r="H80" s="968"/>
      <c r="I80" s="861" t="e">
        <f t="shared" si="72"/>
        <v>#DIV/0!</v>
      </c>
      <c r="J80" s="894" t="e">
        <f t="shared" si="73"/>
        <v>#DIV/0!</v>
      </c>
      <c r="K80" s="904"/>
      <c r="L80" s="861" t="e">
        <f t="shared" si="74"/>
        <v>#DIV/0!</v>
      </c>
      <c r="M80" s="895" t="e">
        <f t="shared" si="75"/>
        <v>#DIV/0!</v>
      </c>
      <c r="N80" s="905"/>
      <c r="O80" s="907" t="e">
        <f t="shared" si="76"/>
        <v>#DIV/0!</v>
      </c>
      <c r="P80" s="906" t="e">
        <f t="shared" si="77"/>
        <v>#DIV/0!</v>
      </c>
      <c r="Q80" s="897" t="e">
        <f t="shared" si="78"/>
        <v>#DIV/0!</v>
      </c>
      <c r="R80" s="970" t="e">
        <f t="shared" si="79"/>
        <v>#DIV/0!</v>
      </c>
      <c r="S80" s="969" t="e">
        <f t="shared" si="80"/>
        <v>#DIV/0!</v>
      </c>
      <c r="T80" s="909" t="e">
        <f t="shared" si="81"/>
        <v>#DIV/0!</v>
      </c>
      <c r="U80" s="896" t="e">
        <f t="shared" si="82"/>
        <v>#DIV/0!</v>
      </c>
      <c r="V80" s="898">
        <f t="shared" si="83"/>
        <v>0</v>
      </c>
      <c r="W80" s="970">
        <f t="shared" si="84"/>
        <v>0</v>
      </c>
      <c r="X80" s="971" t="e">
        <f t="shared" si="85"/>
        <v>#DIV/0!</v>
      </c>
      <c r="Y80" s="847"/>
      <c r="Z80" s="911" t="e">
        <f t="shared" si="86"/>
        <v>#DIV/0!</v>
      </c>
      <c r="AA80" s="972"/>
      <c r="AB80" s="848" t="e">
        <f t="shared" si="87"/>
        <v>#DIV/0!</v>
      </c>
      <c r="AC80" s="973"/>
      <c r="AD80" s="848" t="e">
        <f t="shared" si="88"/>
        <v>#DIV/0!</v>
      </c>
      <c r="AE80" s="974" t="e">
        <f t="shared" si="89"/>
        <v>#DIV/0!</v>
      </c>
      <c r="AF80" s="849" t="e">
        <f t="shared" si="90"/>
        <v>#DIV/0!</v>
      </c>
      <c r="AG80" s="850" t="e">
        <f t="shared" si="91"/>
        <v>#DIV/0!</v>
      </c>
      <c r="AH80" s="974" t="e">
        <f t="shared" si="92"/>
        <v>#DIV/0!</v>
      </c>
      <c r="AI80" s="851"/>
      <c r="AJ80" s="852" t="e">
        <f t="shared" si="93"/>
        <v>#DIV/0!</v>
      </c>
      <c r="AK80" s="975" t="e">
        <f t="shared" si="94"/>
        <v>#DIV/0!</v>
      </c>
      <c r="AL80" s="850" t="e">
        <f t="shared" si="95"/>
        <v>#DIV/0!</v>
      </c>
      <c r="AM80" s="975" t="e">
        <f t="shared" si="96"/>
        <v>#DIV/0!</v>
      </c>
      <c r="AN80" s="853"/>
      <c r="AO80" s="976" t="e">
        <f t="shared" si="97"/>
        <v>#DIV/0!</v>
      </c>
      <c r="AP80" s="912"/>
      <c r="AQ80" s="977"/>
      <c r="AR80" s="978">
        <f t="shared" si="98"/>
        <v>0</v>
      </c>
      <c r="AS80" s="919" t="e">
        <f t="shared" si="99"/>
        <v>#DIV/0!</v>
      </c>
      <c r="AT80" s="920" t="e">
        <f t="shared" si="100"/>
        <v>#DIV/0!</v>
      </c>
      <c r="AU80" s="913"/>
      <c r="AV80" s="854"/>
      <c r="AW80" s="914"/>
      <c r="AX80" s="979"/>
      <c r="AY80" s="855">
        <f t="shared" si="101"/>
        <v>0</v>
      </c>
      <c r="AZ80" s="918" t="e">
        <f t="shared" si="102"/>
        <v>#DIV/0!</v>
      </c>
      <c r="BA80" s="917" t="e">
        <f t="shared" si="103"/>
        <v>#DIV/0!</v>
      </c>
      <c r="BB80" s="916"/>
      <c r="BC80" s="855"/>
      <c r="BD80" s="915">
        <f t="shared" si="104"/>
        <v>1</v>
      </c>
      <c r="BE80" s="980"/>
      <c r="BF80" s="856"/>
      <c r="BG80" s="857">
        <f t="shared" si="105"/>
        <v>0</v>
      </c>
      <c r="BH80" s="981">
        <f t="shared" si="106"/>
        <v>-1</v>
      </c>
      <c r="BI80" s="858"/>
      <c r="BJ80" s="856"/>
      <c r="BK80" s="859">
        <f t="shared" si="107"/>
        <v>0</v>
      </c>
    </row>
  </sheetData>
  <autoFilter ref="A2:BK80" xr:uid="{492FB725-95ED-4A36-AEA2-DD5D1B669A86}"/>
  <mergeCells count="8">
    <mergeCell ref="AY1:BA1"/>
    <mergeCell ref="BB1:BD1"/>
    <mergeCell ref="I1:K1"/>
    <mergeCell ref="L1:N1"/>
    <mergeCell ref="O1:Q1"/>
    <mergeCell ref="T1:V1"/>
    <mergeCell ref="AR1:AT1"/>
    <mergeCell ref="AU1:AW1"/>
  </mergeCells>
  <conditionalFormatting sqref="X3:X80 AE3:AE80 AH3:AH80">
    <cfRule type="cellIs" dxfId="30" priority="13" operator="between">
      <formula>0.25</formula>
      <formula>1</formula>
    </cfRule>
  </conditionalFormatting>
  <conditionalFormatting sqref="AO3:AO80 AK3:AK80 AM3:AM80">
    <cfRule type="cellIs" dxfId="29" priority="6" operator="between">
      <formula>1.25</formula>
      <formula>2</formula>
    </cfRule>
    <cfRule type="cellIs" dxfId="28" priority="7" operator="between">
      <formula>1.1</formula>
      <formula>1.25</formula>
    </cfRule>
    <cfRule type="cellIs" dxfId="27" priority="8" operator="between">
      <formula>1.05</formula>
      <formula>1.1</formula>
    </cfRule>
    <cfRule type="cellIs" dxfId="26" priority="9" operator="between">
      <formula>0</formula>
      <formula>0.75</formula>
    </cfRule>
    <cfRule type="cellIs" dxfId="25" priority="10" operator="between">
      <formula>0.75</formula>
      <formula>0.9</formula>
    </cfRule>
    <cfRule type="cellIs" dxfId="24" priority="11" operator="between">
      <formula>0.9</formula>
      <formula>0.95</formula>
    </cfRule>
    <cfRule type="cellIs" dxfId="23" priority="12" operator="between">
      <formula>0.95</formula>
      <formula>1.05</formula>
    </cfRule>
  </conditionalFormatting>
  <conditionalFormatting sqref="X3:X80 S3:S80 AE3:AE80 AH3:AH80">
    <cfRule type="cellIs" dxfId="22" priority="14" operator="between">
      <formula>0.1</formula>
      <formula>0.25</formula>
    </cfRule>
    <cfRule type="cellIs" dxfId="21" priority="15" operator="between">
      <formula>0.05</formula>
      <formula>1</formula>
    </cfRule>
    <cfRule type="cellIs" dxfId="20" priority="16" operator="between">
      <formula>-1</formula>
      <formula>-0.25</formula>
    </cfRule>
    <cfRule type="cellIs" dxfId="19" priority="17" operator="between">
      <formula>-0.25</formula>
      <formula>-0.1</formula>
    </cfRule>
    <cfRule type="cellIs" dxfId="18" priority="18" operator="between">
      <formula>-0.1</formula>
      <formula>-0.05</formula>
    </cfRule>
    <cfRule type="cellIs" dxfId="17" priority="19" operator="between">
      <formula>-0.05</formula>
      <formula>0.05</formula>
    </cfRule>
  </conditionalFormatting>
  <conditionalFormatting sqref="BH3:BH80">
    <cfRule type="cellIs" dxfId="16" priority="1" operator="between">
      <formula>-1</formula>
      <formula>-0.0250000001</formula>
    </cfRule>
    <cfRule type="cellIs" dxfId="15" priority="2" operator="between">
      <formula>-0.025</formula>
      <formula>-0.010000001</formula>
    </cfRule>
    <cfRule type="cellIs" dxfId="14" priority="3" operator="between">
      <formula>0.02500000001</formula>
      <formula>1</formula>
    </cfRule>
    <cfRule type="cellIs" dxfId="13" priority="4" operator="between">
      <formula>0.0100000001</formula>
      <formula>0.025</formula>
    </cfRule>
    <cfRule type="cellIs" dxfId="12" priority="5" operator="between">
      <formula>-0.01</formula>
      <formula>0.01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61BABB-16B6-4332-BA04-B9180AAEFD34}">
  <sheetPr codeName="Feuil7">
    <tabColor theme="1"/>
  </sheetPr>
  <dimension ref="A1:BN114"/>
  <sheetViews>
    <sheetView zoomScale="33" zoomScaleNormal="33" workbookViewId="0">
      <selection activeCell="BG3" sqref="BG3:BH3"/>
    </sheetView>
  </sheetViews>
  <sheetFormatPr baseColWidth="10" defaultRowHeight="15" x14ac:dyDescent="0.25"/>
  <cols>
    <col min="2" max="2" width="22.42578125" customWidth="1"/>
    <col min="3" max="3" width="16.140625" customWidth="1"/>
    <col min="5" max="5" width="22.28515625" customWidth="1"/>
    <col min="6" max="6" width="23.5703125" customWidth="1"/>
    <col min="7" max="7" width="8.28515625" customWidth="1"/>
    <col min="8" max="8" width="8.140625" customWidth="1"/>
    <col min="11" max="11" width="13.7109375" customWidth="1"/>
    <col min="14" max="14" width="13.7109375" customWidth="1"/>
    <col min="15" max="15" width="11.42578125" customWidth="1"/>
    <col min="17" max="17" width="13.7109375" customWidth="1"/>
    <col min="22" max="22" width="13.7109375" customWidth="1"/>
    <col min="25" max="25" width="2.42578125" customWidth="1"/>
    <col min="26" max="26" width="10.7109375" style="998" customWidth="1"/>
    <col min="27" max="27" width="16.7109375" style="999" customWidth="1"/>
    <col min="28" max="28" width="12.5703125" style="999" customWidth="1"/>
    <col min="29" max="29" width="16.7109375" style="999" customWidth="1"/>
    <col min="30" max="30" width="12.5703125" style="999" customWidth="1"/>
    <col min="31" max="31" width="16.7109375" style="999" customWidth="1"/>
    <col min="32" max="32" width="12.5703125" style="999" customWidth="1"/>
    <col min="33" max="33" width="14.5703125" style="1000" customWidth="1"/>
    <col min="34" max="34" width="10.85546875" style="998" customWidth="1"/>
    <col min="35" max="35" width="10.85546875" style="999" customWidth="1"/>
    <col min="36" max="36" width="16.5703125" style="999" customWidth="1"/>
    <col min="37" max="37" width="12.5703125" style="999" customWidth="1"/>
    <col min="38" max="38" width="16.5703125" style="999" customWidth="1"/>
    <col min="39" max="39" width="12.5703125" style="999" customWidth="1"/>
    <col min="40" max="40" width="11.7109375" style="1000" customWidth="1"/>
    <col min="41" max="41" width="11.28515625" style="998" customWidth="1"/>
    <col min="42" max="42" width="16.7109375" style="999" customWidth="1"/>
    <col min="43" max="43" width="11.7109375" style="1001" customWidth="1"/>
    <col min="44" max="44" width="2" style="1002" customWidth="1"/>
    <col min="45" max="45" width="12.5703125" customWidth="1"/>
    <col min="46" max="48" width="13" customWidth="1"/>
    <col min="53" max="53" width="13.28515625" customWidth="1"/>
    <col min="54" max="55" width="13" customWidth="1"/>
    <col min="62" max="62" width="13" customWidth="1"/>
  </cols>
  <sheetData>
    <row r="1" spans="1:66" s="171" customFormat="1" ht="19.5" customHeight="1" x14ac:dyDescent="0.25">
      <c r="A1" s="921"/>
      <c r="B1" s="922"/>
      <c r="C1" s="922"/>
      <c r="D1" s="922"/>
      <c r="E1" s="922"/>
      <c r="F1" s="922"/>
      <c r="G1" s="922"/>
      <c r="H1" s="210"/>
      <c r="I1" s="1605" t="s">
        <v>402</v>
      </c>
      <c r="J1" s="1606"/>
      <c r="K1" s="1607"/>
      <c r="L1" s="1605" t="s">
        <v>383</v>
      </c>
      <c r="M1" s="1606"/>
      <c r="N1" s="1607"/>
      <c r="O1" s="1608" t="s">
        <v>404</v>
      </c>
      <c r="P1" s="1609"/>
      <c r="Q1" s="1609"/>
      <c r="R1" s="923"/>
      <c r="S1" s="923"/>
      <c r="T1" s="1606" t="s">
        <v>403</v>
      </c>
      <c r="U1" s="1606"/>
      <c r="V1" s="1606"/>
      <c r="W1" s="923"/>
      <c r="X1" s="924"/>
      <c r="Y1" s="910"/>
      <c r="Z1" s="1598" t="s">
        <v>398</v>
      </c>
      <c r="AA1" s="1599"/>
      <c r="AB1" s="1599"/>
      <c r="AC1" s="1599"/>
      <c r="AD1" s="1599"/>
      <c r="AE1" s="1599"/>
      <c r="AF1" s="1599"/>
      <c r="AG1" s="1600"/>
      <c r="AH1" s="1601" t="s">
        <v>400</v>
      </c>
      <c r="AI1" s="1602"/>
      <c r="AJ1" s="1602"/>
      <c r="AK1" s="1602"/>
      <c r="AL1" s="1602"/>
      <c r="AM1" s="1602"/>
      <c r="AN1" s="1603"/>
      <c r="AO1" s="1601" t="s">
        <v>399</v>
      </c>
      <c r="AP1" s="1602"/>
      <c r="AQ1" s="1604"/>
      <c r="AR1" s="1014"/>
      <c r="AS1" s="210"/>
      <c r="AT1" s="1593" t="s">
        <v>416</v>
      </c>
      <c r="AU1" s="1594"/>
      <c r="AV1" s="1595"/>
      <c r="AW1" s="1596" t="s">
        <v>415</v>
      </c>
      <c r="AX1" s="1594"/>
      <c r="AY1" s="1597"/>
      <c r="AZ1" s="931"/>
      <c r="BA1" s="1585" t="s">
        <v>417</v>
      </c>
      <c r="BB1" s="1586"/>
      <c r="BC1" s="1587"/>
      <c r="BD1" s="1588" t="s">
        <v>415</v>
      </c>
      <c r="BE1" s="1586"/>
      <c r="BF1" s="1589"/>
      <c r="BG1" s="931"/>
      <c r="BH1" s="922"/>
      <c r="BI1" s="210"/>
      <c r="BJ1" s="923"/>
      <c r="BK1" s="210"/>
      <c r="BL1" s="922"/>
      <c r="BM1" s="210"/>
      <c r="BN1" s="932"/>
    </row>
    <row r="2" spans="1:66" ht="99" customHeight="1" x14ac:dyDescent="0.25">
      <c r="A2" s="933" t="s">
        <v>354</v>
      </c>
      <c r="B2" s="934" t="s">
        <v>355</v>
      </c>
      <c r="C2" s="934" t="s">
        <v>356</v>
      </c>
      <c r="D2" s="934" t="s">
        <v>357</v>
      </c>
      <c r="E2" s="935" t="s">
        <v>17</v>
      </c>
      <c r="F2" s="935" t="s">
        <v>18</v>
      </c>
      <c r="G2" s="935" t="s">
        <v>432</v>
      </c>
      <c r="H2" s="936" t="s">
        <v>433</v>
      </c>
      <c r="I2" s="899" t="s">
        <v>189</v>
      </c>
      <c r="J2" s="982" t="s">
        <v>384</v>
      </c>
      <c r="K2" s="991" t="s">
        <v>385</v>
      </c>
      <c r="L2" s="899" t="s">
        <v>189</v>
      </c>
      <c r="M2" s="982" t="s">
        <v>384</v>
      </c>
      <c r="N2" s="991" t="s">
        <v>385</v>
      </c>
      <c r="O2" s="899" t="s">
        <v>189</v>
      </c>
      <c r="P2" s="982" t="s">
        <v>384</v>
      </c>
      <c r="Q2" s="989" t="s">
        <v>385</v>
      </c>
      <c r="R2" s="937" t="s">
        <v>372</v>
      </c>
      <c r="S2" s="937" t="s">
        <v>373</v>
      </c>
      <c r="T2" s="908" t="s">
        <v>189</v>
      </c>
      <c r="U2" s="982" t="s">
        <v>384</v>
      </c>
      <c r="V2" s="987" t="s">
        <v>385</v>
      </c>
      <c r="W2" s="937" t="s">
        <v>386</v>
      </c>
      <c r="X2" s="938" t="s">
        <v>358</v>
      </c>
      <c r="Y2" s="846"/>
      <c r="Z2" s="1048" t="s">
        <v>401</v>
      </c>
      <c r="AA2" s="1047" t="s">
        <v>424</v>
      </c>
      <c r="AB2" s="1004" t="s">
        <v>422</v>
      </c>
      <c r="AC2" s="1050" t="s">
        <v>425</v>
      </c>
      <c r="AD2" s="1005" t="s">
        <v>423</v>
      </c>
      <c r="AE2" s="1046" t="s">
        <v>426</v>
      </c>
      <c r="AF2" s="1005" t="s">
        <v>427</v>
      </c>
      <c r="AG2" s="1051" t="s">
        <v>421</v>
      </c>
      <c r="AH2" s="1049" t="s">
        <v>401</v>
      </c>
      <c r="AI2" s="1013" t="s">
        <v>397</v>
      </c>
      <c r="AJ2" s="1047" t="s">
        <v>428</v>
      </c>
      <c r="AK2" s="1004" t="s">
        <v>429</v>
      </c>
      <c r="AL2" s="1050" t="s">
        <v>425</v>
      </c>
      <c r="AM2" s="1005" t="s">
        <v>430</v>
      </c>
      <c r="AN2" s="1051" t="s">
        <v>419</v>
      </c>
      <c r="AO2" s="1052" t="s">
        <v>401</v>
      </c>
      <c r="AP2" s="1053" t="s">
        <v>431</v>
      </c>
      <c r="AQ2" s="1054" t="s">
        <v>420</v>
      </c>
      <c r="AR2" s="1003"/>
      <c r="AS2" s="950" t="s">
        <v>418</v>
      </c>
      <c r="AT2" s="951" t="s">
        <v>405</v>
      </c>
      <c r="AU2" s="951" t="s">
        <v>410</v>
      </c>
      <c r="AV2" s="952" t="s">
        <v>379</v>
      </c>
      <c r="AW2" s="950" t="s">
        <v>406</v>
      </c>
      <c r="AX2" s="951" t="s">
        <v>407</v>
      </c>
      <c r="AY2" s="953" t="s">
        <v>408</v>
      </c>
      <c r="AZ2" s="954" t="s">
        <v>374</v>
      </c>
      <c r="BA2" s="955" t="s">
        <v>412</v>
      </c>
      <c r="BB2" s="955" t="s">
        <v>409</v>
      </c>
      <c r="BC2" s="956" t="s">
        <v>380</v>
      </c>
      <c r="BD2" s="954" t="s">
        <v>411</v>
      </c>
      <c r="BE2" s="955" t="s">
        <v>413</v>
      </c>
      <c r="BF2" s="957" t="s">
        <v>414</v>
      </c>
      <c r="BG2" s="958" t="s">
        <v>388</v>
      </c>
      <c r="BH2" s="959" t="s">
        <v>389</v>
      </c>
      <c r="BI2" s="960" t="s">
        <v>375</v>
      </c>
      <c r="BJ2" s="961" t="s">
        <v>376</v>
      </c>
      <c r="BK2" s="958" t="s">
        <v>390</v>
      </c>
      <c r="BL2" s="959" t="s">
        <v>391</v>
      </c>
      <c r="BM2" s="962" t="s">
        <v>377</v>
      </c>
    </row>
    <row r="3" spans="1:66" s="21" customFormat="1" ht="35.1" customHeight="1" x14ac:dyDescent="0.25">
      <c r="A3" s="1015"/>
      <c r="B3" s="892" t="str">
        <f>EXPORT_PDF!G3</f>
        <v>MOULIN Grunagel</v>
      </c>
      <c r="C3" s="862" t="str">
        <f>EXPORT_PDF!G4</f>
        <v>AGROGANT</v>
      </c>
      <c r="D3" s="893">
        <f>'Calcul_Densité+Dose'!AH7</f>
        <v>5</v>
      </c>
      <c r="E3" s="862" t="str">
        <f>EXPORT_PDF!C24</f>
        <v>KW 1A252</v>
      </c>
      <c r="F3" s="862" t="str">
        <f>EXPORT_PDF!D24</f>
        <v>F 0841 B 711 844 A01</v>
      </c>
      <c r="G3" s="863">
        <f>'Calcul_Densité+Dose'!AH33</f>
        <v>220</v>
      </c>
      <c r="H3" s="1016">
        <f>'Calcul_Densité+Dose'!AD27</f>
        <v>0.88</v>
      </c>
      <c r="I3" s="861">
        <f t="shared" ref="I3:I34" si="0">$K3/$G3*$H3/100*100000</f>
        <v>0</v>
      </c>
      <c r="J3" s="983">
        <f t="shared" ref="J3:J34" si="1">$K3/$G3*1000</f>
        <v>0</v>
      </c>
      <c r="K3" s="993"/>
      <c r="L3" s="861">
        <f t="shared" ref="L3:L34" si="2">$N3/$G3*$H3/100*100000</f>
        <v>0</v>
      </c>
      <c r="M3" s="984">
        <f t="shared" ref="M3:M34" si="3">N3/G3/100*100000</f>
        <v>0</v>
      </c>
      <c r="N3" s="992"/>
      <c r="O3" s="907">
        <f t="shared" ref="O3:O34" si="4">$Q3/$G3*$H3/100*100000</f>
        <v>316.22166527429687</v>
      </c>
      <c r="P3" s="985">
        <f>IF(AH3=0,(AQ3+AG3)/1000,
IF(AO3=0,(AN3+AG3)/1000,
(AN3+AQ3+AG3)/1000))</f>
        <v>359.34280144806456</v>
      </c>
      <c r="Q3" s="990">
        <f t="shared" ref="Q3:Q34" si="5">($P3*$G3)/1000</f>
        <v>79.055416318574203</v>
      </c>
      <c r="R3" s="970">
        <f t="shared" ref="R3:R34" si="6">$V3-$Q3</f>
        <v>-79.055416318574203</v>
      </c>
      <c r="S3" s="969">
        <f t="shared" ref="S3:S34" si="7">($U3/$P3)-1</f>
        <v>-1</v>
      </c>
      <c r="T3" s="909">
        <f t="shared" ref="T3:T34" si="8">$I3+$L3</f>
        <v>0</v>
      </c>
      <c r="U3" s="986">
        <f t="shared" ref="U3:U34" si="9">$J3+$M3</f>
        <v>0</v>
      </c>
      <c r="V3" s="988">
        <f t="shared" ref="V3:V34" si="10">$K3+$N3</f>
        <v>0</v>
      </c>
      <c r="W3" s="970">
        <f t="shared" ref="W3:W34" si="11">$K3-$V3</f>
        <v>0</v>
      </c>
      <c r="X3" s="971" t="e">
        <f t="shared" ref="X3:X34" si="12">($V3/$K3)-1</f>
        <v>#DIV/0!</v>
      </c>
      <c r="Y3" s="847"/>
      <c r="Z3" s="911">
        <f>(D3*BC3)</f>
        <v>2.2222222222222223</v>
      </c>
      <c r="AA3" s="1041">
        <f>EXPORT_PDF!H24/100</f>
        <v>0.19</v>
      </c>
      <c r="AB3" s="997">
        <f>IF(AA3=0,0,
IF('Calcul_Densité+Dose'!B3="2x2",((10000/(AA3*BB3))/4)*Z3,
((10000/(AA3*BB3))/AZ3)*Z3))</f>
        <v>58479.53216374269</v>
      </c>
      <c r="AC3" s="1055">
        <f>EXPORT_PDF!H33/100</f>
        <v>0.2</v>
      </c>
      <c r="AD3" s="1008">
        <f>IF(AC3=0,0,
IF('Calcul_Densité+Dose'!B3="2x2",((10000/(AC3*BB3))/2)*Z3,
((10000/(AC3*BB3))/AZ3)*Z3))</f>
        <v>111111.11111111111</v>
      </c>
      <c r="AE3" s="1056">
        <f>EXPORT_PDF!H42/100</f>
        <v>0.21</v>
      </c>
      <c r="AF3" s="1010">
        <f>IF(AE3=0,0,
IF('Calcul_Densité+Dose'!B3="2x2",((10000/(AE3*BB3))/4)*Z3,
((10000/(AE3*BB3))/AZ3)*Z3))</f>
        <v>52910.052910052909</v>
      </c>
      <c r="AG3" s="1011">
        <f>(AB3+AD3+AF3)</f>
        <v>222500.6961849067</v>
      </c>
      <c r="AH3" s="1042">
        <f>'Calcul_Densité+Dose'!AI47</f>
        <v>1</v>
      </c>
      <c r="AI3" s="1043">
        <f>'Calcul_Densité+Dose'!AI48</f>
        <v>0.375</v>
      </c>
      <c r="AJ3" s="1044">
        <f>EXPORT_PDF!C33/100</f>
        <v>0.19</v>
      </c>
      <c r="AK3" s="997">
        <f>IF(AJ3=0,0,(((10000/(AJ3*AI3)))*AH3)/2)</f>
        <v>70175.438596491222</v>
      </c>
      <c r="AL3" s="1045">
        <f>EXPORT_PDF!C42/100</f>
        <v>0.2</v>
      </c>
      <c r="AM3" s="1008">
        <f>IF(AL3=0,0,(((10000/(AL3*AI3)))*AH3)/2)</f>
        <v>66666.666666666657</v>
      </c>
      <c r="AN3" s="1011">
        <f>(AK3+AM3)</f>
        <v>136842.10526315786</v>
      </c>
      <c r="AO3" s="860"/>
      <c r="AP3" s="996"/>
      <c r="AQ3" s="1022">
        <f>IF(AO3=0,0,(((10000/(AP3*AI3)))*AO3))</f>
        <v>0</v>
      </c>
      <c r="AR3" s="1012"/>
      <c r="AS3" s="866">
        <f>'Calcul_Densité+Dose'!F3</f>
        <v>2</v>
      </c>
      <c r="AT3" s="978">
        <f t="shared" ref="AT3:AT34" si="13">$BI3</f>
        <v>2.25</v>
      </c>
      <c r="AU3" s="919">
        <f t="shared" ref="AU3:AU34" si="14">($BG3+($BH$3/3))/$AS3</f>
        <v>0.625</v>
      </c>
      <c r="AV3" s="920">
        <f t="shared" ref="AV3:AV34" si="15">($BG3+($BH3/3))/$BI3</f>
        <v>0.55555555555555558</v>
      </c>
      <c r="AW3" s="913"/>
      <c r="AX3" s="854"/>
      <c r="AY3" s="914"/>
      <c r="AZ3" s="867">
        <f>'Calcul_Densité+Dose'!H3</f>
        <v>2</v>
      </c>
      <c r="BA3" s="855">
        <f t="shared" ref="BA3:BA34" si="16">$BH3</f>
        <v>1.5</v>
      </c>
      <c r="BB3" s="918">
        <f t="shared" ref="BB3:BB34" si="17">($BA3-($BA3/3))/$AZ3</f>
        <v>0.5</v>
      </c>
      <c r="BC3" s="917">
        <f t="shared" ref="BC3:BC34" si="18">1-$AV3</f>
        <v>0.44444444444444442</v>
      </c>
      <c r="BD3" s="916"/>
      <c r="BE3" s="855"/>
      <c r="BF3" s="915">
        <f t="shared" ref="BF3:BF34" si="19">1-$AY$3</f>
        <v>1</v>
      </c>
      <c r="BG3" s="868">
        <f>IF('Calcul_Densité+Dose'!B3="2x2",'Calcul_Densité+Dose'!I10,
IF('Calcul_Densité+Dose'!B3="4x2",'Calcul_Densité+Dose'!G32+'Calcul_Densité+Dose'!H32+'Calcul_Densité+Dose'!I32,
IF('Calcul_Densité+Dose'!B3="6x2",'Calcul_Densité+Dose'!E53+'Calcul_Densité+Dose'!F53+'Calcul_Densité+Dose'!G53+'Calcul_Densité+Dose'!H53+'Calcul_Densité+Dose'!I53,
IF('Calcul_Densité+Dose'!B3="4x3",'Calcul_Densité+Dose'!F21+'Calcul_Densité+Dose'!G21+'Calcul_Densité+Dose'!H21,
IF('Calcul_Densité+Dose'!B3="6x3",'Calcul_Densité+Dose'!D43+'Calcul_Densité+Dose'!E43+'Calcul_Densité+Dose'!F43+'Calcul_Densité+Dose'!G43+'Calcul_Densité+Dose'!H43,
)))))</f>
        <v>0.75</v>
      </c>
      <c r="BH3" s="869">
        <f>'Calcul_Densité+Dose'!Q3</f>
        <v>1.5</v>
      </c>
      <c r="BI3" s="857">
        <f t="shared" ref="BI3:BI34" si="20">$BG3+$BH3</f>
        <v>2.25</v>
      </c>
      <c r="BJ3" s="981">
        <f t="shared" ref="BJ3:BJ34" si="21">($BM$3/$BI$3)-1</f>
        <v>-1</v>
      </c>
      <c r="BK3" s="858"/>
      <c r="BL3" s="856"/>
      <c r="BM3" s="859">
        <f t="shared" ref="BM3:BM34" si="22">$BK3+$BL3</f>
        <v>0</v>
      </c>
    </row>
    <row r="4" spans="1:66" ht="35.1" customHeight="1" x14ac:dyDescent="0.25">
      <c r="A4" s="963"/>
      <c r="B4" s="964"/>
      <c r="C4" s="965"/>
      <c r="D4" s="966"/>
      <c r="E4" s="965"/>
      <c r="F4" s="965"/>
      <c r="G4" s="967"/>
      <c r="H4" s="968"/>
      <c r="I4" s="861" t="e">
        <f t="shared" si="0"/>
        <v>#DIV/0!</v>
      </c>
      <c r="J4" s="983" t="e">
        <f t="shared" si="1"/>
        <v>#DIV/0!</v>
      </c>
      <c r="K4" s="993"/>
      <c r="L4" s="861" t="e">
        <f t="shared" si="2"/>
        <v>#DIV/0!</v>
      </c>
      <c r="M4" s="984" t="e">
        <f t="shared" si="3"/>
        <v>#DIV/0!</v>
      </c>
      <c r="N4" s="992"/>
      <c r="O4" s="907" t="e">
        <f t="shared" si="4"/>
        <v>#REF!</v>
      </c>
      <c r="P4" s="985" t="e">
        <f>(#REF!*#REF!)/1000</f>
        <v>#REF!</v>
      </c>
      <c r="Q4" s="990" t="e">
        <f t="shared" si="5"/>
        <v>#REF!</v>
      </c>
      <c r="R4" s="970" t="e">
        <f t="shared" si="6"/>
        <v>#REF!</v>
      </c>
      <c r="S4" s="969" t="e">
        <f t="shared" si="7"/>
        <v>#DIV/0!</v>
      </c>
      <c r="T4" s="909" t="e">
        <f t="shared" si="8"/>
        <v>#DIV/0!</v>
      </c>
      <c r="U4" s="986" t="e">
        <f t="shared" si="9"/>
        <v>#DIV/0!</v>
      </c>
      <c r="V4" s="988">
        <f t="shared" si="10"/>
        <v>0</v>
      </c>
      <c r="W4" s="970">
        <f t="shared" si="11"/>
        <v>0</v>
      </c>
      <c r="X4" s="971" t="e">
        <f t="shared" si="12"/>
        <v>#DIV/0!</v>
      </c>
      <c r="Y4" s="847"/>
      <c r="Z4" s="911" t="e">
        <f t="shared" ref="Z4:Z67" si="23">(D4*BC4)</f>
        <v>#DIV/0!</v>
      </c>
      <c r="AA4" s="1006"/>
      <c r="AB4" s="997">
        <f>IF(AA4=0,0,
IF('Calcul_Densité+Dose'!B4="2x2",((10000/(AA4*BB4))/4)*Z4,
((10000/(AA4*BB4))/AZ4)*Z4))</f>
        <v>0</v>
      </c>
      <c r="AC4" s="1007"/>
      <c r="AD4" s="1008">
        <f>IF(AC4=0,0,
IF('Calcul_Densité+Dose'!B4="2x2",((10000/(AC4*BB4))/2)*Z4,
((10000/(AC4*BB4))/AZ4)*Z4))</f>
        <v>0</v>
      </c>
      <c r="AE4" s="1009"/>
      <c r="AF4" s="1010">
        <f>IF(AE4=0,0,
IF('Calcul_Densité+Dose'!B4="2x2",((10000/(AE4*BB4))/4)*Z4,
((10000/(AE4*BB4))/AZ4)*Z4))</f>
        <v>0</v>
      </c>
      <c r="AG4" s="1011">
        <f t="shared" ref="AG4:AG67" si="24">(AB4+AD4+AF4)</f>
        <v>0</v>
      </c>
      <c r="AH4" s="860"/>
      <c r="AI4" s="995"/>
      <c r="AJ4" s="1020"/>
      <c r="AK4" s="997">
        <f t="shared" ref="AK4:AK67" si="25">IF(AJ4=0,0,(((10000/(AJ4*AI4)))*AH4)/2)</f>
        <v>0</v>
      </c>
      <c r="AL4" s="1021"/>
      <c r="AM4" s="1008">
        <f t="shared" ref="AM4:AM67" si="26">IF(AL4=0,0,(((10000/(AL4*AI4)))*AH4)/2)</f>
        <v>0</v>
      </c>
      <c r="AN4" s="1011">
        <f t="shared" ref="AN4:AN67" si="27">(AK4+AM4)</f>
        <v>0</v>
      </c>
      <c r="AO4" s="860"/>
      <c r="AP4" s="996"/>
      <c r="AQ4" s="1022">
        <f t="shared" ref="AQ4:AQ67" si="28">IF(AO4=0,0,(((10000/(AP4*AI4)))*AO4))</f>
        <v>0</v>
      </c>
      <c r="AR4" s="994"/>
      <c r="AS4" s="977"/>
      <c r="AT4" s="978">
        <f t="shared" si="13"/>
        <v>0</v>
      </c>
      <c r="AU4" s="919" t="e">
        <f t="shared" si="14"/>
        <v>#DIV/0!</v>
      </c>
      <c r="AV4" s="920" t="e">
        <f t="shared" si="15"/>
        <v>#DIV/0!</v>
      </c>
      <c r="AW4" s="913"/>
      <c r="AX4" s="854"/>
      <c r="AY4" s="914"/>
      <c r="AZ4" s="979"/>
      <c r="BA4" s="855">
        <f t="shared" si="16"/>
        <v>0</v>
      </c>
      <c r="BB4" s="918" t="e">
        <f t="shared" si="17"/>
        <v>#DIV/0!</v>
      </c>
      <c r="BC4" s="917" t="e">
        <f t="shared" si="18"/>
        <v>#DIV/0!</v>
      </c>
      <c r="BD4" s="916"/>
      <c r="BE4" s="855"/>
      <c r="BF4" s="915">
        <f t="shared" si="19"/>
        <v>1</v>
      </c>
      <c r="BG4" s="980"/>
      <c r="BH4" s="856"/>
      <c r="BI4" s="857">
        <f t="shared" si="20"/>
        <v>0</v>
      </c>
      <c r="BJ4" s="981">
        <f t="shared" si="21"/>
        <v>-1</v>
      </c>
      <c r="BK4" s="858"/>
      <c r="BL4" s="856"/>
      <c r="BM4" s="859">
        <f t="shared" si="22"/>
        <v>0</v>
      </c>
    </row>
    <row r="5" spans="1:66" ht="35.1" customHeight="1" x14ac:dyDescent="0.25">
      <c r="A5" s="963"/>
      <c r="B5" s="964"/>
      <c r="C5" s="965"/>
      <c r="D5" s="966"/>
      <c r="E5" s="965"/>
      <c r="F5" s="965"/>
      <c r="G5" s="967"/>
      <c r="H5" s="968"/>
      <c r="I5" s="861" t="e">
        <f t="shared" si="0"/>
        <v>#DIV/0!</v>
      </c>
      <c r="J5" s="983" t="e">
        <f t="shared" si="1"/>
        <v>#DIV/0!</v>
      </c>
      <c r="K5" s="993"/>
      <c r="L5" s="861" t="e">
        <f t="shared" si="2"/>
        <v>#DIV/0!</v>
      </c>
      <c r="M5" s="984" t="e">
        <f t="shared" si="3"/>
        <v>#DIV/0!</v>
      </c>
      <c r="N5" s="992"/>
      <c r="O5" s="907" t="e">
        <f t="shared" si="4"/>
        <v>#REF!</v>
      </c>
      <c r="P5" s="985" t="e">
        <f>(#REF!*#REF!)/1000</f>
        <v>#REF!</v>
      </c>
      <c r="Q5" s="990" t="e">
        <f t="shared" si="5"/>
        <v>#REF!</v>
      </c>
      <c r="R5" s="970" t="e">
        <f t="shared" si="6"/>
        <v>#REF!</v>
      </c>
      <c r="S5" s="969" t="e">
        <f t="shared" si="7"/>
        <v>#DIV/0!</v>
      </c>
      <c r="T5" s="909" t="e">
        <f t="shared" si="8"/>
        <v>#DIV/0!</v>
      </c>
      <c r="U5" s="986" t="e">
        <f t="shared" si="9"/>
        <v>#DIV/0!</v>
      </c>
      <c r="V5" s="988">
        <f t="shared" si="10"/>
        <v>0</v>
      </c>
      <c r="W5" s="970">
        <f t="shared" si="11"/>
        <v>0</v>
      </c>
      <c r="X5" s="971" t="e">
        <f t="shared" si="12"/>
        <v>#DIV/0!</v>
      </c>
      <c r="Y5" s="847"/>
      <c r="Z5" s="911" t="e">
        <f t="shared" si="23"/>
        <v>#DIV/0!</v>
      </c>
      <c r="AA5" s="1006"/>
      <c r="AB5" s="997">
        <f>IF(AA5=0,0,
IF('Calcul_Densité+Dose'!B5="2x2",((10000/(AA5*BB5))/4)*Z5,
((10000/(AA5*BB5))/AZ5)*Z5))</f>
        <v>0</v>
      </c>
      <c r="AC5" s="1007"/>
      <c r="AD5" s="1008">
        <f>IF(AC5=0,0,
IF('Calcul_Densité+Dose'!B5="2x2",((10000/(AC5*BB5))/2)*Z5,
((10000/(AC5*BB5))/AZ5)*Z5))</f>
        <v>0</v>
      </c>
      <c r="AE5" s="1009"/>
      <c r="AF5" s="1010">
        <f>IF(AE5=0,0,
IF('Calcul_Densité+Dose'!B5="2x2",((10000/(AE5*BB5))/4)*Z5,
((10000/(AE5*BB5))/AZ5)*Z5))</f>
        <v>0</v>
      </c>
      <c r="AG5" s="1011">
        <f t="shared" si="24"/>
        <v>0</v>
      </c>
      <c r="AH5" s="860"/>
      <c r="AI5" s="995"/>
      <c r="AJ5" s="1020"/>
      <c r="AK5" s="997">
        <f t="shared" si="25"/>
        <v>0</v>
      </c>
      <c r="AL5" s="1021"/>
      <c r="AM5" s="1008">
        <f t="shared" si="26"/>
        <v>0</v>
      </c>
      <c r="AN5" s="1011">
        <f t="shared" si="27"/>
        <v>0</v>
      </c>
      <c r="AO5" s="860"/>
      <c r="AP5" s="996"/>
      <c r="AQ5" s="1022">
        <f t="shared" si="28"/>
        <v>0</v>
      </c>
      <c r="AR5" s="994"/>
      <c r="AS5" s="977"/>
      <c r="AT5" s="978">
        <f t="shared" si="13"/>
        <v>0</v>
      </c>
      <c r="AU5" s="919" t="e">
        <f t="shared" si="14"/>
        <v>#DIV/0!</v>
      </c>
      <c r="AV5" s="920" t="e">
        <f t="shared" si="15"/>
        <v>#DIV/0!</v>
      </c>
      <c r="AW5" s="913"/>
      <c r="AX5" s="854"/>
      <c r="AY5" s="914"/>
      <c r="AZ5" s="979"/>
      <c r="BA5" s="855">
        <f t="shared" si="16"/>
        <v>0</v>
      </c>
      <c r="BB5" s="918" t="e">
        <f t="shared" si="17"/>
        <v>#DIV/0!</v>
      </c>
      <c r="BC5" s="917" t="e">
        <f t="shared" si="18"/>
        <v>#DIV/0!</v>
      </c>
      <c r="BD5" s="916"/>
      <c r="BE5" s="855"/>
      <c r="BF5" s="915">
        <f t="shared" si="19"/>
        <v>1</v>
      </c>
      <c r="BG5" s="980"/>
      <c r="BH5" s="856"/>
      <c r="BI5" s="857">
        <f t="shared" si="20"/>
        <v>0</v>
      </c>
      <c r="BJ5" s="981">
        <f t="shared" si="21"/>
        <v>-1</v>
      </c>
      <c r="BK5" s="858"/>
      <c r="BL5" s="856"/>
      <c r="BM5" s="859">
        <f t="shared" si="22"/>
        <v>0</v>
      </c>
    </row>
    <row r="6" spans="1:66" ht="35.1" customHeight="1" x14ac:dyDescent="0.25">
      <c r="A6" s="963"/>
      <c r="B6" s="964"/>
      <c r="C6" s="965"/>
      <c r="D6" s="966"/>
      <c r="E6" s="965"/>
      <c r="F6" s="965"/>
      <c r="G6" s="967"/>
      <c r="H6" s="968"/>
      <c r="I6" s="861" t="e">
        <f t="shared" si="0"/>
        <v>#DIV/0!</v>
      </c>
      <c r="J6" s="983" t="e">
        <f t="shared" si="1"/>
        <v>#DIV/0!</v>
      </c>
      <c r="K6" s="993"/>
      <c r="L6" s="861" t="e">
        <f t="shared" si="2"/>
        <v>#DIV/0!</v>
      </c>
      <c r="M6" s="984" t="e">
        <f t="shared" si="3"/>
        <v>#DIV/0!</v>
      </c>
      <c r="N6" s="992"/>
      <c r="O6" s="907" t="e">
        <f t="shared" si="4"/>
        <v>#REF!</v>
      </c>
      <c r="P6" s="985" t="e">
        <f>(#REF!*#REF!)/1000</f>
        <v>#REF!</v>
      </c>
      <c r="Q6" s="990" t="e">
        <f t="shared" si="5"/>
        <v>#REF!</v>
      </c>
      <c r="R6" s="970" t="e">
        <f t="shared" si="6"/>
        <v>#REF!</v>
      </c>
      <c r="S6" s="969" t="e">
        <f t="shared" si="7"/>
        <v>#DIV/0!</v>
      </c>
      <c r="T6" s="909" t="e">
        <f t="shared" si="8"/>
        <v>#DIV/0!</v>
      </c>
      <c r="U6" s="986" t="e">
        <f t="shared" si="9"/>
        <v>#DIV/0!</v>
      </c>
      <c r="V6" s="988">
        <f t="shared" si="10"/>
        <v>0</v>
      </c>
      <c r="W6" s="970">
        <f t="shared" si="11"/>
        <v>0</v>
      </c>
      <c r="X6" s="971" t="e">
        <f t="shared" si="12"/>
        <v>#DIV/0!</v>
      </c>
      <c r="Y6" s="847"/>
      <c r="Z6" s="911" t="e">
        <f t="shared" si="23"/>
        <v>#DIV/0!</v>
      </c>
      <c r="AA6" s="1006"/>
      <c r="AB6" s="997">
        <f>IF(AA6=0,0,
IF('Calcul_Densité+Dose'!B6="2x2",((10000/(AA6*BB6))/4)*Z6,
((10000/(AA6*BB6))/AZ6)*Z6))</f>
        <v>0</v>
      </c>
      <c r="AC6" s="1007"/>
      <c r="AD6" s="1008">
        <f>IF(AC6=0,0,
IF('Calcul_Densité+Dose'!B6="2x2",((10000/(AC6*BB6))/2)*Z6,
((10000/(AC6*BB6))/AZ6)*Z6))</f>
        <v>0</v>
      </c>
      <c r="AE6" s="1009"/>
      <c r="AF6" s="1010">
        <f>IF(AE6=0,0,
IF('Calcul_Densité+Dose'!B6="2x2",((10000/(AE6*BB6))/4)*Z6,
((10000/(AE6*BB6))/AZ6)*Z6))</f>
        <v>0</v>
      </c>
      <c r="AG6" s="1011">
        <f t="shared" si="24"/>
        <v>0</v>
      </c>
      <c r="AH6" s="860"/>
      <c r="AI6" s="995"/>
      <c r="AJ6" s="1020"/>
      <c r="AK6" s="997">
        <f t="shared" si="25"/>
        <v>0</v>
      </c>
      <c r="AL6" s="1021"/>
      <c r="AM6" s="1008">
        <f t="shared" si="26"/>
        <v>0</v>
      </c>
      <c r="AN6" s="1011">
        <f t="shared" si="27"/>
        <v>0</v>
      </c>
      <c r="AO6" s="860"/>
      <c r="AP6" s="996"/>
      <c r="AQ6" s="1022">
        <f t="shared" si="28"/>
        <v>0</v>
      </c>
      <c r="AR6" s="994"/>
      <c r="AS6" s="977"/>
      <c r="AT6" s="978">
        <f t="shared" si="13"/>
        <v>0</v>
      </c>
      <c r="AU6" s="919" t="e">
        <f t="shared" si="14"/>
        <v>#DIV/0!</v>
      </c>
      <c r="AV6" s="920" t="e">
        <f t="shared" si="15"/>
        <v>#DIV/0!</v>
      </c>
      <c r="AW6" s="913"/>
      <c r="AX6" s="854"/>
      <c r="AY6" s="914"/>
      <c r="AZ6" s="979"/>
      <c r="BA6" s="855">
        <f t="shared" si="16"/>
        <v>0</v>
      </c>
      <c r="BB6" s="918" t="e">
        <f t="shared" si="17"/>
        <v>#DIV/0!</v>
      </c>
      <c r="BC6" s="917" t="e">
        <f t="shared" si="18"/>
        <v>#DIV/0!</v>
      </c>
      <c r="BD6" s="916"/>
      <c r="BE6" s="855"/>
      <c r="BF6" s="915">
        <f t="shared" si="19"/>
        <v>1</v>
      </c>
      <c r="BG6" s="980"/>
      <c r="BH6" s="856"/>
      <c r="BI6" s="857">
        <f t="shared" si="20"/>
        <v>0</v>
      </c>
      <c r="BJ6" s="981">
        <f t="shared" si="21"/>
        <v>-1</v>
      </c>
      <c r="BK6" s="858"/>
      <c r="BL6" s="856"/>
      <c r="BM6" s="859">
        <f t="shared" si="22"/>
        <v>0</v>
      </c>
    </row>
    <row r="7" spans="1:66" ht="35.1" customHeight="1" x14ac:dyDescent="0.25">
      <c r="A7" s="963"/>
      <c r="B7" s="964"/>
      <c r="C7" s="965"/>
      <c r="D7" s="966"/>
      <c r="E7" s="965"/>
      <c r="F7" s="965"/>
      <c r="G7" s="967"/>
      <c r="H7" s="968"/>
      <c r="I7" s="861" t="e">
        <f t="shared" si="0"/>
        <v>#DIV/0!</v>
      </c>
      <c r="J7" s="983" t="e">
        <f t="shared" si="1"/>
        <v>#DIV/0!</v>
      </c>
      <c r="K7" s="993"/>
      <c r="L7" s="861" t="e">
        <f t="shared" si="2"/>
        <v>#DIV/0!</v>
      </c>
      <c r="M7" s="984" t="e">
        <f t="shared" si="3"/>
        <v>#DIV/0!</v>
      </c>
      <c r="N7" s="992"/>
      <c r="O7" s="907" t="e">
        <f t="shared" si="4"/>
        <v>#REF!</v>
      </c>
      <c r="P7" s="985" t="e">
        <f>(#REF!*#REF!)/1000</f>
        <v>#REF!</v>
      </c>
      <c r="Q7" s="990" t="e">
        <f t="shared" si="5"/>
        <v>#REF!</v>
      </c>
      <c r="R7" s="970" t="e">
        <f t="shared" si="6"/>
        <v>#REF!</v>
      </c>
      <c r="S7" s="969" t="e">
        <f t="shared" si="7"/>
        <v>#DIV/0!</v>
      </c>
      <c r="T7" s="909" t="e">
        <f t="shared" si="8"/>
        <v>#DIV/0!</v>
      </c>
      <c r="U7" s="986" t="e">
        <f t="shared" si="9"/>
        <v>#DIV/0!</v>
      </c>
      <c r="V7" s="988">
        <f t="shared" si="10"/>
        <v>0</v>
      </c>
      <c r="W7" s="970">
        <f t="shared" si="11"/>
        <v>0</v>
      </c>
      <c r="X7" s="971" t="e">
        <f t="shared" si="12"/>
        <v>#DIV/0!</v>
      </c>
      <c r="Y7" s="847"/>
      <c r="Z7" s="911" t="e">
        <f t="shared" si="23"/>
        <v>#DIV/0!</v>
      </c>
      <c r="AA7" s="1006"/>
      <c r="AB7" s="997">
        <f>IF(AA7=0,0,
IF('Calcul_Densité+Dose'!B7="2x2",((10000/(AA7*BB7))/4)*Z7,
((10000/(AA7*BB7))/AZ7)*Z7))</f>
        <v>0</v>
      </c>
      <c r="AC7" s="1007"/>
      <c r="AD7" s="1008">
        <f>IF(AC7=0,0,
IF('Calcul_Densité+Dose'!B7="2x2",((10000/(AC7*BB7))/2)*Z7,
((10000/(AC7*BB7))/AZ7)*Z7))</f>
        <v>0</v>
      </c>
      <c r="AE7" s="1009"/>
      <c r="AF7" s="1010">
        <f>IF(AE7=0,0,
IF('Calcul_Densité+Dose'!B7="2x2",((10000/(AE7*BB7))/4)*Z7,
((10000/(AE7*BB7))/AZ7)*Z7))</f>
        <v>0</v>
      </c>
      <c r="AG7" s="1011">
        <f t="shared" si="24"/>
        <v>0</v>
      </c>
      <c r="AH7" s="860"/>
      <c r="AI7" s="995"/>
      <c r="AJ7" s="1020"/>
      <c r="AK7" s="997">
        <f t="shared" si="25"/>
        <v>0</v>
      </c>
      <c r="AL7" s="1021"/>
      <c r="AM7" s="1008">
        <f t="shared" si="26"/>
        <v>0</v>
      </c>
      <c r="AN7" s="1011">
        <f t="shared" si="27"/>
        <v>0</v>
      </c>
      <c r="AO7" s="860"/>
      <c r="AP7" s="996"/>
      <c r="AQ7" s="1022">
        <f t="shared" si="28"/>
        <v>0</v>
      </c>
      <c r="AR7" s="994"/>
      <c r="AS7" s="977"/>
      <c r="AT7" s="978">
        <f t="shared" si="13"/>
        <v>0</v>
      </c>
      <c r="AU7" s="919" t="e">
        <f t="shared" si="14"/>
        <v>#DIV/0!</v>
      </c>
      <c r="AV7" s="920" t="e">
        <f t="shared" si="15"/>
        <v>#DIV/0!</v>
      </c>
      <c r="AW7" s="913"/>
      <c r="AX7" s="854"/>
      <c r="AY7" s="914"/>
      <c r="AZ7" s="979"/>
      <c r="BA7" s="855">
        <f t="shared" si="16"/>
        <v>0</v>
      </c>
      <c r="BB7" s="918" t="e">
        <f t="shared" si="17"/>
        <v>#DIV/0!</v>
      </c>
      <c r="BC7" s="917" t="e">
        <f t="shared" si="18"/>
        <v>#DIV/0!</v>
      </c>
      <c r="BD7" s="916"/>
      <c r="BE7" s="855"/>
      <c r="BF7" s="915">
        <f t="shared" si="19"/>
        <v>1</v>
      </c>
      <c r="BG7" s="980"/>
      <c r="BH7" s="856"/>
      <c r="BI7" s="857">
        <f t="shared" si="20"/>
        <v>0</v>
      </c>
      <c r="BJ7" s="981">
        <f t="shared" si="21"/>
        <v>-1</v>
      </c>
      <c r="BK7" s="858"/>
      <c r="BL7" s="856"/>
      <c r="BM7" s="859">
        <f t="shared" si="22"/>
        <v>0</v>
      </c>
    </row>
    <row r="8" spans="1:66" ht="35.1" customHeight="1" x14ac:dyDescent="0.25">
      <c r="A8" s="963"/>
      <c r="B8" s="964"/>
      <c r="C8" s="965"/>
      <c r="D8" s="966"/>
      <c r="E8" s="965"/>
      <c r="F8" s="965"/>
      <c r="G8" s="967"/>
      <c r="H8" s="968"/>
      <c r="I8" s="861" t="e">
        <f t="shared" si="0"/>
        <v>#DIV/0!</v>
      </c>
      <c r="J8" s="983" t="e">
        <f t="shared" si="1"/>
        <v>#DIV/0!</v>
      </c>
      <c r="K8" s="993"/>
      <c r="L8" s="861" t="e">
        <f t="shared" si="2"/>
        <v>#DIV/0!</v>
      </c>
      <c r="M8" s="984" t="e">
        <f t="shared" si="3"/>
        <v>#DIV/0!</v>
      </c>
      <c r="N8" s="992"/>
      <c r="O8" s="907" t="e">
        <f t="shared" si="4"/>
        <v>#REF!</v>
      </c>
      <c r="P8" s="985" t="e">
        <f>(#REF!*#REF!)/1000</f>
        <v>#REF!</v>
      </c>
      <c r="Q8" s="990" t="e">
        <f t="shared" si="5"/>
        <v>#REF!</v>
      </c>
      <c r="R8" s="970" t="e">
        <f t="shared" si="6"/>
        <v>#REF!</v>
      </c>
      <c r="S8" s="969" t="e">
        <f t="shared" si="7"/>
        <v>#DIV/0!</v>
      </c>
      <c r="T8" s="909" t="e">
        <f t="shared" si="8"/>
        <v>#DIV/0!</v>
      </c>
      <c r="U8" s="986" t="e">
        <f t="shared" si="9"/>
        <v>#DIV/0!</v>
      </c>
      <c r="V8" s="988">
        <f t="shared" si="10"/>
        <v>0</v>
      </c>
      <c r="W8" s="970">
        <f t="shared" si="11"/>
        <v>0</v>
      </c>
      <c r="X8" s="971" t="e">
        <f t="shared" si="12"/>
        <v>#DIV/0!</v>
      </c>
      <c r="Y8" s="847"/>
      <c r="Z8" s="911" t="e">
        <f t="shared" si="23"/>
        <v>#DIV/0!</v>
      </c>
      <c r="AA8" s="1006"/>
      <c r="AB8" s="997">
        <f>IF(AA8=0,0,
IF('Calcul_Densité+Dose'!B8="2x2",((10000/(AA8*BB8))/4)*Z8,
((10000/(AA8*BB8))/AZ8)*Z8))</f>
        <v>0</v>
      </c>
      <c r="AC8" s="1007"/>
      <c r="AD8" s="1008">
        <f>IF(AC8=0,0,
IF('Calcul_Densité+Dose'!B8="2x2",((10000/(AC8*BB8))/2)*Z8,
((10000/(AC8*BB8))/AZ8)*Z8))</f>
        <v>0</v>
      </c>
      <c r="AE8" s="1009"/>
      <c r="AF8" s="1010">
        <f>IF(AE8=0,0,
IF('Calcul_Densité+Dose'!B8="2x2",((10000/(AE8*BB8))/4)*Z8,
((10000/(AE8*BB8))/AZ8)*Z8))</f>
        <v>0</v>
      </c>
      <c r="AG8" s="1011">
        <f t="shared" si="24"/>
        <v>0</v>
      </c>
      <c r="AH8" s="860"/>
      <c r="AI8" s="995"/>
      <c r="AJ8" s="1020"/>
      <c r="AK8" s="997">
        <f t="shared" si="25"/>
        <v>0</v>
      </c>
      <c r="AL8" s="1021"/>
      <c r="AM8" s="1008">
        <f t="shared" si="26"/>
        <v>0</v>
      </c>
      <c r="AN8" s="1011">
        <f t="shared" si="27"/>
        <v>0</v>
      </c>
      <c r="AO8" s="860"/>
      <c r="AP8" s="996"/>
      <c r="AQ8" s="1022">
        <f t="shared" si="28"/>
        <v>0</v>
      </c>
      <c r="AR8" s="994"/>
      <c r="AS8" s="977"/>
      <c r="AT8" s="978">
        <f t="shared" si="13"/>
        <v>0</v>
      </c>
      <c r="AU8" s="919" t="e">
        <f t="shared" si="14"/>
        <v>#DIV/0!</v>
      </c>
      <c r="AV8" s="920" t="e">
        <f t="shared" si="15"/>
        <v>#DIV/0!</v>
      </c>
      <c r="AW8" s="913"/>
      <c r="AX8" s="854"/>
      <c r="AY8" s="914"/>
      <c r="AZ8" s="979"/>
      <c r="BA8" s="855">
        <f t="shared" si="16"/>
        <v>0</v>
      </c>
      <c r="BB8" s="918" t="e">
        <f t="shared" si="17"/>
        <v>#DIV/0!</v>
      </c>
      <c r="BC8" s="917" t="e">
        <f t="shared" si="18"/>
        <v>#DIV/0!</v>
      </c>
      <c r="BD8" s="916"/>
      <c r="BE8" s="855"/>
      <c r="BF8" s="915">
        <f t="shared" si="19"/>
        <v>1</v>
      </c>
      <c r="BG8" s="980"/>
      <c r="BH8" s="856"/>
      <c r="BI8" s="857">
        <f t="shared" si="20"/>
        <v>0</v>
      </c>
      <c r="BJ8" s="981">
        <f t="shared" si="21"/>
        <v>-1</v>
      </c>
      <c r="BK8" s="858"/>
      <c r="BL8" s="856"/>
      <c r="BM8" s="859">
        <f t="shared" si="22"/>
        <v>0</v>
      </c>
    </row>
    <row r="9" spans="1:66" ht="35.1" customHeight="1" x14ac:dyDescent="0.25">
      <c r="A9" s="963"/>
      <c r="B9" s="964"/>
      <c r="C9" s="965"/>
      <c r="D9" s="966"/>
      <c r="E9" s="965"/>
      <c r="F9" s="965"/>
      <c r="G9" s="967"/>
      <c r="H9" s="968"/>
      <c r="I9" s="861" t="e">
        <f t="shared" si="0"/>
        <v>#DIV/0!</v>
      </c>
      <c r="J9" s="983" t="e">
        <f t="shared" si="1"/>
        <v>#DIV/0!</v>
      </c>
      <c r="K9" s="993"/>
      <c r="L9" s="861" t="e">
        <f t="shared" si="2"/>
        <v>#DIV/0!</v>
      </c>
      <c r="M9" s="984" t="e">
        <f t="shared" si="3"/>
        <v>#DIV/0!</v>
      </c>
      <c r="N9" s="992"/>
      <c r="O9" s="907" t="e">
        <f t="shared" si="4"/>
        <v>#REF!</v>
      </c>
      <c r="P9" s="985" t="e">
        <f>(#REF!*#REF!)/1000</f>
        <v>#REF!</v>
      </c>
      <c r="Q9" s="990" t="e">
        <f t="shared" si="5"/>
        <v>#REF!</v>
      </c>
      <c r="R9" s="970" t="e">
        <f t="shared" si="6"/>
        <v>#REF!</v>
      </c>
      <c r="S9" s="969" t="e">
        <f t="shared" si="7"/>
        <v>#DIV/0!</v>
      </c>
      <c r="T9" s="909" t="e">
        <f t="shared" si="8"/>
        <v>#DIV/0!</v>
      </c>
      <c r="U9" s="986" t="e">
        <f t="shared" si="9"/>
        <v>#DIV/0!</v>
      </c>
      <c r="V9" s="988">
        <f t="shared" si="10"/>
        <v>0</v>
      </c>
      <c r="W9" s="970">
        <f t="shared" si="11"/>
        <v>0</v>
      </c>
      <c r="X9" s="971" t="e">
        <f t="shared" si="12"/>
        <v>#DIV/0!</v>
      </c>
      <c r="Y9" s="847"/>
      <c r="Z9" s="911" t="e">
        <f t="shared" si="23"/>
        <v>#DIV/0!</v>
      </c>
      <c r="AA9" s="1006"/>
      <c r="AB9" s="997">
        <f>IF(AA9=0,0,
IF('Calcul_Densité+Dose'!B9="2x2",((10000/(AA9*BB9))/4)*Z9,
((10000/(AA9*BB9))/AZ9)*Z9))</f>
        <v>0</v>
      </c>
      <c r="AC9" s="1007"/>
      <c r="AD9" s="1008">
        <f>IF(AC9=0,0,
IF('Calcul_Densité+Dose'!B9="2x2",((10000/(AC9*BB9))/2)*Z9,
((10000/(AC9*BB9))/AZ9)*Z9))</f>
        <v>0</v>
      </c>
      <c r="AE9" s="1009"/>
      <c r="AF9" s="1010">
        <f>IF(AE9=0,0,
IF('Calcul_Densité+Dose'!B9="2x2",((10000/(AE9*BB9))/4)*Z9,
((10000/(AE9*BB9))/AZ9)*Z9))</f>
        <v>0</v>
      </c>
      <c r="AG9" s="1011">
        <f t="shared" si="24"/>
        <v>0</v>
      </c>
      <c r="AH9" s="860"/>
      <c r="AI9" s="995"/>
      <c r="AJ9" s="1020"/>
      <c r="AK9" s="997">
        <f t="shared" si="25"/>
        <v>0</v>
      </c>
      <c r="AL9" s="1021"/>
      <c r="AM9" s="1008">
        <f t="shared" si="26"/>
        <v>0</v>
      </c>
      <c r="AN9" s="1011">
        <f t="shared" si="27"/>
        <v>0</v>
      </c>
      <c r="AO9" s="860"/>
      <c r="AP9" s="996"/>
      <c r="AQ9" s="1022">
        <f t="shared" si="28"/>
        <v>0</v>
      </c>
      <c r="AR9" s="994"/>
      <c r="AS9" s="977"/>
      <c r="AT9" s="978">
        <f t="shared" si="13"/>
        <v>0</v>
      </c>
      <c r="AU9" s="919" t="e">
        <f t="shared" si="14"/>
        <v>#DIV/0!</v>
      </c>
      <c r="AV9" s="920" t="e">
        <f t="shared" si="15"/>
        <v>#DIV/0!</v>
      </c>
      <c r="AW9" s="913"/>
      <c r="AX9" s="854"/>
      <c r="AY9" s="914"/>
      <c r="AZ9" s="979"/>
      <c r="BA9" s="855">
        <f t="shared" si="16"/>
        <v>0</v>
      </c>
      <c r="BB9" s="918" t="e">
        <f t="shared" si="17"/>
        <v>#DIV/0!</v>
      </c>
      <c r="BC9" s="917" t="e">
        <f t="shared" si="18"/>
        <v>#DIV/0!</v>
      </c>
      <c r="BD9" s="916"/>
      <c r="BE9" s="855"/>
      <c r="BF9" s="915">
        <f t="shared" si="19"/>
        <v>1</v>
      </c>
      <c r="BG9" s="980"/>
      <c r="BH9" s="856"/>
      <c r="BI9" s="857">
        <f t="shared" si="20"/>
        <v>0</v>
      </c>
      <c r="BJ9" s="981">
        <f t="shared" si="21"/>
        <v>-1</v>
      </c>
      <c r="BK9" s="858"/>
      <c r="BL9" s="856"/>
      <c r="BM9" s="859">
        <f t="shared" si="22"/>
        <v>0</v>
      </c>
    </row>
    <row r="10" spans="1:66" ht="35.1" customHeight="1" x14ac:dyDescent="0.25">
      <c r="A10" s="963"/>
      <c r="B10" s="964"/>
      <c r="C10" s="965"/>
      <c r="D10" s="966"/>
      <c r="E10" s="965"/>
      <c r="F10" s="965"/>
      <c r="G10" s="967"/>
      <c r="H10" s="968"/>
      <c r="I10" s="861" t="e">
        <f t="shared" si="0"/>
        <v>#DIV/0!</v>
      </c>
      <c r="J10" s="983" t="e">
        <f t="shared" si="1"/>
        <v>#DIV/0!</v>
      </c>
      <c r="K10" s="993"/>
      <c r="L10" s="861" t="e">
        <f t="shared" si="2"/>
        <v>#DIV/0!</v>
      </c>
      <c r="M10" s="984" t="e">
        <f t="shared" si="3"/>
        <v>#DIV/0!</v>
      </c>
      <c r="N10" s="992"/>
      <c r="O10" s="907" t="e">
        <f t="shared" si="4"/>
        <v>#REF!</v>
      </c>
      <c r="P10" s="985" t="e">
        <f>(#REF!*#REF!)/1000</f>
        <v>#REF!</v>
      </c>
      <c r="Q10" s="990" t="e">
        <f t="shared" si="5"/>
        <v>#REF!</v>
      </c>
      <c r="R10" s="970" t="e">
        <f t="shared" si="6"/>
        <v>#REF!</v>
      </c>
      <c r="S10" s="969" t="e">
        <f t="shared" si="7"/>
        <v>#DIV/0!</v>
      </c>
      <c r="T10" s="909" t="e">
        <f t="shared" si="8"/>
        <v>#DIV/0!</v>
      </c>
      <c r="U10" s="986" t="e">
        <f t="shared" si="9"/>
        <v>#DIV/0!</v>
      </c>
      <c r="V10" s="988">
        <f t="shared" si="10"/>
        <v>0</v>
      </c>
      <c r="W10" s="970">
        <f t="shared" si="11"/>
        <v>0</v>
      </c>
      <c r="X10" s="971" t="e">
        <f t="shared" si="12"/>
        <v>#DIV/0!</v>
      </c>
      <c r="Y10" s="847"/>
      <c r="Z10" s="911" t="e">
        <f t="shared" si="23"/>
        <v>#DIV/0!</v>
      </c>
      <c r="AA10" s="1006"/>
      <c r="AB10" s="997">
        <f>IF(AA10=0,0,
IF('Calcul_Densité+Dose'!B10="2x2",((10000/(AA10*BB10))/4)*Z10,
((10000/(AA10*BB10))/AZ10)*Z10))</f>
        <v>0</v>
      </c>
      <c r="AC10" s="1007"/>
      <c r="AD10" s="1008">
        <f>IF(AC10=0,0,
IF('Calcul_Densité+Dose'!B10="2x2",((10000/(AC10*BB10))/2)*Z10,
((10000/(AC10*BB10))/AZ10)*Z10))</f>
        <v>0</v>
      </c>
      <c r="AE10" s="1009"/>
      <c r="AF10" s="1010">
        <f>IF(AE10=0,0,
IF('Calcul_Densité+Dose'!B10="2x2",((10000/(AE10*BB10))/4)*Z10,
((10000/(AE10*BB10))/AZ10)*Z10))</f>
        <v>0</v>
      </c>
      <c r="AG10" s="1011">
        <f t="shared" si="24"/>
        <v>0</v>
      </c>
      <c r="AH10" s="860"/>
      <c r="AI10" s="995"/>
      <c r="AJ10" s="1020"/>
      <c r="AK10" s="997">
        <f t="shared" si="25"/>
        <v>0</v>
      </c>
      <c r="AL10" s="1021"/>
      <c r="AM10" s="1008">
        <f t="shared" si="26"/>
        <v>0</v>
      </c>
      <c r="AN10" s="1011">
        <f t="shared" si="27"/>
        <v>0</v>
      </c>
      <c r="AO10" s="860"/>
      <c r="AP10" s="996"/>
      <c r="AQ10" s="1022">
        <f t="shared" si="28"/>
        <v>0</v>
      </c>
      <c r="AR10" s="994"/>
      <c r="AS10" s="977"/>
      <c r="AT10" s="978">
        <f t="shared" si="13"/>
        <v>0</v>
      </c>
      <c r="AU10" s="919" t="e">
        <f t="shared" si="14"/>
        <v>#DIV/0!</v>
      </c>
      <c r="AV10" s="920" t="e">
        <f t="shared" si="15"/>
        <v>#DIV/0!</v>
      </c>
      <c r="AW10" s="913"/>
      <c r="AX10" s="854"/>
      <c r="AY10" s="914"/>
      <c r="AZ10" s="979"/>
      <c r="BA10" s="855">
        <f t="shared" si="16"/>
        <v>0</v>
      </c>
      <c r="BB10" s="918" t="e">
        <f t="shared" si="17"/>
        <v>#DIV/0!</v>
      </c>
      <c r="BC10" s="917" t="e">
        <f t="shared" si="18"/>
        <v>#DIV/0!</v>
      </c>
      <c r="BD10" s="916"/>
      <c r="BE10" s="855"/>
      <c r="BF10" s="915">
        <f t="shared" si="19"/>
        <v>1</v>
      </c>
      <c r="BG10" s="980"/>
      <c r="BH10" s="856"/>
      <c r="BI10" s="857">
        <f t="shared" si="20"/>
        <v>0</v>
      </c>
      <c r="BJ10" s="981">
        <f t="shared" si="21"/>
        <v>-1</v>
      </c>
      <c r="BK10" s="858"/>
      <c r="BL10" s="856"/>
      <c r="BM10" s="859">
        <f t="shared" si="22"/>
        <v>0</v>
      </c>
    </row>
    <row r="11" spans="1:66" ht="35.1" customHeight="1" x14ac:dyDescent="0.25">
      <c r="A11" s="963"/>
      <c r="B11" s="964"/>
      <c r="C11" s="965"/>
      <c r="D11" s="966"/>
      <c r="E11" s="965"/>
      <c r="F11" s="965"/>
      <c r="G11" s="967"/>
      <c r="H11" s="968"/>
      <c r="I11" s="861" t="e">
        <f t="shared" si="0"/>
        <v>#DIV/0!</v>
      </c>
      <c r="J11" s="983" t="e">
        <f t="shared" si="1"/>
        <v>#DIV/0!</v>
      </c>
      <c r="K11" s="993"/>
      <c r="L11" s="861" t="e">
        <f t="shared" si="2"/>
        <v>#DIV/0!</v>
      </c>
      <c r="M11" s="984" t="e">
        <f t="shared" si="3"/>
        <v>#DIV/0!</v>
      </c>
      <c r="N11" s="992"/>
      <c r="O11" s="907" t="e">
        <f t="shared" si="4"/>
        <v>#REF!</v>
      </c>
      <c r="P11" s="985" t="e">
        <f>(#REF!*#REF!)/1000</f>
        <v>#REF!</v>
      </c>
      <c r="Q11" s="990" t="e">
        <f t="shared" si="5"/>
        <v>#REF!</v>
      </c>
      <c r="R11" s="970" t="e">
        <f t="shared" si="6"/>
        <v>#REF!</v>
      </c>
      <c r="S11" s="969" t="e">
        <f t="shared" si="7"/>
        <v>#DIV/0!</v>
      </c>
      <c r="T11" s="909" t="e">
        <f t="shared" si="8"/>
        <v>#DIV/0!</v>
      </c>
      <c r="U11" s="986" t="e">
        <f t="shared" si="9"/>
        <v>#DIV/0!</v>
      </c>
      <c r="V11" s="988">
        <f t="shared" si="10"/>
        <v>0</v>
      </c>
      <c r="W11" s="970">
        <f t="shared" si="11"/>
        <v>0</v>
      </c>
      <c r="X11" s="971" t="e">
        <f t="shared" si="12"/>
        <v>#DIV/0!</v>
      </c>
      <c r="Y11" s="847"/>
      <c r="Z11" s="911" t="e">
        <f t="shared" si="23"/>
        <v>#DIV/0!</v>
      </c>
      <c r="AA11" s="1006"/>
      <c r="AB11" s="997">
        <f>IF(AA11=0,0,
IF('Calcul_Densité+Dose'!B11="2x2",((10000/(AA11*BB11))/4)*Z11,
((10000/(AA11*BB11))/AZ11)*Z11))</f>
        <v>0</v>
      </c>
      <c r="AC11" s="1007"/>
      <c r="AD11" s="1008">
        <f>IF(AC11=0,0,
IF('Calcul_Densité+Dose'!B11="2x2",((10000/(AC11*BB11))/2)*Z11,
((10000/(AC11*BB11))/AZ11)*Z11))</f>
        <v>0</v>
      </c>
      <c r="AE11" s="1009"/>
      <c r="AF11" s="1010">
        <f>IF(AE11=0,0,
IF('Calcul_Densité+Dose'!B11="2x2",((10000/(AE11*BB11))/4)*Z11,
((10000/(AE11*BB11))/AZ11)*Z11))</f>
        <v>0</v>
      </c>
      <c r="AG11" s="1011">
        <f t="shared" si="24"/>
        <v>0</v>
      </c>
      <c r="AH11" s="860"/>
      <c r="AI11" s="995"/>
      <c r="AJ11" s="1020"/>
      <c r="AK11" s="997">
        <f t="shared" si="25"/>
        <v>0</v>
      </c>
      <c r="AL11" s="1021"/>
      <c r="AM11" s="1008">
        <f t="shared" si="26"/>
        <v>0</v>
      </c>
      <c r="AN11" s="1011">
        <f t="shared" si="27"/>
        <v>0</v>
      </c>
      <c r="AO11" s="860"/>
      <c r="AP11" s="996"/>
      <c r="AQ11" s="1022">
        <f t="shared" si="28"/>
        <v>0</v>
      </c>
      <c r="AR11" s="994"/>
      <c r="AS11" s="977"/>
      <c r="AT11" s="978">
        <f t="shared" si="13"/>
        <v>0</v>
      </c>
      <c r="AU11" s="919" t="e">
        <f t="shared" si="14"/>
        <v>#DIV/0!</v>
      </c>
      <c r="AV11" s="920" t="e">
        <f t="shared" si="15"/>
        <v>#DIV/0!</v>
      </c>
      <c r="AW11" s="913"/>
      <c r="AX11" s="854"/>
      <c r="AY11" s="914"/>
      <c r="AZ11" s="979"/>
      <c r="BA11" s="855">
        <f t="shared" si="16"/>
        <v>0</v>
      </c>
      <c r="BB11" s="918" t="e">
        <f t="shared" si="17"/>
        <v>#DIV/0!</v>
      </c>
      <c r="BC11" s="917" t="e">
        <f t="shared" si="18"/>
        <v>#DIV/0!</v>
      </c>
      <c r="BD11" s="916"/>
      <c r="BE11" s="855"/>
      <c r="BF11" s="915">
        <f t="shared" si="19"/>
        <v>1</v>
      </c>
      <c r="BG11" s="980"/>
      <c r="BH11" s="856"/>
      <c r="BI11" s="857">
        <f t="shared" si="20"/>
        <v>0</v>
      </c>
      <c r="BJ11" s="981">
        <f t="shared" si="21"/>
        <v>-1</v>
      </c>
      <c r="BK11" s="858"/>
      <c r="BL11" s="856"/>
      <c r="BM11" s="859">
        <f t="shared" si="22"/>
        <v>0</v>
      </c>
    </row>
    <row r="12" spans="1:66" ht="35.1" customHeight="1" x14ac:dyDescent="0.25">
      <c r="A12" s="963"/>
      <c r="B12" s="964"/>
      <c r="C12" s="965"/>
      <c r="D12" s="966"/>
      <c r="E12" s="965"/>
      <c r="F12" s="965"/>
      <c r="G12" s="967"/>
      <c r="H12" s="968"/>
      <c r="I12" s="861" t="e">
        <f t="shared" si="0"/>
        <v>#DIV/0!</v>
      </c>
      <c r="J12" s="983" t="e">
        <f t="shared" si="1"/>
        <v>#DIV/0!</v>
      </c>
      <c r="K12" s="993"/>
      <c r="L12" s="861" t="e">
        <f t="shared" si="2"/>
        <v>#DIV/0!</v>
      </c>
      <c r="M12" s="984" t="e">
        <f t="shared" si="3"/>
        <v>#DIV/0!</v>
      </c>
      <c r="N12" s="992"/>
      <c r="O12" s="907" t="e">
        <f t="shared" si="4"/>
        <v>#REF!</v>
      </c>
      <c r="P12" s="985" t="e">
        <f>(#REF!*#REF!)/1000</f>
        <v>#REF!</v>
      </c>
      <c r="Q12" s="990" t="e">
        <f t="shared" si="5"/>
        <v>#REF!</v>
      </c>
      <c r="R12" s="970" t="e">
        <f t="shared" si="6"/>
        <v>#REF!</v>
      </c>
      <c r="S12" s="969" t="e">
        <f t="shared" si="7"/>
        <v>#DIV/0!</v>
      </c>
      <c r="T12" s="909" t="e">
        <f t="shared" si="8"/>
        <v>#DIV/0!</v>
      </c>
      <c r="U12" s="986" t="e">
        <f t="shared" si="9"/>
        <v>#DIV/0!</v>
      </c>
      <c r="V12" s="988">
        <f t="shared" si="10"/>
        <v>0</v>
      </c>
      <c r="W12" s="970">
        <f t="shared" si="11"/>
        <v>0</v>
      </c>
      <c r="X12" s="971" t="e">
        <f t="shared" si="12"/>
        <v>#DIV/0!</v>
      </c>
      <c r="Y12" s="847"/>
      <c r="Z12" s="911" t="e">
        <f t="shared" si="23"/>
        <v>#DIV/0!</v>
      </c>
      <c r="AA12" s="1006"/>
      <c r="AB12" s="997">
        <f>IF(AA12=0,0,
IF('Calcul_Densité+Dose'!B12="2x2",((10000/(AA12*BB12))/4)*Z12,
((10000/(AA12*BB12))/AZ12)*Z12))</f>
        <v>0</v>
      </c>
      <c r="AC12" s="1007"/>
      <c r="AD12" s="1008">
        <f>IF(AC12=0,0,
IF('Calcul_Densité+Dose'!B12="2x2",((10000/(AC12*BB12))/2)*Z12,
((10000/(AC12*BB12))/AZ12)*Z12))</f>
        <v>0</v>
      </c>
      <c r="AE12" s="1009"/>
      <c r="AF12" s="1010">
        <f>IF(AE12=0,0,
IF('Calcul_Densité+Dose'!B12="2x2",((10000/(AE12*BB12))/4)*Z12,
((10000/(AE12*BB12))/AZ12)*Z12))</f>
        <v>0</v>
      </c>
      <c r="AG12" s="1011">
        <f t="shared" si="24"/>
        <v>0</v>
      </c>
      <c r="AH12" s="860"/>
      <c r="AI12" s="995"/>
      <c r="AJ12" s="1020"/>
      <c r="AK12" s="997">
        <f t="shared" si="25"/>
        <v>0</v>
      </c>
      <c r="AL12" s="1021"/>
      <c r="AM12" s="1008">
        <f t="shared" si="26"/>
        <v>0</v>
      </c>
      <c r="AN12" s="1011">
        <f t="shared" si="27"/>
        <v>0</v>
      </c>
      <c r="AO12" s="860"/>
      <c r="AP12" s="996"/>
      <c r="AQ12" s="1022">
        <f t="shared" si="28"/>
        <v>0</v>
      </c>
      <c r="AR12" s="994"/>
      <c r="AS12" s="977"/>
      <c r="AT12" s="978">
        <f t="shared" si="13"/>
        <v>0</v>
      </c>
      <c r="AU12" s="919" t="e">
        <f t="shared" si="14"/>
        <v>#DIV/0!</v>
      </c>
      <c r="AV12" s="920" t="e">
        <f t="shared" si="15"/>
        <v>#DIV/0!</v>
      </c>
      <c r="AW12" s="913"/>
      <c r="AX12" s="854"/>
      <c r="AY12" s="914"/>
      <c r="AZ12" s="979"/>
      <c r="BA12" s="855">
        <f t="shared" si="16"/>
        <v>0</v>
      </c>
      <c r="BB12" s="918" t="e">
        <f t="shared" si="17"/>
        <v>#DIV/0!</v>
      </c>
      <c r="BC12" s="917" t="e">
        <f t="shared" si="18"/>
        <v>#DIV/0!</v>
      </c>
      <c r="BD12" s="916"/>
      <c r="BE12" s="855"/>
      <c r="BF12" s="915">
        <f t="shared" si="19"/>
        <v>1</v>
      </c>
      <c r="BG12" s="980"/>
      <c r="BH12" s="856"/>
      <c r="BI12" s="857">
        <f t="shared" si="20"/>
        <v>0</v>
      </c>
      <c r="BJ12" s="981">
        <f t="shared" si="21"/>
        <v>-1</v>
      </c>
      <c r="BK12" s="858"/>
      <c r="BL12" s="856"/>
      <c r="BM12" s="859">
        <f t="shared" si="22"/>
        <v>0</v>
      </c>
    </row>
    <row r="13" spans="1:66" ht="35.1" customHeight="1" x14ac:dyDescent="0.25">
      <c r="A13" s="963"/>
      <c r="B13" s="964"/>
      <c r="C13" s="965"/>
      <c r="D13" s="966"/>
      <c r="E13" s="965"/>
      <c r="F13" s="965"/>
      <c r="G13" s="967"/>
      <c r="H13" s="968"/>
      <c r="I13" s="861" t="e">
        <f t="shared" si="0"/>
        <v>#DIV/0!</v>
      </c>
      <c r="J13" s="983" t="e">
        <f t="shared" si="1"/>
        <v>#DIV/0!</v>
      </c>
      <c r="K13" s="993"/>
      <c r="L13" s="861" t="e">
        <f t="shared" si="2"/>
        <v>#DIV/0!</v>
      </c>
      <c r="M13" s="984" t="e">
        <f t="shared" si="3"/>
        <v>#DIV/0!</v>
      </c>
      <c r="N13" s="992"/>
      <c r="O13" s="907" t="e">
        <f t="shared" si="4"/>
        <v>#REF!</v>
      </c>
      <c r="P13" s="985" t="e">
        <f>(#REF!*#REF!)/1000</f>
        <v>#REF!</v>
      </c>
      <c r="Q13" s="990" t="e">
        <f t="shared" si="5"/>
        <v>#REF!</v>
      </c>
      <c r="R13" s="970" t="e">
        <f t="shared" si="6"/>
        <v>#REF!</v>
      </c>
      <c r="S13" s="969" t="e">
        <f t="shared" si="7"/>
        <v>#DIV/0!</v>
      </c>
      <c r="T13" s="909" t="e">
        <f t="shared" si="8"/>
        <v>#DIV/0!</v>
      </c>
      <c r="U13" s="986" t="e">
        <f t="shared" si="9"/>
        <v>#DIV/0!</v>
      </c>
      <c r="V13" s="988">
        <f t="shared" si="10"/>
        <v>0</v>
      </c>
      <c r="W13" s="970">
        <f t="shared" si="11"/>
        <v>0</v>
      </c>
      <c r="X13" s="971" t="e">
        <f t="shared" si="12"/>
        <v>#DIV/0!</v>
      </c>
      <c r="Y13" s="847"/>
      <c r="Z13" s="911" t="e">
        <f t="shared" si="23"/>
        <v>#DIV/0!</v>
      </c>
      <c r="AA13" s="1006"/>
      <c r="AB13" s="997">
        <f>IF(AA13=0,0,
IF('Calcul_Densité+Dose'!B13="2x2",((10000/(AA13*BB13))/4)*Z13,
((10000/(AA13*BB13))/AZ13)*Z13))</f>
        <v>0</v>
      </c>
      <c r="AC13" s="1007"/>
      <c r="AD13" s="1008">
        <f>IF(AC13=0,0,
IF('Calcul_Densité+Dose'!B13="2x2",((10000/(AC13*BB13))/2)*Z13,
((10000/(AC13*BB13))/AZ13)*Z13))</f>
        <v>0</v>
      </c>
      <c r="AE13" s="1009"/>
      <c r="AF13" s="1010">
        <f>IF(AE13=0,0,
IF('Calcul_Densité+Dose'!B13="2x2",((10000/(AE13*BB13))/4)*Z13,
((10000/(AE13*BB13))/AZ13)*Z13))</f>
        <v>0</v>
      </c>
      <c r="AG13" s="1011">
        <f t="shared" si="24"/>
        <v>0</v>
      </c>
      <c r="AH13" s="860"/>
      <c r="AI13" s="995"/>
      <c r="AJ13" s="1020"/>
      <c r="AK13" s="997">
        <f t="shared" si="25"/>
        <v>0</v>
      </c>
      <c r="AL13" s="1021"/>
      <c r="AM13" s="1008">
        <f t="shared" si="26"/>
        <v>0</v>
      </c>
      <c r="AN13" s="1011">
        <f t="shared" si="27"/>
        <v>0</v>
      </c>
      <c r="AO13" s="860"/>
      <c r="AP13" s="996"/>
      <c r="AQ13" s="1022">
        <f t="shared" si="28"/>
        <v>0</v>
      </c>
      <c r="AR13" s="994"/>
      <c r="AS13" s="977"/>
      <c r="AT13" s="978">
        <f t="shared" si="13"/>
        <v>0</v>
      </c>
      <c r="AU13" s="919" t="e">
        <f t="shared" si="14"/>
        <v>#DIV/0!</v>
      </c>
      <c r="AV13" s="920" t="e">
        <f t="shared" si="15"/>
        <v>#DIV/0!</v>
      </c>
      <c r="AW13" s="913"/>
      <c r="AX13" s="854"/>
      <c r="AY13" s="914"/>
      <c r="AZ13" s="979"/>
      <c r="BA13" s="855">
        <f t="shared" si="16"/>
        <v>0</v>
      </c>
      <c r="BB13" s="918" t="e">
        <f t="shared" si="17"/>
        <v>#DIV/0!</v>
      </c>
      <c r="BC13" s="917" t="e">
        <f t="shared" si="18"/>
        <v>#DIV/0!</v>
      </c>
      <c r="BD13" s="916"/>
      <c r="BE13" s="855"/>
      <c r="BF13" s="915">
        <f t="shared" si="19"/>
        <v>1</v>
      </c>
      <c r="BG13" s="980"/>
      <c r="BH13" s="856"/>
      <c r="BI13" s="857">
        <f t="shared" si="20"/>
        <v>0</v>
      </c>
      <c r="BJ13" s="981">
        <f t="shared" si="21"/>
        <v>-1</v>
      </c>
      <c r="BK13" s="858"/>
      <c r="BL13" s="856"/>
      <c r="BM13" s="859">
        <f t="shared" si="22"/>
        <v>0</v>
      </c>
    </row>
    <row r="14" spans="1:66" ht="35.1" customHeight="1" x14ac:dyDescent="0.25">
      <c r="A14" s="963"/>
      <c r="B14" s="964"/>
      <c r="C14" s="965"/>
      <c r="D14" s="966"/>
      <c r="E14" s="965"/>
      <c r="F14" s="965"/>
      <c r="G14" s="967"/>
      <c r="H14" s="968"/>
      <c r="I14" s="861" t="e">
        <f t="shared" si="0"/>
        <v>#DIV/0!</v>
      </c>
      <c r="J14" s="983" t="e">
        <f t="shared" si="1"/>
        <v>#DIV/0!</v>
      </c>
      <c r="K14" s="993"/>
      <c r="L14" s="861" t="e">
        <f t="shared" si="2"/>
        <v>#DIV/0!</v>
      </c>
      <c r="M14" s="984" t="e">
        <f t="shared" si="3"/>
        <v>#DIV/0!</v>
      </c>
      <c r="N14" s="992"/>
      <c r="O14" s="907" t="e">
        <f t="shared" si="4"/>
        <v>#REF!</v>
      </c>
      <c r="P14" s="985" t="e">
        <f>(#REF!*#REF!)/1000</f>
        <v>#REF!</v>
      </c>
      <c r="Q14" s="990" t="e">
        <f t="shared" si="5"/>
        <v>#REF!</v>
      </c>
      <c r="R14" s="970" t="e">
        <f t="shared" si="6"/>
        <v>#REF!</v>
      </c>
      <c r="S14" s="969" t="e">
        <f t="shared" si="7"/>
        <v>#DIV/0!</v>
      </c>
      <c r="T14" s="909" t="e">
        <f t="shared" si="8"/>
        <v>#DIV/0!</v>
      </c>
      <c r="U14" s="986" t="e">
        <f t="shared" si="9"/>
        <v>#DIV/0!</v>
      </c>
      <c r="V14" s="988">
        <f t="shared" si="10"/>
        <v>0</v>
      </c>
      <c r="W14" s="970">
        <f t="shared" si="11"/>
        <v>0</v>
      </c>
      <c r="X14" s="971" t="e">
        <f t="shared" si="12"/>
        <v>#DIV/0!</v>
      </c>
      <c r="Y14" s="847"/>
      <c r="Z14" s="911" t="e">
        <f t="shared" si="23"/>
        <v>#DIV/0!</v>
      </c>
      <c r="AA14" s="1006"/>
      <c r="AB14" s="997">
        <f>IF(AA14=0,0,
IF('Calcul_Densité+Dose'!B14="2x2",((10000/(AA14*BB14))/4)*Z14,
((10000/(AA14*BB14))/AZ14)*Z14))</f>
        <v>0</v>
      </c>
      <c r="AC14" s="1007"/>
      <c r="AD14" s="1008">
        <f>IF(AC14=0,0,
IF('Calcul_Densité+Dose'!B14="2x2",((10000/(AC14*BB14))/2)*Z14,
((10000/(AC14*BB14))/AZ14)*Z14))</f>
        <v>0</v>
      </c>
      <c r="AE14" s="1009"/>
      <c r="AF14" s="1010">
        <f>IF(AE14=0,0,
IF('Calcul_Densité+Dose'!B14="2x2",((10000/(AE14*BB14))/4)*Z14,
((10000/(AE14*BB14))/AZ14)*Z14))</f>
        <v>0</v>
      </c>
      <c r="AG14" s="1011">
        <f t="shared" si="24"/>
        <v>0</v>
      </c>
      <c r="AH14" s="860"/>
      <c r="AI14" s="995"/>
      <c r="AJ14" s="1020"/>
      <c r="AK14" s="997">
        <f t="shared" si="25"/>
        <v>0</v>
      </c>
      <c r="AL14" s="1021"/>
      <c r="AM14" s="1008">
        <f t="shared" si="26"/>
        <v>0</v>
      </c>
      <c r="AN14" s="1011">
        <f t="shared" si="27"/>
        <v>0</v>
      </c>
      <c r="AO14" s="860"/>
      <c r="AP14" s="996"/>
      <c r="AQ14" s="1022">
        <f t="shared" si="28"/>
        <v>0</v>
      </c>
      <c r="AR14" s="994"/>
      <c r="AS14" s="977"/>
      <c r="AT14" s="978">
        <f t="shared" si="13"/>
        <v>0</v>
      </c>
      <c r="AU14" s="919" t="e">
        <f t="shared" si="14"/>
        <v>#DIV/0!</v>
      </c>
      <c r="AV14" s="920" t="e">
        <f t="shared" si="15"/>
        <v>#DIV/0!</v>
      </c>
      <c r="AW14" s="913"/>
      <c r="AX14" s="854"/>
      <c r="AY14" s="914"/>
      <c r="AZ14" s="979"/>
      <c r="BA14" s="855">
        <f t="shared" si="16"/>
        <v>0</v>
      </c>
      <c r="BB14" s="918" t="e">
        <f t="shared" si="17"/>
        <v>#DIV/0!</v>
      </c>
      <c r="BC14" s="917" t="e">
        <f t="shared" si="18"/>
        <v>#DIV/0!</v>
      </c>
      <c r="BD14" s="916"/>
      <c r="BE14" s="855"/>
      <c r="BF14" s="915">
        <f t="shared" si="19"/>
        <v>1</v>
      </c>
      <c r="BG14" s="980"/>
      <c r="BH14" s="856"/>
      <c r="BI14" s="857">
        <f t="shared" si="20"/>
        <v>0</v>
      </c>
      <c r="BJ14" s="981">
        <f t="shared" si="21"/>
        <v>-1</v>
      </c>
      <c r="BK14" s="858"/>
      <c r="BL14" s="856"/>
      <c r="BM14" s="859">
        <f t="shared" si="22"/>
        <v>0</v>
      </c>
    </row>
    <row r="15" spans="1:66" ht="35.1" customHeight="1" x14ac:dyDescent="0.25">
      <c r="A15" s="963"/>
      <c r="B15" s="964"/>
      <c r="C15" s="965"/>
      <c r="D15" s="966"/>
      <c r="E15" s="965"/>
      <c r="F15" s="965"/>
      <c r="G15" s="967"/>
      <c r="H15" s="968"/>
      <c r="I15" s="861" t="e">
        <f t="shared" si="0"/>
        <v>#DIV/0!</v>
      </c>
      <c r="J15" s="983" t="e">
        <f t="shared" si="1"/>
        <v>#DIV/0!</v>
      </c>
      <c r="K15" s="993"/>
      <c r="L15" s="861" t="e">
        <f t="shared" si="2"/>
        <v>#DIV/0!</v>
      </c>
      <c r="M15" s="984" t="e">
        <f t="shared" si="3"/>
        <v>#DIV/0!</v>
      </c>
      <c r="N15" s="992"/>
      <c r="O15" s="907" t="e">
        <f t="shared" si="4"/>
        <v>#REF!</v>
      </c>
      <c r="P15" s="985" t="e">
        <f>(#REF!*#REF!)/1000</f>
        <v>#REF!</v>
      </c>
      <c r="Q15" s="990" t="e">
        <f t="shared" si="5"/>
        <v>#REF!</v>
      </c>
      <c r="R15" s="970" t="e">
        <f t="shared" si="6"/>
        <v>#REF!</v>
      </c>
      <c r="S15" s="969" t="e">
        <f t="shared" si="7"/>
        <v>#DIV/0!</v>
      </c>
      <c r="T15" s="909" t="e">
        <f t="shared" si="8"/>
        <v>#DIV/0!</v>
      </c>
      <c r="U15" s="986" t="e">
        <f t="shared" si="9"/>
        <v>#DIV/0!</v>
      </c>
      <c r="V15" s="988">
        <f t="shared" si="10"/>
        <v>0</v>
      </c>
      <c r="W15" s="970">
        <f t="shared" si="11"/>
        <v>0</v>
      </c>
      <c r="X15" s="971" t="e">
        <f t="shared" si="12"/>
        <v>#DIV/0!</v>
      </c>
      <c r="Y15" s="847"/>
      <c r="Z15" s="911" t="e">
        <f t="shared" si="23"/>
        <v>#DIV/0!</v>
      </c>
      <c r="AA15" s="1006"/>
      <c r="AB15" s="997">
        <f>IF(AA15=0,0,
IF('Calcul_Densité+Dose'!B15="2x2",((10000/(AA15*BB15))/4)*Z15,
((10000/(AA15*BB15))/AZ15)*Z15))</f>
        <v>0</v>
      </c>
      <c r="AC15" s="1007"/>
      <c r="AD15" s="1008">
        <f>IF(AC15=0,0,
IF('Calcul_Densité+Dose'!B15="2x2",((10000/(AC15*BB15))/2)*Z15,
((10000/(AC15*BB15))/AZ15)*Z15))</f>
        <v>0</v>
      </c>
      <c r="AE15" s="1009"/>
      <c r="AF15" s="1010">
        <f>IF(AE15=0,0,
IF('Calcul_Densité+Dose'!B15="2x2",((10000/(AE15*BB15))/4)*Z15,
((10000/(AE15*BB15))/AZ15)*Z15))</f>
        <v>0</v>
      </c>
      <c r="AG15" s="1011">
        <f t="shared" si="24"/>
        <v>0</v>
      </c>
      <c r="AH15" s="860"/>
      <c r="AI15" s="995"/>
      <c r="AJ15" s="1020"/>
      <c r="AK15" s="997">
        <f t="shared" si="25"/>
        <v>0</v>
      </c>
      <c r="AL15" s="1021"/>
      <c r="AM15" s="1008">
        <f t="shared" si="26"/>
        <v>0</v>
      </c>
      <c r="AN15" s="1011">
        <f t="shared" si="27"/>
        <v>0</v>
      </c>
      <c r="AO15" s="860"/>
      <c r="AP15" s="996"/>
      <c r="AQ15" s="1022">
        <f t="shared" si="28"/>
        <v>0</v>
      </c>
      <c r="AR15" s="994"/>
      <c r="AS15" s="977"/>
      <c r="AT15" s="978">
        <f t="shared" si="13"/>
        <v>0</v>
      </c>
      <c r="AU15" s="919" t="e">
        <f t="shared" si="14"/>
        <v>#DIV/0!</v>
      </c>
      <c r="AV15" s="920" t="e">
        <f t="shared" si="15"/>
        <v>#DIV/0!</v>
      </c>
      <c r="AW15" s="913"/>
      <c r="AX15" s="854"/>
      <c r="AY15" s="914"/>
      <c r="AZ15" s="979"/>
      <c r="BA15" s="855">
        <f t="shared" si="16"/>
        <v>0</v>
      </c>
      <c r="BB15" s="918" t="e">
        <f t="shared" si="17"/>
        <v>#DIV/0!</v>
      </c>
      <c r="BC15" s="917" t="e">
        <f t="shared" si="18"/>
        <v>#DIV/0!</v>
      </c>
      <c r="BD15" s="916"/>
      <c r="BE15" s="855"/>
      <c r="BF15" s="915">
        <f t="shared" si="19"/>
        <v>1</v>
      </c>
      <c r="BG15" s="980"/>
      <c r="BH15" s="856"/>
      <c r="BI15" s="857">
        <f t="shared" si="20"/>
        <v>0</v>
      </c>
      <c r="BJ15" s="981">
        <f t="shared" si="21"/>
        <v>-1</v>
      </c>
      <c r="BK15" s="858"/>
      <c r="BL15" s="856"/>
      <c r="BM15" s="859">
        <f t="shared" si="22"/>
        <v>0</v>
      </c>
    </row>
    <row r="16" spans="1:66" ht="35.1" customHeight="1" x14ac:dyDescent="0.25">
      <c r="A16" s="963"/>
      <c r="B16" s="964"/>
      <c r="C16" s="965"/>
      <c r="D16" s="966"/>
      <c r="E16" s="965"/>
      <c r="F16" s="965"/>
      <c r="G16" s="967"/>
      <c r="H16" s="968"/>
      <c r="I16" s="861" t="e">
        <f t="shared" si="0"/>
        <v>#DIV/0!</v>
      </c>
      <c r="J16" s="983" t="e">
        <f t="shared" si="1"/>
        <v>#DIV/0!</v>
      </c>
      <c r="K16" s="993"/>
      <c r="L16" s="861" t="e">
        <f t="shared" si="2"/>
        <v>#DIV/0!</v>
      </c>
      <c r="M16" s="984" t="e">
        <f t="shared" si="3"/>
        <v>#DIV/0!</v>
      </c>
      <c r="N16" s="992"/>
      <c r="O16" s="907" t="e">
        <f t="shared" si="4"/>
        <v>#REF!</v>
      </c>
      <c r="P16" s="985" t="e">
        <f>(#REF!*#REF!)/1000</f>
        <v>#REF!</v>
      </c>
      <c r="Q16" s="990" t="e">
        <f t="shared" si="5"/>
        <v>#REF!</v>
      </c>
      <c r="R16" s="970" t="e">
        <f t="shared" si="6"/>
        <v>#REF!</v>
      </c>
      <c r="S16" s="969" t="e">
        <f t="shared" si="7"/>
        <v>#DIV/0!</v>
      </c>
      <c r="T16" s="909" t="e">
        <f t="shared" si="8"/>
        <v>#DIV/0!</v>
      </c>
      <c r="U16" s="986" t="e">
        <f t="shared" si="9"/>
        <v>#DIV/0!</v>
      </c>
      <c r="V16" s="988">
        <f t="shared" si="10"/>
        <v>0</v>
      </c>
      <c r="W16" s="970">
        <f t="shared" si="11"/>
        <v>0</v>
      </c>
      <c r="X16" s="971" t="e">
        <f t="shared" si="12"/>
        <v>#DIV/0!</v>
      </c>
      <c r="Y16" s="847"/>
      <c r="Z16" s="911" t="e">
        <f t="shared" si="23"/>
        <v>#DIV/0!</v>
      </c>
      <c r="AA16" s="1006"/>
      <c r="AB16" s="997">
        <f>IF(AA16=0,0,
IF('Calcul_Densité+Dose'!B16="2x2",((10000/(AA16*BB16))/4)*Z16,
((10000/(AA16*BB16))/AZ16)*Z16))</f>
        <v>0</v>
      </c>
      <c r="AC16" s="1007"/>
      <c r="AD16" s="1008">
        <f>IF(AC16=0,0,
IF('Calcul_Densité+Dose'!B16="2x2",((10000/(AC16*BB16))/2)*Z16,
((10000/(AC16*BB16))/AZ16)*Z16))</f>
        <v>0</v>
      </c>
      <c r="AE16" s="1009"/>
      <c r="AF16" s="1010">
        <f>IF(AE16=0,0,
IF('Calcul_Densité+Dose'!B16="2x2",((10000/(AE16*BB16))/4)*Z16,
((10000/(AE16*BB16))/AZ16)*Z16))</f>
        <v>0</v>
      </c>
      <c r="AG16" s="1011">
        <f t="shared" si="24"/>
        <v>0</v>
      </c>
      <c r="AH16" s="860"/>
      <c r="AI16" s="995"/>
      <c r="AJ16" s="1020"/>
      <c r="AK16" s="997">
        <f t="shared" si="25"/>
        <v>0</v>
      </c>
      <c r="AL16" s="1021"/>
      <c r="AM16" s="1008">
        <f t="shared" si="26"/>
        <v>0</v>
      </c>
      <c r="AN16" s="1011">
        <f t="shared" si="27"/>
        <v>0</v>
      </c>
      <c r="AO16" s="860"/>
      <c r="AP16" s="996"/>
      <c r="AQ16" s="1022">
        <f t="shared" si="28"/>
        <v>0</v>
      </c>
      <c r="AR16" s="994"/>
      <c r="AS16" s="977"/>
      <c r="AT16" s="978">
        <f t="shared" si="13"/>
        <v>0</v>
      </c>
      <c r="AU16" s="919" t="e">
        <f t="shared" si="14"/>
        <v>#DIV/0!</v>
      </c>
      <c r="AV16" s="920" t="e">
        <f t="shared" si="15"/>
        <v>#DIV/0!</v>
      </c>
      <c r="AW16" s="913"/>
      <c r="AX16" s="854"/>
      <c r="AY16" s="914"/>
      <c r="AZ16" s="979"/>
      <c r="BA16" s="855">
        <f t="shared" si="16"/>
        <v>0</v>
      </c>
      <c r="BB16" s="918" t="e">
        <f t="shared" si="17"/>
        <v>#DIV/0!</v>
      </c>
      <c r="BC16" s="917" t="e">
        <f t="shared" si="18"/>
        <v>#DIV/0!</v>
      </c>
      <c r="BD16" s="916"/>
      <c r="BE16" s="855"/>
      <c r="BF16" s="915">
        <f t="shared" si="19"/>
        <v>1</v>
      </c>
      <c r="BG16" s="980"/>
      <c r="BH16" s="856"/>
      <c r="BI16" s="857">
        <f t="shared" si="20"/>
        <v>0</v>
      </c>
      <c r="BJ16" s="981">
        <f t="shared" si="21"/>
        <v>-1</v>
      </c>
      <c r="BK16" s="858"/>
      <c r="BL16" s="856"/>
      <c r="BM16" s="859">
        <f t="shared" si="22"/>
        <v>0</v>
      </c>
    </row>
    <row r="17" spans="1:65" ht="35.1" customHeight="1" x14ac:dyDescent="0.25">
      <c r="A17" s="963"/>
      <c r="B17" s="964"/>
      <c r="C17" s="965"/>
      <c r="D17" s="966"/>
      <c r="E17" s="965"/>
      <c r="F17" s="965"/>
      <c r="G17" s="967"/>
      <c r="H17" s="968"/>
      <c r="I17" s="861" t="e">
        <f t="shared" si="0"/>
        <v>#DIV/0!</v>
      </c>
      <c r="J17" s="983" t="e">
        <f t="shared" si="1"/>
        <v>#DIV/0!</v>
      </c>
      <c r="K17" s="993"/>
      <c r="L17" s="861" t="e">
        <f t="shared" si="2"/>
        <v>#DIV/0!</v>
      </c>
      <c r="M17" s="984" t="e">
        <f t="shared" si="3"/>
        <v>#DIV/0!</v>
      </c>
      <c r="N17" s="992"/>
      <c r="O17" s="907" t="e">
        <f t="shared" si="4"/>
        <v>#REF!</v>
      </c>
      <c r="P17" s="985" t="e">
        <f>(#REF!*#REF!)/1000</f>
        <v>#REF!</v>
      </c>
      <c r="Q17" s="990" t="e">
        <f t="shared" si="5"/>
        <v>#REF!</v>
      </c>
      <c r="R17" s="970" t="e">
        <f t="shared" si="6"/>
        <v>#REF!</v>
      </c>
      <c r="S17" s="969" t="e">
        <f t="shared" si="7"/>
        <v>#DIV/0!</v>
      </c>
      <c r="T17" s="909" t="e">
        <f t="shared" si="8"/>
        <v>#DIV/0!</v>
      </c>
      <c r="U17" s="986" t="e">
        <f t="shared" si="9"/>
        <v>#DIV/0!</v>
      </c>
      <c r="V17" s="988">
        <f t="shared" si="10"/>
        <v>0</v>
      </c>
      <c r="W17" s="970">
        <f t="shared" si="11"/>
        <v>0</v>
      </c>
      <c r="X17" s="971" t="e">
        <f t="shared" si="12"/>
        <v>#DIV/0!</v>
      </c>
      <c r="Y17" s="847"/>
      <c r="Z17" s="911" t="e">
        <f t="shared" si="23"/>
        <v>#DIV/0!</v>
      </c>
      <c r="AA17" s="1006"/>
      <c r="AB17" s="997">
        <f>IF(AA17=0,0,
IF('Calcul_Densité+Dose'!B17="2x2",((10000/(AA17*BB17))/4)*Z17,
((10000/(AA17*BB17))/AZ17)*Z17))</f>
        <v>0</v>
      </c>
      <c r="AC17" s="1007"/>
      <c r="AD17" s="1008">
        <f>IF(AC17=0,0,
IF('Calcul_Densité+Dose'!B17="2x2",((10000/(AC17*BB17))/2)*Z17,
((10000/(AC17*BB17))/AZ17)*Z17))</f>
        <v>0</v>
      </c>
      <c r="AE17" s="1009"/>
      <c r="AF17" s="1010">
        <f>IF(AE17=0,0,
IF('Calcul_Densité+Dose'!B17="2x2",((10000/(AE17*BB17))/4)*Z17,
((10000/(AE17*BB17))/AZ17)*Z17))</f>
        <v>0</v>
      </c>
      <c r="AG17" s="1011">
        <f t="shared" si="24"/>
        <v>0</v>
      </c>
      <c r="AH17" s="860"/>
      <c r="AI17" s="995"/>
      <c r="AJ17" s="1020"/>
      <c r="AK17" s="997">
        <f t="shared" si="25"/>
        <v>0</v>
      </c>
      <c r="AL17" s="1021"/>
      <c r="AM17" s="1008">
        <f t="shared" si="26"/>
        <v>0</v>
      </c>
      <c r="AN17" s="1011">
        <f t="shared" si="27"/>
        <v>0</v>
      </c>
      <c r="AO17" s="860"/>
      <c r="AP17" s="996"/>
      <c r="AQ17" s="1022">
        <f t="shared" si="28"/>
        <v>0</v>
      </c>
      <c r="AR17" s="994"/>
      <c r="AS17" s="977"/>
      <c r="AT17" s="978">
        <f t="shared" si="13"/>
        <v>0</v>
      </c>
      <c r="AU17" s="919" t="e">
        <f t="shared" si="14"/>
        <v>#DIV/0!</v>
      </c>
      <c r="AV17" s="920" t="e">
        <f t="shared" si="15"/>
        <v>#DIV/0!</v>
      </c>
      <c r="AW17" s="913"/>
      <c r="AX17" s="854"/>
      <c r="AY17" s="914"/>
      <c r="AZ17" s="979"/>
      <c r="BA17" s="855">
        <f t="shared" si="16"/>
        <v>0</v>
      </c>
      <c r="BB17" s="918" t="e">
        <f t="shared" si="17"/>
        <v>#DIV/0!</v>
      </c>
      <c r="BC17" s="917" t="e">
        <f t="shared" si="18"/>
        <v>#DIV/0!</v>
      </c>
      <c r="BD17" s="916"/>
      <c r="BE17" s="855"/>
      <c r="BF17" s="915">
        <f t="shared" si="19"/>
        <v>1</v>
      </c>
      <c r="BG17" s="980"/>
      <c r="BH17" s="856"/>
      <c r="BI17" s="857">
        <f t="shared" si="20"/>
        <v>0</v>
      </c>
      <c r="BJ17" s="981">
        <f t="shared" si="21"/>
        <v>-1</v>
      </c>
      <c r="BK17" s="858"/>
      <c r="BL17" s="856"/>
      <c r="BM17" s="859">
        <f t="shared" si="22"/>
        <v>0</v>
      </c>
    </row>
    <row r="18" spans="1:65" ht="35.1" customHeight="1" x14ac:dyDescent="0.25">
      <c r="A18" s="963"/>
      <c r="B18" s="964"/>
      <c r="C18" s="965"/>
      <c r="D18" s="966"/>
      <c r="E18" s="965"/>
      <c r="F18" s="965"/>
      <c r="G18" s="967"/>
      <c r="H18" s="968"/>
      <c r="I18" s="861" t="e">
        <f t="shared" si="0"/>
        <v>#DIV/0!</v>
      </c>
      <c r="J18" s="983" t="e">
        <f t="shared" si="1"/>
        <v>#DIV/0!</v>
      </c>
      <c r="K18" s="993"/>
      <c r="L18" s="861" t="e">
        <f t="shared" si="2"/>
        <v>#DIV/0!</v>
      </c>
      <c r="M18" s="984" t="e">
        <f t="shared" si="3"/>
        <v>#DIV/0!</v>
      </c>
      <c r="N18" s="992"/>
      <c r="O18" s="907" t="e">
        <f t="shared" si="4"/>
        <v>#REF!</v>
      </c>
      <c r="P18" s="985" t="e">
        <f>(#REF!*#REF!)/1000</f>
        <v>#REF!</v>
      </c>
      <c r="Q18" s="990" t="e">
        <f t="shared" si="5"/>
        <v>#REF!</v>
      </c>
      <c r="R18" s="970" t="e">
        <f t="shared" si="6"/>
        <v>#REF!</v>
      </c>
      <c r="S18" s="969" t="e">
        <f t="shared" si="7"/>
        <v>#DIV/0!</v>
      </c>
      <c r="T18" s="909" t="e">
        <f t="shared" si="8"/>
        <v>#DIV/0!</v>
      </c>
      <c r="U18" s="986" t="e">
        <f t="shared" si="9"/>
        <v>#DIV/0!</v>
      </c>
      <c r="V18" s="988">
        <f t="shared" si="10"/>
        <v>0</v>
      </c>
      <c r="W18" s="970">
        <f t="shared" si="11"/>
        <v>0</v>
      </c>
      <c r="X18" s="971" t="e">
        <f t="shared" si="12"/>
        <v>#DIV/0!</v>
      </c>
      <c r="Y18" s="847"/>
      <c r="Z18" s="911" t="e">
        <f t="shared" si="23"/>
        <v>#DIV/0!</v>
      </c>
      <c r="AA18" s="1006"/>
      <c r="AB18" s="997">
        <f>IF(AA18=0,0,
IF('Calcul_Densité+Dose'!B18="2x2",((10000/(AA18*BB18))/4)*Z18,
((10000/(AA18*BB18))/AZ18)*Z18))</f>
        <v>0</v>
      </c>
      <c r="AC18" s="1007"/>
      <c r="AD18" s="1008">
        <f>IF(AC18=0,0,
IF('Calcul_Densité+Dose'!B18="2x2",((10000/(AC18*BB18))/2)*Z18,
((10000/(AC18*BB18))/AZ18)*Z18))</f>
        <v>0</v>
      </c>
      <c r="AE18" s="1009"/>
      <c r="AF18" s="1010">
        <f>IF(AE18=0,0,
IF('Calcul_Densité+Dose'!B18="2x2",((10000/(AE18*BB18))/4)*Z18,
((10000/(AE18*BB18))/AZ18)*Z18))</f>
        <v>0</v>
      </c>
      <c r="AG18" s="1011">
        <f t="shared" si="24"/>
        <v>0</v>
      </c>
      <c r="AH18" s="860"/>
      <c r="AI18" s="995"/>
      <c r="AJ18" s="1020"/>
      <c r="AK18" s="997">
        <f t="shared" si="25"/>
        <v>0</v>
      </c>
      <c r="AL18" s="1021"/>
      <c r="AM18" s="1008">
        <f t="shared" si="26"/>
        <v>0</v>
      </c>
      <c r="AN18" s="1011">
        <f t="shared" si="27"/>
        <v>0</v>
      </c>
      <c r="AO18" s="860"/>
      <c r="AP18" s="996"/>
      <c r="AQ18" s="1022">
        <f t="shared" si="28"/>
        <v>0</v>
      </c>
      <c r="AR18" s="994"/>
      <c r="AS18" s="977"/>
      <c r="AT18" s="978">
        <f t="shared" si="13"/>
        <v>0</v>
      </c>
      <c r="AU18" s="919" t="e">
        <f t="shared" si="14"/>
        <v>#DIV/0!</v>
      </c>
      <c r="AV18" s="920" t="e">
        <f t="shared" si="15"/>
        <v>#DIV/0!</v>
      </c>
      <c r="AW18" s="913"/>
      <c r="AX18" s="854"/>
      <c r="AY18" s="914"/>
      <c r="AZ18" s="979"/>
      <c r="BA18" s="855">
        <f t="shared" si="16"/>
        <v>0</v>
      </c>
      <c r="BB18" s="918" t="e">
        <f t="shared" si="17"/>
        <v>#DIV/0!</v>
      </c>
      <c r="BC18" s="917" t="e">
        <f t="shared" si="18"/>
        <v>#DIV/0!</v>
      </c>
      <c r="BD18" s="916"/>
      <c r="BE18" s="855"/>
      <c r="BF18" s="915">
        <f t="shared" si="19"/>
        <v>1</v>
      </c>
      <c r="BG18" s="980"/>
      <c r="BH18" s="856"/>
      <c r="BI18" s="857">
        <f t="shared" si="20"/>
        <v>0</v>
      </c>
      <c r="BJ18" s="981">
        <f t="shared" si="21"/>
        <v>-1</v>
      </c>
      <c r="BK18" s="858"/>
      <c r="BL18" s="856"/>
      <c r="BM18" s="859">
        <f t="shared" si="22"/>
        <v>0</v>
      </c>
    </row>
    <row r="19" spans="1:65" ht="35.1" customHeight="1" x14ac:dyDescent="0.25">
      <c r="A19" s="963"/>
      <c r="B19" s="964"/>
      <c r="C19" s="965"/>
      <c r="D19" s="966"/>
      <c r="E19" s="965"/>
      <c r="F19" s="965"/>
      <c r="G19" s="967"/>
      <c r="H19" s="968"/>
      <c r="I19" s="861" t="e">
        <f t="shared" si="0"/>
        <v>#DIV/0!</v>
      </c>
      <c r="J19" s="983" t="e">
        <f t="shared" si="1"/>
        <v>#DIV/0!</v>
      </c>
      <c r="K19" s="993"/>
      <c r="L19" s="861" t="e">
        <f t="shared" si="2"/>
        <v>#DIV/0!</v>
      </c>
      <c r="M19" s="984" t="e">
        <f t="shared" si="3"/>
        <v>#DIV/0!</v>
      </c>
      <c r="N19" s="992"/>
      <c r="O19" s="907" t="e">
        <f t="shared" si="4"/>
        <v>#REF!</v>
      </c>
      <c r="P19" s="985" t="e">
        <f>(#REF!*#REF!)/1000</f>
        <v>#REF!</v>
      </c>
      <c r="Q19" s="990" t="e">
        <f t="shared" si="5"/>
        <v>#REF!</v>
      </c>
      <c r="R19" s="970" t="e">
        <f t="shared" si="6"/>
        <v>#REF!</v>
      </c>
      <c r="S19" s="969" t="e">
        <f t="shared" si="7"/>
        <v>#DIV/0!</v>
      </c>
      <c r="T19" s="909" t="e">
        <f t="shared" si="8"/>
        <v>#DIV/0!</v>
      </c>
      <c r="U19" s="986" t="e">
        <f t="shared" si="9"/>
        <v>#DIV/0!</v>
      </c>
      <c r="V19" s="988">
        <f t="shared" si="10"/>
        <v>0</v>
      </c>
      <c r="W19" s="970">
        <f t="shared" si="11"/>
        <v>0</v>
      </c>
      <c r="X19" s="971" t="e">
        <f t="shared" si="12"/>
        <v>#DIV/0!</v>
      </c>
      <c r="Y19" s="847"/>
      <c r="Z19" s="911" t="e">
        <f t="shared" si="23"/>
        <v>#DIV/0!</v>
      </c>
      <c r="AA19" s="1006"/>
      <c r="AB19" s="997">
        <f>IF(AA19=0,0,
IF('Calcul_Densité+Dose'!B19="2x2",((10000/(AA19*BB19))/4)*Z19,
((10000/(AA19*BB19))/AZ19)*Z19))</f>
        <v>0</v>
      </c>
      <c r="AC19" s="1007"/>
      <c r="AD19" s="1008">
        <f>IF(AC19=0,0,
IF('Calcul_Densité+Dose'!B19="2x2",((10000/(AC19*BB19))/2)*Z19,
((10000/(AC19*BB19))/AZ19)*Z19))</f>
        <v>0</v>
      </c>
      <c r="AE19" s="1009"/>
      <c r="AF19" s="1010">
        <f>IF(AE19=0,0,
IF('Calcul_Densité+Dose'!B19="2x2",((10000/(AE19*BB19))/4)*Z19,
((10000/(AE19*BB19))/AZ19)*Z19))</f>
        <v>0</v>
      </c>
      <c r="AG19" s="1011">
        <f t="shared" si="24"/>
        <v>0</v>
      </c>
      <c r="AH19" s="860"/>
      <c r="AI19" s="995"/>
      <c r="AJ19" s="1020"/>
      <c r="AK19" s="997">
        <f t="shared" si="25"/>
        <v>0</v>
      </c>
      <c r="AL19" s="1021"/>
      <c r="AM19" s="1008">
        <f t="shared" si="26"/>
        <v>0</v>
      </c>
      <c r="AN19" s="1011">
        <f t="shared" si="27"/>
        <v>0</v>
      </c>
      <c r="AO19" s="860"/>
      <c r="AP19" s="996"/>
      <c r="AQ19" s="1022">
        <f t="shared" si="28"/>
        <v>0</v>
      </c>
      <c r="AR19" s="994"/>
      <c r="AS19" s="977"/>
      <c r="AT19" s="978">
        <f t="shared" si="13"/>
        <v>0</v>
      </c>
      <c r="AU19" s="919" t="e">
        <f t="shared" si="14"/>
        <v>#DIV/0!</v>
      </c>
      <c r="AV19" s="920" t="e">
        <f t="shared" si="15"/>
        <v>#DIV/0!</v>
      </c>
      <c r="AW19" s="913"/>
      <c r="AX19" s="854"/>
      <c r="AY19" s="914"/>
      <c r="AZ19" s="979"/>
      <c r="BA19" s="855">
        <f t="shared" si="16"/>
        <v>0</v>
      </c>
      <c r="BB19" s="918" t="e">
        <f t="shared" si="17"/>
        <v>#DIV/0!</v>
      </c>
      <c r="BC19" s="917" t="e">
        <f t="shared" si="18"/>
        <v>#DIV/0!</v>
      </c>
      <c r="BD19" s="916"/>
      <c r="BE19" s="855"/>
      <c r="BF19" s="915">
        <f t="shared" si="19"/>
        <v>1</v>
      </c>
      <c r="BG19" s="980"/>
      <c r="BH19" s="856"/>
      <c r="BI19" s="857">
        <f t="shared" si="20"/>
        <v>0</v>
      </c>
      <c r="BJ19" s="981">
        <f t="shared" si="21"/>
        <v>-1</v>
      </c>
      <c r="BK19" s="858"/>
      <c r="BL19" s="856"/>
      <c r="BM19" s="859">
        <f t="shared" si="22"/>
        <v>0</v>
      </c>
    </row>
    <row r="20" spans="1:65" ht="35.1" customHeight="1" x14ac:dyDescent="0.25">
      <c r="A20" s="963"/>
      <c r="B20" s="964"/>
      <c r="C20" s="965"/>
      <c r="D20" s="966"/>
      <c r="E20" s="965"/>
      <c r="F20" s="965"/>
      <c r="G20" s="967"/>
      <c r="H20" s="968"/>
      <c r="I20" s="861" t="e">
        <f t="shared" si="0"/>
        <v>#DIV/0!</v>
      </c>
      <c r="J20" s="983" t="e">
        <f t="shared" si="1"/>
        <v>#DIV/0!</v>
      </c>
      <c r="K20" s="993"/>
      <c r="L20" s="861" t="e">
        <f t="shared" si="2"/>
        <v>#DIV/0!</v>
      </c>
      <c r="M20" s="984" t="e">
        <f t="shared" si="3"/>
        <v>#DIV/0!</v>
      </c>
      <c r="N20" s="992"/>
      <c r="O20" s="907" t="e">
        <f t="shared" si="4"/>
        <v>#REF!</v>
      </c>
      <c r="P20" s="985" t="e">
        <f>(#REF!*#REF!)/1000</f>
        <v>#REF!</v>
      </c>
      <c r="Q20" s="990" t="e">
        <f t="shared" si="5"/>
        <v>#REF!</v>
      </c>
      <c r="R20" s="970" t="e">
        <f t="shared" si="6"/>
        <v>#REF!</v>
      </c>
      <c r="S20" s="969" t="e">
        <f t="shared" si="7"/>
        <v>#DIV/0!</v>
      </c>
      <c r="T20" s="909" t="e">
        <f t="shared" si="8"/>
        <v>#DIV/0!</v>
      </c>
      <c r="U20" s="986" t="e">
        <f t="shared" si="9"/>
        <v>#DIV/0!</v>
      </c>
      <c r="V20" s="988">
        <f t="shared" si="10"/>
        <v>0</v>
      </c>
      <c r="W20" s="970">
        <f t="shared" si="11"/>
        <v>0</v>
      </c>
      <c r="X20" s="971" t="e">
        <f t="shared" si="12"/>
        <v>#DIV/0!</v>
      </c>
      <c r="Y20" s="847"/>
      <c r="Z20" s="911" t="e">
        <f t="shared" si="23"/>
        <v>#DIV/0!</v>
      </c>
      <c r="AA20" s="1006"/>
      <c r="AB20" s="997">
        <f>IF(AA20=0,0,
IF('Calcul_Densité+Dose'!B20="2x2",((10000/(AA20*BB20))/4)*Z20,
((10000/(AA20*BB20))/AZ20)*Z20))</f>
        <v>0</v>
      </c>
      <c r="AC20" s="1007"/>
      <c r="AD20" s="1008">
        <f>IF(AC20=0,0,
IF('Calcul_Densité+Dose'!B20="2x2",((10000/(AC20*BB20))/2)*Z20,
((10000/(AC20*BB20))/AZ20)*Z20))</f>
        <v>0</v>
      </c>
      <c r="AE20" s="1009"/>
      <c r="AF20" s="1010">
        <f>IF(AE20=0,0,
IF('Calcul_Densité+Dose'!B20="2x2",((10000/(AE20*BB20))/4)*Z20,
((10000/(AE20*BB20))/AZ20)*Z20))</f>
        <v>0</v>
      </c>
      <c r="AG20" s="1011">
        <f t="shared" si="24"/>
        <v>0</v>
      </c>
      <c r="AH20" s="860"/>
      <c r="AI20" s="995"/>
      <c r="AJ20" s="1020"/>
      <c r="AK20" s="997">
        <f t="shared" si="25"/>
        <v>0</v>
      </c>
      <c r="AL20" s="1021"/>
      <c r="AM20" s="1008">
        <f t="shared" si="26"/>
        <v>0</v>
      </c>
      <c r="AN20" s="1011">
        <f t="shared" si="27"/>
        <v>0</v>
      </c>
      <c r="AO20" s="860"/>
      <c r="AP20" s="996"/>
      <c r="AQ20" s="1022">
        <f t="shared" si="28"/>
        <v>0</v>
      </c>
      <c r="AR20" s="994"/>
      <c r="AS20" s="977"/>
      <c r="AT20" s="978">
        <f t="shared" si="13"/>
        <v>0</v>
      </c>
      <c r="AU20" s="919" t="e">
        <f t="shared" si="14"/>
        <v>#DIV/0!</v>
      </c>
      <c r="AV20" s="920" t="e">
        <f t="shared" si="15"/>
        <v>#DIV/0!</v>
      </c>
      <c r="AW20" s="913"/>
      <c r="AX20" s="854"/>
      <c r="AY20" s="914"/>
      <c r="AZ20" s="979"/>
      <c r="BA20" s="855">
        <f t="shared" si="16"/>
        <v>0</v>
      </c>
      <c r="BB20" s="918" t="e">
        <f t="shared" si="17"/>
        <v>#DIV/0!</v>
      </c>
      <c r="BC20" s="917" t="e">
        <f t="shared" si="18"/>
        <v>#DIV/0!</v>
      </c>
      <c r="BD20" s="916"/>
      <c r="BE20" s="855"/>
      <c r="BF20" s="915">
        <f t="shared" si="19"/>
        <v>1</v>
      </c>
      <c r="BG20" s="980"/>
      <c r="BH20" s="856"/>
      <c r="BI20" s="857">
        <f t="shared" si="20"/>
        <v>0</v>
      </c>
      <c r="BJ20" s="981">
        <f t="shared" si="21"/>
        <v>-1</v>
      </c>
      <c r="BK20" s="858"/>
      <c r="BL20" s="856"/>
      <c r="BM20" s="859">
        <f t="shared" si="22"/>
        <v>0</v>
      </c>
    </row>
    <row r="21" spans="1:65" ht="35.1" customHeight="1" x14ac:dyDescent="0.25">
      <c r="A21" s="963"/>
      <c r="B21" s="964"/>
      <c r="C21" s="965"/>
      <c r="D21" s="966"/>
      <c r="E21" s="965"/>
      <c r="F21" s="965"/>
      <c r="G21" s="967"/>
      <c r="H21" s="968"/>
      <c r="I21" s="861" t="e">
        <f t="shared" si="0"/>
        <v>#DIV/0!</v>
      </c>
      <c r="J21" s="983" t="e">
        <f t="shared" si="1"/>
        <v>#DIV/0!</v>
      </c>
      <c r="K21" s="993"/>
      <c r="L21" s="861" t="e">
        <f t="shared" si="2"/>
        <v>#DIV/0!</v>
      </c>
      <c r="M21" s="984" t="e">
        <f t="shared" si="3"/>
        <v>#DIV/0!</v>
      </c>
      <c r="N21" s="992"/>
      <c r="O21" s="907" t="e">
        <f t="shared" si="4"/>
        <v>#REF!</v>
      </c>
      <c r="P21" s="985" t="e">
        <f>(#REF!*#REF!)/1000</f>
        <v>#REF!</v>
      </c>
      <c r="Q21" s="990" t="e">
        <f t="shared" si="5"/>
        <v>#REF!</v>
      </c>
      <c r="R21" s="970" t="e">
        <f t="shared" si="6"/>
        <v>#REF!</v>
      </c>
      <c r="S21" s="969" t="e">
        <f t="shared" si="7"/>
        <v>#DIV/0!</v>
      </c>
      <c r="T21" s="909" t="e">
        <f t="shared" si="8"/>
        <v>#DIV/0!</v>
      </c>
      <c r="U21" s="986" t="e">
        <f t="shared" si="9"/>
        <v>#DIV/0!</v>
      </c>
      <c r="V21" s="988">
        <f t="shared" si="10"/>
        <v>0</v>
      </c>
      <c r="W21" s="970">
        <f t="shared" si="11"/>
        <v>0</v>
      </c>
      <c r="X21" s="971" t="e">
        <f t="shared" si="12"/>
        <v>#DIV/0!</v>
      </c>
      <c r="Y21" s="847"/>
      <c r="Z21" s="911" t="e">
        <f t="shared" si="23"/>
        <v>#DIV/0!</v>
      </c>
      <c r="AA21" s="1006"/>
      <c r="AB21" s="997">
        <f>IF(AA21=0,0,
IF('Calcul_Densité+Dose'!B21="2x2",((10000/(AA21*BB21))/4)*Z21,
((10000/(AA21*BB21))/AZ21)*Z21))</f>
        <v>0</v>
      </c>
      <c r="AC21" s="1007"/>
      <c r="AD21" s="1008">
        <f>IF(AC21=0,0,
IF('Calcul_Densité+Dose'!B21="2x2",((10000/(AC21*BB21))/2)*Z21,
((10000/(AC21*BB21))/AZ21)*Z21))</f>
        <v>0</v>
      </c>
      <c r="AE21" s="1009"/>
      <c r="AF21" s="1010">
        <f>IF(AE21=0,0,
IF('Calcul_Densité+Dose'!B21="2x2",((10000/(AE21*BB21))/4)*Z21,
((10000/(AE21*BB21))/AZ21)*Z21))</f>
        <v>0</v>
      </c>
      <c r="AG21" s="1011">
        <f t="shared" si="24"/>
        <v>0</v>
      </c>
      <c r="AH21" s="860"/>
      <c r="AI21" s="995"/>
      <c r="AJ21" s="1020"/>
      <c r="AK21" s="997">
        <f t="shared" si="25"/>
        <v>0</v>
      </c>
      <c r="AL21" s="1021"/>
      <c r="AM21" s="1008">
        <f t="shared" si="26"/>
        <v>0</v>
      </c>
      <c r="AN21" s="1011">
        <f t="shared" si="27"/>
        <v>0</v>
      </c>
      <c r="AO21" s="860"/>
      <c r="AP21" s="996"/>
      <c r="AQ21" s="1022">
        <f t="shared" si="28"/>
        <v>0</v>
      </c>
      <c r="AR21" s="994"/>
      <c r="AS21" s="977"/>
      <c r="AT21" s="978">
        <f t="shared" si="13"/>
        <v>0</v>
      </c>
      <c r="AU21" s="919" t="e">
        <f t="shared" si="14"/>
        <v>#DIV/0!</v>
      </c>
      <c r="AV21" s="920" t="e">
        <f t="shared" si="15"/>
        <v>#DIV/0!</v>
      </c>
      <c r="AW21" s="913"/>
      <c r="AX21" s="854"/>
      <c r="AY21" s="914"/>
      <c r="AZ21" s="979"/>
      <c r="BA21" s="855">
        <f t="shared" si="16"/>
        <v>0</v>
      </c>
      <c r="BB21" s="918" t="e">
        <f t="shared" si="17"/>
        <v>#DIV/0!</v>
      </c>
      <c r="BC21" s="917" t="e">
        <f t="shared" si="18"/>
        <v>#DIV/0!</v>
      </c>
      <c r="BD21" s="916"/>
      <c r="BE21" s="855"/>
      <c r="BF21" s="915">
        <f t="shared" si="19"/>
        <v>1</v>
      </c>
      <c r="BG21" s="980"/>
      <c r="BH21" s="856"/>
      <c r="BI21" s="857">
        <f t="shared" si="20"/>
        <v>0</v>
      </c>
      <c r="BJ21" s="981">
        <f t="shared" si="21"/>
        <v>-1</v>
      </c>
      <c r="BK21" s="858"/>
      <c r="BL21" s="856"/>
      <c r="BM21" s="859">
        <f t="shared" si="22"/>
        <v>0</v>
      </c>
    </row>
    <row r="22" spans="1:65" ht="35.1" customHeight="1" x14ac:dyDescent="0.25">
      <c r="A22" s="963"/>
      <c r="B22" s="964"/>
      <c r="C22" s="965"/>
      <c r="D22" s="966"/>
      <c r="E22" s="965"/>
      <c r="F22" s="965"/>
      <c r="G22" s="967"/>
      <c r="H22" s="968"/>
      <c r="I22" s="861" t="e">
        <f t="shared" si="0"/>
        <v>#DIV/0!</v>
      </c>
      <c r="J22" s="983" t="e">
        <f t="shared" si="1"/>
        <v>#DIV/0!</v>
      </c>
      <c r="K22" s="993"/>
      <c r="L22" s="861" t="e">
        <f t="shared" si="2"/>
        <v>#DIV/0!</v>
      </c>
      <c r="M22" s="984" t="e">
        <f t="shared" si="3"/>
        <v>#DIV/0!</v>
      </c>
      <c r="N22" s="992"/>
      <c r="O22" s="907" t="e">
        <f t="shared" si="4"/>
        <v>#REF!</v>
      </c>
      <c r="P22" s="985" t="e">
        <f>(#REF!*#REF!)/1000</f>
        <v>#REF!</v>
      </c>
      <c r="Q22" s="990" t="e">
        <f t="shared" si="5"/>
        <v>#REF!</v>
      </c>
      <c r="R22" s="970" t="e">
        <f t="shared" si="6"/>
        <v>#REF!</v>
      </c>
      <c r="S22" s="969" t="e">
        <f t="shared" si="7"/>
        <v>#DIV/0!</v>
      </c>
      <c r="T22" s="909" t="e">
        <f t="shared" si="8"/>
        <v>#DIV/0!</v>
      </c>
      <c r="U22" s="986" t="e">
        <f t="shared" si="9"/>
        <v>#DIV/0!</v>
      </c>
      <c r="V22" s="988">
        <f t="shared" si="10"/>
        <v>0</v>
      </c>
      <c r="W22" s="970">
        <f t="shared" si="11"/>
        <v>0</v>
      </c>
      <c r="X22" s="971" t="e">
        <f t="shared" si="12"/>
        <v>#DIV/0!</v>
      </c>
      <c r="Y22" s="847"/>
      <c r="Z22" s="911" t="e">
        <f t="shared" si="23"/>
        <v>#DIV/0!</v>
      </c>
      <c r="AA22" s="1006"/>
      <c r="AB22" s="997">
        <f>IF(AA22=0,0,
IF('Calcul_Densité+Dose'!B22="2x2",((10000/(AA22*BB22))/4)*Z22,
((10000/(AA22*BB22))/AZ22)*Z22))</f>
        <v>0</v>
      </c>
      <c r="AC22" s="1007"/>
      <c r="AD22" s="1008">
        <f>IF(AC22=0,0,
IF('Calcul_Densité+Dose'!B22="2x2",((10000/(AC22*BB22))/2)*Z22,
((10000/(AC22*BB22))/AZ22)*Z22))</f>
        <v>0</v>
      </c>
      <c r="AE22" s="1009"/>
      <c r="AF22" s="1010">
        <f>IF(AE22=0,0,
IF('Calcul_Densité+Dose'!B22="2x2",((10000/(AE22*BB22))/4)*Z22,
((10000/(AE22*BB22))/AZ22)*Z22))</f>
        <v>0</v>
      </c>
      <c r="AG22" s="1011">
        <f t="shared" si="24"/>
        <v>0</v>
      </c>
      <c r="AH22" s="860"/>
      <c r="AI22" s="995"/>
      <c r="AJ22" s="1020"/>
      <c r="AK22" s="997">
        <f t="shared" si="25"/>
        <v>0</v>
      </c>
      <c r="AL22" s="1021"/>
      <c r="AM22" s="1008">
        <f t="shared" si="26"/>
        <v>0</v>
      </c>
      <c r="AN22" s="1011">
        <f t="shared" si="27"/>
        <v>0</v>
      </c>
      <c r="AO22" s="860"/>
      <c r="AP22" s="996"/>
      <c r="AQ22" s="1022">
        <f t="shared" si="28"/>
        <v>0</v>
      </c>
      <c r="AR22" s="994"/>
      <c r="AS22" s="977"/>
      <c r="AT22" s="978">
        <f t="shared" si="13"/>
        <v>0</v>
      </c>
      <c r="AU22" s="919" t="e">
        <f t="shared" si="14"/>
        <v>#DIV/0!</v>
      </c>
      <c r="AV22" s="920" t="e">
        <f t="shared" si="15"/>
        <v>#DIV/0!</v>
      </c>
      <c r="AW22" s="913"/>
      <c r="AX22" s="854"/>
      <c r="AY22" s="914"/>
      <c r="AZ22" s="979"/>
      <c r="BA22" s="855">
        <f t="shared" si="16"/>
        <v>0</v>
      </c>
      <c r="BB22" s="918" t="e">
        <f t="shared" si="17"/>
        <v>#DIV/0!</v>
      </c>
      <c r="BC22" s="917" t="e">
        <f t="shared" si="18"/>
        <v>#DIV/0!</v>
      </c>
      <c r="BD22" s="916"/>
      <c r="BE22" s="855"/>
      <c r="BF22" s="915">
        <f t="shared" si="19"/>
        <v>1</v>
      </c>
      <c r="BG22" s="980"/>
      <c r="BH22" s="856"/>
      <c r="BI22" s="857">
        <f t="shared" si="20"/>
        <v>0</v>
      </c>
      <c r="BJ22" s="981">
        <f t="shared" si="21"/>
        <v>-1</v>
      </c>
      <c r="BK22" s="858"/>
      <c r="BL22" s="856"/>
      <c r="BM22" s="859">
        <f t="shared" si="22"/>
        <v>0</v>
      </c>
    </row>
    <row r="23" spans="1:65" ht="35.1" customHeight="1" x14ac:dyDescent="0.25">
      <c r="A23" s="963"/>
      <c r="B23" s="964"/>
      <c r="C23" s="965"/>
      <c r="D23" s="966"/>
      <c r="E23" s="965"/>
      <c r="F23" s="965"/>
      <c r="G23" s="967"/>
      <c r="H23" s="968"/>
      <c r="I23" s="861" t="e">
        <f t="shared" si="0"/>
        <v>#DIV/0!</v>
      </c>
      <c r="J23" s="983" t="e">
        <f t="shared" si="1"/>
        <v>#DIV/0!</v>
      </c>
      <c r="K23" s="993"/>
      <c r="L23" s="861" t="e">
        <f t="shared" si="2"/>
        <v>#DIV/0!</v>
      </c>
      <c r="M23" s="984" t="e">
        <f t="shared" si="3"/>
        <v>#DIV/0!</v>
      </c>
      <c r="N23" s="992"/>
      <c r="O23" s="907" t="e">
        <f t="shared" si="4"/>
        <v>#REF!</v>
      </c>
      <c r="P23" s="985" t="e">
        <f>(#REF!*#REF!)/1000</f>
        <v>#REF!</v>
      </c>
      <c r="Q23" s="990" t="e">
        <f t="shared" si="5"/>
        <v>#REF!</v>
      </c>
      <c r="R23" s="970" t="e">
        <f t="shared" si="6"/>
        <v>#REF!</v>
      </c>
      <c r="S23" s="969" t="e">
        <f t="shared" si="7"/>
        <v>#DIV/0!</v>
      </c>
      <c r="T23" s="909" t="e">
        <f t="shared" si="8"/>
        <v>#DIV/0!</v>
      </c>
      <c r="U23" s="986" t="e">
        <f t="shared" si="9"/>
        <v>#DIV/0!</v>
      </c>
      <c r="V23" s="988">
        <f t="shared" si="10"/>
        <v>0</v>
      </c>
      <c r="W23" s="970">
        <f t="shared" si="11"/>
        <v>0</v>
      </c>
      <c r="X23" s="971" t="e">
        <f t="shared" si="12"/>
        <v>#DIV/0!</v>
      </c>
      <c r="Y23" s="847"/>
      <c r="Z23" s="911" t="e">
        <f t="shared" si="23"/>
        <v>#DIV/0!</v>
      </c>
      <c r="AA23" s="1006"/>
      <c r="AB23" s="997">
        <f>IF(AA23=0,0,
IF('Calcul_Densité+Dose'!B23="2x2",((10000/(AA23*BB23))/4)*Z23,
((10000/(AA23*BB23))/AZ23)*Z23))</f>
        <v>0</v>
      </c>
      <c r="AC23" s="1007"/>
      <c r="AD23" s="1008">
        <f>IF(AC23=0,0,
IF('Calcul_Densité+Dose'!B23="2x2",((10000/(AC23*BB23))/2)*Z23,
((10000/(AC23*BB23))/AZ23)*Z23))</f>
        <v>0</v>
      </c>
      <c r="AE23" s="1009"/>
      <c r="AF23" s="1010">
        <f>IF(AE23=0,0,
IF('Calcul_Densité+Dose'!B23="2x2",((10000/(AE23*BB23))/4)*Z23,
((10000/(AE23*BB23))/AZ23)*Z23))</f>
        <v>0</v>
      </c>
      <c r="AG23" s="1011">
        <f t="shared" si="24"/>
        <v>0</v>
      </c>
      <c r="AH23" s="860"/>
      <c r="AI23" s="995"/>
      <c r="AJ23" s="1020"/>
      <c r="AK23" s="997">
        <f t="shared" si="25"/>
        <v>0</v>
      </c>
      <c r="AL23" s="1021"/>
      <c r="AM23" s="1008">
        <f t="shared" si="26"/>
        <v>0</v>
      </c>
      <c r="AN23" s="1011">
        <f t="shared" si="27"/>
        <v>0</v>
      </c>
      <c r="AO23" s="860"/>
      <c r="AP23" s="996"/>
      <c r="AQ23" s="1022">
        <f t="shared" si="28"/>
        <v>0</v>
      </c>
      <c r="AR23" s="994"/>
      <c r="AS23" s="977"/>
      <c r="AT23" s="978">
        <f t="shared" si="13"/>
        <v>0</v>
      </c>
      <c r="AU23" s="919" t="e">
        <f t="shared" si="14"/>
        <v>#DIV/0!</v>
      </c>
      <c r="AV23" s="920" t="e">
        <f t="shared" si="15"/>
        <v>#DIV/0!</v>
      </c>
      <c r="AW23" s="913"/>
      <c r="AX23" s="854"/>
      <c r="AY23" s="914"/>
      <c r="AZ23" s="979"/>
      <c r="BA23" s="855">
        <f t="shared" si="16"/>
        <v>0</v>
      </c>
      <c r="BB23" s="918" t="e">
        <f t="shared" si="17"/>
        <v>#DIV/0!</v>
      </c>
      <c r="BC23" s="917" t="e">
        <f t="shared" si="18"/>
        <v>#DIV/0!</v>
      </c>
      <c r="BD23" s="916"/>
      <c r="BE23" s="855"/>
      <c r="BF23" s="915">
        <f t="shared" si="19"/>
        <v>1</v>
      </c>
      <c r="BG23" s="980"/>
      <c r="BH23" s="856"/>
      <c r="BI23" s="857">
        <f t="shared" si="20"/>
        <v>0</v>
      </c>
      <c r="BJ23" s="981">
        <f t="shared" si="21"/>
        <v>-1</v>
      </c>
      <c r="BK23" s="858"/>
      <c r="BL23" s="856"/>
      <c r="BM23" s="859">
        <f t="shared" si="22"/>
        <v>0</v>
      </c>
    </row>
    <row r="24" spans="1:65" ht="35.1" customHeight="1" x14ac:dyDescent="0.25">
      <c r="A24" s="963"/>
      <c r="B24" s="964"/>
      <c r="C24" s="965"/>
      <c r="D24" s="966"/>
      <c r="E24" s="965"/>
      <c r="F24" s="965"/>
      <c r="G24" s="967"/>
      <c r="H24" s="968"/>
      <c r="I24" s="861" t="e">
        <f t="shared" si="0"/>
        <v>#DIV/0!</v>
      </c>
      <c r="J24" s="983" t="e">
        <f t="shared" si="1"/>
        <v>#DIV/0!</v>
      </c>
      <c r="K24" s="993"/>
      <c r="L24" s="861" t="e">
        <f t="shared" si="2"/>
        <v>#DIV/0!</v>
      </c>
      <c r="M24" s="984" t="e">
        <f t="shared" si="3"/>
        <v>#DIV/0!</v>
      </c>
      <c r="N24" s="992"/>
      <c r="O24" s="907" t="e">
        <f t="shared" si="4"/>
        <v>#REF!</v>
      </c>
      <c r="P24" s="985" t="e">
        <f>(#REF!*#REF!)/1000</f>
        <v>#REF!</v>
      </c>
      <c r="Q24" s="990" t="e">
        <f t="shared" si="5"/>
        <v>#REF!</v>
      </c>
      <c r="R24" s="970" t="e">
        <f t="shared" si="6"/>
        <v>#REF!</v>
      </c>
      <c r="S24" s="969" t="e">
        <f t="shared" si="7"/>
        <v>#DIV/0!</v>
      </c>
      <c r="T24" s="909" t="e">
        <f t="shared" si="8"/>
        <v>#DIV/0!</v>
      </c>
      <c r="U24" s="986" t="e">
        <f t="shared" si="9"/>
        <v>#DIV/0!</v>
      </c>
      <c r="V24" s="988">
        <f t="shared" si="10"/>
        <v>0</v>
      </c>
      <c r="W24" s="970">
        <f t="shared" si="11"/>
        <v>0</v>
      </c>
      <c r="X24" s="971" t="e">
        <f t="shared" si="12"/>
        <v>#DIV/0!</v>
      </c>
      <c r="Y24" s="847"/>
      <c r="Z24" s="911" t="e">
        <f t="shared" si="23"/>
        <v>#DIV/0!</v>
      </c>
      <c r="AA24" s="1006"/>
      <c r="AB24" s="997">
        <f>IF(AA24=0,0,
IF('Calcul_Densité+Dose'!B24="2x2",((10000/(AA24*BB24))/4)*Z24,
((10000/(AA24*BB24))/AZ24)*Z24))</f>
        <v>0</v>
      </c>
      <c r="AC24" s="1007"/>
      <c r="AD24" s="1008">
        <f>IF(AC24=0,0,
IF('Calcul_Densité+Dose'!B24="2x2",((10000/(AC24*BB24))/2)*Z24,
((10000/(AC24*BB24))/AZ24)*Z24))</f>
        <v>0</v>
      </c>
      <c r="AE24" s="1009"/>
      <c r="AF24" s="1010">
        <f>IF(AE24=0,0,
IF('Calcul_Densité+Dose'!B24="2x2",((10000/(AE24*BB24))/4)*Z24,
((10000/(AE24*BB24))/AZ24)*Z24))</f>
        <v>0</v>
      </c>
      <c r="AG24" s="1011">
        <f t="shared" si="24"/>
        <v>0</v>
      </c>
      <c r="AH24" s="860"/>
      <c r="AI24" s="995"/>
      <c r="AJ24" s="1020"/>
      <c r="AK24" s="997">
        <f t="shared" si="25"/>
        <v>0</v>
      </c>
      <c r="AL24" s="1021"/>
      <c r="AM24" s="1008">
        <f t="shared" si="26"/>
        <v>0</v>
      </c>
      <c r="AN24" s="1011">
        <f t="shared" si="27"/>
        <v>0</v>
      </c>
      <c r="AO24" s="860"/>
      <c r="AP24" s="996"/>
      <c r="AQ24" s="1022">
        <f t="shared" si="28"/>
        <v>0</v>
      </c>
      <c r="AR24" s="994"/>
      <c r="AS24" s="977"/>
      <c r="AT24" s="978">
        <f t="shared" si="13"/>
        <v>0</v>
      </c>
      <c r="AU24" s="919" t="e">
        <f t="shared" si="14"/>
        <v>#DIV/0!</v>
      </c>
      <c r="AV24" s="920" t="e">
        <f t="shared" si="15"/>
        <v>#DIV/0!</v>
      </c>
      <c r="AW24" s="913"/>
      <c r="AX24" s="854"/>
      <c r="AY24" s="914"/>
      <c r="AZ24" s="979"/>
      <c r="BA24" s="855">
        <f t="shared" si="16"/>
        <v>0</v>
      </c>
      <c r="BB24" s="918" t="e">
        <f t="shared" si="17"/>
        <v>#DIV/0!</v>
      </c>
      <c r="BC24" s="917" t="e">
        <f t="shared" si="18"/>
        <v>#DIV/0!</v>
      </c>
      <c r="BD24" s="916"/>
      <c r="BE24" s="855"/>
      <c r="BF24" s="915">
        <f t="shared" si="19"/>
        <v>1</v>
      </c>
      <c r="BG24" s="980"/>
      <c r="BH24" s="856"/>
      <c r="BI24" s="857">
        <f t="shared" si="20"/>
        <v>0</v>
      </c>
      <c r="BJ24" s="981">
        <f t="shared" si="21"/>
        <v>-1</v>
      </c>
      <c r="BK24" s="858"/>
      <c r="BL24" s="856"/>
      <c r="BM24" s="859">
        <f t="shared" si="22"/>
        <v>0</v>
      </c>
    </row>
    <row r="25" spans="1:65" ht="35.1" customHeight="1" x14ac:dyDescent="0.25">
      <c r="A25" s="963"/>
      <c r="B25" s="964"/>
      <c r="C25" s="965"/>
      <c r="D25" s="966"/>
      <c r="E25" s="965"/>
      <c r="F25" s="965"/>
      <c r="G25" s="967"/>
      <c r="H25" s="968"/>
      <c r="I25" s="861" t="e">
        <f t="shared" si="0"/>
        <v>#DIV/0!</v>
      </c>
      <c r="J25" s="983" t="e">
        <f t="shared" si="1"/>
        <v>#DIV/0!</v>
      </c>
      <c r="K25" s="993"/>
      <c r="L25" s="861" t="e">
        <f t="shared" si="2"/>
        <v>#DIV/0!</v>
      </c>
      <c r="M25" s="984" t="e">
        <f t="shared" si="3"/>
        <v>#DIV/0!</v>
      </c>
      <c r="N25" s="992"/>
      <c r="O25" s="907" t="e">
        <f t="shared" si="4"/>
        <v>#REF!</v>
      </c>
      <c r="P25" s="985" t="e">
        <f>(#REF!*#REF!)/1000</f>
        <v>#REF!</v>
      </c>
      <c r="Q25" s="990" t="e">
        <f t="shared" si="5"/>
        <v>#REF!</v>
      </c>
      <c r="R25" s="970" t="e">
        <f t="shared" si="6"/>
        <v>#REF!</v>
      </c>
      <c r="S25" s="969" t="e">
        <f t="shared" si="7"/>
        <v>#DIV/0!</v>
      </c>
      <c r="T25" s="909" t="e">
        <f t="shared" si="8"/>
        <v>#DIV/0!</v>
      </c>
      <c r="U25" s="986" t="e">
        <f t="shared" si="9"/>
        <v>#DIV/0!</v>
      </c>
      <c r="V25" s="988">
        <f t="shared" si="10"/>
        <v>0</v>
      </c>
      <c r="W25" s="970">
        <f t="shared" si="11"/>
        <v>0</v>
      </c>
      <c r="X25" s="971" t="e">
        <f t="shared" si="12"/>
        <v>#DIV/0!</v>
      </c>
      <c r="Y25" s="847"/>
      <c r="Z25" s="911" t="e">
        <f t="shared" si="23"/>
        <v>#DIV/0!</v>
      </c>
      <c r="AA25" s="1006"/>
      <c r="AB25" s="997">
        <f>IF(AA25=0,0,
IF('Calcul_Densité+Dose'!B25="2x2",((10000/(AA25*BB25))/4)*Z25,
((10000/(AA25*BB25))/AZ25)*Z25))</f>
        <v>0</v>
      </c>
      <c r="AC25" s="1007"/>
      <c r="AD25" s="1008">
        <f>IF(AC25=0,0,
IF('Calcul_Densité+Dose'!B25="2x2",((10000/(AC25*BB25))/2)*Z25,
((10000/(AC25*BB25))/AZ25)*Z25))</f>
        <v>0</v>
      </c>
      <c r="AE25" s="1009"/>
      <c r="AF25" s="1010">
        <f>IF(AE25=0,0,
IF('Calcul_Densité+Dose'!B25="2x2",((10000/(AE25*BB25))/4)*Z25,
((10000/(AE25*BB25))/AZ25)*Z25))</f>
        <v>0</v>
      </c>
      <c r="AG25" s="1011">
        <f t="shared" si="24"/>
        <v>0</v>
      </c>
      <c r="AH25" s="860"/>
      <c r="AI25" s="995"/>
      <c r="AJ25" s="1020"/>
      <c r="AK25" s="997">
        <f t="shared" si="25"/>
        <v>0</v>
      </c>
      <c r="AL25" s="1021"/>
      <c r="AM25" s="1008">
        <f t="shared" si="26"/>
        <v>0</v>
      </c>
      <c r="AN25" s="1011">
        <f t="shared" si="27"/>
        <v>0</v>
      </c>
      <c r="AO25" s="860"/>
      <c r="AP25" s="996"/>
      <c r="AQ25" s="1022">
        <f t="shared" si="28"/>
        <v>0</v>
      </c>
      <c r="AR25" s="994"/>
      <c r="AS25" s="977"/>
      <c r="AT25" s="978">
        <f t="shared" si="13"/>
        <v>0</v>
      </c>
      <c r="AU25" s="919" t="e">
        <f t="shared" si="14"/>
        <v>#DIV/0!</v>
      </c>
      <c r="AV25" s="920" t="e">
        <f t="shared" si="15"/>
        <v>#DIV/0!</v>
      </c>
      <c r="AW25" s="913"/>
      <c r="AX25" s="854"/>
      <c r="AY25" s="914"/>
      <c r="AZ25" s="979"/>
      <c r="BA25" s="855">
        <f t="shared" si="16"/>
        <v>0</v>
      </c>
      <c r="BB25" s="918" t="e">
        <f t="shared" si="17"/>
        <v>#DIV/0!</v>
      </c>
      <c r="BC25" s="917" t="e">
        <f t="shared" si="18"/>
        <v>#DIV/0!</v>
      </c>
      <c r="BD25" s="916"/>
      <c r="BE25" s="855"/>
      <c r="BF25" s="915">
        <f t="shared" si="19"/>
        <v>1</v>
      </c>
      <c r="BG25" s="980"/>
      <c r="BH25" s="856"/>
      <c r="BI25" s="857">
        <f t="shared" si="20"/>
        <v>0</v>
      </c>
      <c r="BJ25" s="981">
        <f t="shared" si="21"/>
        <v>-1</v>
      </c>
      <c r="BK25" s="858"/>
      <c r="BL25" s="856"/>
      <c r="BM25" s="859">
        <f t="shared" si="22"/>
        <v>0</v>
      </c>
    </row>
    <row r="26" spans="1:65" ht="35.1" customHeight="1" x14ac:dyDescent="0.25">
      <c r="A26" s="963"/>
      <c r="B26" s="964"/>
      <c r="C26" s="965"/>
      <c r="D26" s="966"/>
      <c r="E26" s="965"/>
      <c r="F26" s="965"/>
      <c r="G26" s="967"/>
      <c r="H26" s="968"/>
      <c r="I26" s="861" t="e">
        <f t="shared" si="0"/>
        <v>#DIV/0!</v>
      </c>
      <c r="J26" s="983" t="e">
        <f t="shared" si="1"/>
        <v>#DIV/0!</v>
      </c>
      <c r="K26" s="993"/>
      <c r="L26" s="861" t="e">
        <f t="shared" si="2"/>
        <v>#DIV/0!</v>
      </c>
      <c r="M26" s="984" t="e">
        <f t="shared" si="3"/>
        <v>#DIV/0!</v>
      </c>
      <c r="N26" s="992"/>
      <c r="O26" s="907" t="e">
        <f t="shared" si="4"/>
        <v>#REF!</v>
      </c>
      <c r="P26" s="985" t="e">
        <f>(#REF!*#REF!)/1000</f>
        <v>#REF!</v>
      </c>
      <c r="Q26" s="990" t="e">
        <f t="shared" si="5"/>
        <v>#REF!</v>
      </c>
      <c r="R26" s="970" t="e">
        <f t="shared" si="6"/>
        <v>#REF!</v>
      </c>
      <c r="S26" s="969" t="e">
        <f t="shared" si="7"/>
        <v>#DIV/0!</v>
      </c>
      <c r="T26" s="909" t="e">
        <f t="shared" si="8"/>
        <v>#DIV/0!</v>
      </c>
      <c r="U26" s="986" t="e">
        <f t="shared" si="9"/>
        <v>#DIV/0!</v>
      </c>
      <c r="V26" s="988">
        <f t="shared" si="10"/>
        <v>0</v>
      </c>
      <c r="W26" s="970">
        <f t="shared" si="11"/>
        <v>0</v>
      </c>
      <c r="X26" s="971" t="e">
        <f t="shared" si="12"/>
        <v>#DIV/0!</v>
      </c>
      <c r="Y26" s="847"/>
      <c r="Z26" s="911" t="e">
        <f t="shared" si="23"/>
        <v>#DIV/0!</v>
      </c>
      <c r="AA26" s="1006"/>
      <c r="AB26" s="997">
        <f>IF(AA26=0,0,
IF('Calcul_Densité+Dose'!B26="2x2",((10000/(AA26*BB26))/4)*Z26,
((10000/(AA26*BB26))/AZ26)*Z26))</f>
        <v>0</v>
      </c>
      <c r="AC26" s="1007"/>
      <c r="AD26" s="1008">
        <f>IF(AC26=0,0,
IF('Calcul_Densité+Dose'!B26="2x2",((10000/(AC26*BB26))/2)*Z26,
((10000/(AC26*BB26))/AZ26)*Z26))</f>
        <v>0</v>
      </c>
      <c r="AE26" s="1009"/>
      <c r="AF26" s="1010">
        <f>IF(AE26=0,0,
IF('Calcul_Densité+Dose'!B26="2x2",((10000/(AE26*BB26))/4)*Z26,
((10000/(AE26*BB26))/AZ26)*Z26))</f>
        <v>0</v>
      </c>
      <c r="AG26" s="1011">
        <f t="shared" si="24"/>
        <v>0</v>
      </c>
      <c r="AH26" s="860"/>
      <c r="AI26" s="995"/>
      <c r="AJ26" s="1020"/>
      <c r="AK26" s="997">
        <f t="shared" si="25"/>
        <v>0</v>
      </c>
      <c r="AL26" s="1021"/>
      <c r="AM26" s="1008">
        <f t="shared" si="26"/>
        <v>0</v>
      </c>
      <c r="AN26" s="1011">
        <f t="shared" si="27"/>
        <v>0</v>
      </c>
      <c r="AO26" s="860"/>
      <c r="AP26" s="996"/>
      <c r="AQ26" s="1022">
        <f t="shared" si="28"/>
        <v>0</v>
      </c>
      <c r="AR26" s="994"/>
      <c r="AS26" s="977"/>
      <c r="AT26" s="978">
        <f t="shared" si="13"/>
        <v>0</v>
      </c>
      <c r="AU26" s="919" t="e">
        <f t="shared" si="14"/>
        <v>#DIV/0!</v>
      </c>
      <c r="AV26" s="920" t="e">
        <f t="shared" si="15"/>
        <v>#DIV/0!</v>
      </c>
      <c r="AW26" s="913"/>
      <c r="AX26" s="854"/>
      <c r="AY26" s="914"/>
      <c r="AZ26" s="979"/>
      <c r="BA26" s="855">
        <f t="shared" si="16"/>
        <v>0</v>
      </c>
      <c r="BB26" s="918" t="e">
        <f t="shared" si="17"/>
        <v>#DIV/0!</v>
      </c>
      <c r="BC26" s="917" t="e">
        <f t="shared" si="18"/>
        <v>#DIV/0!</v>
      </c>
      <c r="BD26" s="916"/>
      <c r="BE26" s="855"/>
      <c r="BF26" s="915">
        <f t="shared" si="19"/>
        <v>1</v>
      </c>
      <c r="BG26" s="980"/>
      <c r="BH26" s="856"/>
      <c r="BI26" s="857">
        <f t="shared" si="20"/>
        <v>0</v>
      </c>
      <c r="BJ26" s="981">
        <f t="shared" si="21"/>
        <v>-1</v>
      </c>
      <c r="BK26" s="858"/>
      <c r="BL26" s="856"/>
      <c r="BM26" s="859">
        <f t="shared" si="22"/>
        <v>0</v>
      </c>
    </row>
    <row r="27" spans="1:65" ht="35.1" customHeight="1" x14ac:dyDescent="0.25">
      <c r="A27" s="963"/>
      <c r="B27" s="964"/>
      <c r="C27" s="965"/>
      <c r="D27" s="966"/>
      <c r="E27" s="965"/>
      <c r="F27" s="965"/>
      <c r="G27" s="967"/>
      <c r="H27" s="968"/>
      <c r="I27" s="861" t="e">
        <f t="shared" si="0"/>
        <v>#DIV/0!</v>
      </c>
      <c r="J27" s="983" t="e">
        <f t="shared" si="1"/>
        <v>#DIV/0!</v>
      </c>
      <c r="K27" s="993"/>
      <c r="L27" s="861" t="e">
        <f t="shared" si="2"/>
        <v>#DIV/0!</v>
      </c>
      <c r="M27" s="984" t="e">
        <f t="shared" si="3"/>
        <v>#DIV/0!</v>
      </c>
      <c r="N27" s="992"/>
      <c r="O27" s="907" t="e">
        <f t="shared" si="4"/>
        <v>#REF!</v>
      </c>
      <c r="P27" s="985" t="e">
        <f>(#REF!*#REF!)/1000</f>
        <v>#REF!</v>
      </c>
      <c r="Q27" s="990" t="e">
        <f t="shared" si="5"/>
        <v>#REF!</v>
      </c>
      <c r="R27" s="970" t="e">
        <f t="shared" si="6"/>
        <v>#REF!</v>
      </c>
      <c r="S27" s="969" t="e">
        <f t="shared" si="7"/>
        <v>#DIV/0!</v>
      </c>
      <c r="T27" s="909" t="e">
        <f t="shared" si="8"/>
        <v>#DIV/0!</v>
      </c>
      <c r="U27" s="986" t="e">
        <f t="shared" si="9"/>
        <v>#DIV/0!</v>
      </c>
      <c r="V27" s="988">
        <f t="shared" si="10"/>
        <v>0</v>
      </c>
      <c r="W27" s="970">
        <f t="shared" si="11"/>
        <v>0</v>
      </c>
      <c r="X27" s="971" t="e">
        <f t="shared" si="12"/>
        <v>#DIV/0!</v>
      </c>
      <c r="Y27" s="847"/>
      <c r="Z27" s="911" t="e">
        <f t="shared" si="23"/>
        <v>#DIV/0!</v>
      </c>
      <c r="AA27" s="1006"/>
      <c r="AB27" s="997">
        <f>IF(AA27=0,0,
IF('Calcul_Densité+Dose'!B27="2x2",((10000/(AA27*BB27))/4)*Z27,
((10000/(AA27*BB27))/AZ27)*Z27))</f>
        <v>0</v>
      </c>
      <c r="AC27" s="1007"/>
      <c r="AD27" s="1008">
        <f>IF(AC27=0,0,
IF('Calcul_Densité+Dose'!B27="2x2",((10000/(AC27*BB27))/2)*Z27,
((10000/(AC27*BB27))/AZ27)*Z27))</f>
        <v>0</v>
      </c>
      <c r="AE27" s="1009"/>
      <c r="AF27" s="1010">
        <f>IF(AE27=0,0,
IF('Calcul_Densité+Dose'!B27="2x2",((10000/(AE27*BB27))/4)*Z27,
((10000/(AE27*BB27))/AZ27)*Z27))</f>
        <v>0</v>
      </c>
      <c r="AG27" s="1011">
        <f t="shared" si="24"/>
        <v>0</v>
      </c>
      <c r="AH27" s="860"/>
      <c r="AI27" s="995"/>
      <c r="AJ27" s="1020"/>
      <c r="AK27" s="997">
        <f t="shared" si="25"/>
        <v>0</v>
      </c>
      <c r="AL27" s="1021"/>
      <c r="AM27" s="1008">
        <f t="shared" si="26"/>
        <v>0</v>
      </c>
      <c r="AN27" s="1011">
        <f t="shared" si="27"/>
        <v>0</v>
      </c>
      <c r="AO27" s="860"/>
      <c r="AP27" s="996"/>
      <c r="AQ27" s="1022">
        <f t="shared" si="28"/>
        <v>0</v>
      </c>
      <c r="AR27" s="994"/>
      <c r="AS27" s="977"/>
      <c r="AT27" s="978">
        <f t="shared" si="13"/>
        <v>0</v>
      </c>
      <c r="AU27" s="919" t="e">
        <f t="shared" si="14"/>
        <v>#DIV/0!</v>
      </c>
      <c r="AV27" s="920" t="e">
        <f t="shared" si="15"/>
        <v>#DIV/0!</v>
      </c>
      <c r="AW27" s="913"/>
      <c r="AX27" s="854"/>
      <c r="AY27" s="914"/>
      <c r="AZ27" s="979"/>
      <c r="BA27" s="855">
        <f t="shared" si="16"/>
        <v>0</v>
      </c>
      <c r="BB27" s="918" t="e">
        <f t="shared" si="17"/>
        <v>#DIV/0!</v>
      </c>
      <c r="BC27" s="917" t="e">
        <f t="shared" si="18"/>
        <v>#DIV/0!</v>
      </c>
      <c r="BD27" s="916"/>
      <c r="BE27" s="855"/>
      <c r="BF27" s="915">
        <f t="shared" si="19"/>
        <v>1</v>
      </c>
      <c r="BG27" s="980"/>
      <c r="BH27" s="856"/>
      <c r="BI27" s="857">
        <f t="shared" si="20"/>
        <v>0</v>
      </c>
      <c r="BJ27" s="981">
        <f t="shared" si="21"/>
        <v>-1</v>
      </c>
      <c r="BK27" s="858"/>
      <c r="BL27" s="856"/>
      <c r="BM27" s="859">
        <f t="shared" si="22"/>
        <v>0</v>
      </c>
    </row>
    <row r="28" spans="1:65" ht="35.1" customHeight="1" x14ac:dyDescent="0.25">
      <c r="A28" s="963"/>
      <c r="B28" s="964"/>
      <c r="C28" s="965"/>
      <c r="D28" s="966"/>
      <c r="E28" s="965"/>
      <c r="F28" s="965"/>
      <c r="G28" s="967"/>
      <c r="H28" s="968"/>
      <c r="I28" s="861" t="e">
        <f t="shared" si="0"/>
        <v>#DIV/0!</v>
      </c>
      <c r="J28" s="983" t="e">
        <f t="shared" si="1"/>
        <v>#DIV/0!</v>
      </c>
      <c r="K28" s="993"/>
      <c r="L28" s="861" t="e">
        <f t="shared" si="2"/>
        <v>#DIV/0!</v>
      </c>
      <c r="M28" s="984" t="e">
        <f t="shared" si="3"/>
        <v>#DIV/0!</v>
      </c>
      <c r="N28" s="992"/>
      <c r="O28" s="907" t="e">
        <f t="shared" si="4"/>
        <v>#REF!</v>
      </c>
      <c r="P28" s="985" t="e">
        <f>(#REF!*#REF!)/1000</f>
        <v>#REF!</v>
      </c>
      <c r="Q28" s="990" t="e">
        <f t="shared" si="5"/>
        <v>#REF!</v>
      </c>
      <c r="R28" s="970" t="e">
        <f t="shared" si="6"/>
        <v>#REF!</v>
      </c>
      <c r="S28" s="969" t="e">
        <f t="shared" si="7"/>
        <v>#DIV/0!</v>
      </c>
      <c r="T28" s="909" t="e">
        <f t="shared" si="8"/>
        <v>#DIV/0!</v>
      </c>
      <c r="U28" s="986" t="e">
        <f t="shared" si="9"/>
        <v>#DIV/0!</v>
      </c>
      <c r="V28" s="988">
        <f t="shared" si="10"/>
        <v>0</v>
      </c>
      <c r="W28" s="970">
        <f t="shared" si="11"/>
        <v>0</v>
      </c>
      <c r="X28" s="971" t="e">
        <f t="shared" si="12"/>
        <v>#DIV/0!</v>
      </c>
      <c r="Y28" s="847"/>
      <c r="Z28" s="911" t="e">
        <f t="shared" si="23"/>
        <v>#DIV/0!</v>
      </c>
      <c r="AA28" s="1006"/>
      <c r="AB28" s="997">
        <f>IF(AA28=0,0,
IF('Calcul_Densité+Dose'!B28="2x2",((10000/(AA28*BB28))/4)*Z28,
((10000/(AA28*BB28))/AZ28)*Z28))</f>
        <v>0</v>
      </c>
      <c r="AC28" s="1007"/>
      <c r="AD28" s="1008">
        <f>IF(AC28=0,0,
IF('Calcul_Densité+Dose'!B28="2x2",((10000/(AC28*BB28))/2)*Z28,
((10000/(AC28*BB28))/AZ28)*Z28))</f>
        <v>0</v>
      </c>
      <c r="AE28" s="1009"/>
      <c r="AF28" s="1010">
        <f>IF(AE28=0,0,
IF('Calcul_Densité+Dose'!B28="2x2",((10000/(AE28*BB28))/4)*Z28,
((10000/(AE28*BB28))/AZ28)*Z28))</f>
        <v>0</v>
      </c>
      <c r="AG28" s="1011">
        <f t="shared" si="24"/>
        <v>0</v>
      </c>
      <c r="AH28" s="860"/>
      <c r="AI28" s="995"/>
      <c r="AJ28" s="1020"/>
      <c r="AK28" s="997">
        <f t="shared" si="25"/>
        <v>0</v>
      </c>
      <c r="AL28" s="1021"/>
      <c r="AM28" s="1008">
        <f t="shared" si="26"/>
        <v>0</v>
      </c>
      <c r="AN28" s="1011">
        <f t="shared" si="27"/>
        <v>0</v>
      </c>
      <c r="AO28" s="860"/>
      <c r="AP28" s="996"/>
      <c r="AQ28" s="1022">
        <f t="shared" si="28"/>
        <v>0</v>
      </c>
      <c r="AR28" s="994"/>
      <c r="AS28" s="977"/>
      <c r="AT28" s="978">
        <f t="shared" si="13"/>
        <v>0</v>
      </c>
      <c r="AU28" s="919" t="e">
        <f t="shared" si="14"/>
        <v>#DIV/0!</v>
      </c>
      <c r="AV28" s="920" t="e">
        <f t="shared" si="15"/>
        <v>#DIV/0!</v>
      </c>
      <c r="AW28" s="913"/>
      <c r="AX28" s="854"/>
      <c r="AY28" s="914"/>
      <c r="AZ28" s="979"/>
      <c r="BA28" s="855">
        <f t="shared" si="16"/>
        <v>0</v>
      </c>
      <c r="BB28" s="918" t="e">
        <f t="shared" si="17"/>
        <v>#DIV/0!</v>
      </c>
      <c r="BC28" s="917" t="e">
        <f t="shared" si="18"/>
        <v>#DIV/0!</v>
      </c>
      <c r="BD28" s="916"/>
      <c r="BE28" s="855"/>
      <c r="BF28" s="915">
        <f t="shared" si="19"/>
        <v>1</v>
      </c>
      <c r="BG28" s="980"/>
      <c r="BH28" s="856"/>
      <c r="BI28" s="857">
        <f t="shared" si="20"/>
        <v>0</v>
      </c>
      <c r="BJ28" s="981">
        <f t="shared" si="21"/>
        <v>-1</v>
      </c>
      <c r="BK28" s="858"/>
      <c r="BL28" s="856"/>
      <c r="BM28" s="859">
        <f t="shared" si="22"/>
        <v>0</v>
      </c>
    </row>
    <row r="29" spans="1:65" ht="35.1" customHeight="1" x14ac:dyDescent="0.25">
      <c r="A29" s="963"/>
      <c r="B29" s="964"/>
      <c r="C29" s="965"/>
      <c r="D29" s="966"/>
      <c r="E29" s="965"/>
      <c r="F29" s="965"/>
      <c r="G29" s="967"/>
      <c r="H29" s="968"/>
      <c r="I29" s="861" t="e">
        <f t="shared" si="0"/>
        <v>#DIV/0!</v>
      </c>
      <c r="J29" s="983" t="e">
        <f t="shared" si="1"/>
        <v>#DIV/0!</v>
      </c>
      <c r="K29" s="993"/>
      <c r="L29" s="861" t="e">
        <f t="shared" si="2"/>
        <v>#DIV/0!</v>
      </c>
      <c r="M29" s="984" t="e">
        <f t="shared" si="3"/>
        <v>#DIV/0!</v>
      </c>
      <c r="N29" s="992"/>
      <c r="O29" s="907" t="e">
        <f t="shared" si="4"/>
        <v>#REF!</v>
      </c>
      <c r="P29" s="985" t="e">
        <f>(#REF!*#REF!)/1000</f>
        <v>#REF!</v>
      </c>
      <c r="Q29" s="990" t="e">
        <f t="shared" si="5"/>
        <v>#REF!</v>
      </c>
      <c r="R29" s="970" t="e">
        <f t="shared" si="6"/>
        <v>#REF!</v>
      </c>
      <c r="S29" s="969" t="e">
        <f t="shared" si="7"/>
        <v>#DIV/0!</v>
      </c>
      <c r="T29" s="909" t="e">
        <f t="shared" si="8"/>
        <v>#DIV/0!</v>
      </c>
      <c r="U29" s="986" t="e">
        <f t="shared" si="9"/>
        <v>#DIV/0!</v>
      </c>
      <c r="V29" s="988">
        <f t="shared" si="10"/>
        <v>0</v>
      </c>
      <c r="W29" s="970">
        <f t="shared" si="11"/>
        <v>0</v>
      </c>
      <c r="X29" s="971" t="e">
        <f t="shared" si="12"/>
        <v>#DIV/0!</v>
      </c>
      <c r="Y29" s="847"/>
      <c r="Z29" s="911" t="e">
        <f t="shared" si="23"/>
        <v>#DIV/0!</v>
      </c>
      <c r="AA29" s="1006"/>
      <c r="AB29" s="997">
        <f>IF(AA29=0,0,
IF('Calcul_Densité+Dose'!B29="2x2",((10000/(AA29*BB29))/4)*Z29,
((10000/(AA29*BB29))/AZ29)*Z29))</f>
        <v>0</v>
      </c>
      <c r="AC29" s="1007"/>
      <c r="AD29" s="1008">
        <f>IF(AC29=0,0,
IF('Calcul_Densité+Dose'!B29="2x2",((10000/(AC29*BB29))/2)*Z29,
((10000/(AC29*BB29))/AZ29)*Z29))</f>
        <v>0</v>
      </c>
      <c r="AE29" s="1009"/>
      <c r="AF29" s="1010">
        <f>IF(AE29=0,0,
IF('Calcul_Densité+Dose'!B29="2x2",((10000/(AE29*BB29))/4)*Z29,
((10000/(AE29*BB29))/AZ29)*Z29))</f>
        <v>0</v>
      </c>
      <c r="AG29" s="1011">
        <f t="shared" si="24"/>
        <v>0</v>
      </c>
      <c r="AH29" s="860"/>
      <c r="AI29" s="995"/>
      <c r="AJ29" s="1020"/>
      <c r="AK29" s="997">
        <f t="shared" si="25"/>
        <v>0</v>
      </c>
      <c r="AL29" s="1021"/>
      <c r="AM29" s="1008">
        <f t="shared" si="26"/>
        <v>0</v>
      </c>
      <c r="AN29" s="1011">
        <f t="shared" si="27"/>
        <v>0</v>
      </c>
      <c r="AO29" s="860"/>
      <c r="AP29" s="996"/>
      <c r="AQ29" s="1022">
        <f t="shared" si="28"/>
        <v>0</v>
      </c>
      <c r="AR29" s="994"/>
      <c r="AS29" s="977"/>
      <c r="AT29" s="978">
        <f t="shared" si="13"/>
        <v>0</v>
      </c>
      <c r="AU29" s="919" t="e">
        <f t="shared" si="14"/>
        <v>#DIV/0!</v>
      </c>
      <c r="AV29" s="920" t="e">
        <f t="shared" si="15"/>
        <v>#DIV/0!</v>
      </c>
      <c r="AW29" s="913"/>
      <c r="AX29" s="854"/>
      <c r="AY29" s="914"/>
      <c r="AZ29" s="979"/>
      <c r="BA29" s="855">
        <f t="shared" si="16"/>
        <v>0</v>
      </c>
      <c r="BB29" s="918" t="e">
        <f t="shared" si="17"/>
        <v>#DIV/0!</v>
      </c>
      <c r="BC29" s="917" t="e">
        <f t="shared" si="18"/>
        <v>#DIV/0!</v>
      </c>
      <c r="BD29" s="916"/>
      <c r="BE29" s="855"/>
      <c r="BF29" s="915">
        <f t="shared" si="19"/>
        <v>1</v>
      </c>
      <c r="BG29" s="980"/>
      <c r="BH29" s="856"/>
      <c r="BI29" s="857">
        <f t="shared" si="20"/>
        <v>0</v>
      </c>
      <c r="BJ29" s="981">
        <f t="shared" si="21"/>
        <v>-1</v>
      </c>
      <c r="BK29" s="858"/>
      <c r="BL29" s="856"/>
      <c r="BM29" s="859">
        <f t="shared" si="22"/>
        <v>0</v>
      </c>
    </row>
    <row r="30" spans="1:65" ht="35.1" customHeight="1" x14ac:dyDescent="0.25">
      <c r="A30" s="963"/>
      <c r="B30" s="964"/>
      <c r="C30" s="965"/>
      <c r="D30" s="966"/>
      <c r="E30" s="965"/>
      <c r="F30" s="965"/>
      <c r="G30" s="967"/>
      <c r="H30" s="968"/>
      <c r="I30" s="861" t="e">
        <f t="shared" si="0"/>
        <v>#DIV/0!</v>
      </c>
      <c r="J30" s="983" t="e">
        <f t="shared" si="1"/>
        <v>#DIV/0!</v>
      </c>
      <c r="K30" s="993"/>
      <c r="L30" s="861" t="e">
        <f t="shared" si="2"/>
        <v>#DIV/0!</v>
      </c>
      <c r="M30" s="984" t="e">
        <f t="shared" si="3"/>
        <v>#DIV/0!</v>
      </c>
      <c r="N30" s="992"/>
      <c r="O30" s="907" t="e">
        <f t="shared" si="4"/>
        <v>#REF!</v>
      </c>
      <c r="P30" s="985" t="e">
        <f>(#REF!*#REF!)/1000</f>
        <v>#REF!</v>
      </c>
      <c r="Q30" s="990" t="e">
        <f t="shared" si="5"/>
        <v>#REF!</v>
      </c>
      <c r="R30" s="970" t="e">
        <f t="shared" si="6"/>
        <v>#REF!</v>
      </c>
      <c r="S30" s="969" t="e">
        <f t="shared" si="7"/>
        <v>#DIV/0!</v>
      </c>
      <c r="T30" s="909" t="e">
        <f t="shared" si="8"/>
        <v>#DIV/0!</v>
      </c>
      <c r="U30" s="986" t="e">
        <f t="shared" si="9"/>
        <v>#DIV/0!</v>
      </c>
      <c r="V30" s="988">
        <f t="shared" si="10"/>
        <v>0</v>
      </c>
      <c r="W30" s="970">
        <f t="shared" si="11"/>
        <v>0</v>
      </c>
      <c r="X30" s="971" t="e">
        <f t="shared" si="12"/>
        <v>#DIV/0!</v>
      </c>
      <c r="Y30" s="847"/>
      <c r="Z30" s="911" t="e">
        <f t="shared" si="23"/>
        <v>#DIV/0!</v>
      </c>
      <c r="AA30" s="1006"/>
      <c r="AB30" s="997">
        <f>IF(AA30=0,0,
IF('Calcul_Densité+Dose'!B30="2x2",((10000/(AA30*BB30))/4)*Z30,
((10000/(AA30*BB30))/AZ30)*Z30))</f>
        <v>0</v>
      </c>
      <c r="AC30" s="1007"/>
      <c r="AD30" s="1008">
        <f>IF(AC30=0,0,
IF('Calcul_Densité+Dose'!B30="2x2",((10000/(AC30*BB30))/2)*Z30,
((10000/(AC30*BB30))/AZ30)*Z30))</f>
        <v>0</v>
      </c>
      <c r="AE30" s="1009"/>
      <c r="AF30" s="1010">
        <f>IF(AE30=0,0,
IF('Calcul_Densité+Dose'!B30="2x2",((10000/(AE30*BB30))/4)*Z30,
((10000/(AE30*BB30))/AZ30)*Z30))</f>
        <v>0</v>
      </c>
      <c r="AG30" s="1011">
        <f t="shared" si="24"/>
        <v>0</v>
      </c>
      <c r="AH30" s="860"/>
      <c r="AI30" s="995"/>
      <c r="AJ30" s="1020"/>
      <c r="AK30" s="997">
        <f t="shared" si="25"/>
        <v>0</v>
      </c>
      <c r="AL30" s="1021"/>
      <c r="AM30" s="1008">
        <f t="shared" si="26"/>
        <v>0</v>
      </c>
      <c r="AN30" s="1011">
        <f t="shared" si="27"/>
        <v>0</v>
      </c>
      <c r="AO30" s="860"/>
      <c r="AP30" s="996"/>
      <c r="AQ30" s="1022">
        <f t="shared" si="28"/>
        <v>0</v>
      </c>
      <c r="AR30" s="994"/>
      <c r="AS30" s="977"/>
      <c r="AT30" s="978">
        <f t="shared" si="13"/>
        <v>0</v>
      </c>
      <c r="AU30" s="919" t="e">
        <f t="shared" si="14"/>
        <v>#DIV/0!</v>
      </c>
      <c r="AV30" s="920" t="e">
        <f t="shared" si="15"/>
        <v>#DIV/0!</v>
      </c>
      <c r="AW30" s="913"/>
      <c r="AX30" s="854"/>
      <c r="AY30" s="914"/>
      <c r="AZ30" s="979"/>
      <c r="BA30" s="855">
        <f t="shared" si="16"/>
        <v>0</v>
      </c>
      <c r="BB30" s="918" t="e">
        <f t="shared" si="17"/>
        <v>#DIV/0!</v>
      </c>
      <c r="BC30" s="917" t="e">
        <f t="shared" si="18"/>
        <v>#DIV/0!</v>
      </c>
      <c r="BD30" s="916"/>
      <c r="BE30" s="855"/>
      <c r="BF30" s="915">
        <f t="shared" si="19"/>
        <v>1</v>
      </c>
      <c r="BG30" s="980"/>
      <c r="BH30" s="856"/>
      <c r="BI30" s="857">
        <f t="shared" si="20"/>
        <v>0</v>
      </c>
      <c r="BJ30" s="981">
        <f t="shared" si="21"/>
        <v>-1</v>
      </c>
      <c r="BK30" s="858"/>
      <c r="BL30" s="856"/>
      <c r="BM30" s="859">
        <f t="shared" si="22"/>
        <v>0</v>
      </c>
    </row>
    <row r="31" spans="1:65" ht="35.1" customHeight="1" x14ac:dyDescent="0.25">
      <c r="A31" s="963"/>
      <c r="B31" s="964"/>
      <c r="C31" s="965"/>
      <c r="D31" s="966"/>
      <c r="E31" s="965"/>
      <c r="F31" s="965"/>
      <c r="G31" s="967"/>
      <c r="H31" s="968"/>
      <c r="I31" s="861" t="e">
        <f t="shared" si="0"/>
        <v>#DIV/0!</v>
      </c>
      <c r="J31" s="983" t="e">
        <f t="shared" si="1"/>
        <v>#DIV/0!</v>
      </c>
      <c r="K31" s="993"/>
      <c r="L31" s="861" t="e">
        <f t="shared" si="2"/>
        <v>#DIV/0!</v>
      </c>
      <c r="M31" s="984" t="e">
        <f t="shared" si="3"/>
        <v>#DIV/0!</v>
      </c>
      <c r="N31" s="992"/>
      <c r="O31" s="907" t="e">
        <f t="shared" si="4"/>
        <v>#REF!</v>
      </c>
      <c r="P31" s="985" t="e">
        <f>(#REF!*#REF!)/1000</f>
        <v>#REF!</v>
      </c>
      <c r="Q31" s="990" t="e">
        <f t="shared" si="5"/>
        <v>#REF!</v>
      </c>
      <c r="R31" s="970" t="e">
        <f t="shared" si="6"/>
        <v>#REF!</v>
      </c>
      <c r="S31" s="969" t="e">
        <f t="shared" si="7"/>
        <v>#DIV/0!</v>
      </c>
      <c r="T31" s="909" t="e">
        <f t="shared" si="8"/>
        <v>#DIV/0!</v>
      </c>
      <c r="U31" s="986" t="e">
        <f t="shared" si="9"/>
        <v>#DIV/0!</v>
      </c>
      <c r="V31" s="988">
        <f t="shared" si="10"/>
        <v>0</v>
      </c>
      <c r="W31" s="970">
        <f t="shared" si="11"/>
        <v>0</v>
      </c>
      <c r="X31" s="971" t="e">
        <f t="shared" si="12"/>
        <v>#DIV/0!</v>
      </c>
      <c r="Y31" s="847"/>
      <c r="Z31" s="911" t="e">
        <f t="shared" si="23"/>
        <v>#DIV/0!</v>
      </c>
      <c r="AA31" s="1006"/>
      <c r="AB31" s="997">
        <f>IF(AA31=0,0,
IF('Calcul_Densité+Dose'!B31="2x2",((10000/(AA31*BB31))/4)*Z31,
((10000/(AA31*BB31))/AZ31)*Z31))</f>
        <v>0</v>
      </c>
      <c r="AC31" s="1007"/>
      <c r="AD31" s="1008">
        <f>IF(AC31=0,0,
IF('Calcul_Densité+Dose'!B31="2x2",((10000/(AC31*BB31))/2)*Z31,
((10000/(AC31*BB31))/AZ31)*Z31))</f>
        <v>0</v>
      </c>
      <c r="AE31" s="1009"/>
      <c r="AF31" s="1010">
        <f>IF(AE31=0,0,
IF('Calcul_Densité+Dose'!B31="2x2",((10000/(AE31*BB31))/4)*Z31,
((10000/(AE31*BB31))/AZ31)*Z31))</f>
        <v>0</v>
      </c>
      <c r="AG31" s="1011">
        <f t="shared" si="24"/>
        <v>0</v>
      </c>
      <c r="AH31" s="860"/>
      <c r="AI31" s="995"/>
      <c r="AJ31" s="1020"/>
      <c r="AK31" s="997">
        <f t="shared" si="25"/>
        <v>0</v>
      </c>
      <c r="AL31" s="1021"/>
      <c r="AM31" s="1008">
        <f t="shared" si="26"/>
        <v>0</v>
      </c>
      <c r="AN31" s="1011">
        <f t="shared" si="27"/>
        <v>0</v>
      </c>
      <c r="AO31" s="860"/>
      <c r="AP31" s="996"/>
      <c r="AQ31" s="1022">
        <f t="shared" si="28"/>
        <v>0</v>
      </c>
      <c r="AR31" s="994"/>
      <c r="AS31" s="977"/>
      <c r="AT31" s="978">
        <f t="shared" si="13"/>
        <v>0</v>
      </c>
      <c r="AU31" s="919" t="e">
        <f t="shared" si="14"/>
        <v>#DIV/0!</v>
      </c>
      <c r="AV31" s="920" t="e">
        <f t="shared" si="15"/>
        <v>#DIV/0!</v>
      </c>
      <c r="AW31" s="913"/>
      <c r="AX31" s="854"/>
      <c r="AY31" s="914"/>
      <c r="AZ31" s="979"/>
      <c r="BA31" s="855">
        <f t="shared" si="16"/>
        <v>0</v>
      </c>
      <c r="BB31" s="918" t="e">
        <f t="shared" si="17"/>
        <v>#DIV/0!</v>
      </c>
      <c r="BC31" s="917" t="e">
        <f t="shared" si="18"/>
        <v>#DIV/0!</v>
      </c>
      <c r="BD31" s="916"/>
      <c r="BE31" s="855"/>
      <c r="BF31" s="915">
        <f t="shared" si="19"/>
        <v>1</v>
      </c>
      <c r="BG31" s="980"/>
      <c r="BH31" s="856"/>
      <c r="BI31" s="857">
        <f t="shared" si="20"/>
        <v>0</v>
      </c>
      <c r="BJ31" s="981">
        <f t="shared" si="21"/>
        <v>-1</v>
      </c>
      <c r="BK31" s="858"/>
      <c r="BL31" s="856"/>
      <c r="BM31" s="859">
        <f t="shared" si="22"/>
        <v>0</v>
      </c>
    </row>
    <row r="32" spans="1:65" ht="35.1" customHeight="1" x14ac:dyDescent="0.25">
      <c r="A32" s="963"/>
      <c r="B32" s="964"/>
      <c r="C32" s="965"/>
      <c r="D32" s="966"/>
      <c r="E32" s="965"/>
      <c r="F32" s="965"/>
      <c r="G32" s="967"/>
      <c r="H32" s="968"/>
      <c r="I32" s="861" t="e">
        <f t="shared" si="0"/>
        <v>#DIV/0!</v>
      </c>
      <c r="J32" s="983" t="e">
        <f t="shared" si="1"/>
        <v>#DIV/0!</v>
      </c>
      <c r="K32" s="993"/>
      <c r="L32" s="861" t="e">
        <f t="shared" si="2"/>
        <v>#DIV/0!</v>
      </c>
      <c r="M32" s="984" t="e">
        <f t="shared" si="3"/>
        <v>#DIV/0!</v>
      </c>
      <c r="N32" s="992"/>
      <c r="O32" s="907" t="e">
        <f t="shared" si="4"/>
        <v>#REF!</v>
      </c>
      <c r="P32" s="985" t="e">
        <f>(#REF!*#REF!)/1000</f>
        <v>#REF!</v>
      </c>
      <c r="Q32" s="990" t="e">
        <f t="shared" si="5"/>
        <v>#REF!</v>
      </c>
      <c r="R32" s="970" t="e">
        <f t="shared" si="6"/>
        <v>#REF!</v>
      </c>
      <c r="S32" s="969" t="e">
        <f t="shared" si="7"/>
        <v>#DIV/0!</v>
      </c>
      <c r="T32" s="909" t="e">
        <f t="shared" si="8"/>
        <v>#DIV/0!</v>
      </c>
      <c r="U32" s="986" t="e">
        <f t="shared" si="9"/>
        <v>#DIV/0!</v>
      </c>
      <c r="V32" s="988">
        <f t="shared" si="10"/>
        <v>0</v>
      </c>
      <c r="W32" s="970">
        <f t="shared" si="11"/>
        <v>0</v>
      </c>
      <c r="X32" s="971" t="e">
        <f t="shared" si="12"/>
        <v>#DIV/0!</v>
      </c>
      <c r="Y32" s="847"/>
      <c r="Z32" s="911" t="e">
        <f t="shared" si="23"/>
        <v>#DIV/0!</v>
      </c>
      <c r="AA32" s="1006"/>
      <c r="AB32" s="997">
        <f>IF(AA32=0,0,
IF('Calcul_Densité+Dose'!B32="2x2",((10000/(AA32*BB32))/4)*Z32,
((10000/(AA32*BB32))/AZ32)*Z32))</f>
        <v>0</v>
      </c>
      <c r="AC32" s="1007"/>
      <c r="AD32" s="1008">
        <f>IF(AC32=0,0,
IF('Calcul_Densité+Dose'!B32="2x2",((10000/(AC32*BB32))/2)*Z32,
((10000/(AC32*BB32))/AZ32)*Z32))</f>
        <v>0</v>
      </c>
      <c r="AE32" s="1009"/>
      <c r="AF32" s="1010">
        <f>IF(AE32=0,0,
IF('Calcul_Densité+Dose'!B32="2x2",((10000/(AE32*BB32))/4)*Z32,
((10000/(AE32*BB32))/AZ32)*Z32))</f>
        <v>0</v>
      </c>
      <c r="AG32" s="1011">
        <f t="shared" si="24"/>
        <v>0</v>
      </c>
      <c r="AH32" s="860"/>
      <c r="AI32" s="995"/>
      <c r="AJ32" s="1020"/>
      <c r="AK32" s="997">
        <f t="shared" si="25"/>
        <v>0</v>
      </c>
      <c r="AL32" s="1021"/>
      <c r="AM32" s="1008">
        <f t="shared" si="26"/>
        <v>0</v>
      </c>
      <c r="AN32" s="1011">
        <f t="shared" si="27"/>
        <v>0</v>
      </c>
      <c r="AO32" s="860"/>
      <c r="AP32" s="996"/>
      <c r="AQ32" s="1022">
        <f t="shared" si="28"/>
        <v>0</v>
      </c>
      <c r="AR32" s="994"/>
      <c r="AS32" s="977"/>
      <c r="AT32" s="978">
        <f t="shared" si="13"/>
        <v>0</v>
      </c>
      <c r="AU32" s="919" t="e">
        <f t="shared" si="14"/>
        <v>#DIV/0!</v>
      </c>
      <c r="AV32" s="920" t="e">
        <f t="shared" si="15"/>
        <v>#DIV/0!</v>
      </c>
      <c r="AW32" s="913"/>
      <c r="AX32" s="854"/>
      <c r="AY32" s="914"/>
      <c r="AZ32" s="979"/>
      <c r="BA32" s="855">
        <f t="shared" si="16"/>
        <v>0</v>
      </c>
      <c r="BB32" s="918" t="e">
        <f t="shared" si="17"/>
        <v>#DIV/0!</v>
      </c>
      <c r="BC32" s="917" t="e">
        <f t="shared" si="18"/>
        <v>#DIV/0!</v>
      </c>
      <c r="BD32" s="916"/>
      <c r="BE32" s="855"/>
      <c r="BF32" s="915">
        <f t="shared" si="19"/>
        <v>1</v>
      </c>
      <c r="BG32" s="980"/>
      <c r="BH32" s="856"/>
      <c r="BI32" s="857">
        <f t="shared" si="20"/>
        <v>0</v>
      </c>
      <c r="BJ32" s="981">
        <f t="shared" si="21"/>
        <v>-1</v>
      </c>
      <c r="BK32" s="858"/>
      <c r="BL32" s="856"/>
      <c r="BM32" s="859">
        <f t="shared" si="22"/>
        <v>0</v>
      </c>
    </row>
    <row r="33" spans="1:65" ht="35.1" customHeight="1" x14ac:dyDescent="0.25">
      <c r="A33" s="963"/>
      <c r="B33" s="964"/>
      <c r="C33" s="965"/>
      <c r="D33" s="966"/>
      <c r="E33" s="965"/>
      <c r="F33" s="965"/>
      <c r="G33" s="967"/>
      <c r="H33" s="968"/>
      <c r="I33" s="861" t="e">
        <f t="shared" si="0"/>
        <v>#DIV/0!</v>
      </c>
      <c r="J33" s="983" t="e">
        <f t="shared" si="1"/>
        <v>#DIV/0!</v>
      </c>
      <c r="K33" s="993"/>
      <c r="L33" s="861" t="e">
        <f t="shared" si="2"/>
        <v>#DIV/0!</v>
      </c>
      <c r="M33" s="984" t="e">
        <f t="shared" si="3"/>
        <v>#DIV/0!</v>
      </c>
      <c r="N33" s="992"/>
      <c r="O33" s="907" t="e">
        <f t="shared" si="4"/>
        <v>#REF!</v>
      </c>
      <c r="P33" s="985" t="e">
        <f>(#REF!*#REF!)/1000</f>
        <v>#REF!</v>
      </c>
      <c r="Q33" s="990" t="e">
        <f t="shared" si="5"/>
        <v>#REF!</v>
      </c>
      <c r="R33" s="970" t="e">
        <f t="shared" si="6"/>
        <v>#REF!</v>
      </c>
      <c r="S33" s="969" t="e">
        <f t="shared" si="7"/>
        <v>#DIV/0!</v>
      </c>
      <c r="T33" s="909" t="e">
        <f t="shared" si="8"/>
        <v>#DIV/0!</v>
      </c>
      <c r="U33" s="986" t="e">
        <f t="shared" si="9"/>
        <v>#DIV/0!</v>
      </c>
      <c r="V33" s="988">
        <f t="shared" si="10"/>
        <v>0</v>
      </c>
      <c r="W33" s="970">
        <f t="shared" si="11"/>
        <v>0</v>
      </c>
      <c r="X33" s="971" t="e">
        <f t="shared" si="12"/>
        <v>#DIV/0!</v>
      </c>
      <c r="Y33" s="847"/>
      <c r="Z33" s="911" t="e">
        <f t="shared" si="23"/>
        <v>#DIV/0!</v>
      </c>
      <c r="AA33" s="1006"/>
      <c r="AB33" s="997">
        <f>IF(AA33=0,0,
IF('Calcul_Densité+Dose'!B33="2x2",((10000/(AA33*BB33))/4)*Z33,
((10000/(AA33*BB33))/AZ33)*Z33))</f>
        <v>0</v>
      </c>
      <c r="AC33" s="1007"/>
      <c r="AD33" s="1008">
        <f>IF(AC33=0,0,
IF('Calcul_Densité+Dose'!B33="2x2",((10000/(AC33*BB33))/2)*Z33,
((10000/(AC33*BB33))/AZ33)*Z33))</f>
        <v>0</v>
      </c>
      <c r="AE33" s="1009"/>
      <c r="AF33" s="1010">
        <f>IF(AE33=0,0,
IF('Calcul_Densité+Dose'!B33="2x2",((10000/(AE33*BB33))/4)*Z33,
((10000/(AE33*BB33))/AZ33)*Z33))</f>
        <v>0</v>
      </c>
      <c r="AG33" s="1011">
        <f t="shared" si="24"/>
        <v>0</v>
      </c>
      <c r="AH33" s="860"/>
      <c r="AI33" s="995"/>
      <c r="AJ33" s="1020"/>
      <c r="AK33" s="997">
        <f t="shared" si="25"/>
        <v>0</v>
      </c>
      <c r="AL33" s="1021"/>
      <c r="AM33" s="1008">
        <f t="shared" si="26"/>
        <v>0</v>
      </c>
      <c r="AN33" s="1011">
        <f t="shared" si="27"/>
        <v>0</v>
      </c>
      <c r="AO33" s="860"/>
      <c r="AP33" s="996"/>
      <c r="AQ33" s="1022">
        <f t="shared" si="28"/>
        <v>0</v>
      </c>
      <c r="AR33" s="994"/>
      <c r="AS33" s="977"/>
      <c r="AT33" s="978">
        <f t="shared" si="13"/>
        <v>0</v>
      </c>
      <c r="AU33" s="919" t="e">
        <f t="shared" si="14"/>
        <v>#DIV/0!</v>
      </c>
      <c r="AV33" s="920" t="e">
        <f t="shared" si="15"/>
        <v>#DIV/0!</v>
      </c>
      <c r="AW33" s="913"/>
      <c r="AX33" s="854"/>
      <c r="AY33" s="914"/>
      <c r="AZ33" s="979"/>
      <c r="BA33" s="855">
        <f t="shared" si="16"/>
        <v>0</v>
      </c>
      <c r="BB33" s="918" t="e">
        <f t="shared" si="17"/>
        <v>#DIV/0!</v>
      </c>
      <c r="BC33" s="917" t="e">
        <f t="shared" si="18"/>
        <v>#DIV/0!</v>
      </c>
      <c r="BD33" s="916"/>
      <c r="BE33" s="855"/>
      <c r="BF33" s="915">
        <f t="shared" si="19"/>
        <v>1</v>
      </c>
      <c r="BG33" s="980"/>
      <c r="BH33" s="856"/>
      <c r="BI33" s="857">
        <f t="shared" si="20"/>
        <v>0</v>
      </c>
      <c r="BJ33" s="981">
        <f t="shared" si="21"/>
        <v>-1</v>
      </c>
      <c r="BK33" s="858"/>
      <c r="BL33" s="856"/>
      <c r="BM33" s="859">
        <f t="shared" si="22"/>
        <v>0</v>
      </c>
    </row>
    <row r="34" spans="1:65" ht="35.1" customHeight="1" x14ac:dyDescent="0.25">
      <c r="A34" s="963"/>
      <c r="B34" s="964"/>
      <c r="C34" s="965"/>
      <c r="D34" s="966"/>
      <c r="E34" s="965"/>
      <c r="F34" s="965"/>
      <c r="G34" s="967"/>
      <c r="H34" s="968"/>
      <c r="I34" s="861" t="e">
        <f t="shared" si="0"/>
        <v>#DIV/0!</v>
      </c>
      <c r="J34" s="983" t="e">
        <f t="shared" si="1"/>
        <v>#DIV/0!</v>
      </c>
      <c r="K34" s="993"/>
      <c r="L34" s="861" t="e">
        <f t="shared" si="2"/>
        <v>#DIV/0!</v>
      </c>
      <c r="M34" s="984" t="e">
        <f t="shared" si="3"/>
        <v>#DIV/0!</v>
      </c>
      <c r="N34" s="992"/>
      <c r="O34" s="907" t="e">
        <f t="shared" si="4"/>
        <v>#REF!</v>
      </c>
      <c r="P34" s="985" t="e">
        <f>(#REF!*#REF!)/1000</f>
        <v>#REF!</v>
      </c>
      <c r="Q34" s="990" t="e">
        <f t="shared" si="5"/>
        <v>#REF!</v>
      </c>
      <c r="R34" s="970" t="e">
        <f t="shared" si="6"/>
        <v>#REF!</v>
      </c>
      <c r="S34" s="969" t="e">
        <f t="shared" si="7"/>
        <v>#DIV/0!</v>
      </c>
      <c r="T34" s="909" t="e">
        <f t="shared" si="8"/>
        <v>#DIV/0!</v>
      </c>
      <c r="U34" s="986" t="e">
        <f t="shared" si="9"/>
        <v>#DIV/0!</v>
      </c>
      <c r="V34" s="988">
        <f t="shared" si="10"/>
        <v>0</v>
      </c>
      <c r="W34" s="970">
        <f t="shared" si="11"/>
        <v>0</v>
      </c>
      <c r="X34" s="971" t="e">
        <f t="shared" si="12"/>
        <v>#DIV/0!</v>
      </c>
      <c r="Y34" s="847"/>
      <c r="Z34" s="911" t="e">
        <f t="shared" si="23"/>
        <v>#DIV/0!</v>
      </c>
      <c r="AA34" s="1006"/>
      <c r="AB34" s="997">
        <f>IF(AA34=0,0,
IF('Calcul_Densité+Dose'!B34="2x2",((10000/(AA34*BB34))/4)*Z34,
((10000/(AA34*BB34))/AZ34)*Z34))</f>
        <v>0</v>
      </c>
      <c r="AC34" s="1007"/>
      <c r="AD34" s="1008">
        <f>IF(AC34=0,0,
IF('Calcul_Densité+Dose'!B34="2x2",((10000/(AC34*BB34))/2)*Z34,
((10000/(AC34*BB34))/AZ34)*Z34))</f>
        <v>0</v>
      </c>
      <c r="AE34" s="1009"/>
      <c r="AF34" s="1010">
        <f>IF(AE34=0,0,
IF('Calcul_Densité+Dose'!B34="2x2",((10000/(AE34*BB34))/4)*Z34,
((10000/(AE34*BB34))/AZ34)*Z34))</f>
        <v>0</v>
      </c>
      <c r="AG34" s="1011">
        <f t="shared" si="24"/>
        <v>0</v>
      </c>
      <c r="AH34" s="860"/>
      <c r="AI34" s="995"/>
      <c r="AJ34" s="1020"/>
      <c r="AK34" s="997">
        <f t="shared" si="25"/>
        <v>0</v>
      </c>
      <c r="AL34" s="1021"/>
      <c r="AM34" s="1008">
        <f t="shared" si="26"/>
        <v>0</v>
      </c>
      <c r="AN34" s="1011">
        <f t="shared" si="27"/>
        <v>0</v>
      </c>
      <c r="AO34" s="860"/>
      <c r="AP34" s="996"/>
      <c r="AQ34" s="1022">
        <f t="shared" si="28"/>
        <v>0</v>
      </c>
      <c r="AR34" s="994"/>
      <c r="AS34" s="977"/>
      <c r="AT34" s="978">
        <f t="shared" si="13"/>
        <v>0</v>
      </c>
      <c r="AU34" s="919" t="e">
        <f t="shared" si="14"/>
        <v>#DIV/0!</v>
      </c>
      <c r="AV34" s="920" t="e">
        <f t="shared" si="15"/>
        <v>#DIV/0!</v>
      </c>
      <c r="AW34" s="913"/>
      <c r="AX34" s="854"/>
      <c r="AY34" s="914"/>
      <c r="AZ34" s="979"/>
      <c r="BA34" s="855">
        <f t="shared" si="16"/>
        <v>0</v>
      </c>
      <c r="BB34" s="918" t="e">
        <f t="shared" si="17"/>
        <v>#DIV/0!</v>
      </c>
      <c r="BC34" s="917" t="e">
        <f t="shared" si="18"/>
        <v>#DIV/0!</v>
      </c>
      <c r="BD34" s="916"/>
      <c r="BE34" s="855"/>
      <c r="BF34" s="915">
        <f t="shared" si="19"/>
        <v>1</v>
      </c>
      <c r="BG34" s="980"/>
      <c r="BH34" s="856"/>
      <c r="BI34" s="857">
        <f t="shared" si="20"/>
        <v>0</v>
      </c>
      <c r="BJ34" s="981">
        <f t="shared" si="21"/>
        <v>-1</v>
      </c>
      <c r="BK34" s="858"/>
      <c r="BL34" s="856"/>
      <c r="BM34" s="859">
        <f t="shared" si="22"/>
        <v>0</v>
      </c>
    </row>
    <row r="35" spans="1:65" ht="35.1" customHeight="1" x14ac:dyDescent="0.25">
      <c r="A35" s="963"/>
      <c r="B35" s="964"/>
      <c r="C35" s="965"/>
      <c r="D35" s="966"/>
      <c r="E35" s="965"/>
      <c r="F35" s="965"/>
      <c r="G35" s="967"/>
      <c r="H35" s="968"/>
      <c r="I35" s="861" t="e">
        <f t="shared" ref="I35:I66" si="29">$K35/$G35*$H35/100*100000</f>
        <v>#DIV/0!</v>
      </c>
      <c r="J35" s="983" t="e">
        <f t="shared" ref="J35:J66" si="30">$K35/$G35*1000</f>
        <v>#DIV/0!</v>
      </c>
      <c r="K35" s="993"/>
      <c r="L35" s="861" t="e">
        <f t="shared" ref="L35:L66" si="31">$N35/$G35*$H35/100*100000</f>
        <v>#DIV/0!</v>
      </c>
      <c r="M35" s="984" t="e">
        <f t="shared" ref="M35:M66" si="32">N35/G35/100*100000</f>
        <v>#DIV/0!</v>
      </c>
      <c r="N35" s="992"/>
      <c r="O35" s="907" t="e">
        <f t="shared" ref="O35:O66" si="33">$Q35/$G35*$H35/100*100000</f>
        <v>#REF!</v>
      </c>
      <c r="P35" s="985" t="e">
        <f>(#REF!*#REF!)/1000</f>
        <v>#REF!</v>
      </c>
      <c r="Q35" s="990" t="e">
        <f t="shared" ref="Q35:Q66" si="34">($P35*$G35)/1000</f>
        <v>#REF!</v>
      </c>
      <c r="R35" s="970" t="e">
        <f t="shared" ref="R35:R66" si="35">$V35-$Q35</f>
        <v>#REF!</v>
      </c>
      <c r="S35" s="969" t="e">
        <f t="shared" ref="S35:S66" si="36">($U35/$P35)-1</f>
        <v>#DIV/0!</v>
      </c>
      <c r="T35" s="909" t="e">
        <f t="shared" ref="T35:T66" si="37">$I35+$L35</f>
        <v>#DIV/0!</v>
      </c>
      <c r="U35" s="986" t="e">
        <f t="shared" ref="U35:U66" si="38">$J35+$M35</f>
        <v>#DIV/0!</v>
      </c>
      <c r="V35" s="988">
        <f t="shared" ref="V35:V66" si="39">$K35+$N35</f>
        <v>0</v>
      </c>
      <c r="W35" s="970">
        <f t="shared" ref="W35:W66" si="40">$K35-$V35</f>
        <v>0</v>
      </c>
      <c r="X35" s="971" t="e">
        <f t="shared" ref="X35:X66" si="41">($V35/$K35)-1</f>
        <v>#DIV/0!</v>
      </c>
      <c r="Y35" s="847"/>
      <c r="Z35" s="911" t="e">
        <f t="shared" si="23"/>
        <v>#DIV/0!</v>
      </c>
      <c r="AA35" s="1006"/>
      <c r="AB35" s="997">
        <f>IF(AA35=0,0,
IF('Calcul_Densité+Dose'!B35="2x2",((10000/(AA35*BB35))/4)*Z35,
((10000/(AA35*BB35))/AZ35)*Z35))</f>
        <v>0</v>
      </c>
      <c r="AC35" s="1007"/>
      <c r="AD35" s="1008">
        <f>IF(AC35=0,0,
IF('Calcul_Densité+Dose'!B35="2x2",((10000/(AC35*BB35))/2)*Z35,
((10000/(AC35*BB35))/AZ35)*Z35))</f>
        <v>0</v>
      </c>
      <c r="AE35" s="1009"/>
      <c r="AF35" s="1010">
        <f>IF(AE35=0,0,
IF('Calcul_Densité+Dose'!B35="2x2",((10000/(AE35*BB35))/4)*Z35,
((10000/(AE35*BB35))/AZ35)*Z35))</f>
        <v>0</v>
      </c>
      <c r="AG35" s="1011">
        <f t="shared" si="24"/>
        <v>0</v>
      </c>
      <c r="AH35" s="860"/>
      <c r="AI35" s="995"/>
      <c r="AJ35" s="1020"/>
      <c r="AK35" s="997">
        <f t="shared" si="25"/>
        <v>0</v>
      </c>
      <c r="AL35" s="1021"/>
      <c r="AM35" s="1008">
        <f t="shared" si="26"/>
        <v>0</v>
      </c>
      <c r="AN35" s="1011">
        <f t="shared" si="27"/>
        <v>0</v>
      </c>
      <c r="AO35" s="860"/>
      <c r="AP35" s="996"/>
      <c r="AQ35" s="1022">
        <f t="shared" si="28"/>
        <v>0</v>
      </c>
      <c r="AR35" s="994"/>
      <c r="AS35" s="977"/>
      <c r="AT35" s="978">
        <f t="shared" ref="AT35:AT66" si="42">$BI35</f>
        <v>0</v>
      </c>
      <c r="AU35" s="919" t="e">
        <f t="shared" ref="AU35:AU66" si="43">($BG35+($BH$3/3))/$AS35</f>
        <v>#DIV/0!</v>
      </c>
      <c r="AV35" s="920" t="e">
        <f t="shared" ref="AV35:AV66" si="44">($BG35+($BH35/3))/$BI35</f>
        <v>#DIV/0!</v>
      </c>
      <c r="AW35" s="913"/>
      <c r="AX35" s="854"/>
      <c r="AY35" s="914"/>
      <c r="AZ35" s="979"/>
      <c r="BA35" s="855">
        <f t="shared" ref="BA35:BA66" si="45">$BH35</f>
        <v>0</v>
      </c>
      <c r="BB35" s="918" t="e">
        <f t="shared" ref="BB35:BB66" si="46">($BA35-($BA35/3))/$AZ35</f>
        <v>#DIV/0!</v>
      </c>
      <c r="BC35" s="917" t="e">
        <f t="shared" ref="BC35:BC66" si="47">1-$AV35</f>
        <v>#DIV/0!</v>
      </c>
      <c r="BD35" s="916"/>
      <c r="BE35" s="855"/>
      <c r="BF35" s="915">
        <f t="shared" ref="BF35:BF66" si="48">1-$AY$3</f>
        <v>1</v>
      </c>
      <c r="BG35" s="980"/>
      <c r="BH35" s="856"/>
      <c r="BI35" s="857">
        <f t="shared" ref="BI35:BI66" si="49">$BG35+$BH35</f>
        <v>0</v>
      </c>
      <c r="BJ35" s="981">
        <f t="shared" ref="BJ35:BJ66" si="50">($BM$3/$BI$3)-1</f>
        <v>-1</v>
      </c>
      <c r="BK35" s="858"/>
      <c r="BL35" s="856"/>
      <c r="BM35" s="859">
        <f t="shared" ref="BM35:BM66" si="51">$BK35+$BL35</f>
        <v>0</v>
      </c>
    </row>
    <row r="36" spans="1:65" ht="35.1" customHeight="1" x14ac:dyDescent="0.25">
      <c r="A36" s="963"/>
      <c r="B36" s="964"/>
      <c r="C36" s="965"/>
      <c r="D36" s="966"/>
      <c r="E36" s="965"/>
      <c r="F36" s="965"/>
      <c r="G36" s="967"/>
      <c r="H36" s="968"/>
      <c r="I36" s="861" t="e">
        <f t="shared" si="29"/>
        <v>#DIV/0!</v>
      </c>
      <c r="J36" s="983" t="e">
        <f t="shared" si="30"/>
        <v>#DIV/0!</v>
      </c>
      <c r="K36" s="993"/>
      <c r="L36" s="861" t="e">
        <f t="shared" si="31"/>
        <v>#DIV/0!</v>
      </c>
      <c r="M36" s="984" t="e">
        <f t="shared" si="32"/>
        <v>#DIV/0!</v>
      </c>
      <c r="N36" s="992"/>
      <c r="O36" s="907" t="e">
        <f t="shared" si="33"/>
        <v>#REF!</v>
      </c>
      <c r="P36" s="985" t="e">
        <f>(#REF!*#REF!)/1000</f>
        <v>#REF!</v>
      </c>
      <c r="Q36" s="990" t="e">
        <f t="shared" si="34"/>
        <v>#REF!</v>
      </c>
      <c r="R36" s="970" t="e">
        <f t="shared" si="35"/>
        <v>#REF!</v>
      </c>
      <c r="S36" s="969" t="e">
        <f t="shared" si="36"/>
        <v>#DIV/0!</v>
      </c>
      <c r="T36" s="909" t="e">
        <f t="shared" si="37"/>
        <v>#DIV/0!</v>
      </c>
      <c r="U36" s="986" t="e">
        <f t="shared" si="38"/>
        <v>#DIV/0!</v>
      </c>
      <c r="V36" s="988">
        <f t="shared" si="39"/>
        <v>0</v>
      </c>
      <c r="W36" s="970">
        <f t="shared" si="40"/>
        <v>0</v>
      </c>
      <c r="X36" s="971" t="e">
        <f t="shared" si="41"/>
        <v>#DIV/0!</v>
      </c>
      <c r="Y36" s="847"/>
      <c r="Z36" s="911" t="e">
        <f t="shared" si="23"/>
        <v>#DIV/0!</v>
      </c>
      <c r="AA36" s="1006"/>
      <c r="AB36" s="997">
        <f>IF(AA36=0,0,
IF('Calcul_Densité+Dose'!B36="2x2",((10000/(AA36*BB36))/4)*Z36,
((10000/(AA36*BB36))/AZ36)*Z36))</f>
        <v>0</v>
      </c>
      <c r="AC36" s="1007"/>
      <c r="AD36" s="1008">
        <f>IF(AC36=0,0,
IF('Calcul_Densité+Dose'!B36="2x2",((10000/(AC36*BB36))/2)*Z36,
((10000/(AC36*BB36))/AZ36)*Z36))</f>
        <v>0</v>
      </c>
      <c r="AE36" s="1009"/>
      <c r="AF36" s="1010">
        <f>IF(AE36=0,0,
IF('Calcul_Densité+Dose'!B36="2x2",((10000/(AE36*BB36))/4)*Z36,
((10000/(AE36*BB36))/AZ36)*Z36))</f>
        <v>0</v>
      </c>
      <c r="AG36" s="1011">
        <f t="shared" si="24"/>
        <v>0</v>
      </c>
      <c r="AH36" s="860"/>
      <c r="AI36" s="995"/>
      <c r="AJ36" s="1020"/>
      <c r="AK36" s="997">
        <f t="shared" si="25"/>
        <v>0</v>
      </c>
      <c r="AL36" s="1021"/>
      <c r="AM36" s="1008">
        <f t="shared" si="26"/>
        <v>0</v>
      </c>
      <c r="AN36" s="1011">
        <f t="shared" si="27"/>
        <v>0</v>
      </c>
      <c r="AO36" s="860"/>
      <c r="AP36" s="996"/>
      <c r="AQ36" s="1022">
        <f t="shared" si="28"/>
        <v>0</v>
      </c>
      <c r="AR36" s="994"/>
      <c r="AS36" s="977"/>
      <c r="AT36" s="978">
        <f t="shared" si="42"/>
        <v>0</v>
      </c>
      <c r="AU36" s="919" t="e">
        <f t="shared" si="43"/>
        <v>#DIV/0!</v>
      </c>
      <c r="AV36" s="920" t="e">
        <f t="shared" si="44"/>
        <v>#DIV/0!</v>
      </c>
      <c r="AW36" s="913"/>
      <c r="AX36" s="854"/>
      <c r="AY36" s="914"/>
      <c r="AZ36" s="979"/>
      <c r="BA36" s="855">
        <f t="shared" si="45"/>
        <v>0</v>
      </c>
      <c r="BB36" s="918" t="e">
        <f t="shared" si="46"/>
        <v>#DIV/0!</v>
      </c>
      <c r="BC36" s="917" t="e">
        <f t="shared" si="47"/>
        <v>#DIV/0!</v>
      </c>
      <c r="BD36" s="916"/>
      <c r="BE36" s="855"/>
      <c r="BF36" s="915">
        <f t="shared" si="48"/>
        <v>1</v>
      </c>
      <c r="BG36" s="980"/>
      <c r="BH36" s="856"/>
      <c r="BI36" s="857">
        <f t="shared" si="49"/>
        <v>0</v>
      </c>
      <c r="BJ36" s="981">
        <f t="shared" si="50"/>
        <v>-1</v>
      </c>
      <c r="BK36" s="858"/>
      <c r="BL36" s="856"/>
      <c r="BM36" s="859">
        <f t="shared" si="51"/>
        <v>0</v>
      </c>
    </row>
    <row r="37" spans="1:65" ht="35.1" customHeight="1" x14ac:dyDescent="0.25">
      <c r="A37" s="963"/>
      <c r="B37" s="964"/>
      <c r="C37" s="965"/>
      <c r="D37" s="966"/>
      <c r="E37" s="965"/>
      <c r="F37" s="965"/>
      <c r="G37" s="967"/>
      <c r="H37" s="968"/>
      <c r="I37" s="861" t="e">
        <f t="shared" si="29"/>
        <v>#DIV/0!</v>
      </c>
      <c r="J37" s="983" t="e">
        <f t="shared" si="30"/>
        <v>#DIV/0!</v>
      </c>
      <c r="K37" s="993"/>
      <c r="L37" s="861" t="e">
        <f t="shared" si="31"/>
        <v>#DIV/0!</v>
      </c>
      <c r="M37" s="984" t="e">
        <f t="shared" si="32"/>
        <v>#DIV/0!</v>
      </c>
      <c r="N37" s="992"/>
      <c r="O37" s="907" t="e">
        <f t="shared" si="33"/>
        <v>#REF!</v>
      </c>
      <c r="P37" s="985" t="e">
        <f>(#REF!*#REF!)/1000</f>
        <v>#REF!</v>
      </c>
      <c r="Q37" s="990" t="e">
        <f t="shared" si="34"/>
        <v>#REF!</v>
      </c>
      <c r="R37" s="970" t="e">
        <f t="shared" si="35"/>
        <v>#REF!</v>
      </c>
      <c r="S37" s="969" t="e">
        <f t="shared" si="36"/>
        <v>#DIV/0!</v>
      </c>
      <c r="T37" s="909" t="e">
        <f t="shared" si="37"/>
        <v>#DIV/0!</v>
      </c>
      <c r="U37" s="986" t="e">
        <f t="shared" si="38"/>
        <v>#DIV/0!</v>
      </c>
      <c r="V37" s="988">
        <f t="shared" si="39"/>
        <v>0</v>
      </c>
      <c r="W37" s="970">
        <f t="shared" si="40"/>
        <v>0</v>
      </c>
      <c r="X37" s="971" t="e">
        <f t="shared" si="41"/>
        <v>#DIV/0!</v>
      </c>
      <c r="Y37" s="847"/>
      <c r="Z37" s="911" t="e">
        <f t="shared" si="23"/>
        <v>#DIV/0!</v>
      </c>
      <c r="AA37" s="1006"/>
      <c r="AB37" s="997">
        <f>IF(AA37=0,0,
IF('Calcul_Densité+Dose'!B37="2x2",((10000/(AA37*BB37))/4)*Z37,
((10000/(AA37*BB37))/AZ37)*Z37))</f>
        <v>0</v>
      </c>
      <c r="AC37" s="1007"/>
      <c r="AD37" s="1008">
        <f>IF(AC37=0,0,
IF('Calcul_Densité+Dose'!B37="2x2",((10000/(AC37*BB37))/2)*Z37,
((10000/(AC37*BB37))/AZ37)*Z37))</f>
        <v>0</v>
      </c>
      <c r="AE37" s="1009"/>
      <c r="AF37" s="1010">
        <f>IF(AE37=0,0,
IF('Calcul_Densité+Dose'!B37="2x2",((10000/(AE37*BB37))/4)*Z37,
((10000/(AE37*BB37))/AZ37)*Z37))</f>
        <v>0</v>
      </c>
      <c r="AG37" s="1011">
        <f t="shared" si="24"/>
        <v>0</v>
      </c>
      <c r="AH37" s="860"/>
      <c r="AI37" s="995"/>
      <c r="AJ37" s="1020"/>
      <c r="AK37" s="997">
        <f t="shared" si="25"/>
        <v>0</v>
      </c>
      <c r="AL37" s="1021"/>
      <c r="AM37" s="1008">
        <f t="shared" si="26"/>
        <v>0</v>
      </c>
      <c r="AN37" s="1011">
        <f t="shared" si="27"/>
        <v>0</v>
      </c>
      <c r="AO37" s="860"/>
      <c r="AP37" s="996"/>
      <c r="AQ37" s="1022">
        <f t="shared" si="28"/>
        <v>0</v>
      </c>
      <c r="AR37" s="994"/>
      <c r="AS37" s="977"/>
      <c r="AT37" s="978">
        <f t="shared" si="42"/>
        <v>0</v>
      </c>
      <c r="AU37" s="919" t="e">
        <f t="shared" si="43"/>
        <v>#DIV/0!</v>
      </c>
      <c r="AV37" s="920" t="e">
        <f t="shared" si="44"/>
        <v>#DIV/0!</v>
      </c>
      <c r="AW37" s="913"/>
      <c r="AX37" s="854"/>
      <c r="AY37" s="914"/>
      <c r="AZ37" s="979"/>
      <c r="BA37" s="855">
        <f t="shared" si="45"/>
        <v>0</v>
      </c>
      <c r="BB37" s="918" t="e">
        <f t="shared" si="46"/>
        <v>#DIV/0!</v>
      </c>
      <c r="BC37" s="917" t="e">
        <f t="shared" si="47"/>
        <v>#DIV/0!</v>
      </c>
      <c r="BD37" s="916"/>
      <c r="BE37" s="855"/>
      <c r="BF37" s="915">
        <f t="shared" si="48"/>
        <v>1</v>
      </c>
      <c r="BG37" s="980"/>
      <c r="BH37" s="856"/>
      <c r="BI37" s="857">
        <f t="shared" si="49"/>
        <v>0</v>
      </c>
      <c r="BJ37" s="981">
        <f t="shared" si="50"/>
        <v>-1</v>
      </c>
      <c r="BK37" s="858"/>
      <c r="BL37" s="856"/>
      <c r="BM37" s="859">
        <f t="shared" si="51"/>
        <v>0</v>
      </c>
    </row>
    <row r="38" spans="1:65" ht="35.1" customHeight="1" x14ac:dyDescent="0.25">
      <c r="A38" s="963"/>
      <c r="B38" s="964"/>
      <c r="C38" s="965"/>
      <c r="D38" s="966"/>
      <c r="E38" s="965"/>
      <c r="F38" s="965"/>
      <c r="G38" s="967"/>
      <c r="H38" s="968"/>
      <c r="I38" s="861" t="e">
        <f t="shared" si="29"/>
        <v>#DIV/0!</v>
      </c>
      <c r="J38" s="983" t="e">
        <f t="shared" si="30"/>
        <v>#DIV/0!</v>
      </c>
      <c r="K38" s="993"/>
      <c r="L38" s="861" t="e">
        <f t="shared" si="31"/>
        <v>#DIV/0!</v>
      </c>
      <c r="M38" s="984" t="e">
        <f t="shared" si="32"/>
        <v>#DIV/0!</v>
      </c>
      <c r="N38" s="992"/>
      <c r="O38" s="907" t="e">
        <f t="shared" si="33"/>
        <v>#REF!</v>
      </c>
      <c r="P38" s="985" t="e">
        <f>(#REF!*#REF!)/1000</f>
        <v>#REF!</v>
      </c>
      <c r="Q38" s="990" t="e">
        <f t="shared" si="34"/>
        <v>#REF!</v>
      </c>
      <c r="R38" s="970" t="e">
        <f t="shared" si="35"/>
        <v>#REF!</v>
      </c>
      <c r="S38" s="969" t="e">
        <f t="shared" si="36"/>
        <v>#DIV/0!</v>
      </c>
      <c r="T38" s="909" t="e">
        <f t="shared" si="37"/>
        <v>#DIV/0!</v>
      </c>
      <c r="U38" s="986" t="e">
        <f t="shared" si="38"/>
        <v>#DIV/0!</v>
      </c>
      <c r="V38" s="988">
        <f t="shared" si="39"/>
        <v>0</v>
      </c>
      <c r="W38" s="970">
        <f t="shared" si="40"/>
        <v>0</v>
      </c>
      <c r="X38" s="971" t="e">
        <f t="shared" si="41"/>
        <v>#DIV/0!</v>
      </c>
      <c r="Y38" s="847"/>
      <c r="Z38" s="911" t="e">
        <f t="shared" si="23"/>
        <v>#DIV/0!</v>
      </c>
      <c r="AA38" s="1006"/>
      <c r="AB38" s="997">
        <f>IF(AA38=0,0,
IF('Calcul_Densité+Dose'!B38="2x2",((10000/(AA38*BB38))/4)*Z38,
((10000/(AA38*BB38))/AZ38)*Z38))</f>
        <v>0</v>
      </c>
      <c r="AC38" s="1007"/>
      <c r="AD38" s="1008">
        <f>IF(AC38=0,0,
IF('Calcul_Densité+Dose'!B38="2x2",((10000/(AC38*BB38))/2)*Z38,
((10000/(AC38*BB38))/AZ38)*Z38))</f>
        <v>0</v>
      </c>
      <c r="AE38" s="1009"/>
      <c r="AF38" s="1010">
        <f>IF(AE38=0,0,
IF('Calcul_Densité+Dose'!B38="2x2",((10000/(AE38*BB38))/4)*Z38,
((10000/(AE38*BB38))/AZ38)*Z38))</f>
        <v>0</v>
      </c>
      <c r="AG38" s="1011">
        <f t="shared" si="24"/>
        <v>0</v>
      </c>
      <c r="AH38" s="860"/>
      <c r="AI38" s="995"/>
      <c r="AJ38" s="1020"/>
      <c r="AK38" s="997">
        <f t="shared" si="25"/>
        <v>0</v>
      </c>
      <c r="AL38" s="1021"/>
      <c r="AM38" s="1008">
        <f t="shared" si="26"/>
        <v>0</v>
      </c>
      <c r="AN38" s="1011">
        <f t="shared" si="27"/>
        <v>0</v>
      </c>
      <c r="AO38" s="860"/>
      <c r="AP38" s="996"/>
      <c r="AQ38" s="1022">
        <f t="shared" si="28"/>
        <v>0</v>
      </c>
      <c r="AR38" s="994"/>
      <c r="AS38" s="977"/>
      <c r="AT38" s="978">
        <f t="shared" si="42"/>
        <v>0</v>
      </c>
      <c r="AU38" s="919" t="e">
        <f t="shared" si="43"/>
        <v>#DIV/0!</v>
      </c>
      <c r="AV38" s="920" t="e">
        <f t="shared" si="44"/>
        <v>#DIV/0!</v>
      </c>
      <c r="AW38" s="913"/>
      <c r="AX38" s="854"/>
      <c r="AY38" s="914"/>
      <c r="AZ38" s="979"/>
      <c r="BA38" s="855">
        <f t="shared" si="45"/>
        <v>0</v>
      </c>
      <c r="BB38" s="918" t="e">
        <f t="shared" si="46"/>
        <v>#DIV/0!</v>
      </c>
      <c r="BC38" s="917" t="e">
        <f t="shared" si="47"/>
        <v>#DIV/0!</v>
      </c>
      <c r="BD38" s="916"/>
      <c r="BE38" s="855"/>
      <c r="BF38" s="915">
        <f t="shared" si="48"/>
        <v>1</v>
      </c>
      <c r="BG38" s="980"/>
      <c r="BH38" s="856"/>
      <c r="BI38" s="857">
        <f t="shared" si="49"/>
        <v>0</v>
      </c>
      <c r="BJ38" s="981">
        <f t="shared" si="50"/>
        <v>-1</v>
      </c>
      <c r="BK38" s="858"/>
      <c r="BL38" s="856"/>
      <c r="BM38" s="859">
        <f t="shared" si="51"/>
        <v>0</v>
      </c>
    </row>
    <row r="39" spans="1:65" ht="35.1" customHeight="1" x14ac:dyDescent="0.25">
      <c r="A39" s="963"/>
      <c r="B39" s="964"/>
      <c r="C39" s="965"/>
      <c r="D39" s="966"/>
      <c r="E39" s="965"/>
      <c r="F39" s="965"/>
      <c r="G39" s="967"/>
      <c r="H39" s="968"/>
      <c r="I39" s="861" t="e">
        <f t="shared" si="29"/>
        <v>#DIV/0!</v>
      </c>
      <c r="J39" s="983" t="e">
        <f t="shared" si="30"/>
        <v>#DIV/0!</v>
      </c>
      <c r="K39" s="993"/>
      <c r="L39" s="861" t="e">
        <f t="shared" si="31"/>
        <v>#DIV/0!</v>
      </c>
      <c r="M39" s="984" t="e">
        <f t="shared" si="32"/>
        <v>#DIV/0!</v>
      </c>
      <c r="N39" s="992"/>
      <c r="O39" s="907" t="e">
        <f t="shared" si="33"/>
        <v>#REF!</v>
      </c>
      <c r="P39" s="985" t="e">
        <f>(#REF!*#REF!)/1000</f>
        <v>#REF!</v>
      </c>
      <c r="Q39" s="990" t="e">
        <f t="shared" si="34"/>
        <v>#REF!</v>
      </c>
      <c r="R39" s="970" t="e">
        <f t="shared" si="35"/>
        <v>#REF!</v>
      </c>
      <c r="S39" s="969" t="e">
        <f t="shared" si="36"/>
        <v>#DIV/0!</v>
      </c>
      <c r="T39" s="909" t="e">
        <f t="shared" si="37"/>
        <v>#DIV/0!</v>
      </c>
      <c r="U39" s="986" t="e">
        <f t="shared" si="38"/>
        <v>#DIV/0!</v>
      </c>
      <c r="V39" s="988">
        <f t="shared" si="39"/>
        <v>0</v>
      </c>
      <c r="W39" s="970">
        <f t="shared" si="40"/>
        <v>0</v>
      </c>
      <c r="X39" s="971" t="e">
        <f t="shared" si="41"/>
        <v>#DIV/0!</v>
      </c>
      <c r="Y39" s="847"/>
      <c r="Z39" s="911" t="e">
        <f t="shared" si="23"/>
        <v>#DIV/0!</v>
      </c>
      <c r="AA39" s="1006"/>
      <c r="AB39" s="997">
        <f>IF(AA39=0,0,
IF('Calcul_Densité+Dose'!B39="2x2",((10000/(AA39*BB39))/4)*Z39,
((10000/(AA39*BB39))/AZ39)*Z39))</f>
        <v>0</v>
      </c>
      <c r="AC39" s="1007"/>
      <c r="AD39" s="1008">
        <f>IF(AC39=0,0,
IF('Calcul_Densité+Dose'!B39="2x2",((10000/(AC39*BB39))/2)*Z39,
((10000/(AC39*BB39))/AZ39)*Z39))</f>
        <v>0</v>
      </c>
      <c r="AE39" s="1009"/>
      <c r="AF39" s="1010">
        <f>IF(AE39=0,0,
IF('Calcul_Densité+Dose'!B39="2x2",((10000/(AE39*BB39))/4)*Z39,
((10000/(AE39*BB39))/AZ39)*Z39))</f>
        <v>0</v>
      </c>
      <c r="AG39" s="1011">
        <f t="shared" si="24"/>
        <v>0</v>
      </c>
      <c r="AH39" s="860"/>
      <c r="AI39" s="995"/>
      <c r="AJ39" s="1020"/>
      <c r="AK39" s="997">
        <f t="shared" si="25"/>
        <v>0</v>
      </c>
      <c r="AL39" s="1021"/>
      <c r="AM39" s="1008">
        <f t="shared" si="26"/>
        <v>0</v>
      </c>
      <c r="AN39" s="1011">
        <f t="shared" si="27"/>
        <v>0</v>
      </c>
      <c r="AO39" s="860"/>
      <c r="AP39" s="996"/>
      <c r="AQ39" s="1022">
        <f t="shared" si="28"/>
        <v>0</v>
      </c>
      <c r="AR39" s="994"/>
      <c r="AS39" s="977"/>
      <c r="AT39" s="978">
        <f t="shared" si="42"/>
        <v>0</v>
      </c>
      <c r="AU39" s="919" t="e">
        <f t="shared" si="43"/>
        <v>#DIV/0!</v>
      </c>
      <c r="AV39" s="920" t="e">
        <f t="shared" si="44"/>
        <v>#DIV/0!</v>
      </c>
      <c r="AW39" s="913"/>
      <c r="AX39" s="854"/>
      <c r="AY39" s="914"/>
      <c r="AZ39" s="979"/>
      <c r="BA39" s="855">
        <f t="shared" si="45"/>
        <v>0</v>
      </c>
      <c r="BB39" s="918" t="e">
        <f t="shared" si="46"/>
        <v>#DIV/0!</v>
      </c>
      <c r="BC39" s="917" t="e">
        <f t="shared" si="47"/>
        <v>#DIV/0!</v>
      </c>
      <c r="BD39" s="916"/>
      <c r="BE39" s="855"/>
      <c r="BF39" s="915">
        <f t="shared" si="48"/>
        <v>1</v>
      </c>
      <c r="BG39" s="980"/>
      <c r="BH39" s="856"/>
      <c r="BI39" s="857">
        <f t="shared" si="49"/>
        <v>0</v>
      </c>
      <c r="BJ39" s="981">
        <f t="shared" si="50"/>
        <v>-1</v>
      </c>
      <c r="BK39" s="858"/>
      <c r="BL39" s="856"/>
      <c r="BM39" s="859">
        <f t="shared" si="51"/>
        <v>0</v>
      </c>
    </row>
    <row r="40" spans="1:65" ht="35.1" customHeight="1" x14ac:dyDescent="0.25">
      <c r="A40" s="963"/>
      <c r="B40" s="964"/>
      <c r="C40" s="965"/>
      <c r="D40" s="966"/>
      <c r="E40" s="965"/>
      <c r="F40" s="965"/>
      <c r="G40" s="967"/>
      <c r="H40" s="968"/>
      <c r="I40" s="861" t="e">
        <f t="shared" si="29"/>
        <v>#DIV/0!</v>
      </c>
      <c r="J40" s="983" t="e">
        <f t="shared" si="30"/>
        <v>#DIV/0!</v>
      </c>
      <c r="K40" s="993"/>
      <c r="L40" s="861" t="e">
        <f t="shared" si="31"/>
        <v>#DIV/0!</v>
      </c>
      <c r="M40" s="984" t="e">
        <f t="shared" si="32"/>
        <v>#DIV/0!</v>
      </c>
      <c r="N40" s="992"/>
      <c r="O40" s="907" t="e">
        <f t="shared" si="33"/>
        <v>#REF!</v>
      </c>
      <c r="P40" s="985" t="e">
        <f>(#REF!*#REF!)/1000</f>
        <v>#REF!</v>
      </c>
      <c r="Q40" s="990" t="e">
        <f t="shared" si="34"/>
        <v>#REF!</v>
      </c>
      <c r="R40" s="970" t="e">
        <f t="shared" si="35"/>
        <v>#REF!</v>
      </c>
      <c r="S40" s="969" t="e">
        <f t="shared" si="36"/>
        <v>#DIV/0!</v>
      </c>
      <c r="T40" s="909" t="e">
        <f t="shared" si="37"/>
        <v>#DIV/0!</v>
      </c>
      <c r="U40" s="986" t="e">
        <f t="shared" si="38"/>
        <v>#DIV/0!</v>
      </c>
      <c r="V40" s="988">
        <f t="shared" si="39"/>
        <v>0</v>
      </c>
      <c r="W40" s="970">
        <f t="shared" si="40"/>
        <v>0</v>
      </c>
      <c r="X40" s="971" t="e">
        <f t="shared" si="41"/>
        <v>#DIV/0!</v>
      </c>
      <c r="Y40" s="847"/>
      <c r="Z40" s="911" t="e">
        <f t="shared" si="23"/>
        <v>#DIV/0!</v>
      </c>
      <c r="AA40" s="1006"/>
      <c r="AB40" s="997">
        <f>IF(AA40=0,0,
IF('Calcul_Densité+Dose'!B40="2x2",((10000/(AA40*BB40))/4)*Z40,
((10000/(AA40*BB40))/AZ40)*Z40))</f>
        <v>0</v>
      </c>
      <c r="AC40" s="1007"/>
      <c r="AD40" s="1008">
        <f>IF(AC40=0,0,
IF('Calcul_Densité+Dose'!B40="2x2",((10000/(AC40*BB40))/2)*Z40,
((10000/(AC40*BB40))/AZ40)*Z40))</f>
        <v>0</v>
      </c>
      <c r="AE40" s="1009"/>
      <c r="AF40" s="1010">
        <f>IF(AE40=0,0,
IF('Calcul_Densité+Dose'!B40="2x2",((10000/(AE40*BB40))/4)*Z40,
((10000/(AE40*BB40))/AZ40)*Z40))</f>
        <v>0</v>
      </c>
      <c r="AG40" s="1011">
        <f t="shared" si="24"/>
        <v>0</v>
      </c>
      <c r="AH40" s="860"/>
      <c r="AI40" s="995"/>
      <c r="AJ40" s="1020"/>
      <c r="AK40" s="997">
        <f t="shared" si="25"/>
        <v>0</v>
      </c>
      <c r="AL40" s="1021"/>
      <c r="AM40" s="1008">
        <f t="shared" si="26"/>
        <v>0</v>
      </c>
      <c r="AN40" s="1011">
        <f t="shared" si="27"/>
        <v>0</v>
      </c>
      <c r="AO40" s="860"/>
      <c r="AP40" s="996"/>
      <c r="AQ40" s="1022">
        <f t="shared" si="28"/>
        <v>0</v>
      </c>
      <c r="AR40" s="994"/>
      <c r="AS40" s="977"/>
      <c r="AT40" s="978">
        <f t="shared" si="42"/>
        <v>0</v>
      </c>
      <c r="AU40" s="919" t="e">
        <f t="shared" si="43"/>
        <v>#DIV/0!</v>
      </c>
      <c r="AV40" s="920" t="e">
        <f t="shared" si="44"/>
        <v>#DIV/0!</v>
      </c>
      <c r="AW40" s="913"/>
      <c r="AX40" s="854"/>
      <c r="AY40" s="914"/>
      <c r="AZ40" s="979"/>
      <c r="BA40" s="855">
        <f t="shared" si="45"/>
        <v>0</v>
      </c>
      <c r="BB40" s="918" t="e">
        <f t="shared" si="46"/>
        <v>#DIV/0!</v>
      </c>
      <c r="BC40" s="917" t="e">
        <f t="shared" si="47"/>
        <v>#DIV/0!</v>
      </c>
      <c r="BD40" s="916"/>
      <c r="BE40" s="855"/>
      <c r="BF40" s="915">
        <f t="shared" si="48"/>
        <v>1</v>
      </c>
      <c r="BG40" s="980"/>
      <c r="BH40" s="856"/>
      <c r="BI40" s="857">
        <f t="shared" si="49"/>
        <v>0</v>
      </c>
      <c r="BJ40" s="981">
        <f t="shared" si="50"/>
        <v>-1</v>
      </c>
      <c r="BK40" s="858"/>
      <c r="BL40" s="856"/>
      <c r="BM40" s="859">
        <f t="shared" si="51"/>
        <v>0</v>
      </c>
    </row>
    <row r="41" spans="1:65" ht="35.1" customHeight="1" x14ac:dyDescent="0.25">
      <c r="A41" s="963"/>
      <c r="B41" s="964"/>
      <c r="C41" s="965"/>
      <c r="D41" s="966"/>
      <c r="E41" s="965"/>
      <c r="F41" s="965"/>
      <c r="G41" s="967"/>
      <c r="H41" s="968"/>
      <c r="I41" s="861" t="e">
        <f t="shared" si="29"/>
        <v>#DIV/0!</v>
      </c>
      <c r="J41" s="983" t="e">
        <f t="shared" si="30"/>
        <v>#DIV/0!</v>
      </c>
      <c r="K41" s="993"/>
      <c r="L41" s="861" t="e">
        <f t="shared" si="31"/>
        <v>#DIV/0!</v>
      </c>
      <c r="M41" s="984" t="e">
        <f t="shared" si="32"/>
        <v>#DIV/0!</v>
      </c>
      <c r="N41" s="992"/>
      <c r="O41" s="907" t="e">
        <f t="shared" si="33"/>
        <v>#REF!</v>
      </c>
      <c r="P41" s="985" t="e">
        <f>(#REF!*#REF!)/1000</f>
        <v>#REF!</v>
      </c>
      <c r="Q41" s="990" t="e">
        <f t="shared" si="34"/>
        <v>#REF!</v>
      </c>
      <c r="R41" s="970" t="e">
        <f t="shared" si="35"/>
        <v>#REF!</v>
      </c>
      <c r="S41" s="969" t="e">
        <f t="shared" si="36"/>
        <v>#DIV/0!</v>
      </c>
      <c r="T41" s="909" t="e">
        <f t="shared" si="37"/>
        <v>#DIV/0!</v>
      </c>
      <c r="U41" s="986" t="e">
        <f t="shared" si="38"/>
        <v>#DIV/0!</v>
      </c>
      <c r="V41" s="988">
        <f t="shared" si="39"/>
        <v>0</v>
      </c>
      <c r="W41" s="970">
        <f t="shared" si="40"/>
        <v>0</v>
      </c>
      <c r="X41" s="971" t="e">
        <f t="shared" si="41"/>
        <v>#DIV/0!</v>
      </c>
      <c r="Y41" s="847"/>
      <c r="Z41" s="911" t="e">
        <f t="shared" si="23"/>
        <v>#DIV/0!</v>
      </c>
      <c r="AA41" s="1006"/>
      <c r="AB41" s="997">
        <f>IF(AA41=0,0,
IF('Calcul_Densité+Dose'!B41="2x2",((10000/(AA41*BB41))/4)*Z41,
((10000/(AA41*BB41))/AZ41)*Z41))</f>
        <v>0</v>
      </c>
      <c r="AC41" s="1007"/>
      <c r="AD41" s="1008">
        <f>IF(AC41=0,0,
IF('Calcul_Densité+Dose'!B41="2x2",((10000/(AC41*BB41))/2)*Z41,
((10000/(AC41*BB41))/AZ41)*Z41))</f>
        <v>0</v>
      </c>
      <c r="AE41" s="1009"/>
      <c r="AF41" s="1010">
        <f>IF(AE41=0,0,
IF('Calcul_Densité+Dose'!B41="2x2",((10000/(AE41*BB41))/4)*Z41,
((10000/(AE41*BB41))/AZ41)*Z41))</f>
        <v>0</v>
      </c>
      <c r="AG41" s="1011">
        <f t="shared" si="24"/>
        <v>0</v>
      </c>
      <c r="AH41" s="860"/>
      <c r="AI41" s="995"/>
      <c r="AJ41" s="1020"/>
      <c r="AK41" s="997">
        <f t="shared" si="25"/>
        <v>0</v>
      </c>
      <c r="AL41" s="1021"/>
      <c r="AM41" s="1008">
        <f t="shared" si="26"/>
        <v>0</v>
      </c>
      <c r="AN41" s="1011">
        <f t="shared" si="27"/>
        <v>0</v>
      </c>
      <c r="AO41" s="860"/>
      <c r="AP41" s="996"/>
      <c r="AQ41" s="1022">
        <f t="shared" si="28"/>
        <v>0</v>
      </c>
      <c r="AR41" s="994"/>
      <c r="AS41" s="977"/>
      <c r="AT41" s="978">
        <f t="shared" si="42"/>
        <v>0</v>
      </c>
      <c r="AU41" s="919" t="e">
        <f t="shared" si="43"/>
        <v>#DIV/0!</v>
      </c>
      <c r="AV41" s="920" t="e">
        <f t="shared" si="44"/>
        <v>#DIV/0!</v>
      </c>
      <c r="AW41" s="913"/>
      <c r="AX41" s="854"/>
      <c r="AY41" s="914"/>
      <c r="AZ41" s="979"/>
      <c r="BA41" s="855">
        <f t="shared" si="45"/>
        <v>0</v>
      </c>
      <c r="BB41" s="918" t="e">
        <f t="shared" si="46"/>
        <v>#DIV/0!</v>
      </c>
      <c r="BC41" s="917" t="e">
        <f t="shared" si="47"/>
        <v>#DIV/0!</v>
      </c>
      <c r="BD41" s="916"/>
      <c r="BE41" s="855"/>
      <c r="BF41" s="915">
        <f t="shared" si="48"/>
        <v>1</v>
      </c>
      <c r="BG41" s="980"/>
      <c r="BH41" s="856"/>
      <c r="BI41" s="857">
        <f t="shared" si="49"/>
        <v>0</v>
      </c>
      <c r="BJ41" s="981">
        <f t="shared" si="50"/>
        <v>-1</v>
      </c>
      <c r="BK41" s="858"/>
      <c r="BL41" s="856"/>
      <c r="BM41" s="859">
        <f t="shared" si="51"/>
        <v>0</v>
      </c>
    </row>
    <row r="42" spans="1:65" ht="35.1" customHeight="1" x14ac:dyDescent="0.25">
      <c r="A42" s="963"/>
      <c r="B42" s="964"/>
      <c r="C42" s="965"/>
      <c r="D42" s="966"/>
      <c r="E42" s="965"/>
      <c r="F42" s="965"/>
      <c r="G42" s="967"/>
      <c r="H42" s="968"/>
      <c r="I42" s="861" t="e">
        <f t="shared" si="29"/>
        <v>#DIV/0!</v>
      </c>
      <c r="J42" s="983" t="e">
        <f t="shared" si="30"/>
        <v>#DIV/0!</v>
      </c>
      <c r="K42" s="993"/>
      <c r="L42" s="861" t="e">
        <f t="shared" si="31"/>
        <v>#DIV/0!</v>
      </c>
      <c r="M42" s="984" t="e">
        <f t="shared" si="32"/>
        <v>#DIV/0!</v>
      </c>
      <c r="N42" s="992"/>
      <c r="O42" s="907" t="e">
        <f t="shared" si="33"/>
        <v>#REF!</v>
      </c>
      <c r="P42" s="985" t="e">
        <f>(#REF!*#REF!)/1000</f>
        <v>#REF!</v>
      </c>
      <c r="Q42" s="990" t="e">
        <f t="shared" si="34"/>
        <v>#REF!</v>
      </c>
      <c r="R42" s="970" t="e">
        <f t="shared" si="35"/>
        <v>#REF!</v>
      </c>
      <c r="S42" s="969" t="e">
        <f t="shared" si="36"/>
        <v>#DIV/0!</v>
      </c>
      <c r="T42" s="909" t="e">
        <f t="shared" si="37"/>
        <v>#DIV/0!</v>
      </c>
      <c r="U42" s="986" t="e">
        <f t="shared" si="38"/>
        <v>#DIV/0!</v>
      </c>
      <c r="V42" s="988">
        <f t="shared" si="39"/>
        <v>0</v>
      </c>
      <c r="W42" s="970">
        <f t="shared" si="40"/>
        <v>0</v>
      </c>
      <c r="X42" s="971" t="e">
        <f t="shared" si="41"/>
        <v>#DIV/0!</v>
      </c>
      <c r="Y42" s="847"/>
      <c r="Z42" s="911" t="e">
        <f t="shared" si="23"/>
        <v>#DIV/0!</v>
      </c>
      <c r="AA42" s="1006"/>
      <c r="AB42" s="997">
        <f>IF(AA42=0,0,
IF('Calcul_Densité+Dose'!B42="2x2",((10000/(AA42*BB42))/4)*Z42,
((10000/(AA42*BB42))/AZ42)*Z42))</f>
        <v>0</v>
      </c>
      <c r="AC42" s="1007"/>
      <c r="AD42" s="1008">
        <f>IF(AC42=0,0,
IF('Calcul_Densité+Dose'!B42="2x2",((10000/(AC42*BB42))/2)*Z42,
((10000/(AC42*BB42))/AZ42)*Z42))</f>
        <v>0</v>
      </c>
      <c r="AE42" s="1009"/>
      <c r="AF42" s="1010">
        <f>IF(AE42=0,0,
IF('Calcul_Densité+Dose'!B42="2x2",((10000/(AE42*BB42))/4)*Z42,
((10000/(AE42*BB42))/AZ42)*Z42))</f>
        <v>0</v>
      </c>
      <c r="AG42" s="1011">
        <f t="shared" si="24"/>
        <v>0</v>
      </c>
      <c r="AH42" s="860"/>
      <c r="AI42" s="995"/>
      <c r="AJ42" s="1020"/>
      <c r="AK42" s="997">
        <f t="shared" si="25"/>
        <v>0</v>
      </c>
      <c r="AL42" s="1021"/>
      <c r="AM42" s="1008">
        <f t="shared" si="26"/>
        <v>0</v>
      </c>
      <c r="AN42" s="1011">
        <f t="shared" si="27"/>
        <v>0</v>
      </c>
      <c r="AO42" s="860"/>
      <c r="AP42" s="996"/>
      <c r="AQ42" s="1022">
        <f t="shared" si="28"/>
        <v>0</v>
      </c>
      <c r="AR42" s="994"/>
      <c r="AS42" s="977"/>
      <c r="AT42" s="978">
        <f t="shared" si="42"/>
        <v>0</v>
      </c>
      <c r="AU42" s="919" t="e">
        <f t="shared" si="43"/>
        <v>#DIV/0!</v>
      </c>
      <c r="AV42" s="920" t="e">
        <f t="shared" si="44"/>
        <v>#DIV/0!</v>
      </c>
      <c r="AW42" s="913"/>
      <c r="AX42" s="854"/>
      <c r="AY42" s="914"/>
      <c r="AZ42" s="979"/>
      <c r="BA42" s="855">
        <f t="shared" si="45"/>
        <v>0</v>
      </c>
      <c r="BB42" s="918" t="e">
        <f t="shared" si="46"/>
        <v>#DIV/0!</v>
      </c>
      <c r="BC42" s="917" t="e">
        <f t="shared" si="47"/>
        <v>#DIV/0!</v>
      </c>
      <c r="BD42" s="916"/>
      <c r="BE42" s="855"/>
      <c r="BF42" s="915">
        <f t="shared" si="48"/>
        <v>1</v>
      </c>
      <c r="BG42" s="980"/>
      <c r="BH42" s="856"/>
      <c r="BI42" s="857">
        <f t="shared" si="49"/>
        <v>0</v>
      </c>
      <c r="BJ42" s="981">
        <f t="shared" si="50"/>
        <v>-1</v>
      </c>
      <c r="BK42" s="858"/>
      <c r="BL42" s="856"/>
      <c r="BM42" s="859">
        <f t="shared" si="51"/>
        <v>0</v>
      </c>
    </row>
    <row r="43" spans="1:65" ht="35.1" customHeight="1" x14ac:dyDescent="0.25">
      <c r="A43" s="963"/>
      <c r="B43" s="964"/>
      <c r="C43" s="965"/>
      <c r="D43" s="966"/>
      <c r="E43" s="965"/>
      <c r="F43" s="965"/>
      <c r="G43" s="967"/>
      <c r="H43" s="968"/>
      <c r="I43" s="861" t="e">
        <f t="shared" si="29"/>
        <v>#DIV/0!</v>
      </c>
      <c r="J43" s="983" t="e">
        <f t="shared" si="30"/>
        <v>#DIV/0!</v>
      </c>
      <c r="K43" s="993"/>
      <c r="L43" s="861" t="e">
        <f t="shared" si="31"/>
        <v>#DIV/0!</v>
      </c>
      <c r="M43" s="984" t="e">
        <f t="shared" si="32"/>
        <v>#DIV/0!</v>
      </c>
      <c r="N43" s="992"/>
      <c r="O43" s="907" t="e">
        <f t="shared" si="33"/>
        <v>#REF!</v>
      </c>
      <c r="P43" s="985" t="e">
        <f>(#REF!*#REF!)/1000</f>
        <v>#REF!</v>
      </c>
      <c r="Q43" s="990" t="e">
        <f t="shared" si="34"/>
        <v>#REF!</v>
      </c>
      <c r="R43" s="970" t="e">
        <f t="shared" si="35"/>
        <v>#REF!</v>
      </c>
      <c r="S43" s="969" t="e">
        <f t="shared" si="36"/>
        <v>#DIV/0!</v>
      </c>
      <c r="T43" s="909" t="e">
        <f t="shared" si="37"/>
        <v>#DIV/0!</v>
      </c>
      <c r="U43" s="986" t="e">
        <f t="shared" si="38"/>
        <v>#DIV/0!</v>
      </c>
      <c r="V43" s="988">
        <f t="shared" si="39"/>
        <v>0</v>
      </c>
      <c r="W43" s="970">
        <f t="shared" si="40"/>
        <v>0</v>
      </c>
      <c r="X43" s="971" t="e">
        <f t="shared" si="41"/>
        <v>#DIV/0!</v>
      </c>
      <c r="Y43" s="847"/>
      <c r="Z43" s="911" t="e">
        <f t="shared" si="23"/>
        <v>#DIV/0!</v>
      </c>
      <c r="AA43" s="1006"/>
      <c r="AB43" s="997">
        <f>IF(AA43=0,0,
IF('Calcul_Densité+Dose'!B43="2x2",((10000/(AA43*BB43))/4)*Z43,
((10000/(AA43*BB43))/AZ43)*Z43))</f>
        <v>0</v>
      </c>
      <c r="AC43" s="1007"/>
      <c r="AD43" s="1008">
        <f>IF(AC43=0,0,
IF('Calcul_Densité+Dose'!B43="2x2",((10000/(AC43*BB43))/2)*Z43,
((10000/(AC43*BB43))/AZ43)*Z43))</f>
        <v>0</v>
      </c>
      <c r="AE43" s="1009"/>
      <c r="AF43" s="1010">
        <f>IF(AE43=0,0,
IF('Calcul_Densité+Dose'!B43="2x2",((10000/(AE43*BB43))/4)*Z43,
((10000/(AE43*BB43))/AZ43)*Z43))</f>
        <v>0</v>
      </c>
      <c r="AG43" s="1011">
        <f t="shared" si="24"/>
        <v>0</v>
      </c>
      <c r="AH43" s="860"/>
      <c r="AI43" s="995"/>
      <c r="AJ43" s="1020"/>
      <c r="AK43" s="997">
        <f t="shared" si="25"/>
        <v>0</v>
      </c>
      <c r="AL43" s="1021"/>
      <c r="AM43" s="1008">
        <f t="shared" si="26"/>
        <v>0</v>
      </c>
      <c r="AN43" s="1011">
        <f t="shared" si="27"/>
        <v>0</v>
      </c>
      <c r="AO43" s="860"/>
      <c r="AP43" s="996"/>
      <c r="AQ43" s="1022">
        <f t="shared" si="28"/>
        <v>0</v>
      </c>
      <c r="AR43" s="994"/>
      <c r="AS43" s="977"/>
      <c r="AT43" s="978">
        <f t="shared" si="42"/>
        <v>0</v>
      </c>
      <c r="AU43" s="919" t="e">
        <f t="shared" si="43"/>
        <v>#DIV/0!</v>
      </c>
      <c r="AV43" s="920" t="e">
        <f t="shared" si="44"/>
        <v>#DIV/0!</v>
      </c>
      <c r="AW43" s="913"/>
      <c r="AX43" s="854"/>
      <c r="AY43" s="914"/>
      <c r="AZ43" s="979"/>
      <c r="BA43" s="855">
        <f t="shared" si="45"/>
        <v>0</v>
      </c>
      <c r="BB43" s="918" t="e">
        <f t="shared" si="46"/>
        <v>#DIV/0!</v>
      </c>
      <c r="BC43" s="917" t="e">
        <f t="shared" si="47"/>
        <v>#DIV/0!</v>
      </c>
      <c r="BD43" s="916"/>
      <c r="BE43" s="855"/>
      <c r="BF43" s="915">
        <f t="shared" si="48"/>
        <v>1</v>
      </c>
      <c r="BG43" s="980"/>
      <c r="BH43" s="856"/>
      <c r="BI43" s="857">
        <f t="shared" si="49"/>
        <v>0</v>
      </c>
      <c r="BJ43" s="981">
        <f t="shared" si="50"/>
        <v>-1</v>
      </c>
      <c r="BK43" s="858"/>
      <c r="BL43" s="856"/>
      <c r="BM43" s="859">
        <f t="shared" si="51"/>
        <v>0</v>
      </c>
    </row>
    <row r="44" spans="1:65" ht="35.1" customHeight="1" x14ac:dyDescent="0.25">
      <c r="A44" s="963"/>
      <c r="B44" s="964"/>
      <c r="C44" s="965"/>
      <c r="D44" s="966"/>
      <c r="E44" s="965"/>
      <c r="F44" s="965"/>
      <c r="G44" s="967"/>
      <c r="H44" s="968"/>
      <c r="I44" s="861" t="e">
        <f t="shared" si="29"/>
        <v>#DIV/0!</v>
      </c>
      <c r="J44" s="983" t="e">
        <f t="shared" si="30"/>
        <v>#DIV/0!</v>
      </c>
      <c r="K44" s="993"/>
      <c r="L44" s="861" t="e">
        <f t="shared" si="31"/>
        <v>#DIV/0!</v>
      </c>
      <c r="M44" s="984" t="e">
        <f t="shared" si="32"/>
        <v>#DIV/0!</v>
      </c>
      <c r="N44" s="992"/>
      <c r="O44" s="907" t="e">
        <f t="shared" si="33"/>
        <v>#REF!</v>
      </c>
      <c r="P44" s="985" t="e">
        <f>(#REF!*#REF!)/1000</f>
        <v>#REF!</v>
      </c>
      <c r="Q44" s="990" t="e">
        <f t="shared" si="34"/>
        <v>#REF!</v>
      </c>
      <c r="R44" s="970" t="e">
        <f t="shared" si="35"/>
        <v>#REF!</v>
      </c>
      <c r="S44" s="969" t="e">
        <f t="shared" si="36"/>
        <v>#DIV/0!</v>
      </c>
      <c r="T44" s="909" t="e">
        <f t="shared" si="37"/>
        <v>#DIV/0!</v>
      </c>
      <c r="U44" s="986" t="e">
        <f t="shared" si="38"/>
        <v>#DIV/0!</v>
      </c>
      <c r="V44" s="988">
        <f t="shared" si="39"/>
        <v>0</v>
      </c>
      <c r="W44" s="970">
        <f t="shared" si="40"/>
        <v>0</v>
      </c>
      <c r="X44" s="971" t="e">
        <f t="shared" si="41"/>
        <v>#DIV/0!</v>
      </c>
      <c r="Y44" s="847"/>
      <c r="Z44" s="911" t="e">
        <f t="shared" si="23"/>
        <v>#DIV/0!</v>
      </c>
      <c r="AA44" s="1006"/>
      <c r="AB44" s="997">
        <f>IF(AA44=0,0,
IF('Calcul_Densité+Dose'!B44="2x2",((10000/(AA44*BB44))/4)*Z44,
((10000/(AA44*BB44))/AZ44)*Z44))</f>
        <v>0</v>
      </c>
      <c r="AC44" s="1007"/>
      <c r="AD44" s="1008">
        <f>IF(AC44=0,0,
IF('Calcul_Densité+Dose'!B44="2x2",((10000/(AC44*BB44))/2)*Z44,
((10000/(AC44*BB44))/AZ44)*Z44))</f>
        <v>0</v>
      </c>
      <c r="AE44" s="1009"/>
      <c r="AF44" s="1010">
        <f>IF(AE44=0,0,
IF('Calcul_Densité+Dose'!B44="2x2",((10000/(AE44*BB44))/4)*Z44,
((10000/(AE44*BB44))/AZ44)*Z44))</f>
        <v>0</v>
      </c>
      <c r="AG44" s="1011">
        <f t="shared" si="24"/>
        <v>0</v>
      </c>
      <c r="AH44" s="860"/>
      <c r="AI44" s="995"/>
      <c r="AJ44" s="1020"/>
      <c r="AK44" s="997">
        <f t="shared" si="25"/>
        <v>0</v>
      </c>
      <c r="AL44" s="1021"/>
      <c r="AM44" s="1008">
        <f t="shared" si="26"/>
        <v>0</v>
      </c>
      <c r="AN44" s="1011">
        <f t="shared" si="27"/>
        <v>0</v>
      </c>
      <c r="AO44" s="860"/>
      <c r="AP44" s="996"/>
      <c r="AQ44" s="1022">
        <f t="shared" si="28"/>
        <v>0</v>
      </c>
      <c r="AR44" s="994"/>
      <c r="AS44" s="977"/>
      <c r="AT44" s="978">
        <f t="shared" si="42"/>
        <v>0</v>
      </c>
      <c r="AU44" s="919" t="e">
        <f t="shared" si="43"/>
        <v>#DIV/0!</v>
      </c>
      <c r="AV44" s="920" t="e">
        <f t="shared" si="44"/>
        <v>#DIV/0!</v>
      </c>
      <c r="AW44" s="913"/>
      <c r="AX44" s="854"/>
      <c r="AY44" s="914"/>
      <c r="AZ44" s="979"/>
      <c r="BA44" s="855">
        <f t="shared" si="45"/>
        <v>0</v>
      </c>
      <c r="BB44" s="918" t="e">
        <f t="shared" si="46"/>
        <v>#DIV/0!</v>
      </c>
      <c r="BC44" s="917" t="e">
        <f t="shared" si="47"/>
        <v>#DIV/0!</v>
      </c>
      <c r="BD44" s="916"/>
      <c r="BE44" s="855"/>
      <c r="BF44" s="915">
        <f t="shared" si="48"/>
        <v>1</v>
      </c>
      <c r="BG44" s="980"/>
      <c r="BH44" s="856"/>
      <c r="BI44" s="857">
        <f t="shared" si="49"/>
        <v>0</v>
      </c>
      <c r="BJ44" s="981">
        <f t="shared" si="50"/>
        <v>-1</v>
      </c>
      <c r="BK44" s="858"/>
      <c r="BL44" s="856"/>
      <c r="BM44" s="859">
        <f t="shared" si="51"/>
        <v>0</v>
      </c>
    </row>
    <row r="45" spans="1:65" ht="35.1" customHeight="1" x14ac:dyDescent="0.25">
      <c r="A45" s="963"/>
      <c r="B45" s="964"/>
      <c r="C45" s="965"/>
      <c r="D45" s="966"/>
      <c r="E45" s="965"/>
      <c r="F45" s="965"/>
      <c r="G45" s="967"/>
      <c r="H45" s="968"/>
      <c r="I45" s="861" t="e">
        <f t="shared" si="29"/>
        <v>#DIV/0!</v>
      </c>
      <c r="J45" s="983" t="e">
        <f t="shared" si="30"/>
        <v>#DIV/0!</v>
      </c>
      <c r="K45" s="993"/>
      <c r="L45" s="861" t="e">
        <f t="shared" si="31"/>
        <v>#DIV/0!</v>
      </c>
      <c r="M45" s="984" t="e">
        <f t="shared" si="32"/>
        <v>#DIV/0!</v>
      </c>
      <c r="N45" s="992"/>
      <c r="O45" s="907" t="e">
        <f t="shared" si="33"/>
        <v>#REF!</v>
      </c>
      <c r="P45" s="985" t="e">
        <f>(#REF!*#REF!)/1000</f>
        <v>#REF!</v>
      </c>
      <c r="Q45" s="990" t="e">
        <f t="shared" si="34"/>
        <v>#REF!</v>
      </c>
      <c r="R45" s="970" t="e">
        <f t="shared" si="35"/>
        <v>#REF!</v>
      </c>
      <c r="S45" s="969" t="e">
        <f t="shared" si="36"/>
        <v>#DIV/0!</v>
      </c>
      <c r="T45" s="909" t="e">
        <f t="shared" si="37"/>
        <v>#DIV/0!</v>
      </c>
      <c r="U45" s="986" t="e">
        <f t="shared" si="38"/>
        <v>#DIV/0!</v>
      </c>
      <c r="V45" s="988">
        <f t="shared" si="39"/>
        <v>0</v>
      </c>
      <c r="W45" s="970">
        <f t="shared" si="40"/>
        <v>0</v>
      </c>
      <c r="X45" s="971" t="e">
        <f t="shared" si="41"/>
        <v>#DIV/0!</v>
      </c>
      <c r="Y45" s="847"/>
      <c r="Z45" s="911" t="e">
        <f t="shared" si="23"/>
        <v>#DIV/0!</v>
      </c>
      <c r="AA45" s="1006"/>
      <c r="AB45" s="997">
        <f>IF(AA45=0,0,
IF('Calcul_Densité+Dose'!B45="2x2",((10000/(AA45*BB45))/4)*Z45,
((10000/(AA45*BB45))/AZ45)*Z45))</f>
        <v>0</v>
      </c>
      <c r="AC45" s="1007"/>
      <c r="AD45" s="1008">
        <f>IF(AC45=0,0,
IF('Calcul_Densité+Dose'!B45="2x2",((10000/(AC45*BB45))/2)*Z45,
((10000/(AC45*BB45))/AZ45)*Z45))</f>
        <v>0</v>
      </c>
      <c r="AE45" s="1009"/>
      <c r="AF45" s="1010">
        <f>IF(AE45=0,0,
IF('Calcul_Densité+Dose'!B45="2x2",((10000/(AE45*BB45))/4)*Z45,
((10000/(AE45*BB45))/AZ45)*Z45))</f>
        <v>0</v>
      </c>
      <c r="AG45" s="1011">
        <f t="shared" si="24"/>
        <v>0</v>
      </c>
      <c r="AH45" s="860"/>
      <c r="AI45" s="995"/>
      <c r="AJ45" s="1020"/>
      <c r="AK45" s="997">
        <f t="shared" si="25"/>
        <v>0</v>
      </c>
      <c r="AL45" s="1021"/>
      <c r="AM45" s="1008">
        <f t="shared" si="26"/>
        <v>0</v>
      </c>
      <c r="AN45" s="1011">
        <f t="shared" si="27"/>
        <v>0</v>
      </c>
      <c r="AO45" s="860"/>
      <c r="AP45" s="996"/>
      <c r="AQ45" s="1022">
        <f t="shared" si="28"/>
        <v>0</v>
      </c>
      <c r="AR45" s="994"/>
      <c r="AS45" s="977"/>
      <c r="AT45" s="978">
        <f t="shared" si="42"/>
        <v>0</v>
      </c>
      <c r="AU45" s="919" t="e">
        <f t="shared" si="43"/>
        <v>#DIV/0!</v>
      </c>
      <c r="AV45" s="920" t="e">
        <f t="shared" si="44"/>
        <v>#DIV/0!</v>
      </c>
      <c r="AW45" s="913"/>
      <c r="AX45" s="854"/>
      <c r="AY45" s="914"/>
      <c r="AZ45" s="979"/>
      <c r="BA45" s="855">
        <f t="shared" si="45"/>
        <v>0</v>
      </c>
      <c r="BB45" s="918" t="e">
        <f t="shared" si="46"/>
        <v>#DIV/0!</v>
      </c>
      <c r="BC45" s="917" t="e">
        <f t="shared" si="47"/>
        <v>#DIV/0!</v>
      </c>
      <c r="BD45" s="916"/>
      <c r="BE45" s="855"/>
      <c r="BF45" s="915">
        <f t="shared" si="48"/>
        <v>1</v>
      </c>
      <c r="BG45" s="980"/>
      <c r="BH45" s="856"/>
      <c r="BI45" s="857">
        <f t="shared" si="49"/>
        <v>0</v>
      </c>
      <c r="BJ45" s="981">
        <f t="shared" si="50"/>
        <v>-1</v>
      </c>
      <c r="BK45" s="858"/>
      <c r="BL45" s="856"/>
      <c r="BM45" s="859">
        <f t="shared" si="51"/>
        <v>0</v>
      </c>
    </row>
    <row r="46" spans="1:65" ht="35.1" customHeight="1" x14ac:dyDescent="0.25">
      <c r="A46" s="963"/>
      <c r="B46" s="964"/>
      <c r="C46" s="965"/>
      <c r="D46" s="966"/>
      <c r="E46" s="965"/>
      <c r="F46" s="965"/>
      <c r="G46" s="967"/>
      <c r="H46" s="968"/>
      <c r="I46" s="861" t="e">
        <f t="shared" si="29"/>
        <v>#DIV/0!</v>
      </c>
      <c r="J46" s="983" t="e">
        <f t="shared" si="30"/>
        <v>#DIV/0!</v>
      </c>
      <c r="K46" s="993"/>
      <c r="L46" s="861" t="e">
        <f t="shared" si="31"/>
        <v>#DIV/0!</v>
      </c>
      <c r="M46" s="984" t="e">
        <f t="shared" si="32"/>
        <v>#DIV/0!</v>
      </c>
      <c r="N46" s="992"/>
      <c r="O46" s="907" t="e">
        <f t="shared" si="33"/>
        <v>#REF!</v>
      </c>
      <c r="P46" s="985" t="e">
        <f>(#REF!*#REF!)/1000</f>
        <v>#REF!</v>
      </c>
      <c r="Q46" s="990" t="e">
        <f t="shared" si="34"/>
        <v>#REF!</v>
      </c>
      <c r="R46" s="970" t="e">
        <f t="shared" si="35"/>
        <v>#REF!</v>
      </c>
      <c r="S46" s="969" t="e">
        <f t="shared" si="36"/>
        <v>#DIV/0!</v>
      </c>
      <c r="T46" s="909" t="e">
        <f t="shared" si="37"/>
        <v>#DIV/0!</v>
      </c>
      <c r="U46" s="986" t="e">
        <f t="shared" si="38"/>
        <v>#DIV/0!</v>
      </c>
      <c r="V46" s="988">
        <f t="shared" si="39"/>
        <v>0</v>
      </c>
      <c r="W46" s="970">
        <f t="shared" si="40"/>
        <v>0</v>
      </c>
      <c r="X46" s="971" t="e">
        <f t="shared" si="41"/>
        <v>#DIV/0!</v>
      </c>
      <c r="Y46" s="847"/>
      <c r="Z46" s="911" t="e">
        <f t="shared" si="23"/>
        <v>#DIV/0!</v>
      </c>
      <c r="AA46" s="1006"/>
      <c r="AB46" s="997">
        <f>IF(AA46=0,0,
IF('Calcul_Densité+Dose'!B46="2x2",((10000/(AA46*BB46))/4)*Z46,
((10000/(AA46*BB46))/AZ46)*Z46))</f>
        <v>0</v>
      </c>
      <c r="AC46" s="1007"/>
      <c r="AD46" s="1008">
        <f>IF(AC46=0,0,
IF('Calcul_Densité+Dose'!B46="2x2",((10000/(AC46*BB46))/2)*Z46,
((10000/(AC46*BB46))/AZ46)*Z46))</f>
        <v>0</v>
      </c>
      <c r="AE46" s="1009"/>
      <c r="AF46" s="1010">
        <f>IF(AE46=0,0,
IF('Calcul_Densité+Dose'!B46="2x2",((10000/(AE46*BB46))/4)*Z46,
((10000/(AE46*BB46))/AZ46)*Z46))</f>
        <v>0</v>
      </c>
      <c r="AG46" s="1011">
        <f t="shared" si="24"/>
        <v>0</v>
      </c>
      <c r="AH46" s="860"/>
      <c r="AI46" s="995"/>
      <c r="AJ46" s="1020"/>
      <c r="AK46" s="997">
        <f t="shared" si="25"/>
        <v>0</v>
      </c>
      <c r="AL46" s="1021"/>
      <c r="AM46" s="1008">
        <f t="shared" si="26"/>
        <v>0</v>
      </c>
      <c r="AN46" s="1011">
        <f t="shared" si="27"/>
        <v>0</v>
      </c>
      <c r="AO46" s="860"/>
      <c r="AP46" s="996"/>
      <c r="AQ46" s="1022">
        <f t="shared" si="28"/>
        <v>0</v>
      </c>
      <c r="AR46" s="994"/>
      <c r="AS46" s="977"/>
      <c r="AT46" s="978">
        <f t="shared" si="42"/>
        <v>0</v>
      </c>
      <c r="AU46" s="919" t="e">
        <f t="shared" si="43"/>
        <v>#DIV/0!</v>
      </c>
      <c r="AV46" s="920" t="e">
        <f t="shared" si="44"/>
        <v>#DIV/0!</v>
      </c>
      <c r="AW46" s="913"/>
      <c r="AX46" s="854"/>
      <c r="AY46" s="914"/>
      <c r="AZ46" s="979"/>
      <c r="BA46" s="855">
        <f t="shared" si="45"/>
        <v>0</v>
      </c>
      <c r="BB46" s="918" t="e">
        <f t="shared" si="46"/>
        <v>#DIV/0!</v>
      </c>
      <c r="BC46" s="917" t="e">
        <f t="shared" si="47"/>
        <v>#DIV/0!</v>
      </c>
      <c r="BD46" s="916"/>
      <c r="BE46" s="855"/>
      <c r="BF46" s="915">
        <f t="shared" si="48"/>
        <v>1</v>
      </c>
      <c r="BG46" s="980"/>
      <c r="BH46" s="856"/>
      <c r="BI46" s="857">
        <f t="shared" si="49"/>
        <v>0</v>
      </c>
      <c r="BJ46" s="981">
        <f t="shared" si="50"/>
        <v>-1</v>
      </c>
      <c r="BK46" s="858"/>
      <c r="BL46" s="856"/>
      <c r="BM46" s="859">
        <f t="shared" si="51"/>
        <v>0</v>
      </c>
    </row>
    <row r="47" spans="1:65" ht="35.1" customHeight="1" x14ac:dyDescent="0.25">
      <c r="A47" s="963"/>
      <c r="B47" s="964"/>
      <c r="C47" s="965"/>
      <c r="D47" s="966"/>
      <c r="E47" s="965"/>
      <c r="F47" s="965"/>
      <c r="G47" s="967"/>
      <c r="H47" s="968"/>
      <c r="I47" s="861" t="e">
        <f t="shared" si="29"/>
        <v>#DIV/0!</v>
      </c>
      <c r="J47" s="983" t="e">
        <f t="shared" si="30"/>
        <v>#DIV/0!</v>
      </c>
      <c r="K47" s="993"/>
      <c r="L47" s="861" t="e">
        <f t="shared" si="31"/>
        <v>#DIV/0!</v>
      </c>
      <c r="M47" s="984" t="e">
        <f t="shared" si="32"/>
        <v>#DIV/0!</v>
      </c>
      <c r="N47" s="992"/>
      <c r="O47" s="907" t="e">
        <f t="shared" si="33"/>
        <v>#REF!</v>
      </c>
      <c r="P47" s="985" t="e">
        <f>(#REF!*#REF!)/1000</f>
        <v>#REF!</v>
      </c>
      <c r="Q47" s="990" t="e">
        <f t="shared" si="34"/>
        <v>#REF!</v>
      </c>
      <c r="R47" s="970" t="e">
        <f t="shared" si="35"/>
        <v>#REF!</v>
      </c>
      <c r="S47" s="969" t="e">
        <f t="shared" si="36"/>
        <v>#DIV/0!</v>
      </c>
      <c r="T47" s="909" t="e">
        <f t="shared" si="37"/>
        <v>#DIV/0!</v>
      </c>
      <c r="U47" s="986" t="e">
        <f t="shared" si="38"/>
        <v>#DIV/0!</v>
      </c>
      <c r="V47" s="988">
        <f t="shared" si="39"/>
        <v>0</v>
      </c>
      <c r="W47" s="970">
        <f t="shared" si="40"/>
        <v>0</v>
      </c>
      <c r="X47" s="971" t="e">
        <f t="shared" si="41"/>
        <v>#DIV/0!</v>
      </c>
      <c r="Y47" s="847"/>
      <c r="Z47" s="911" t="e">
        <f t="shared" si="23"/>
        <v>#DIV/0!</v>
      </c>
      <c r="AA47" s="1006"/>
      <c r="AB47" s="997">
        <f>IF(AA47=0,0,
IF('Calcul_Densité+Dose'!B47="2x2",((10000/(AA47*BB47))/4)*Z47,
((10000/(AA47*BB47))/AZ47)*Z47))</f>
        <v>0</v>
      </c>
      <c r="AC47" s="1007"/>
      <c r="AD47" s="1008">
        <f>IF(AC47=0,0,
IF('Calcul_Densité+Dose'!B47="2x2",((10000/(AC47*BB47))/2)*Z47,
((10000/(AC47*BB47))/AZ47)*Z47))</f>
        <v>0</v>
      </c>
      <c r="AE47" s="1009"/>
      <c r="AF47" s="1010">
        <f>IF(AE47=0,0,
IF('Calcul_Densité+Dose'!B47="2x2",((10000/(AE47*BB47))/4)*Z47,
((10000/(AE47*BB47))/AZ47)*Z47))</f>
        <v>0</v>
      </c>
      <c r="AG47" s="1011">
        <f t="shared" si="24"/>
        <v>0</v>
      </c>
      <c r="AH47" s="860"/>
      <c r="AI47" s="995"/>
      <c r="AJ47" s="1020"/>
      <c r="AK47" s="997">
        <f t="shared" si="25"/>
        <v>0</v>
      </c>
      <c r="AL47" s="1021"/>
      <c r="AM47" s="1008">
        <f t="shared" si="26"/>
        <v>0</v>
      </c>
      <c r="AN47" s="1011">
        <f t="shared" si="27"/>
        <v>0</v>
      </c>
      <c r="AO47" s="860"/>
      <c r="AP47" s="996"/>
      <c r="AQ47" s="1022">
        <f t="shared" si="28"/>
        <v>0</v>
      </c>
      <c r="AR47" s="994"/>
      <c r="AS47" s="977"/>
      <c r="AT47" s="978">
        <f t="shared" si="42"/>
        <v>0</v>
      </c>
      <c r="AU47" s="919" t="e">
        <f t="shared" si="43"/>
        <v>#DIV/0!</v>
      </c>
      <c r="AV47" s="920" t="e">
        <f t="shared" si="44"/>
        <v>#DIV/0!</v>
      </c>
      <c r="AW47" s="913"/>
      <c r="AX47" s="854"/>
      <c r="AY47" s="914"/>
      <c r="AZ47" s="979"/>
      <c r="BA47" s="855">
        <f t="shared" si="45"/>
        <v>0</v>
      </c>
      <c r="BB47" s="918" t="e">
        <f t="shared" si="46"/>
        <v>#DIV/0!</v>
      </c>
      <c r="BC47" s="917" t="e">
        <f t="shared" si="47"/>
        <v>#DIV/0!</v>
      </c>
      <c r="BD47" s="916"/>
      <c r="BE47" s="855"/>
      <c r="BF47" s="915">
        <f t="shared" si="48"/>
        <v>1</v>
      </c>
      <c r="BG47" s="980"/>
      <c r="BH47" s="856"/>
      <c r="BI47" s="857">
        <f t="shared" si="49"/>
        <v>0</v>
      </c>
      <c r="BJ47" s="981">
        <f t="shared" si="50"/>
        <v>-1</v>
      </c>
      <c r="BK47" s="858"/>
      <c r="BL47" s="856"/>
      <c r="BM47" s="859">
        <f t="shared" si="51"/>
        <v>0</v>
      </c>
    </row>
    <row r="48" spans="1:65" ht="35.1" customHeight="1" x14ac:dyDescent="0.25">
      <c r="A48" s="963"/>
      <c r="B48" s="964"/>
      <c r="C48" s="965"/>
      <c r="D48" s="966"/>
      <c r="E48" s="965"/>
      <c r="F48" s="965"/>
      <c r="G48" s="967"/>
      <c r="H48" s="968"/>
      <c r="I48" s="861" t="e">
        <f t="shared" si="29"/>
        <v>#DIV/0!</v>
      </c>
      <c r="J48" s="983" t="e">
        <f t="shared" si="30"/>
        <v>#DIV/0!</v>
      </c>
      <c r="K48" s="993"/>
      <c r="L48" s="861" t="e">
        <f t="shared" si="31"/>
        <v>#DIV/0!</v>
      </c>
      <c r="M48" s="984" t="e">
        <f t="shared" si="32"/>
        <v>#DIV/0!</v>
      </c>
      <c r="N48" s="992"/>
      <c r="O48" s="907" t="e">
        <f t="shared" si="33"/>
        <v>#REF!</v>
      </c>
      <c r="P48" s="985" t="e">
        <f>(#REF!*#REF!)/1000</f>
        <v>#REF!</v>
      </c>
      <c r="Q48" s="990" t="e">
        <f t="shared" si="34"/>
        <v>#REF!</v>
      </c>
      <c r="R48" s="970" t="e">
        <f t="shared" si="35"/>
        <v>#REF!</v>
      </c>
      <c r="S48" s="969" t="e">
        <f t="shared" si="36"/>
        <v>#DIV/0!</v>
      </c>
      <c r="T48" s="909" t="e">
        <f t="shared" si="37"/>
        <v>#DIV/0!</v>
      </c>
      <c r="U48" s="986" t="e">
        <f t="shared" si="38"/>
        <v>#DIV/0!</v>
      </c>
      <c r="V48" s="988">
        <f t="shared" si="39"/>
        <v>0</v>
      </c>
      <c r="W48" s="970">
        <f t="shared" si="40"/>
        <v>0</v>
      </c>
      <c r="X48" s="971" t="e">
        <f t="shared" si="41"/>
        <v>#DIV/0!</v>
      </c>
      <c r="Y48" s="847"/>
      <c r="Z48" s="911" t="e">
        <f t="shared" si="23"/>
        <v>#DIV/0!</v>
      </c>
      <c r="AA48" s="1006"/>
      <c r="AB48" s="997">
        <f>IF(AA48=0,0,
IF('Calcul_Densité+Dose'!B48="2x2",((10000/(AA48*BB48))/4)*Z48,
((10000/(AA48*BB48))/AZ48)*Z48))</f>
        <v>0</v>
      </c>
      <c r="AC48" s="1007"/>
      <c r="AD48" s="1008">
        <f>IF(AC48=0,0,
IF('Calcul_Densité+Dose'!B48="2x2",((10000/(AC48*BB48))/2)*Z48,
((10000/(AC48*BB48))/AZ48)*Z48))</f>
        <v>0</v>
      </c>
      <c r="AE48" s="1009"/>
      <c r="AF48" s="1010">
        <f>IF(AE48=0,0,
IF('Calcul_Densité+Dose'!B48="2x2",((10000/(AE48*BB48))/4)*Z48,
((10000/(AE48*BB48))/AZ48)*Z48))</f>
        <v>0</v>
      </c>
      <c r="AG48" s="1011">
        <f t="shared" si="24"/>
        <v>0</v>
      </c>
      <c r="AH48" s="860"/>
      <c r="AI48" s="995"/>
      <c r="AJ48" s="1020"/>
      <c r="AK48" s="997">
        <f t="shared" si="25"/>
        <v>0</v>
      </c>
      <c r="AL48" s="1021"/>
      <c r="AM48" s="1008">
        <f t="shared" si="26"/>
        <v>0</v>
      </c>
      <c r="AN48" s="1011">
        <f t="shared" si="27"/>
        <v>0</v>
      </c>
      <c r="AO48" s="860"/>
      <c r="AP48" s="996"/>
      <c r="AQ48" s="1022">
        <f t="shared" si="28"/>
        <v>0</v>
      </c>
      <c r="AR48" s="994"/>
      <c r="AS48" s="977"/>
      <c r="AT48" s="978">
        <f t="shared" si="42"/>
        <v>0</v>
      </c>
      <c r="AU48" s="919" t="e">
        <f t="shared" si="43"/>
        <v>#DIV/0!</v>
      </c>
      <c r="AV48" s="920" t="e">
        <f t="shared" si="44"/>
        <v>#DIV/0!</v>
      </c>
      <c r="AW48" s="913"/>
      <c r="AX48" s="854"/>
      <c r="AY48" s="914"/>
      <c r="AZ48" s="979"/>
      <c r="BA48" s="855">
        <f t="shared" si="45"/>
        <v>0</v>
      </c>
      <c r="BB48" s="918" t="e">
        <f t="shared" si="46"/>
        <v>#DIV/0!</v>
      </c>
      <c r="BC48" s="917" t="e">
        <f t="shared" si="47"/>
        <v>#DIV/0!</v>
      </c>
      <c r="BD48" s="916"/>
      <c r="BE48" s="855"/>
      <c r="BF48" s="915">
        <f t="shared" si="48"/>
        <v>1</v>
      </c>
      <c r="BG48" s="980"/>
      <c r="BH48" s="856"/>
      <c r="BI48" s="857">
        <f t="shared" si="49"/>
        <v>0</v>
      </c>
      <c r="BJ48" s="981">
        <f t="shared" si="50"/>
        <v>-1</v>
      </c>
      <c r="BK48" s="858"/>
      <c r="BL48" s="856"/>
      <c r="BM48" s="859">
        <f t="shared" si="51"/>
        <v>0</v>
      </c>
    </row>
    <row r="49" spans="1:65" ht="35.1" customHeight="1" x14ac:dyDescent="0.25">
      <c r="A49" s="963"/>
      <c r="B49" s="964"/>
      <c r="C49" s="965"/>
      <c r="D49" s="966"/>
      <c r="E49" s="965"/>
      <c r="F49" s="965"/>
      <c r="G49" s="967"/>
      <c r="H49" s="968"/>
      <c r="I49" s="861" t="e">
        <f t="shared" si="29"/>
        <v>#DIV/0!</v>
      </c>
      <c r="J49" s="983" t="e">
        <f t="shared" si="30"/>
        <v>#DIV/0!</v>
      </c>
      <c r="K49" s="993"/>
      <c r="L49" s="861" t="e">
        <f t="shared" si="31"/>
        <v>#DIV/0!</v>
      </c>
      <c r="M49" s="984" t="e">
        <f t="shared" si="32"/>
        <v>#DIV/0!</v>
      </c>
      <c r="N49" s="992"/>
      <c r="O49" s="907" t="e">
        <f t="shared" si="33"/>
        <v>#REF!</v>
      </c>
      <c r="P49" s="985" t="e">
        <f>(#REF!*#REF!)/1000</f>
        <v>#REF!</v>
      </c>
      <c r="Q49" s="990" t="e">
        <f t="shared" si="34"/>
        <v>#REF!</v>
      </c>
      <c r="R49" s="970" t="e">
        <f t="shared" si="35"/>
        <v>#REF!</v>
      </c>
      <c r="S49" s="969" t="e">
        <f t="shared" si="36"/>
        <v>#DIV/0!</v>
      </c>
      <c r="T49" s="909" t="e">
        <f t="shared" si="37"/>
        <v>#DIV/0!</v>
      </c>
      <c r="U49" s="986" t="e">
        <f t="shared" si="38"/>
        <v>#DIV/0!</v>
      </c>
      <c r="V49" s="988">
        <f t="shared" si="39"/>
        <v>0</v>
      </c>
      <c r="W49" s="970">
        <f t="shared" si="40"/>
        <v>0</v>
      </c>
      <c r="X49" s="971" t="e">
        <f t="shared" si="41"/>
        <v>#DIV/0!</v>
      </c>
      <c r="Y49" s="847"/>
      <c r="Z49" s="911" t="e">
        <f t="shared" si="23"/>
        <v>#DIV/0!</v>
      </c>
      <c r="AA49" s="1006"/>
      <c r="AB49" s="997">
        <f>IF(AA49=0,0,
IF('Calcul_Densité+Dose'!B49="2x2",((10000/(AA49*BB49))/4)*Z49,
((10000/(AA49*BB49))/AZ49)*Z49))</f>
        <v>0</v>
      </c>
      <c r="AC49" s="1007"/>
      <c r="AD49" s="1008">
        <f>IF(AC49=0,0,
IF('Calcul_Densité+Dose'!B49="2x2",((10000/(AC49*BB49))/2)*Z49,
((10000/(AC49*BB49))/AZ49)*Z49))</f>
        <v>0</v>
      </c>
      <c r="AE49" s="1009"/>
      <c r="AF49" s="1010">
        <f>IF(AE49=0,0,
IF('Calcul_Densité+Dose'!B49="2x2",((10000/(AE49*BB49))/4)*Z49,
((10000/(AE49*BB49))/AZ49)*Z49))</f>
        <v>0</v>
      </c>
      <c r="AG49" s="1011">
        <f t="shared" si="24"/>
        <v>0</v>
      </c>
      <c r="AH49" s="860"/>
      <c r="AI49" s="995"/>
      <c r="AJ49" s="1020"/>
      <c r="AK49" s="997">
        <f t="shared" si="25"/>
        <v>0</v>
      </c>
      <c r="AL49" s="1021"/>
      <c r="AM49" s="1008">
        <f t="shared" si="26"/>
        <v>0</v>
      </c>
      <c r="AN49" s="1011">
        <f t="shared" si="27"/>
        <v>0</v>
      </c>
      <c r="AO49" s="860"/>
      <c r="AP49" s="996"/>
      <c r="AQ49" s="1022">
        <f t="shared" si="28"/>
        <v>0</v>
      </c>
      <c r="AR49" s="994"/>
      <c r="AS49" s="977"/>
      <c r="AT49" s="978">
        <f t="shared" si="42"/>
        <v>0</v>
      </c>
      <c r="AU49" s="919" t="e">
        <f t="shared" si="43"/>
        <v>#DIV/0!</v>
      </c>
      <c r="AV49" s="920" t="e">
        <f t="shared" si="44"/>
        <v>#DIV/0!</v>
      </c>
      <c r="AW49" s="913"/>
      <c r="AX49" s="854"/>
      <c r="AY49" s="914"/>
      <c r="AZ49" s="979"/>
      <c r="BA49" s="855">
        <f t="shared" si="45"/>
        <v>0</v>
      </c>
      <c r="BB49" s="918" t="e">
        <f t="shared" si="46"/>
        <v>#DIV/0!</v>
      </c>
      <c r="BC49" s="917" t="e">
        <f t="shared" si="47"/>
        <v>#DIV/0!</v>
      </c>
      <c r="BD49" s="916"/>
      <c r="BE49" s="855"/>
      <c r="BF49" s="915">
        <f t="shared" si="48"/>
        <v>1</v>
      </c>
      <c r="BG49" s="980"/>
      <c r="BH49" s="856"/>
      <c r="BI49" s="857">
        <f t="shared" si="49"/>
        <v>0</v>
      </c>
      <c r="BJ49" s="981">
        <f t="shared" si="50"/>
        <v>-1</v>
      </c>
      <c r="BK49" s="858"/>
      <c r="BL49" s="856"/>
      <c r="BM49" s="859">
        <f t="shared" si="51"/>
        <v>0</v>
      </c>
    </row>
    <row r="50" spans="1:65" ht="35.1" customHeight="1" x14ac:dyDescent="0.25">
      <c r="A50" s="963"/>
      <c r="B50" s="964"/>
      <c r="C50" s="965"/>
      <c r="D50" s="966"/>
      <c r="E50" s="965"/>
      <c r="F50" s="965"/>
      <c r="G50" s="967"/>
      <c r="H50" s="968"/>
      <c r="I50" s="861" t="e">
        <f t="shared" si="29"/>
        <v>#DIV/0!</v>
      </c>
      <c r="J50" s="983" t="e">
        <f t="shared" si="30"/>
        <v>#DIV/0!</v>
      </c>
      <c r="K50" s="993"/>
      <c r="L50" s="861" t="e">
        <f t="shared" si="31"/>
        <v>#DIV/0!</v>
      </c>
      <c r="M50" s="984" t="e">
        <f t="shared" si="32"/>
        <v>#DIV/0!</v>
      </c>
      <c r="N50" s="992"/>
      <c r="O50" s="907" t="e">
        <f t="shared" si="33"/>
        <v>#REF!</v>
      </c>
      <c r="P50" s="985" t="e">
        <f>(#REF!*#REF!)/1000</f>
        <v>#REF!</v>
      </c>
      <c r="Q50" s="990" t="e">
        <f t="shared" si="34"/>
        <v>#REF!</v>
      </c>
      <c r="R50" s="970" t="e">
        <f t="shared" si="35"/>
        <v>#REF!</v>
      </c>
      <c r="S50" s="969" t="e">
        <f t="shared" si="36"/>
        <v>#DIV/0!</v>
      </c>
      <c r="T50" s="909" t="e">
        <f t="shared" si="37"/>
        <v>#DIV/0!</v>
      </c>
      <c r="U50" s="986" t="e">
        <f t="shared" si="38"/>
        <v>#DIV/0!</v>
      </c>
      <c r="V50" s="988">
        <f t="shared" si="39"/>
        <v>0</v>
      </c>
      <c r="W50" s="970">
        <f t="shared" si="40"/>
        <v>0</v>
      </c>
      <c r="X50" s="971" t="e">
        <f t="shared" si="41"/>
        <v>#DIV/0!</v>
      </c>
      <c r="Y50" s="847"/>
      <c r="Z50" s="911" t="e">
        <f t="shared" si="23"/>
        <v>#DIV/0!</v>
      </c>
      <c r="AA50" s="1006"/>
      <c r="AB50" s="997">
        <f>IF(AA50=0,0,
IF('Calcul_Densité+Dose'!B50="2x2",((10000/(AA50*BB50))/4)*Z50,
((10000/(AA50*BB50))/AZ50)*Z50))</f>
        <v>0</v>
      </c>
      <c r="AC50" s="1007"/>
      <c r="AD50" s="1008">
        <f>IF(AC50=0,0,
IF('Calcul_Densité+Dose'!B50="2x2",((10000/(AC50*BB50))/2)*Z50,
((10000/(AC50*BB50))/AZ50)*Z50))</f>
        <v>0</v>
      </c>
      <c r="AE50" s="1009"/>
      <c r="AF50" s="1010">
        <f>IF(AE50=0,0,
IF('Calcul_Densité+Dose'!B50="2x2",((10000/(AE50*BB50))/4)*Z50,
((10000/(AE50*BB50))/AZ50)*Z50))</f>
        <v>0</v>
      </c>
      <c r="AG50" s="1011">
        <f t="shared" si="24"/>
        <v>0</v>
      </c>
      <c r="AH50" s="860"/>
      <c r="AI50" s="995"/>
      <c r="AJ50" s="1020"/>
      <c r="AK50" s="997">
        <f t="shared" si="25"/>
        <v>0</v>
      </c>
      <c r="AL50" s="1021"/>
      <c r="AM50" s="1008">
        <f t="shared" si="26"/>
        <v>0</v>
      </c>
      <c r="AN50" s="1011">
        <f t="shared" si="27"/>
        <v>0</v>
      </c>
      <c r="AO50" s="860"/>
      <c r="AP50" s="996"/>
      <c r="AQ50" s="1022">
        <f t="shared" si="28"/>
        <v>0</v>
      </c>
      <c r="AR50" s="994"/>
      <c r="AS50" s="977"/>
      <c r="AT50" s="978">
        <f t="shared" si="42"/>
        <v>0</v>
      </c>
      <c r="AU50" s="919" t="e">
        <f t="shared" si="43"/>
        <v>#DIV/0!</v>
      </c>
      <c r="AV50" s="920" t="e">
        <f t="shared" si="44"/>
        <v>#DIV/0!</v>
      </c>
      <c r="AW50" s="913"/>
      <c r="AX50" s="854"/>
      <c r="AY50" s="914"/>
      <c r="AZ50" s="979"/>
      <c r="BA50" s="855">
        <f t="shared" si="45"/>
        <v>0</v>
      </c>
      <c r="BB50" s="918" t="e">
        <f t="shared" si="46"/>
        <v>#DIV/0!</v>
      </c>
      <c r="BC50" s="917" t="e">
        <f t="shared" si="47"/>
        <v>#DIV/0!</v>
      </c>
      <c r="BD50" s="916"/>
      <c r="BE50" s="855"/>
      <c r="BF50" s="915">
        <f t="shared" si="48"/>
        <v>1</v>
      </c>
      <c r="BG50" s="980"/>
      <c r="BH50" s="856"/>
      <c r="BI50" s="857">
        <f t="shared" si="49"/>
        <v>0</v>
      </c>
      <c r="BJ50" s="981">
        <f t="shared" si="50"/>
        <v>-1</v>
      </c>
      <c r="BK50" s="858"/>
      <c r="BL50" s="856"/>
      <c r="BM50" s="859">
        <f t="shared" si="51"/>
        <v>0</v>
      </c>
    </row>
    <row r="51" spans="1:65" ht="35.1" customHeight="1" x14ac:dyDescent="0.25">
      <c r="A51" s="963"/>
      <c r="B51" s="964"/>
      <c r="C51" s="965"/>
      <c r="D51" s="966"/>
      <c r="E51" s="965"/>
      <c r="F51" s="965"/>
      <c r="G51" s="967"/>
      <c r="H51" s="968"/>
      <c r="I51" s="861" t="e">
        <f t="shared" si="29"/>
        <v>#DIV/0!</v>
      </c>
      <c r="J51" s="983" t="e">
        <f t="shared" si="30"/>
        <v>#DIV/0!</v>
      </c>
      <c r="K51" s="993"/>
      <c r="L51" s="861" t="e">
        <f t="shared" si="31"/>
        <v>#DIV/0!</v>
      </c>
      <c r="M51" s="984" t="e">
        <f t="shared" si="32"/>
        <v>#DIV/0!</v>
      </c>
      <c r="N51" s="992"/>
      <c r="O51" s="907" t="e">
        <f t="shared" si="33"/>
        <v>#REF!</v>
      </c>
      <c r="P51" s="985" t="e">
        <f>(#REF!*#REF!)/1000</f>
        <v>#REF!</v>
      </c>
      <c r="Q51" s="990" t="e">
        <f t="shared" si="34"/>
        <v>#REF!</v>
      </c>
      <c r="R51" s="970" t="e">
        <f t="shared" si="35"/>
        <v>#REF!</v>
      </c>
      <c r="S51" s="969" t="e">
        <f t="shared" si="36"/>
        <v>#DIV/0!</v>
      </c>
      <c r="T51" s="909" t="e">
        <f t="shared" si="37"/>
        <v>#DIV/0!</v>
      </c>
      <c r="U51" s="986" t="e">
        <f t="shared" si="38"/>
        <v>#DIV/0!</v>
      </c>
      <c r="V51" s="988">
        <f t="shared" si="39"/>
        <v>0</v>
      </c>
      <c r="W51" s="970">
        <f t="shared" si="40"/>
        <v>0</v>
      </c>
      <c r="X51" s="971" t="e">
        <f t="shared" si="41"/>
        <v>#DIV/0!</v>
      </c>
      <c r="Y51" s="847"/>
      <c r="Z51" s="911" t="e">
        <f t="shared" si="23"/>
        <v>#DIV/0!</v>
      </c>
      <c r="AA51" s="1006"/>
      <c r="AB51" s="997">
        <f>IF(AA51=0,0,
IF('Calcul_Densité+Dose'!B51="2x2",((10000/(AA51*BB51))/4)*Z51,
((10000/(AA51*BB51))/AZ51)*Z51))</f>
        <v>0</v>
      </c>
      <c r="AC51" s="1007"/>
      <c r="AD51" s="1008">
        <f>IF(AC51=0,0,
IF('Calcul_Densité+Dose'!B51="2x2",((10000/(AC51*BB51))/2)*Z51,
((10000/(AC51*BB51))/AZ51)*Z51))</f>
        <v>0</v>
      </c>
      <c r="AE51" s="1009"/>
      <c r="AF51" s="1010">
        <f>IF(AE51=0,0,
IF('Calcul_Densité+Dose'!B51="2x2",((10000/(AE51*BB51))/4)*Z51,
((10000/(AE51*BB51))/AZ51)*Z51))</f>
        <v>0</v>
      </c>
      <c r="AG51" s="1011">
        <f t="shared" si="24"/>
        <v>0</v>
      </c>
      <c r="AH51" s="860"/>
      <c r="AI51" s="995"/>
      <c r="AJ51" s="1020"/>
      <c r="AK51" s="997">
        <f t="shared" si="25"/>
        <v>0</v>
      </c>
      <c r="AL51" s="1021"/>
      <c r="AM51" s="1008">
        <f t="shared" si="26"/>
        <v>0</v>
      </c>
      <c r="AN51" s="1011">
        <f t="shared" si="27"/>
        <v>0</v>
      </c>
      <c r="AO51" s="860"/>
      <c r="AP51" s="996"/>
      <c r="AQ51" s="1022">
        <f t="shared" si="28"/>
        <v>0</v>
      </c>
      <c r="AR51" s="994"/>
      <c r="AS51" s="977"/>
      <c r="AT51" s="978">
        <f t="shared" si="42"/>
        <v>0</v>
      </c>
      <c r="AU51" s="919" t="e">
        <f t="shared" si="43"/>
        <v>#DIV/0!</v>
      </c>
      <c r="AV51" s="920" t="e">
        <f t="shared" si="44"/>
        <v>#DIV/0!</v>
      </c>
      <c r="AW51" s="913"/>
      <c r="AX51" s="854"/>
      <c r="AY51" s="914"/>
      <c r="AZ51" s="979"/>
      <c r="BA51" s="855">
        <f t="shared" si="45"/>
        <v>0</v>
      </c>
      <c r="BB51" s="918" t="e">
        <f t="shared" si="46"/>
        <v>#DIV/0!</v>
      </c>
      <c r="BC51" s="917" t="e">
        <f t="shared" si="47"/>
        <v>#DIV/0!</v>
      </c>
      <c r="BD51" s="916"/>
      <c r="BE51" s="855"/>
      <c r="BF51" s="915">
        <f t="shared" si="48"/>
        <v>1</v>
      </c>
      <c r="BG51" s="980"/>
      <c r="BH51" s="856"/>
      <c r="BI51" s="857">
        <f t="shared" si="49"/>
        <v>0</v>
      </c>
      <c r="BJ51" s="981">
        <f t="shared" si="50"/>
        <v>-1</v>
      </c>
      <c r="BK51" s="858"/>
      <c r="BL51" s="856"/>
      <c r="BM51" s="859">
        <f t="shared" si="51"/>
        <v>0</v>
      </c>
    </row>
    <row r="52" spans="1:65" ht="35.1" customHeight="1" x14ac:dyDescent="0.25">
      <c r="A52" s="963"/>
      <c r="B52" s="964"/>
      <c r="C52" s="965"/>
      <c r="D52" s="966"/>
      <c r="E52" s="965"/>
      <c r="F52" s="965"/>
      <c r="G52" s="967"/>
      <c r="H52" s="968"/>
      <c r="I52" s="861" t="e">
        <f t="shared" si="29"/>
        <v>#DIV/0!</v>
      </c>
      <c r="J52" s="983" t="e">
        <f t="shared" si="30"/>
        <v>#DIV/0!</v>
      </c>
      <c r="K52" s="993"/>
      <c r="L52" s="861" t="e">
        <f t="shared" si="31"/>
        <v>#DIV/0!</v>
      </c>
      <c r="M52" s="984" t="e">
        <f t="shared" si="32"/>
        <v>#DIV/0!</v>
      </c>
      <c r="N52" s="992"/>
      <c r="O52" s="907" t="e">
        <f t="shared" si="33"/>
        <v>#REF!</v>
      </c>
      <c r="P52" s="985" t="e">
        <f>(#REF!*#REF!)/1000</f>
        <v>#REF!</v>
      </c>
      <c r="Q52" s="990" t="e">
        <f t="shared" si="34"/>
        <v>#REF!</v>
      </c>
      <c r="R52" s="970" t="e">
        <f t="shared" si="35"/>
        <v>#REF!</v>
      </c>
      <c r="S52" s="969" t="e">
        <f t="shared" si="36"/>
        <v>#DIV/0!</v>
      </c>
      <c r="T52" s="909" t="e">
        <f t="shared" si="37"/>
        <v>#DIV/0!</v>
      </c>
      <c r="U52" s="986" t="e">
        <f t="shared" si="38"/>
        <v>#DIV/0!</v>
      </c>
      <c r="V52" s="988">
        <f t="shared" si="39"/>
        <v>0</v>
      </c>
      <c r="W52" s="970">
        <f t="shared" si="40"/>
        <v>0</v>
      </c>
      <c r="X52" s="971" t="e">
        <f t="shared" si="41"/>
        <v>#DIV/0!</v>
      </c>
      <c r="Y52" s="847"/>
      <c r="Z52" s="911" t="e">
        <f t="shared" si="23"/>
        <v>#DIV/0!</v>
      </c>
      <c r="AA52" s="1006"/>
      <c r="AB52" s="997">
        <f>IF(AA52=0,0,
IF('Calcul_Densité+Dose'!B52="2x2",((10000/(AA52*BB52))/4)*Z52,
((10000/(AA52*BB52))/AZ52)*Z52))</f>
        <v>0</v>
      </c>
      <c r="AC52" s="1007"/>
      <c r="AD52" s="1008">
        <f>IF(AC52=0,0,
IF('Calcul_Densité+Dose'!B52="2x2",((10000/(AC52*BB52))/2)*Z52,
((10000/(AC52*BB52))/AZ52)*Z52))</f>
        <v>0</v>
      </c>
      <c r="AE52" s="1009"/>
      <c r="AF52" s="1010">
        <f>IF(AE52=0,0,
IF('Calcul_Densité+Dose'!B52="2x2",((10000/(AE52*BB52))/4)*Z52,
((10000/(AE52*BB52))/AZ52)*Z52))</f>
        <v>0</v>
      </c>
      <c r="AG52" s="1011">
        <f t="shared" si="24"/>
        <v>0</v>
      </c>
      <c r="AH52" s="860"/>
      <c r="AI52" s="995"/>
      <c r="AJ52" s="1020"/>
      <c r="AK52" s="997">
        <f t="shared" si="25"/>
        <v>0</v>
      </c>
      <c r="AL52" s="1021"/>
      <c r="AM52" s="1008">
        <f t="shared" si="26"/>
        <v>0</v>
      </c>
      <c r="AN52" s="1011">
        <f t="shared" si="27"/>
        <v>0</v>
      </c>
      <c r="AO52" s="860"/>
      <c r="AP52" s="996"/>
      <c r="AQ52" s="1022">
        <f t="shared" si="28"/>
        <v>0</v>
      </c>
      <c r="AR52" s="994"/>
      <c r="AS52" s="977"/>
      <c r="AT52" s="978">
        <f t="shared" si="42"/>
        <v>0</v>
      </c>
      <c r="AU52" s="919" t="e">
        <f t="shared" si="43"/>
        <v>#DIV/0!</v>
      </c>
      <c r="AV52" s="920" t="e">
        <f t="shared" si="44"/>
        <v>#DIV/0!</v>
      </c>
      <c r="AW52" s="913"/>
      <c r="AX52" s="854"/>
      <c r="AY52" s="914"/>
      <c r="AZ52" s="979"/>
      <c r="BA52" s="855">
        <f t="shared" si="45"/>
        <v>0</v>
      </c>
      <c r="BB52" s="918" t="e">
        <f t="shared" si="46"/>
        <v>#DIV/0!</v>
      </c>
      <c r="BC52" s="917" t="e">
        <f t="shared" si="47"/>
        <v>#DIV/0!</v>
      </c>
      <c r="BD52" s="916"/>
      <c r="BE52" s="855"/>
      <c r="BF52" s="915">
        <f t="shared" si="48"/>
        <v>1</v>
      </c>
      <c r="BG52" s="980"/>
      <c r="BH52" s="856"/>
      <c r="BI52" s="857">
        <f t="shared" si="49"/>
        <v>0</v>
      </c>
      <c r="BJ52" s="981">
        <f t="shared" si="50"/>
        <v>-1</v>
      </c>
      <c r="BK52" s="858"/>
      <c r="BL52" s="856"/>
      <c r="BM52" s="859">
        <f t="shared" si="51"/>
        <v>0</v>
      </c>
    </row>
    <row r="53" spans="1:65" ht="35.1" customHeight="1" x14ac:dyDescent="0.25">
      <c r="A53" s="963"/>
      <c r="B53" s="964"/>
      <c r="C53" s="965"/>
      <c r="D53" s="966"/>
      <c r="E53" s="965"/>
      <c r="F53" s="965"/>
      <c r="G53" s="967"/>
      <c r="H53" s="968"/>
      <c r="I53" s="861" t="e">
        <f t="shared" si="29"/>
        <v>#DIV/0!</v>
      </c>
      <c r="J53" s="983" t="e">
        <f t="shared" si="30"/>
        <v>#DIV/0!</v>
      </c>
      <c r="K53" s="993"/>
      <c r="L53" s="861" t="e">
        <f t="shared" si="31"/>
        <v>#DIV/0!</v>
      </c>
      <c r="M53" s="984" t="e">
        <f t="shared" si="32"/>
        <v>#DIV/0!</v>
      </c>
      <c r="N53" s="992"/>
      <c r="O53" s="907" t="e">
        <f t="shared" si="33"/>
        <v>#REF!</v>
      </c>
      <c r="P53" s="985" t="e">
        <f>(#REF!*#REF!)/1000</f>
        <v>#REF!</v>
      </c>
      <c r="Q53" s="990" t="e">
        <f t="shared" si="34"/>
        <v>#REF!</v>
      </c>
      <c r="R53" s="970" t="e">
        <f t="shared" si="35"/>
        <v>#REF!</v>
      </c>
      <c r="S53" s="969" t="e">
        <f t="shared" si="36"/>
        <v>#DIV/0!</v>
      </c>
      <c r="T53" s="909" t="e">
        <f t="shared" si="37"/>
        <v>#DIV/0!</v>
      </c>
      <c r="U53" s="986" t="e">
        <f t="shared" si="38"/>
        <v>#DIV/0!</v>
      </c>
      <c r="V53" s="988">
        <f t="shared" si="39"/>
        <v>0</v>
      </c>
      <c r="W53" s="970">
        <f t="shared" si="40"/>
        <v>0</v>
      </c>
      <c r="X53" s="971" t="e">
        <f t="shared" si="41"/>
        <v>#DIV/0!</v>
      </c>
      <c r="Y53" s="847"/>
      <c r="Z53" s="911" t="e">
        <f t="shared" si="23"/>
        <v>#DIV/0!</v>
      </c>
      <c r="AA53" s="1006"/>
      <c r="AB53" s="997">
        <f>IF(AA53=0,0,
IF('Calcul_Densité+Dose'!B53="2x2",((10000/(AA53*BB53))/4)*Z53,
((10000/(AA53*BB53))/AZ53)*Z53))</f>
        <v>0</v>
      </c>
      <c r="AC53" s="1007"/>
      <c r="AD53" s="1008">
        <f>IF(AC53=0,0,
IF('Calcul_Densité+Dose'!B53="2x2",((10000/(AC53*BB53))/2)*Z53,
((10000/(AC53*BB53))/AZ53)*Z53))</f>
        <v>0</v>
      </c>
      <c r="AE53" s="1009"/>
      <c r="AF53" s="1010">
        <f>IF(AE53=0,0,
IF('Calcul_Densité+Dose'!B53="2x2",((10000/(AE53*BB53))/4)*Z53,
((10000/(AE53*BB53))/AZ53)*Z53))</f>
        <v>0</v>
      </c>
      <c r="AG53" s="1011">
        <f t="shared" si="24"/>
        <v>0</v>
      </c>
      <c r="AH53" s="860"/>
      <c r="AI53" s="995"/>
      <c r="AJ53" s="1020"/>
      <c r="AK53" s="997">
        <f t="shared" si="25"/>
        <v>0</v>
      </c>
      <c r="AL53" s="1021"/>
      <c r="AM53" s="1008">
        <f t="shared" si="26"/>
        <v>0</v>
      </c>
      <c r="AN53" s="1011">
        <f t="shared" si="27"/>
        <v>0</v>
      </c>
      <c r="AO53" s="860"/>
      <c r="AP53" s="996"/>
      <c r="AQ53" s="1022">
        <f t="shared" si="28"/>
        <v>0</v>
      </c>
      <c r="AR53" s="994"/>
      <c r="AS53" s="977"/>
      <c r="AT53" s="978">
        <f t="shared" si="42"/>
        <v>0</v>
      </c>
      <c r="AU53" s="919" t="e">
        <f t="shared" si="43"/>
        <v>#DIV/0!</v>
      </c>
      <c r="AV53" s="920" t="e">
        <f t="shared" si="44"/>
        <v>#DIV/0!</v>
      </c>
      <c r="AW53" s="913"/>
      <c r="AX53" s="854"/>
      <c r="AY53" s="914"/>
      <c r="AZ53" s="979"/>
      <c r="BA53" s="855">
        <f t="shared" si="45"/>
        <v>0</v>
      </c>
      <c r="BB53" s="918" t="e">
        <f t="shared" si="46"/>
        <v>#DIV/0!</v>
      </c>
      <c r="BC53" s="917" t="e">
        <f t="shared" si="47"/>
        <v>#DIV/0!</v>
      </c>
      <c r="BD53" s="916"/>
      <c r="BE53" s="855"/>
      <c r="BF53" s="915">
        <f t="shared" si="48"/>
        <v>1</v>
      </c>
      <c r="BG53" s="980"/>
      <c r="BH53" s="856"/>
      <c r="BI53" s="857">
        <f t="shared" si="49"/>
        <v>0</v>
      </c>
      <c r="BJ53" s="981">
        <f t="shared" si="50"/>
        <v>-1</v>
      </c>
      <c r="BK53" s="858"/>
      <c r="BL53" s="856"/>
      <c r="BM53" s="859">
        <f t="shared" si="51"/>
        <v>0</v>
      </c>
    </row>
    <row r="54" spans="1:65" ht="35.1" customHeight="1" x14ac:dyDescent="0.25">
      <c r="A54" s="963"/>
      <c r="B54" s="964"/>
      <c r="C54" s="965"/>
      <c r="D54" s="966"/>
      <c r="E54" s="965"/>
      <c r="F54" s="965"/>
      <c r="G54" s="967"/>
      <c r="H54" s="968"/>
      <c r="I54" s="861" t="e">
        <f t="shared" si="29"/>
        <v>#DIV/0!</v>
      </c>
      <c r="J54" s="983" t="e">
        <f t="shared" si="30"/>
        <v>#DIV/0!</v>
      </c>
      <c r="K54" s="993"/>
      <c r="L54" s="861" t="e">
        <f t="shared" si="31"/>
        <v>#DIV/0!</v>
      </c>
      <c r="M54" s="984" t="e">
        <f t="shared" si="32"/>
        <v>#DIV/0!</v>
      </c>
      <c r="N54" s="992"/>
      <c r="O54" s="907" t="e">
        <f t="shared" si="33"/>
        <v>#REF!</v>
      </c>
      <c r="P54" s="985" t="e">
        <f>(#REF!*#REF!)/1000</f>
        <v>#REF!</v>
      </c>
      <c r="Q54" s="990" t="e">
        <f t="shared" si="34"/>
        <v>#REF!</v>
      </c>
      <c r="R54" s="970" t="e">
        <f t="shared" si="35"/>
        <v>#REF!</v>
      </c>
      <c r="S54" s="969" t="e">
        <f t="shared" si="36"/>
        <v>#DIV/0!</v>
      </c>
      <c r="T54" s="909" t="e">
        <f t="shared" si="37"/>
        <v>#DIV/0!</v>
      </c>
      <c r="U54" s="986" t="e">
        <f t="shared" si="38"/>
        <v>#DIV/0!</v>
      </c>
      <c r="V54" s="988">
        <f t="shared" si="39"/>
        <v>0</v>
      </c>
      <c r="W54" s="970">
        <f t="shared" si="40"/>
        <v>0</v>
      </c>
      <c r="X54" s="971" t="e">
        <f t="shared" si="41"/>
        <v>#DIV/0!</v>
      </c>
      <c r="Y54" s="847"/>
      <c r="Z54" s="911" t="e">
        <f t="shared" si="23"/>
        <v>#DIV/0!</v>
      </c>
      <c r="AA54" s="1006"/>
      <c r="AB54" s="997">
        <f>IF(AA54=0,0,
IF('Calcul_Densité+Dose'!B54="2x2",((10000/(AA54*BB54))/4)*Z54,
((10000/(AA54*BB54))/AZ54)*Z54))</f>
        <v>0</v>
      </c>
      <c r="AC54" s="1007"/>
      <c r="AD54" s="1008">
        <f>IF(AC54=0,0,
IF('Calcul_Densité+Dose'!B54="2x2",((10000/(AC54*BB54))/2)*Z54,
((10000/(AC54*BB54))/AZ54)*Z54))</f>
        <v>0</v>
      </c>
      <c r="AE54" s="1009"/>
      <c r="AF54" s="1010">
        <f>IF(AE54=0,0,
IF('Calcul_Densité+Dose'!B54="2x2",((10000/(AE54*BB54))/4)*Z54,
((10000/(AE54*BB54))/AZ54)*Z54))</f>
        <v>0</v>
      </c>
      <c r="AG54" s="1011">
        <f t="shared" si="24"/>
        <v>0</v>
      </c>
      <c r="AH54" s="860"/>
      <c r="AI54" s="995"/>
      <c r="AJ54" s="1020"/>
      <c r="AK54" s="997">
        <f t="shared" si="25"/>
        <v>0</v>
      </c>
      <c r="AL54" s="1021"/>
      <c r="AM54" s="1008">
        <f t="shared" si="26"/>
        <v>0</v>
      </c>
      <c r="AN54" s="1011">
        <f t="shared" si="27"/>
        <v>0</v>
      </c>
      <c r="AO54" s="860"/>
      <c r="AP54" s="996"/>
      <c r="AQ54" s="1022">
        <f t="shared" si="28"/>
        <v>0</v>
      </c>
      <c r="AR54" s="994"/>
      <c r="AS54" s="977"/>
      <c r="AT54" s="978">
        <f t="shared" si="42"/>
        <v>0</v>
      </c>
      <c r="AU54" s="919" t="e">
        <f t="shared" si="43"/>
        <v>#DIV/0!</v>
      </c>
      <c r="AV54" s="920" t="e">
        <f t="shared" si="44"/>
        <v>#DIV/0!</v>
      </c>
      <c r="AW54" s="913"/>
      <c r="AX54" s="854"/>
      <c r="AY54" s="914"/>
      <c r="AZ54" s="979"/>
      <c r="BA54" s="855">
        <f t="shared" si="45"/>
        <v>0</v>
      </c>
      <c r="BB54" s="918" t="e">
        <f t="shared" si="46"/>
        <v>#DIV/0!</v>
      </c>
      <c r="BC54" s="917" t="e">
        <f t="shared" si="47"/>
        <v>#DIV/0!</v>
      </c>
      <c r="BD54" s="916"/>
      <c r="BE54" s="855"/>
      <c r="BF54" s="915">
        <f t="shared" si="48"/>
        <v>1</v>
      </c>
      <c r="BG54" s="980"/>
      <c r="BH54" s="856"/>
      <c r="BI54" s="857">
        <f t="shared" si="49"/>
        <v>0</v>
      </c>
      <c r="BJ54" s="981">
        <f t="shared" si="50"/>
        <v>-1</v>
      </c>
      <c r="BK54" s="858"/>
      <c r="BL54" s="856"/>
      <c r="BM54" s="859">
        <f t="shared" si="51"/>
        <v>0</v>
      </c>
    </row>
    <row r="55" spans="1:65" ht="35.1" customHeight="1" x14ac:dyDescent="0.25">
      <c r="A55" s="963"/>
      <c r="B55" s="964"/>
      <c r="C55" s="965"/>
      <c r="D55" s="966"/>
      <c r="E55" s="965"/>
      <c r="F55" s="965"/>
      <c r="G55" s="967"/>
      <c r="H55" s="968"/>
      <c r="I55" s="861" t="e">
        <f t="shared" si="29"/>
        <v>#DIV/0!</v>
      </c>
      <c r="J55" s="983" t="e">
        <f t="shared" si="30"/>
        <v>#DIV/0!</v>
      </c>
      <c r="K55" s="993"/>
      <c r="L55" s="861" t="e">
        <f t="shared" si="31"/>
        <v>#DIV/0!</v>
      </c>
      <c r="M55" s="984" t="e">
        <f t="shared" si="32"/>
        <v>#DIV/0!</v>
      </c>
      <c r="N55" s="992"/>
      <c r="O55" s="907" t="e">
        <f t="shared" si="33"/>
        <v>#REF!</v>
      </c>
      <c r="P55" s="985" t="e">
        <f>(#REF!*#REF!)/1000</f>
        <v>#REF!</v>
      </c>
      <c r="Q55" s="990" t="e">
        <f t="shared" si="34"/>
        <v>#REF!</v>
      </c>
      <c r="R55" s="970" t="e">
        <f t="shared" si="35"/>
        <v>#REF!</v>
      </c>
      <c r="S55" s="969" t="e">
        <f t="shared" si="36"/>
        <v>#DIV/0!</v>
      </c>
      <c r="T55" s="909" t="e">
        <f t="shared" si="37"/>
        <v>#DIV/0!</v>
      </c>
      <c r="U55" s="986" t="e">
        <f t="shared" si="38"/>
        <v>#DIV/0!</v>
      </c>
      <c r="V55" s="988">
        <f t="shared" si="39"/>
        <v>0</v>
      </c>
      <c r="W55" s="970">
        <f t="shared" si="40"/>
        <v>0</v>
      </c>
      <c r="X55" s="971" t="e">
        <f t="shared" si="41"/>
        <v>#DIV/0!</v>
      </c>
      <c r="Y55" s="847"/>
      <c r="Z55" s="911" t="e">
        <f t="shared" si="23"/>
        <v>#DIV/0!</v>
      </c>
      <c r="AA55" s="1006"/>
      <c r="AB55" s="997">
        <f>IF(AA55=0,0,
IF('Calcul_Densité+Dose'!B55="2x2",((10000/(AA55*BB55))/4)*Z55,
((10000/(AA55*BB55))/AZ55)*Z55))</f>
        <v>0</v>
      </c>
      <c r="AC55" s="1007"/>
      <c r="AD55" s="1008">
        <f>IF(AC55=0,0,
IF('Calcul_Densité+Dose'!B55="2x2",((10000/(AC55*BB55))/2)*Z55,
((10000/(AC55*BB55))/AZ55)*Z55))</f>
        <v>0</v>
      </c>
      <c r="AE55" s="1009"/>
      <c r="AF55" s="1010">
        <f>IF(AE55=0,0,
IF('Calcul_Densité+Dose'!B55="2x2",((10000/(AE55*BB55))/4)*Z55,
((10000/(AE55*BB55))/AZ55)*Z55))</f>
        <v>0</v>
      </c>
      <c r="AG55" s="1011">
        <f t="shared" si="24"/>
        <v>0</v>
      </c>
      <c r="AH55" s="860"/>
      <c r="AI55" s="995"/>
      <c r="AJ55" s="1020"/>
      <c r="AK55" s="997">
        <f t="shared" si="25"/>
        <v>0</v>
      </c>
      <c r="AL55" s="1021"/>
      <c r="AM55" s="1008">
        <f t="shared" si="26"/>
        <v>0</v>
      </c>
      <c r="AN55" s="1011">
        <f t="shared" si="27"/>
        <v>0</v>
      </c>
      <c r="AO55" s="860"/>
      <c r="AP55" s="996"/>
      <c r="AQ55" s="1022">
        <f t="shared" si="28"/>
        <v>0</v>
      </c>
      <c r="AR55" s="994"/>
      <c r="AS55" s="977"/>
      <c r="AT55" s="978">
        <f t="shared" si="42"/>
        <v>0</v>
      </c>
      <c r="AU55" s="919" t="e">
        <f t="shared" si="43"/>
        <v>#DIV/0!</v>
      </c>
      <c r="AV55" s="920" t="e">
        <f t="shared" si="44"/>
        <v>#DIV/0!</v>
      </c>
      <c r="AW55" s="913"/>
      <c r="AX55" s="854"/>
      <c r="AY55" s="914"/>
      <c r="AZ55" s="979"/>
      <c r="BA55" s="855">
        <f t="shared" si="45"/>
        <v>0</v>
      </c>
      <c r="BB55" s="918" t="e">
        <f t="shared" si="46"/>
        <v>#DIV/0!</v>
      </c>
      <c r="BC55" s="917" t="e">
        <f t="shared" si="47"/>
        <v>#DIV/0!</v>
      </c>
      <c r="BD55" s="916"/>
      <c r="BE55" s="855"/>
      <c r="BF55" s="915">
        <f t="shared" si="48"/>
        <v>1</v>
      </c>
      <c r="BG55" s="980"/>
      <c r="BH55" s="856"/>
      <c r="BI55" s="857">
        <f t="shared" si="49"/>
        <v>0</v>
      </c>
      <c r="BJ55" s="981">
        <f t="shared" si="50"/>
        <v>-1</v>
      </c>
      <c r="BK55" s="858"/>
      <c r="BL55" s="856"/>
      <c r="BM55" s="859">
        <f t="shared" si="51"/>
        <v>0</v>
      </c>
    </row>
    <row r="56" spans="1:65" ht="35.1" customHeight="1" x14ac:dyDescent="0.25">
      <c r="A56" s="963"/>
      <c r="B56" s="964"/>
      <c r="C56" s="965"/>
      <c r="D56" s="966"/>
      <c r="E56" s="965"/>
      <c r="F56" s="965"/>
      <c r="G56" s="967"/>
      <c r="H56" s="968"/>
      <c r="I56" s="861" t="e">
        <f t="shared" si="29"/>
        <v>#DIV/0!</v>
      </c>
      <c r="J56" s="983" t="e">
        <f t="shared" si="30"/>
        <v>#DIV/0!</v>
      </c>
      <c r="K56" s="993"/>
      <c r="L56" s="861" t="e">
        <f t="shared" si="31"/>
        <v>#DIV/0!</v>
      </c>
      <c r="M56" s="984" t="e">
        <f t="shared" si="32"/>
        <v>#DIV/0!</v>
      </c>
      <c r="N56" s="992"/>
      <c r="O56" s="907" t="e">
        <f t="shared" si="33"/>
        <v>#REF!</v>
      </c>
      <c r="P56" s="985" t="e">
        <f>(#REF!*#REF!)/1000</f>
        <v>#REF!</v>
      </c>
      <c r="Q56" s="990" t="e">
        <f t="shared" si="34"/>
        <v>#REF!</v>
      </c>
      <c r="R56" s="970" t="e">
        <f t="shared" si="35"/>
        <v>#REF!</v>
      </c>
      <c r="S56" s="969" t="e">
        <f t="shared" si="36"/>
        <v>#DIV/0!</v>
      </c>
      <c r="T56" s="909" t="e">
        <f t="shared" si="37"/>
        <v>#DIV/0!</v>
      </c>
      <c r="U56" s="986" t="e">
        <f t="shared" si="38"/>
        <v>#DIV/0!</v>
      </c>
      <c r="V56" s="988">
        <f t="shared" si="39"/>
        <v>0</v>
      </c>
      <c r="W56" s="970">
        <f t="shared" si="40"/>
        <v>0</v>
      </c>
      <c r="X56" s="971" t="e">
        <f t="shared" si="41"/>
        <v>#DIV/0!</v>
      </c>
      <c r="Y56" s="847"/>
      <c r="Z56" s="911" t="e">
        <f t="shared" si="23"/>
        <v>#DIV/0!</v>
      </c>
      <c r="AA56" s="1006"/>
      <c r="AB56" s="997">
        <f>IF(AA56=0,0,
IF('Calcul_Densité+Dose'!B56="2x2",((10000/(AA56*BB56))/4)*Z56,
((10000/(AA56*BB56))/AZ56)*Z56))</f>
        <v>0</v>
      </c>
      <c r="AC56" s="1007"/>
      <c r="AD56" s="1008">
        <f>IF(AC56=0,0,
IF('Calcul_Densité+Dose'!B56="2x2",((10000/(AC56*BB56))/2)*Z56,
((10000/(AC56*BB56))/AZ56)*Z56))</f>
        <v>0</v>
      </c>
      <c r="AE56" s="1009"/>
      <c r="AF56" s="1010">
        <f>IF(AE56=0,0,
IF('Calcul_Densité+Dose'!B56="2x2",((10000/(AE56*BB56))/4)*Z56,
((10000/(AE56*BB56))/AZ56)*Z56))</f>
        <v>0</v>
      </c>
      <c r="AG56" s="1011">
        <f t="shared" si="24"/>
        <v>0</v>
      </c>
      <c r="AH56" s="860"/>
      <c r="AI56" s="995"/>
      <c r="AJ56" s="1020"/>
      <c r="AK56" s="997">
        <f t="shared" si="25"/>
        <v>0</v>
      </c>
      <c r="AL56" s="1021"/>
      <c r="AM56" s="1008">
        <f t="shared" si="26"/>
        <v>0</v>
      </c>
      <c r="AN56" s="1011">
        <f t="shared" si="27"/>
        <v>0</v>
      </c>
      <c r="AO56" s="860"/>
      <c r="AP56" s="996"/>
      <c r="AQ56" s="1022">
        <f t="shared" si="28"/>
        <v>0</v>
      </c>
      <c r="AR56" s="994"/>
      <c r="AS56" s="977"/>
      <c r="AT56" s="978">
        <f t="shared" si="42"/>
        <v>0</v>
      </c>
      <c r="AU56" s="919" t="e">
        <f t="shared" si="43"/>
        <v>#DIV/0!</v>
      </c>
      <c r="AV56" s="920" t="e">
        <f t="shared" si="44"/>
        <v>#DIV/0!</v>
      </c>
      <c r="AW56" s="913"/>
      <c r="AX56" s="854"/>
      <c r="AY56" s="914"/>
      <c r="AZ56" s="979"/>
      <c r="BA56" s="855">
        <f t="shared" si="45"/>
        <v>0</v>
      </c>
      <c r="BB56" s="918" t="e">
        <f t="shared" si="46"/>
        <v>#DIV/0!</v>
      </c>
      <c r="BC56" s="917" t="e">
        <f t="shared" si="47"/>
        <v>#DIV/0!</v>
      </c>
      <c r="BD56" s="916"/>
      <c r="BE56" s="855"/>
      <c r="BF56" s="915">
        <f t="shared" si="48"/>
        <v>1</v>
      </c>
      <c r="BG56" s="980"/>
      <c r="BH56" s="856"/>
      <c r="BI56" s="857">
        <f t="shared" si="49"/>
        <v>0</v>
      </c>
      <c r="BJ56" s="981">
        <f t="shared" si="50"/>
        <v>-1</v>
      </c>
      <c r="BK56" s="858"/>
      <c r="BL56" s="856"/>
      <c r="BM56" s="859">
        <f t="shared" si="51"/>
        <v>0</v>
      </c>
    </row>
    <row r="57" spans="1:65" ht="35.1" customHeight="1" x14ac:dyDescent="0.25">
      <c r="A57" s="963"/>
      <c r="B57" s="964"/>
      <c r="C57" s="965"/>
      <c r="D57" s="966"/>
      <c r="E57" s="965"/>
      <c r="F57" s="965"/>
      <c r="G57" s="967"/>
      <c r="H57" s="968"/>
      <c r="I57" s="861" t="e">
        <f t="shared" si="29"/>
        <v>#DIV/0!</v>
      </c>
      <c r="J57" s="983" t="e">
        <f t="shared" si="30"/>
        <v>#DIV/0!</v>
      </c>
      <c r="K57" s="993"/>
      <c r="L57" s="861" t="e">
        <f t="shared" si="31"/>
        <v>#DIV/0!</v>
      </c>
      <c r="M57" s="984" t="e">
        <f t="shared" si="32"/>
        <v>#DIV/0!</v>
      </c>
      <c r="N57" s="992"/>
      <c r="O57" s="907" t="e">
        <f t="shared" si="33"/>
        <v>#REF!</v>
      </c>
      <c r="P57" s="985" t="e">
        <f>(#REF!*#REF!)/1000</f>
        <v>#REF!</v>
      </c>
      <c r="Q57" s="990" t="e">
        <f t="shared" si="34"/>
        <v>#REF!</v>
      </c>
      <c r="R57" s="970" t="e">
        <f t="shared" si="35"/>
        <v>#REF!</v>
      </c>
      <c r="S57" s="969" t="e">
        <f t="shared" si="36"/>
        <v>#DIV/0!</v>
      </c>
      <c r="T57" s="909" t="e">
        <f t="shared" si="37"/>
        <v>#DIV/0!</v>
      </c>
      <c r="U57" s="986" t="e">
        <f t="shared" si="38"/>
        <v>#DIV/0!</v>
      </c>
      <c r="V57" s="988">
        <f t="shared" si="39"/>
        <v>0</v>
      </c>
      <c r="W57" s="970">
        <f t="shared" si="40"/>
        <v>0</v>
      </c>
      <c r="X57" s="971" t="e">
        <f t="shared" si="41"/>
        <v>#DIV/0!</v>
      </c>
      <c r="Y57" s="847"/>
      <c r="Z57" s="911" t="e">
        <f t="shared" si="23"/>
        <v>#DIV/0!</v>
      </c>
      <c r="AA57" s="1006"/>
      <c r="AB57" s="997">
        <f>IF(AA57=0,0,
IF('Calcul_Densité+Dose'!B57="2x2",((10000/(AA57*BB57))/4)*Z57,
((10000/(AA57*BB57))/AZ57)*Z57))</f>
        <v>0</v>
      </c>
      <c r="AC57" s="1007"/>
      <c r="AD57" s="1008">
        <f>IF(AC57=0,0,
IF('Calcul_Densité+Dose'!B57="2x2",((10000/(AC57*BB57))/2)*Z57,
((10000/(AC57*BB57))/AZ57)*Z57))</f>
        <v>0</v>
      </c>
      <c r="AE57" s="1009"/>
      <c r="AF57" s="1010">
        <f>IF(AE57=0,0,
IF('Calcul_Densité+Dose'!B57="2x2",((10000/(AE57*BB57))/4)*Z57,
((10000/(AE57*BB57))/AZ57)*Z57))</f>
        <v>0</v>
      </c>
      <c r="AG57" s="1011">
        <f t="shared" si="24"/>
        <v>0</v>
      </c>
      <c r="AH57" s="860"/>
      <c r="AI57" s="995"/>
      <c r="AJ57" s="1020"/>
      <c r="AK57" s="997">
        <f t="shared" si="25"/>
        <v>0</v>
      </c>
      <c r="AL57" s="1021"/>
      <c r="AM57" s="1008">
        <f t="shared" si="26"/>
        <v>0</v>
      </c>
      <c r="AN57" s="1011">
        <f t="shared" si="27"/>
        <v>0</v>
      </c>
      <c r="AO57" s="860"/>
      <c r="AP57" s="996"/>
      <c r="AQ57" s="1022">
        <f t="shared" si="28"/>
        <v>0</v>
      </c>
      <c r="AR57" s="994"/>
      <c r="AS57" s="977"/>
      <c r="AT57" s="978">
        <f t="shared" si="42"/>
        <v>0</v>
      </c>
      <c r="AU57" s="919" t="e">
        <f t="shared" si="43"/>
        <v>#DIV/0!</v>
      </c>
      <c r="AV57" s="920" t="e">
        <f t="shared" si="44"/>
        <v>#DIV/0!</v>
      </c>
      <c r="AW57" s="913"/>
      <c r="AX57" s="854"/>
      <c r="AY57" s="914"/>
      <c r="AZ57" s="979"/>
      <c r="BA57" s="855">
        <f t="shared" si="45"/>
        <v>0</v>
      </c>
      <c r="BB57" s="918" t="e">
        <f t="shared" si="46"/>
        <v>#DIV/0!</v>
      </c>
      <c r="BC57" s="917" t="e">
        <f t="shared" si="47"/>
        <v>#DIV/0!</v>
      </c>
      <c r="BD57" s="916"/>
      <c r="BE57" s="855"/>
      <c r="BF57" s="915">
        <f t="shared" si="48"/>
        <v>1</v>
      </c>
      <c r="BG57" s="980"/>
      <c r="BH57" s="856"/>
      <c r="BI57" s="857">
        <f t="shared" si="49"/>
        <v>0</v>
      </c>
      <c r="BJ57" s="981">
        <f t="shared" si="50"/>
        <v>-1</v>
      </c>
      <c r="BK57" s="858"/>
      <c r="BL57" s="856"/>
      <c r="BM57" s="859">
        <f t="shared" si="51"/>
        <v>0</v>
      </c>
    </row>
    <row r="58" spans="1:65" ht="35.1" customHeight="1" x14ac:dyDescent="0.25">
      <c r="A58" s="963"/>
      <c r="B58" s="964"/>
      <c r="C58" s="965"/>
      <c r="D58" s="966"/>
      <c r="E58" s="965"/>
      <c r="F58" s="965"/>
      <c r="G58" s="967"/>
      <c r="H58" s="968"/>
      <c r="I58" s="861" t="e">
        <f t="shared" si="29"/>
        <v>#DIV/0!</v>
      </c>
      <c r="J58" s="983" t="e">
        <f t="shared" si="30"/>
        <v>#DIV/0!</v>
      </c>
      <c r="K58" s="993"/>
      <c r="L58" s="861" t="e">
        <f t="shared" si="31"/>
        <v>#DIV/0!</v>
      </c>
      <c r="M58" s="984" t="e">
        <f t="shared" si="32"/>
        <v>#DIV/0!</v>
      </c>
      <c r="N58" s="992"/>
      <c r="O58" s="907" t="e">
        <f t="shared" si="33"/>
        <v>#REF!</v>
      </c>
      <c r="P58" s="985" t="e">
        <f>(#REF!*#REF!)/1000</f>
        <v>#REF!</v>
      </c>
      <c r="Q58" s="990" t="e">
        <f t="shared" si="34"/>
        <v>#REF!</v>
      </c>
      <c r="R58" s="970" t="e">
        <f t="shared" si="35"/>
        <v>#REF!</v>
      </c>
      <c r="S58" s="969" t="e">
        <f t="shared" si="36"/>
        <v>#DIV/0!</v>
      </c>
      <c r="T58" s="909" t="e">
        <f t="shared" si="37"/>
        <v>#DIV/0!</v>
      </c>
      <c r="U58" s="986" t="e">
        <f t="shared" si="38"/>
        <v>#DIV/0!</v>
      </c>
      <c r="V58" s="988">
        <f t="shared" si="39"/>
        <v>0</v>
      </c>
      <c r="W58" s="970">
        <f t="shared" si="40"/>
        <v>0</v>
      </c>
      <c r="X58" s="971" t="e">
        <f t="shared" si="41"/>
        <v>#DIV/0!</v>
      </c>
      <c r="Y58" s="847"/>
      <c r="Z58" s="911" t="e">
        <f t="shared" si="23"/>
        <v>#DIV/0!</v>
      </c>
      <c r="AA58" s="1006"/>
      <c r="AB58" s="997">
        <f>IF(AA58=0,0,
IF('Calcul_Densité+Dose'!B58="2x2",((10000/(AA58*BB58))/4)*Z58,
((10000/(AA58*BB58))/AZ58)*Z58))</f>
        <v>0</v>
      </c>
      <c r="AC58" s="1007"/>
      <c r="AD58" s="1008">
        <f>IF(AC58=0,0,
IF('Calcul_Densité+Dose'!B58="2x2",((10000/(AC58*BB58))/2)*Z58,
((10000/(AC58*BB58))/AZ58)*Z58))</f>
        <v>0</v>
      </c>
      <c r="AE58" s="1009"/>
      <c r="AF58" s="1010">
        <f>IF(AE58=0,0,
IF('Calcul_Densité+Dose'!B58="2x2",((10000/(AE58*BB58))/4)*Z58,
((10000/(AE58*BB58))/AZ58)*Z58))</f>
        <v>0</v>
      </c>
      <c r="AG58" s="1011">
        <f t="shared" si="24"/>
        <v>0</v>
      </c>
      <c r="AH58" s="860"/>
      <c r="AI58" s="995"/>
      <c r="AJ58" s="1020"/>
      <c r="AK58" s="997">
        <f t="shared" si="25"/>
        <v>0</v>
      </c>
      <c r="AL58" s="1021"/>
      <c r="AM58" s="1008">
        <f t="shared" si="26"/>
        <v>0</v>
      </c>
      <c r="AN58" s="1011">
        <f t="shared" si="27"/>
        <v>0</v>
      </c>
      <c r="AO58" s="860"/>
      <c r="AP58" s="996"/>
      <c r="AQ58" s="1022">
        <f t="shared" si="28"/>
        <v>0</v>
      </c>
      <c r="AR58" s="994"/>
      <c r="AS58" s="977"/>
      <c r="AT58" s="978">
        <f t="shared" si="42"/>
        <v>0</v>
      </c>
      <c r="AU58" s="919" t="e">
        <f t="shared" si="43"/>
        <v>#DIV/0!</v>
      </c>
      <c r="AV58" s="920" t="e">
        <f t="shared" si="44"/>
        <v>#DIV/0!</v>
      </c>
      <c r="AW58" s="913"/>
      <c r="AX58" s="854"/>
      <c r="AY58" s="914"/>
      <c r="AZ58" s="979"/>
      <c r="BA58" s="855">
        <f t="shared" si="45"/>
        <v>0</v>
      </c>
      <c r="BB58" s="918" t="e">
        <f t="shared" si="46"/>
        <v>#DIV/0!</v>
      </c>
      <c r="BC58" s="917" t="e">
        <f t="shared" si="47"/>
        <v>#DIV/0!</v>
      </c>
      <c r="BD58" s="916"/>
      <c r="BE58" s="855"/>
      <c r="BF58" s="915">
        <f t="shared" si="48"/>
        <v>1</v>
      </c>
      <c r="BG58" s="980"/>
      <c r="BH58" s="856"/>
      <c r="BI58" s="857">
        <f t="shared" si="49"/>
        <v>0</v>
      </c>
      <c r="BJ58" s="981">
        <f t="shared" si="50"/>
        <v>-1</v>
      </c>
      <c r="BK58" s="858"/>
      <c r="BL58" s="856"/>
      <c r="BM58" s="859">
        <f t="shared" si="51"/>
        <v>0</v>
      </c>
    </row>
    <row r="59" spans="1:65" ht="35.1" customHeight="1" x14ac:dyDescent="0.25">
      <c r="A59" s="963"/>
      <c r="B59" s="964"/>
      <c r="C59" s="965"/>
      <c r="D59" s="966"/>
      <c r="E59" s="965"/>
      <c r="F59" s="965"/>
      <c r="G59" s="967"/>
      <c r="H59" s="968"/>
      <c r="I59" s="861" t="e">
        <f t="shared" si="29"/>
        <v>#DIV/0!</v>
      </c>
      <c r="J59" s="983" t="e">
        <f t="shared" si="30"/>
        <v>#DIV/0!</v>
      </c>
      <c r="K59" s="993"/>
      <c r="L59" s="861" t="e">
        <f t="shared" si="31"/>
        <v>#DIV/0!</v>
      </c>
      <c r="M59" s="984" t="e">
        <f t="shared" si="32"/>
        <v>#DIV/0!</v>
      </c>
      <c r="N59" s="992"/>
      <c r="O59" s="907" t="e">
        <f t="shared" si="33"/>
        <v>#REF!</v>
      </c>
      <c r="P59" s="985" t="e">
        <f>(#REF!*#REF!)/1000</f>
        <v>#REF!</v>
      </c>
      <c r="Q59" s="990" t="e">
        <f t="shared" si="34"/>
        <v>#REF!</v>
      </c>
      <c r="R59" s="970" t="e">
        <f t="shared" si="35"/>
        <v>#REF!</v>
      </c>
      <c r="S59" s="969" t="e">
        <f t="shared" si="36"/>
        <v>#DIV/0!</v>
      </c>
      <c r="T59" s="909" t="e">
        <f t="shared" si="37"/>
        <v>#DIV/0!</v>
      </c>
      <c r="U59" s="986" t="e">
        <f t="shared" si="38"/>
        <v>#DIV/0!</v>
      </c>
      <c r="V59" s="988">
        <f t="shared" si="39"/>
        <v>0</v>
      </c>
      <c r="W59" s="970">
        <f t="shared" si="40"/>
        <v>0</v>
      </c>
      <c r="X59" s="971" t="e">
        <f t="shared" si="41"/>
        <v>#DIV/0!</v>
      </c>
      <c r="Y59" s="847"/>
      <c r="Z59" s="911" t="e">
        <f t="shared" si="23"/>
        <v>#DIV/0!</v>
      </c>
      <c r="AA59" s="1006"/>
      <c r="AB59" s="997">
        <f>IF(AA59=0,0,
IF('Calcul_Densité+Dose'!B59="2x2",((10000/(AA59*BB59))/4)*Z59,
((10000/(AA59*BB59))/AZ59)*Z59))</f>
        <v>0</v>
      </c>
      <c r="AC59" s="1007"/>
      <c r="AD59" s="1008">
        <f>IF(AC59=0,0,
IF('Calcul_Densité+Dose'!B59="2x2",((10000/(AC59*BB59))/2)*Z59,
((10000/(AC59*BB59))/AZ59)*Z59))</f>
        <v>0</v>
      </c>
      <c r="AE59" s="1009"/>
      <c r="AF59" s="1010">
        <f>IF(AE59=0,0,
IF('Calcul_Densité+Dose'!B59="2x2",((10000/(AE59*BB59))/4)*Z59,
((10000/(AE59*BB59))/AZ59)*Z59))</f>
        <v>0</v>
      </c>
      <c r="AG59" s="1011">
        <f t="shared" si="24"/>
        <v>0</v>
      </c>
      <c r="AH59" s="860"/>
      <c r="AI59" s="995"/>
      <c r="AJ59" s="1020"/>
      <c r="AK59" s="997">
        <f t="shared" si="25"/>
        <v>0</v>
      </c>
      <c r="AL59" s="1021"/>
      <c r="AM59" s="1008">
        <f t="shared" si="26"/>
        <v>0</v>
      </c>
      <c r="AN59" s="1011">
        <f t="shared" si="27"/>
        <v>0</v>
      </c>
      <c r="AO59" s="860"/>
      <c r="AP59" s="996"/>
      <c r="AQ59" s="1022">
        <f t="shared" si="28"/>
        <v>0</v>
      </c>
      <c r="AR59" s="994"/>
      <c r="AS59" s="977"/>
      <c r="AT59" s="978">
        <f t="shared" si="42"/>
        <v>0</v>
      </c>
      <c r="AU59" s="919" t="e">
        <f t="shared" si="43"/>
        <v>#DIV/0!</v>
      </c>
      <c r="AV59" s="920" t="e">
        <f t="shared" si="44"/>
        <v>#DIV/0!</v>
      </c>
      <c r="AW59" s="913"/>
      <c r="AX59" s="854"/>
      <c r="AY59" s="914"/>
      <c r="AZ59" s="979"/>
      <c r="BA59" s="855">
        <f t="shared" si="45"/>
        <v>0</v>
      </c>
      <c r="BB59" s="918" t="e">
        <f t="shared" si="46"/>
        <v>#DIV/0!</v>
      </c>
      <c r="BC59" s="917" t="e">
        <f t="shared" si="47"/>
        <v>#DIV/0!</v>
      </c>
      <c r="BD59" s="916"/>
      <c r="BE59" s="855"/>
      <c r="BF59" s="915">
        <f t="shared" si="48"/>
        <v>1</v>
      </c>
      <c r="BG59" s="980"/>
      <c r="BH59" s="856"/>
      <c r="BI59" s="857">
        <f t="shared" si="49"/>
        <v>0</v>
      </c>
      <c r="BJ59" s="981">
        <f t="shared" si="50"/>
        <v>-1</v>
      </c>
      <c r="BK59" s="858"/>
      <c r="BL59" s="856"/>
      <c r="BM59" s="859">
        <f t="shared" si="51"/>
        <v>0</v>
      </c>
    </row>
    <row r="60" spans="1:65" ht="35.1" customHeight="1" x14ac:dyDescent="0.25">
      <c r="A60" s="963"/>
      <c r="B60" s="964"/>
      <c r="C60" s="965"/>
      <c r="D60" s="966"/>
      <c r="E60" s="965"/>
      <c r="F60" s="965"/>
      <c r="G60" s="967"/>
      <c r="H60" s="968"/>
      <c r="I60" s="861" t="e">
        <f t="shared" si="29"/>
        <v>#DIV/0!</v>
      </c>
      <c r="J60" s="983" t="e">
        <f t="shared" si="30"/>
        <v>#DIV/0!</v>
      </c>
      <c r="K60" s="993"/>
      <c r="L60" s="861" t="e">
        <f t="shared" si="31"/>
        <v>#DIV/0!</v>
      </c>
      <c r="M60" s="984" t="e">
        <f t="shared" si="32"/>
        <v>#DIV/0!</v>
      </c>
      <c r="N60" s="992"/>
      <c r="O60" s="907" t="e">
        <f t="shared" si="33"/>
        <v>#REF!</v>
      </c>
      <c r="P60" s="985" t="e">
        <f>(#REF!*#REF!)/1000</f>
        <v>#REF!</v>
      </c>
      <c r="Q60" s="990" t="e">
        <f t="shared" si="34"/>
        <v>#REF!</v>
      </c>
      <c r="R60" s="970" t="e">
        <f t="shared" si="35"/>
        <v>#REF!</v>
      </c>
      <c r="S60" s="969" t="e">
        <f t="shared" si="36"/>
        <v>#DIV/0!</v>
      </c>
      <c r="T60" s="909" t="e">
        <f t="shared" si="37"/>
        <v>#DIV/0!</v>
      </c>
      <c r="U60" s="986" t="e">
        <f t="shared" si="38"/>
        <v>#DIV/0!</v>
      </c>
      <c r="V60" s="988">
        <f t="shared" si="39"/>
        <v>0</v>
      </c>
      <c r="W60" s="970">
        <f t="shared" si="40"/>
        <v>0</v>
      </c>
      <c r="X60" s="971" t="e">
        <f t="shared" si="41"/>
        <v>#DIV/0!</v>
      </c>
      <c r="Y60" s="847"/>
      <c r="Z60" s="911" t="e">
        <f t="shared" si="23"/>
        <v>#DIV/0!</v>
      </c>
      <c r="AA60" s="1006"/>
      <c r="AB60" s="997">
        <f>IF(AA60=0,0,
IF('Calcul_Densité+Dose'!B60="2x2",((10000/(AA60*BB60))/4)*Z60,
((10000/(AA60*BB60))/AZ60)*Z60))</f>
        <v>0</v>
      </c>
      <c r="AC60" s="1007"/>
      <c r="AD60" s="1008">
        <f>IF(AC60=0,0,
IF('Calcul_Densité+Dose'!B60="2x2",((10000/(AC60*BB60))/2)*Z60,
((10000/(AC60*BB60))/AZ60)*Z60))</f>
        <v>0</v>
      </c>
      <c r="AE60" s="1009"/>
      <c r="AF60" s="1010">
        <f>IF(AE60=0,0,
IF('Calcul_Densité+Dose'!B60="2x2",((10000/(AE60*BB60))/4)*Z60,
((10000/(AE60*BB60))/AZ60)*Z60))</f>
        <v>0</v>
      </c>
      <c r="AG60" s="1011">
        <f t="shared" si="24"/>
        <v>0</v>
      </c>
      <c r="AH60" s="860"/>
      <c r="AI60" s="995"/>
      <c r="AJ60" s="1020"/>
      <c r="AK60" s="997">
        <f t="shared" si="25"/>
        <v>0</v>
      </c>
      <c r="AL60" s="1021"/>
      <c r="AM60" s="1008">
        <f t="shared" si="26"/>
        <v>0</v>
      </c>
      <c r="AN60" s="1011">
        <f t="shared" si="27"/>
        <v>0</v>
      </c>
      <c r="AO60" s="860"/>
      <c r="AP60" s="996"/>
      <c r="AQ60" s="1022">
        <f t="shared" si="28"/>
        <v>0</v>
      </c>
      <c r="AR60" s="994"/>
      <c r="AS60" s="977"/>
      <c r="AT60" s="978">
        <f t="shared" si="42"/>
        <v>0</v>
      </c>
      <c r="AU60" s="919" t="e">
        <f t="shared" si="43"/>
        <v>#DIV/0!</v>
      </c>
      <c r="AV60" s="920" t="e">
        <f t="shared" si="44"/>
        <v>#DIV/0!</v>
      </c>
      <c r="AW60" s="913"/>
      <c r="AX60" s="854"/>
      <c r="AY60" s="914"/>
      <c r="AZ60" s="979"/>
      <c r="BA60" s="855">
        <f t="shared" si="45"/>
        <v>0</v>
      </c>
      <c r="BB60" s="918" t="e">
        <f t="shared" si="46"/>
        <v>#DIV/0!</v>
      </c>
      <c r="BC60" s="917" t="e">
        <f t="shared" si="47"/>
        <v>#DIV/0!</v>
      </c>
      <c r="BD60" s="916"/>
      <c r="BE60" s="855"/>
      <c r="BF60" s="915">
        <f t="shared" si="48"/>
        <v>1</v>
      </c>
      <c r="BG60" s="980"/>
      <c r="BH60" s="856"/>
      <c r="BI60" s="857">
        <f t="shared" si="49"/>
        <v>0</v>
      </c>
      <c r="BJ60" s="981">
        <f t="shared" si="50"/>
        <v>-1</v>
      </c>
      <c r="BK60" s="858"/>
      <c r="BL60" s="856"/>
      <c r="BM60" s="859">
        <f t="shared" si="51"/>
        <v>0</v>
      </c>
    </row>
    <row r="61" spans="1:65" ht="35.1" customHeight="1" x14ac:dyDescent="0.25">
      <c r="A61" s="963"/>
      <c r="B61" s="964"/>
      <c r="C61" s="965"/>
      <c r="D61" s="966"/>
      <c r="E61" s="965"/>
      <c r="F61" s="965"/>
      <c r="G61" s="967"/>
      <c r="H61" s="968"/>
      <c r="I61" s="861" t="e">
        <f t="shared" si="29"/>
        <v>#DIV/0!</v>
      </c>
      <c r="J61" s="983" t="e">
        <f t="shared" si="30"/>
        <v>#DIV/0!</v>
      </c>
      <c r="K61" s="993"/>
      <c r="L61" s="861" t="e">
        <f t="shared" si="31"/>
        <v>#DIV/0!</v>
      </c>
      <c r="M61" s="984" t="e">
        <f t="shared" si="32"/>
        <v>#DIV/0!</v>
      </c>
      <c r="N61" s="992"/>
      <c r="O61" s="907" t="e">
        <f t="shared" si="33"/>
        <v>#REF!</v>
      </c>
      <c r="P61" s="985" t="e">
        <f>(#REF!*#REF!)/1000</f>
        <v>#REF!</v>
      </c>
      <c r="Q61" s="990" t="e">
        <f t="shared" si="34"/>
        <v>#REF!</v>
      </c>
      <c r="R61" s="970" t="e">
        <f t="shared" si="35"/>
        <v>#REF!</v>
      </c>
      <c r="S61" s="969" t="e">
        <f t="shared" si="36"/>
        <v>#DIV/0!</v>
      </c>
      <c r="T61" s="909" t="e">
        <f t="shared" si="37"/>
        <v>#DIV/0!</v>
      </c>
      <c r="U61" s="986" t="e">
        <f t="shared" si="38"/>
        <v>#DIV/0!</v>
      </c>
      <c r="V61" s="988">
        <f t="shared" si="39"/>
        <v>0</v>
      </c>
      <c r="W61" s="970">
        <f t="shared" si="40"/>
        <v>0</v>
      </c>
      <c r="X61" s="971" t="e">
        <f t="shared" si="41"/>
        <v>#DIV/0!</v>
      </c>
      <c r="Y61" s="847"/>
      <c r="Z61" s="911" t="e">
        <f t="shared" si="23"/>
        <v>#DIV/0!</v>
      </c>
      <c r="AA61" s="1006"/>
      <c r="AB61" s="997">
        <f>IF(AA61=0,0,
IF('Calcul_Densité+Dose'!B61="2x2",((10000/(AA61*BB61))/4)*Z61,
((10000/(AA61*BB61))/AZ61)*Z61))</f>
        <v>0</v>
      </c>
      <c r="AC61" s="1007"/>
      <c r="AD61" s="1008">
        <f>IF(AC61=0,0,
IF('Calcul_Densité+Dose'!B61="2x2",((10000/(AC61*BB61))/2)*Z61,
((10000/(AC61*BB61))/AZ61)*Z61))</f>
        <v>0</v>
      </c>
      <c r="AE61" s="1009"/>
      <c r="AF61" s="1010">
        <f>IF(AE61=0,0,
IF('Calcul_Densité+Dose'!B61="2x2",((10000/(AE61*BB61))/4)*Z61,
((10000/(AE61*BB61))/AZ61)*Z61))</f>
        <v>0</v>
      </c>
      <c r="AG61" s="1011">
        <f t="shared" si="24"/>
        <v>0</v>
      </c>
      <c r="AH61" s="860"/>
      <c r="AI61" s="995"/>
      <c r="AJ61" s="1020"/>
      <c r="AK61" s="997">
        <f t="shared" si="25"/>
        <v>0</v>
      </c>
      <c r="AL61" s="1021"/>
      <c r="AM61" s="1008">
        <f t="shared" si="26"/>
        <v>0</v>
      </c>
      <c r="AN61" s="1011">
        <f t="shared" si="27"/>
        <v>0</v>
      </c>
      <c r="AO61" s="860"/>
      <c r="AP61" s="996"/>
      <c r="AQ61" s="1022">
        <f t="shared" si="28"/>
        <v>0</v>
      </c>
      <c r="AR61" s="994"/>
      <c r="AS61" s="977"/>
      <c r="AT61" s="978">
        <f t="shared" si="42"/>
        <v>0</v>
      </c>
      <c r="AU61" s="919" t="e">
        <f t="shared" si="43"/>
        <v>#DIV/0!</v>
      </c>
      <c r="AV61" s="920" t="e">
        <f t="shared" si="44"/>
        <v>#DIV/0!</v>
      </c>
      <c r="AW61" s="913"/>
      <c r="AX61" s="854"/>
      <c r="AY61" s="914"/>
      <c r="AZ61" s="979"/>
      <c r="BA61" s="855">
        <f t="shared" si="45"/>
        <v>0</v>
      </c>
      <c r="BB61" s="918" t="e">
        <f t="shared" si="46"/>
        <v>#DIV/0!</v>
      </c>
      <c r="BC61" s="917" t="e">
        <f t="shared" si="47"/>
        <v>#DIV/0!</v>
      </c>
      <c r="BD61" s="916"/>
      <c r="BE61" s="855"/>
      <c r="BF61" s="915">
        <f t="shared" si="48"/>
        <v>1</v>
      </c>
      <c r="BG61" s="980"/>
      <c r="BH61" s="856"/>
      <c r="BI61" s="857">
        <f t="shared" si="49"/>
        <v>0</v>
      </c>
      <c r="BJ61" s="981">
        <f t="shared" si="50"/>
        <v>-1</v>
      </c>
      <c r="BK61" s="858"/>
      <c r="BL61" s="856"/>
      <c r="BM61" s="859">
        <f t="shared" si="51"/>
        <v>0</v>
      </c>
    </row>
    <row r="62" spans="1:65" ht="35.1" customHeight="1" x14ac:dyDescent="0.25">
      <c r="A62" s="963"/>
      <c r="B62" s="964"/>
      <c r="C62" s="965"/>
      <c r="D62" s="966"/>
      <c r="E62" s="965"/>
      <c r="F62" s="965"/>
      <c r="G62" s="967"/>
      <c r="H62" s="968"/>
      <c r="I62" s="861" t="e">
        <f t="shared" si="29"/>
        <v>#DIV/0!</v>
      </c>
      <c r="J62" s="983" t="e">
        <f t="shared" si="30"/>
        <v>#DIV/0!</v>
      </c>
      <c r="K62" s="993"/>
      <c r="L62" s="861" t="e">
        <f t="shared" si="31"/>
        <v>#DIV/0!</v>
      </c>
      <c r="M62" s="984" t="e">
        <f t="shared" si="32"/>
        <v>#DIV/0!</v>
      </c>
      <c r="N62" s="992"/>
      <c r="O62" s="907" t="e">
        <f t="shared" si="33"/>
        <v>#REF!</v>
      </c>
      <c r="P62" s="985" t="e">
        <f>(#REF!*#REF!)/1000</f>
        <v>#REF!</v>
      </c>
      <c r="Q62" s="990" t="e">
        <f t="shared" si="34"/>
        <v>#REF!</v>
      </c>
      <c r="R62" s="970" t="e">
        <f t="shared" si="35"/>
        <v>#REF!</v>
      </c>
      <c r="S62" s="969" t="e">
        <f t="shared" si="36"/>
        <v>#DIV/0!</v>
      </c>
      <c r="T62" s="909" t="e">
        <f t="shared" si="37"/>
        <v>#DIV/0!</v>
      </c>
      <c r="U62" s="986" t="e">
        <f t="shared" si="38"/>
        <v>#DIV/0!</v>
      </c>
      <c r="V62" s="988">
        <f t="shared" si="39"/>
        <v>0</v>
      </c>
      <c r="W62" s="970">
        <f t="shared" si="40"/>
        <v>0</v>
      </c>
      <c r="X62" s="971" t="e">
        <f t="shared" si="41"/>
        <v>#DIV/0!</v>
      </c>
      <c r="Y62" s="847"/>
      <c r="Z62" s="911" t="e">
        <f t="shared" si="23"/>
        <v>#DIV/0!</v>
      </c>
      <c r="AA62" s="1006"/>
      <c r="AB62" s="997">
        <f>IF(AA62=0,0,
IF('Calcul_Densité+Dose'!B62="2x2",((10000/(AA62*BB62))/4)*Z62,
((10000/(AA62*BB62))/AZ62)*Z62))</f>
        <v>0</v>
      </c>
      <c r="AC62" s="1007"/>
      <c r="AD62" s="1008">
        <f>IF(AC62=0,0,
IF('Calcul_Densité+Dose'!B62="2x2",((10000/(AC62*BB62))/2)*Z62,
((10000/(AC62*BB62))/AZ62)*Z62))</f>
        <v>0</v>
      </c>
      <c r="AE62" s="1009"/>
      <c r="AF62" s="1010">
        <f>IF(AE62=0,0,
IF('Calcul_Densité+Dose'!B62="2x2",((10000/(AE62*BB62))/4)*Z62,
((10000/(AE62*BB62))/AZ62)*Z62))</f>
        <v>0</v>
      </c>
      <c r="AG62" s="1011">
        <f t="shared" si="24"/>
        <v>0</v>
      </c>
      <c r="AH62" s="860"/>
      <c r="AI62" s="995"/>
      <c r="AJ62" s="1020"/>
      <c r="AK62" s="997">
        <f t="shared" si="25"/>
        <v>0</v>
      </c>
      <c r="AL62" s="1021"/>
      <c r="AM62" s="1008">
        <f t="shared" si="26"/>
        <v>0</v>
      </c>
      <c r="AN62" s="1011">
        <f t="shared" si="27"/>
        <v>0</v>
      </c>
      <c r="AO62" s="860"/>
      <c r="AP62" s="996"/>
      <c r="AQ62" s="1022">
        <f t="shared" si="28"/>
        <v>0</v>
      </c>
      <c r="AR62" s="994"/>
      <c r="AS62" s="977"/>
      <c r="AT62" s="978">
        <f t="shared" si="42"/>
        <v>0</v>
      </c>
      <c r="AU62" s="919" t="e">
        <f t="shared" si="43"/>
        <v>#DIV/0!</v>
      </c>
      <c r="AV62" s="920" t="e">
        <f t="shared" si="44"/>
        <v>#DIV/0!</v>
      </c>
      <c r="AW62" s="913"/>
      <c r="AX62" s="854"/>
      <c r="AY62" s="914"/>
      <c r="AZ62" s="979"/>
      <c r="BA62" s="855">
        <f t="shared" si="45"/>
        <v>0</v>
      </c>
      <c r="BB62" s="918" t="e">
        <f t="shared" si="46"/>
        <v>#DIV/0!</v>
      </c>
      <c r="BC62" s="917" t="e">
        <f t="shared" si="47"/>
        <v>#DIV/0!</v>
      </c>
      <c r="BD62" s="916"/>
      <c r="BE62" s="855"/>
      <c r="BF62" s="915">
        <f t="shared" si="48"/>
        <v>1</v>
      </c>
      <c r="BG62" s="980"/>
      <c r="BH62" s="856"/>
      <c r="BI62" s="857">
        <f t="shared" si="49"/>
        <v>0</v>
      </c>
      <c r="BJ62" s="981">
        <f t="shared" si="50"/>
        <v>-1</v>
      </c>
      <c r="BK62" s="858"/>
      <c r="BL62" s="856"/>
      <c r="BM62" s="859">
        <f t="shared" si="51"/>
        <v>0</v>
      </c>
    </row>
    <row r="63" spans="1:65" ht="35.1" customHeight="1" x14ac:dyDescent="0.25">
      <c r="A63" s="963"/>
      <c r="B63" s="964"/>
      <c r="C63" s="965"/>
      <c r="D63" s="966"/>
      <c r="E63" s="965"/>
      <c r="F63" s="965"/>
      <c r="G63" s="967"/>
      <c r="H63" s="968"/>
      <c r="I63" s="861" t="e">
        <f t="shared" si="29"/>
        <v>#DIV/0!</v>
      </c>
      <c r="J63" s="983" t="e">
        <f t="shared" si="30"/>
        <v>#DIV/0!</v>
      </c>
      <c r="K63" s="993"/>
      <c r="L63" s="861" t="e">
        <f t="shared" si="31"/>
        <v>#DIV/0!</v>
      </c>
      <c r="M63" s="984" t="e">
        <f t="shared" si="32"/>
        <v>#DIV/0!</v>
      </c>
      <c r="N63" s="992"/>
      <c r="O63" s="907" t="e">
        <f t="shared" si="33"/>
        <v>#REF!</v>
      </c>
      <c r="P63" s="985" t="e">
        <f>(#REF!*#REF!)/1000</f>
        <v>#REF!</v>
      </c>
      <c r="Q63" s="990" t="e">
        <f t="shared" si="34"/>
        <v>#REF!</v>
      </c>
      <c r="R63" s="970" t="e">
        <f t="shared" si="35"/>
        <v>#REF!</v>
      </c>
      <c r="S63" s="969" t="e">
        <f t="shared" si="36"/>
        <v>#DIV/0!</v>
      </c>
      <c r="T63" s="909" t="e">
        <f t="shared" si="37"/>
        <v>#DIV/0!</v>
      </c>
      <c r="U63" s="986" t="e">
        <f t="shared" si="38"/>
        <v>#DIV/0!</v>
      </c>
      <c r="V63" s="988">
        <f t="shared" si="39"/>
        <v>0</v>
      </c>
      <c r="W63" s="970">
        <f t="shared" si="40"/>
        <v>0</v>
      </c>
      <c r="X63" s="971" t="e">
        <f t="shared" si="41"/>
        <v>#DIV/0!</v>
      </c>
      <c r="Y63" s="847"/>
      <c r="Z63" s="911" t="e">
        <f t="shared" si="23"/>
        <v>#DIV/0!</v>
      </c>
      <c r="AA63" s="1006"/>
      <c r="AB63" s="997">
        <f>IF(AA63=0,0,
IF('Calcul_Densité+Dose'!B63="2x2",((10000/(AA63*BB63))/4)*Z63,
((10000/(AA63*BB63))/AZ63)*Z63))</f>
        <v>0</v>
      </c>
      <c r="AC63" s="1007"/>
      <c r="AD63" s="1008">
        <f>IF(AC63=0,0,
IF('Calcul_Densité+Dose'!B63="2x2",((10000/(AC63*BB63))/2)*Z63,
((10000/(AC63*BB63))/AZ63)*Z63))</f>
        <v>0</v>
      </c>
      <c r="AE63" s="1009"/>
      <c r="AF63" s="1010">
        <f>IF(AE63=0,0,
IF('Calcul_Densité+Dose'!B63="2x2",((10000/(AE63*BB63))/4)*Z63,
((10000/(AE63*BB63))/AZ63)*Z63))</f>
        <v>0</v>
      </c>
      <c r="AG63" s="1011">
        <f t="shared" si="24"/>
        <v>0</v>
      </c>
      <c r="AH63" s="860"/>
      <c r="AI63" s="995"/>
      <c r="AJ63" s="1020"/>
      <c r="AK63" s="997">
        <f t="shared" si="25"/>
        <v>0</v>
      </c>
      <c r="AL63" s="1021"/>
      <c r="AM63" s="1008">
        <f t="shared" si="26"/>
        <v>0</v>
      </c>
      <c r="AN63" s="1011">
        <f t="shared" si="27"/>
        <v>0</v>
      </c>
      <c r="AO63" s="860"/>
      <c r="AP63" s="996"/>
      <c r="AQ63" s="1022">
        <f t="shared" si="28"/>
        <v>0</v>
      </c>
      <c r="AR63" s="994"/>
      <c r="AS63" s="977"/>
      <c r="AT63" s="978">
        <f t="shared" si="42"/>
        <v>0</v>
      </c>
      <c r="AU63" s="919" t="e">
        <f t="shared" si="43"/>
        <v>#DIV/0!</v>
      </c>
      <c r="AV63" s="920" t="e">
        <f t="shared" si="44"/>
        <v>#DIV/0!</v>
      </c>
      <c r="AW63" s="913"/>
      <c r="AX63" s="854"/>
      <c r="AY63" s="914"/>
      <c r="AZ63" s="979"/>
      <c r="BA63" s="855">
        <f t="shared" si="45"/>
        <v>0</v>
      </c>
      <c r="BB63" s="918" t="e">
        <f t="shared" si="46"/>
        <v>#DIV/0!</v>
      </c>
      <c r="BC63" s="917" t="e">
        <f t="shared" si="47"/>
        <v>#DIV/0!</v>
      </c>
      <c r="BD63" s="916"/>
      <c r="BE63" s="855"/>
      <c r="BF63" s="915">
        <f t="shared" si="48"/>
        <v>1</v>
      </c>
      <c r="BG63" s="980"/>
      <c r="BH63" s="856"/>
      <c r="BI63" s="857">
        <f t="shared" si="49"/>
        <v>0</v>
      </c>
      <c r="BJ63" s="981">
        <f t="shared" si="50"/>
        <v>-1</v>
      </c>
      <c r="BK63" s="858"/>
      <c r="BL63" s="856"/>
      <c r="BM63" s="859">
        <f t="shared" si="51"/>
        <v>0</v>
      </c>
    </row>
    <row r="64" spans="1:65" ht="35.1" customHeight="1" x14ac:dyDescent="0.25">
      <c r="A64" s="963"/>
      <c r="B64" s="964"/>
      <c r="C64" s="965"/>
      <c r="D64" s="966"/>
      <c r="E64" s="965"/>
      <c r="F64" s="965"/>
      <c r="G64" s="967"/>
      <c r="H64" s="968"/>
      <c r="I64" s="861" t="e">
        <f t="shared" si="29"/>
        <v>#DIV/0!</v>
      </c>
      <c r="J64" s="983" t="e">
        <f t="shared" si="30"/>
        <v>#DIV/0!</v>
      </c>
      <c r="K64" s="993"/>
      <c r="L64" s="861" t="e">
        <f t="shared" si="31"/>
        <v>#DIV/0!</v>
      </c>
      <c r="M64" s="984" t="e">
        <f t="shared" si="32"/>
        <v>#DIV/0!</v>
      </c>
      <c r="N64" s="992"/>
      <c r="O64" s="907" t="e">
        <f t="shared" si="33"/>
        <v>#REF!</v>
      </c>
      <c r="P64" s="985" t="e">
        <f>(#REF!*#REF!)/1000</f>
        <v>#REF!</v>
      </c>
      <c r="Q64" s="990" t="e">
        <f t="shared" si="34"/>
        <v>#REF!</v>
      </c>
      <c r="R64" s="970" t="e">
        <f t="shared" si="35"/>
        <v>#REF!</v>
      </c>
      <c r="S64" s="969" t="e">
        <f t="shared" si="36"/>
        <v>#DIV/0!</v>
      </c>
      <c r="T64" s="909" t="e">
        <f t="shared" si="37"/>
        <v>#DIV/0!</v>
      </c>
      <c r="U64" s="986" t="e">
        <f t="shared" si="38"/>
        <v>#DIV/0!</v>
      </c>
      <c r="V64" s="988">
        <f t="shared" si="39"/>
        <v>0</v>
      </c>
      <c r="W64" s="970">
        <f t="shared" si="40"/>
        <v>0</v>
      </c>
      <c r="X64" s="971" t="e">
        <f t="shared" si="41"/>
        <v>#DIV/0!</v>
      </c>
      <c r="Y64" s="847"/>
      <c r="Z64" s="911" t="e">
        <f t="shared" si="23"/>
        <v>#DIV/0!</v>
      </c>
      <c r="AA64" s="1006"/>
      <c r="AB64" s="997">
        <f>IF(AA64=0,0,
IF('Calcul_Densité+Dose'!B64="2x2",((10000/(AA64*BB64))/4)*Z64,
((10000/(AA64*BB64))/AZ64)*Z64))</f>
        <v>0</v>
      </c>
      <c r="AC64" s="1007"/>
      <c r="AD64" s="1008">
        <f>IF(AC64=0,0,
IF('Calcul_Densité+Dose'!B64="2x2",((10000/(AC64*BB64))/2)*Z64,
((10000/(AC64*BB64))/AZ64)*Z64))</f>
        <v>0</v>
      </c>
      <c r="AE64" s="1009"/>
      <c r="AF64" s="1010">
        <f>IF(AE64=0,0,
IF('Calcul_Densité+Dose'!B64="2x2",((10000/(AE64*BB64))/4)*Z64,
((10000/(AE64*BB64))/AZ64)*Z64))</f>
        <v>0</v>
      </c>
      <c r="AG64" s="1011">
        <f t="shared" si="24"/>
        <v>0</v>
      </c>
      <c r="AH64" s="860"/>
      <c r="AI64" s="995"/>
      <c r="AJ64" s="1020"/>
      <c r="AK64" s="997">
        <f t="shared" si="25"/>
        <v>0</v>
      </c>
      <c r="AL64" s="1021"/>
      <c r="AM64" s="1008">
        <f t="shared" si="26"/>
        <v>0</v>
      </c>
      <c r="AN64" s="1011">
        <f t="shared" si="27"/>
        <v>0</v>
      </c>
      <c r="AO64" s="860"/>
      <c r="AP64" s="996"/>
      <c r="AQ64" s="1022">
        <f t="shared" si="28"/>
        <v>0</v>
      </c>
      <c r="AR64" s="994"/>
      <c r="AS64" s="977"/>
      <c r="AT64" s="978">
        <f t="shared" si="42"/>
        <v>0</v>
      </c>
      <c r="AU64" s="919" t="e">
        <f t="shared" si="43"/>
        <v>#DIV/0!</v>
      </c>
      <c r="AV64" s="920" t="e">
        <f t="shared" si="44"/>
        <v>#DIV/0!</v>
      </c>
      <c r="AW64" s="913"/>
      <c r="AX64" s="854"/>
      <c r="AY64" s="914"/>
      <c r="AZ64" s="979"/>
      <c r="BA64" s="855">
        <f t="shared" si="45"/>
        <v>0</v>
      </c>
      <c r="BB64" s="918" t="e">
        <f t="shared" si="46"/>
        <v>#DIV/0!</v>
      </c>
      <c r="BC64" s="917" t="e">
        <f t="shared" si="47"/>
        <v>#DIV/0!</v>
      </c>
      <c r="BD64" s="916"/>
      <c r="BE64" s="855"/>
      <c r="BF64" s="915">
        <f t="shared" si="48"/>
        <v>1</v>
      </c>
      <c r="BG64" s="980"/>
      <c r="BH64" s="856"/>
      <c r="BI64" s="857">
        <f t="shared" si="49"/>
        <v>0</v>
      </c>
      <c r="BJ64" s="981">
        <f t="shared" si="50"/>
        <v>-1</v>
      </c>
      <c r="BK64" s="858"/>
      <c r="BL64" s="856"/>
      <c r="BM64" s="859">
        <f t="shared" si="51"/>
        <v>0</v>
      </c>
    </row>
    <row r="65" spans="1:65" ht="35.1" customHeight="1" x14ac:dyDescent="0.25">
      <c r="A65" s="963"/>
      <c r="B65" s="964"/>
      <c r="C65" s="965"/>
      <c r="D65" s="966"/>
      <c r="E65" s="965"/>
      <c r="F65" s="965"/>
      <c r="G65" s="967"/>
      <c r="H65" s="968"/>
      <c r="I65" s="861" t="e">
        <f t="shared" si="29"/>
        <v>#DIV/0!</v>
      </c>
      <c r="J65" s="983" t="e">
        <f t="shared" si="30"/>
        <v>#DIV/0!</v>
      </c>
      <c r="K65" s="993"/>
      <c r="L65" s="861" t="e">
        <f t="shared" si="31"/>
        <v>#DIV/0!</v>
      </c>
      <c r="M65" s="984" t="e">
        <f t="shared" si="32"/>
        <v>#DIV/0!</v>
      </c>
      <c r="N65" s="992"/>
      <c r="O65" s="907" t="e">
        <f t="shared" si="33"/>
        <v>#REF!</v>
      </c>
      <c r="P65" s="985" t="e">
        <f>(#REF!*#REF!)/1000</f>
        <v>#REF!</v>
      </c>
      <c r="Q65" s="990" t="e">
        <f t="shared" si="34"/>
        <v>#REF!</v>
      </c>
      <c r="R65" s="970" t="e">
        <f t="shared" si="35"/>
        <v>#REF!</v>
      </c>
      <c r="S65" s="969" t="e">
        <f t="shared" si="36"/>
        <v>#DIV/0!</v>
      </c>
      <c r="T65" s="909" t="e">
        <f t="shared" si="37"/>
        <v>#DIV/0!</v>
      </c>
      <c r="U65" s="986" t="e">
        <f t="shared" si="38"/>
        <v>#DIV/0!</v>
      </c>
      <c r="V65" s="988">
        <f t="shared" si="39"/>
        <v>0</v>
      </c>
      <c r="W65" s="970">
        <f t="shared" si="40"/>
        <v>0</v>
      </c>
      <c r="X65" s="971" t="e">
        <f t="shared" si="41"/>
        <v>#DIV/0!</v>
      </c>
      <c r="Y65" s="847"/>
      <c r="Z65" s="911" t="e">
        <f t="shared" si="23"/>
        <v>#DIV/0!</v>
      </c>
      <c r="AA65" s="1006"/>
      <c r="AB65" s="997">
        <f>IF(AA65=0,0,
IF('Calcul_Densité+Dose'!B65="2x2",((10000/(AA65*BB65))/4)*Z65,
((10000/(AA65*BB65))/AZ65)*Z65))</f>
        <v>0</v>
      </c>
      <c r="AC65" s="1007"/>
      <c r="AD65" s="1008">
        <f>IF(AC65=0,0,
IF('Calcul_Densité+Dose'!B65="2x2",((10000/(AC65*BB65))/2)*Z65,
((10000/(AC65*BB65))/AZ65)*Z65))</f>
        <v>0</v>
      </c>
      <c r="AE65" s="1009"/>
      <c r="AF65" s="1010">
        <f>IF(AE65=0,0,
IF('Calcul_Densité+Dose'!B65="2x2",((10000/(AE65*BB65))/4)*Z65,
((10000/(AE65*BB65))/AZ65)*Z65))</f>
        <v>0</v>
      </c>
      <c r="AG65" s="1011">
        <f t="shared" si="24"/>
        <v>0</v>
      </c>
      <c r="AH65" s="860"/>
      <c r="AI65" s="995"/>
      <c r="AJ65" s="1020"/>
      <c r="AK65" s="997">
        <f t="shared" si="25"/>
        <v>0</v>
      </c>
      <c r="AL65" s="1021"/>
      <c r="AM65" s="1008">
        <f t="shared" si="26"/>
        <v>0</v>
      </c>
      <c r="AN65" s="1011">
        <f t="shared" si="27"/>
        <v>0</v>
      </c>
      <c r="AO65" s="860"/>
      <c r="AP65" s="996"/>
      <c r="AQ65" s="1022">
        <f t="shared" si="28"/>
        <v>0</v>
      </c>
      <c r="AR65" s="994"/>
      <c r="AS65" s="977"/>
      <c r="AT65" s="978">
        <f t="shared" si="42"/>
        <v>0</v>
      </c>
      <c r="AU65" s="919" t="e">
        <f t="shared" si="43"/>
        <v>#DIV/0!</v>
      </c>
      <c r="AV65" s="920" t="e">
        <f t="shared" si="44"/>
        <v>#DIV/0!</v>
      </c>
      <c r="AW65" s="913"/>
      <c r="AX65" s="854"/>
      <c r="AY65" s="914"/>
      <c r="AZ65" s="979"/>
      <c r="BA65" s="855">
        <f t="shared" si="45"/>
        <v>0</v>
      </c>
      <c r="BB65" s="918" t="e">
        <f t="shared" si="46"/>
        <v>#DIV/0!</v>
      </c>
      <c r="BC65" s="917" t="e">
        <f t="shared" si="47"/>
        <v>#DIV/0!</v>
      </c>
      <c r="BD65" s="916"/>
      <c r="BE65" s="855"/>
      <c r="BF65" s="915">
        <f t="shared" si="48"/>
        <v>1</v>
      </c>
      <c r="BG65" s="980"/>
      <c r="BH65" s="856"/>
      <c r="BI65" s="857">
        <f t="shared" si="49"/>
        <v>0</v>
      </c>
      <c r="BJ65" s="981">
        <f t="shared" si="50"/>
        <v>-1</v>
      </c>
      <c r="BK65" s="858"/>
      <c r="BL65" s="856"/>
      <c r="BM65" s="859">
        <f t="shared" si="51"/>
        <v>0</v>
      </c>
    </row>
    <row r="66" spans="1:65" ht="35.1" customHeight="1" x14ac:dyDescent="0.25">
      <c r="A66" s="963"/>
      <c r="B66" s="964"/>
      <c r="C66" s="965"/>
      <c r="D66" s="966"/>
      <c r="E66" s="965"/>
      <c r="F66" s="965"/>
      <c r="G66" s="967"/>
      <c r="H66" s="968"/>
      <c r="I66" s="861" t="e">
        <f t="shared" si="29"/>
        <v>#DIV/0!</v>
      </c>
      <c r="J66" s="983" t="e">
        <f t="shared" si="30"/>
        <v>#DIV/0!</v>
      </c>
      <c r="K66" s="993"/>
      <c r="L66" s="861" t="e">
        <f t="shared" si="31"/>
        <v>#DIV/0!</v>
      </c>
      <c r="M66" s="984" t="e">
        <f t="shared" si="32"/>
        <v>#DIV/0!</v>
      </c>
      <c r="N66" s="992"/>
      <c r="O66" s="907" t="e">
        <f t="shared" si="33"/>
        <v>#REF!</v>
      </c>
      <c r="P66" s="985" t="e">
        <f>(#REF!*#REF!)/1000</f>
        <v>#REF!</v>
      </c>
      <c r="Q66" s="990" t="e">
        <f t="shared" si="34"/>
        <v>#REF!</v>
      </c>
      <c r="R66" s="970" t="e">
        <f t="shared" si="35"/>
        <v>#REF!</v>
      </c>
      <c r="S66" s="969" t="e">
        <f t="shared" si="36"/>
        <v>#DIV/0!</v>
      </c>
      <c r="T66" s="909" t="e">
        <f t="shared" si="37"/>
        <v>#DIV/0!</v>
      </c>
      <c r="U66" s="986" t="e">
        <f t="shared" si="38"/>
        <v>#DIV/0!</v>
      </c>
      <c r="V66" s="988">
        <f t="shared" si="39"/>
        <v>0</v>
      </c>
      <c r="W66" s="970">
        <f t="shared" si="40"/>
        <v>0</v>
      </c>
      <c r="X66" s="971" t="e">
        <f t="shared" si="41"/>
        <v>#DIV/0!</v>
      </c>
      <c r="Y66" s="847"/>
      <c r="Z66" s="911" t="e">
        <f t="shared" si="23"/>
        <v>#DIV/0!</v>
      </c>
      <c r="AA66" s="1006"/>
      <c r="AB66" s="997">
        <f>IF(AA66=0,0,
IF('Calcul_Densité+Dose'!B66="2x2",((10000/(AA66*BB66))/4)*Z66,
((10000/(AA66*BB66))/AZ66)*Z66))</f>
        <v>0</v>
      </c>
      <c r="AC66" s="1007"/>
      <c r="AD66" s="1008">
        <f>IF(AC66=0,0,
IF('Calcul_Densité+Dose'!B66="2x2",((10000/(AC66*BB66))/2)*Z66,
((10000/(AC66*BB66))/AZ66)*Z66))</f>
        <v>0</v>
      </c>
      <c r="AE66" s="1009"/>
      <c r="AF66" s="1010">
        <f>IF(AE66=0,0,
IF('Calcul_Densité+Dose'!B66="2x2",((10000/(AE66*BB66))/4)*Z66,
((10000/(AE66*BB66))/AZ66)*Z66))</f>
        <v>0</v>
      </c>
      <c r="AG66" s="1011">
        <f t="shared" si="24"/>
        <v>0</v>
      </c>
      <c r="AH66" s="860"/>
      <c r="AI66" s="995"/>
      <c r="AJ66" s="1020"/>
      <c r="AK66" s="997">
        <f t="shared" si="25"/>
        <v>0</v>
      </c>
      <c r="AL66" s="1021"/>
      <c r="AM66" s="1008">
        <f t="shared" si="26"/>
        <v>0</v>
      </c>
      <c r="AN66" s="1011">
        <f t="shared" si="27"/>
        <v>0</v>
      </c>
      <c r="AO66" s="860"/>
      <c r="AP66" s="996"/>
      <c r="AQ66" s="1022">
        <f t="shared" si="28"/>
        <v>0</v>
      </c>
      <c r="AR66" s="994"/>
      <c r="AS66" s="977"/>
      <c r="AT66" s="978">
        <f t="shared" si="42"/>
        <v>0</v>
      </c>
      <c r="AU66" s="919" t="e">
        <f t="shared" si="43"/>
        <v>#DIV/0!</v>
      </c>
      <c r="AV66" s="920" t="e">
        <f t="shared" si="44"/>
        <v>#DIV/0!</v>
      </c>
      <c r="AW66" s="913"/>
      <c r="AX66" s="854"/>
      <c r="AY66" s="914"/>
      <c r="AZ66" s="979"/>
      <c r="BA66" s="855">
        <f t="shared" si="45"/>
        <v>0</v>
      </c>
      <c r="BB66" s="918" t="e">
        <f t="shared" si="46"/>
        <v>#DIV/0!</v>
      </c>
      <c r="BC66" s="917" t="e">
        <f t="shared" si="47"/>
        <v>#DIV/0!</v>
      </c>
      <c r="BD66" s="916"/>
      <c r="BE66" s="855"/>
      <c r="BF66" s="915">
        <f t="shared" si="48"/>
        <v>1</v>
      </c>
      <c r="BG66" s="980"/>
      <c r="BH66" s="856"/>
      <c r="BI66" s="857">
        <f t="shared" si="49"/>
        <v>0</v>
      </c>
      <c r="BJ66" s="981">
        <f t="shared" si="50"/>
        <v>-1</v>
      </c>
      <c r="BK66" s="858"/>
      <c r="BL66" s="856"/>
      <c r="BM66" s="859">
        <f t="shared" si="51"/>
        <v>0</v>
      </c>
    </row>
    <row r="67" spans="1:65" ht="35.1" customHeight="1" x14ac:dyDescent="0.25">
      <c r="A67" s="963"/>
      <c r="B67" s="964"/>
      <c r="C67" s="965"/>
      <c r="D67" s="966"/>
      <c r="E67" s="965"/>
      <c r="F67" s="965"/>
      <c r="G67" s="967"/>
      <c r="H67" s="968"/>
      <c r="I67" s="861" t="e">
        <f t="shared" ref="I67:I80" si="52">$K67/$G67*$H67/100*100000</f>
        <v>#DIV/0!</v>
      </c>
      <c r="J67" s="983" t="e">
        <f t="shared" ref="J67:J80" si="53">$K67/$G67*1000</f>
        <v>#DIV/0!</v>
      </c>
      <c r="K67" s="993"/>
      <c r="L67" s="861" t="e">
        <f t="shared" ref="L67:L80" si="54">$N67/$G67*$H67/100*100000</f>
        <v>#DIV/0!</v>
      </c>
      <c r="M67" s="984" t="e">
        <f t="shared" ref="M67:M98" si="55">N67/G67/100*100000</f>
        <v>#DIV/0!</v>
      </c>
      <c r="N67" s="992"/>
      <c r="O67" s="907" t="e">
        <f t="shared" ref="O67:O80" si="56">$Q67/$G67*$H67/100*100000</f>
        <v>#REF!</v>
      </c>
      <c r="P67" s="985" t="e">
        <f>(#REF!*#REF!)/1000</f>
        <v>#REF!</v>
      </c>
      <c r="Q67" s="990" t="e">
        <f t="shared" ref="Q67:Q80" si="57">($P67*$G67)/1000</f>
        <v>#REF!</v>
      </c>
      <c r="R67" s="970" t="e">
        <f t="shared" ref="R67:R80" si="58">$V67-$Q67</f>
        <v>#REF!</v>
      </c>
      <c r="S67" s="969" t="e">
        <f t="shared" ref="S67:S80" si="59">($U67/$P67)-1</f>
        <v>#DIV/0!</v>
      </c>
      <c r="T67" s="909" t="e">
        <f t="shared" ref="T67:T80" si="60">$I67+$L67</f>
        <v>#DIV/0!</v>
      </c>
      <c r="U67" s="986" t="e">
        <f t="shared" ref="U67:U80" si="61">$J67+$M67</f>
        <v>#DIV/0!</v>
      </c>
      <c r="V67" s="988">
        <f t="shared" ref="V67:V80" si="62">$K67+$N67</f>
        <v>0</v>
      </c>
      <c r="W67" s="970">
        <f t="shared" ref="W67:W80" si="63">$K67-$V67</f>
        <v>0</v>
      </c>
      <c r="X67" s="971" t="e">
        <f t="shared" ref="X67:X80" si="64">($V67/$K67)-1</f>
        <v>#DIV/0!</v>
      </c>
      <c r="Y67" s="847"/>
      <c r="Z67" s="911" t="e">
        <f t="shared" si="23"/>
        <v>#DIV/0!</v>
      </c>
      <c r="AA67" s="1006"/>
      <c r="AB67" s="997">
        <f>IF(AA67=0,0,
IF('Calcul_Densité+Dose'!B67="2x2",((10000/(AA67*BB67))/4)*Z67,
((10000/(AA67*BB67))/AZ67)*Z67))</f>
        <v>0</v>
      </c>
      <c r="AC67" s="1007"/>
      <c r="AD67" s="1008">
        <f>IF(AC67=0,0,
IF('Calcul_Densité+Dose'!B67="2x2",((10000/(AC67*BB67))/2)*Z67,
((10000/(AC67*BB67))/AZ67)*Z67))</f>
        <v>0</v>
      </c>
      <c r="AE67" s="1009"/>
      <c r="AF67" s="1010">
        <f>IF(AE67=0,0,
IF('Calcul_Densité+Dose'!B67="2x2",((10000/(AE67*BB67))/4)*Z67,
((10000/(AE67*BB67))/AZ67)*Z67))</f>
        <v>0</v>
      </c>
      <c r="AG67" s="1011">
        <f t="shared" si="24"/>
        <v>0</v>
      </c>
      <c r="AH67" s="860"/>
      <c r="AI67" s="995"/>
      <c r="AJ67" s="1020"/>
      <c r="AK67" s="997">
        <f t="shared" si="25"/>
        <v>0</v>
      </c>
      <c r="AL67" s="1021"/>
      <c r="AM67" s="1008">
        <f t="shared" si="26"/>
        <v>0</v>
      </c>
      <c r="AN67" s="1011">
        <f t="shared" si="27"/>
        <v>0</v>
      </c>
      <c r="AO67" s="860"/>
      <c r="AP67" s="996"/>
      <c r="AQ67" s="1022">
        <f t="shared" si="28"/>
        <v>0</v>
      </c>
      <c r="AR67" s="994"/>
      <c r="AS67" s="977"/>
      <c r="AT67" s="978">
        <f t="shared" ref="AT67:AT80" si="65">$BI67</f>
        <v>0</v>
      </c>
      <c r="AU67" s="919" t="e">
        <f t="shared" ref="AU67:AU80" si="66">($BG67+($BH$3/3))/$AS67</f>
        <v>#DIV/0!</v>
      </c>
      <c r="AV67" s="920" t="e">
        <f t="shared" ref="AV67:AV80" si="67">($BG67+($BH67/3))/$BI67</f>
        <v>#DIV/0!</v>
      </c>
      <c r="AW67" s="913"/>
      <c r="AX67" s="854"/>
      <c r="AY67" s="914"/>
      <c r="AZ67" s="979"/>
      <c r="BA67" s="855">
        <f t="shared" ref="BA67:BA80" si="68">$BH67</f>
        <v>0</v>
      </c>
      <c r="BB67" s="918" t="e">
        <f t="shared" ref="BB67:BB80" si="69">($BA67-($BA67/3))/$AZ67</f>
        <v>#DIV/0!</v>
      </c>
      <c r="BC67" s="917" t="e">
        <f t="shared" ref="BC67:BC80" si="70">1-$AV67</f>
        <v>#DIV/0!</v>
      </c>
      <c r="BD67" s="916"/>
      <c r="BE67" s="855"/>
      <c r="BF67" s="915">
        <f t="shared" ref="BF67:BF80" si="71">1-$AY$3</f>
        <v>1</v>
      </c>
      <c r="BG67" s="980"/>
      <c r="BH67" s="856"/>
      <c r="BI67" s="857">
        <f t="shared" ref="BI67:BI80" si="72">$BG67+$BH67</f>
        <v>0</v>
      </c>
      <c r="BJ67" s="981">
        <f t="shared" ref="BJ67:BJ80" si="73">($BM$3/$BI$3)-1</f>
        <v>-1</v>
      </c>
      <c r="BK67" s="858"/>
      <c r="BL67" s="856"/>
      <c r="BM67" s="859">
        <f t="shared" ref="BM67:BM80" si="74">$BK67+$BL67</f>
        <v>0</v>
      </c>
    </row>
    <row r="68" spans="1:65" ht="35.1" customHeight="1" x14ac:dyDescent="0.25">
      <c r="A68" s="963"/>
      <c r="B68" s="964"/>
      <c r="C68" s="965"/>
      <c r="D68" s="966"/>
      <c r="E68" s="965"/>
      <c r="F68" s="965"/>
      <c r="G68" s="967"/>
      <c r="H68" s="968"/>
      <c r="I68" s="861" t="e">
        <f t="shared" si="52"/>
        <v>#DIV/0!</v>
      </c>
      <c r="J68" s="983" t="e">
        <f t="shared" si="53"/>
        <v>#DIV/0!</v>
      </c>
      <c r="K68" s="993"/>
      <c r="L68" s="861" t="e">
        <f t="shared" si="54"/>
        <v>#DIV/0!</v>
      </c>
      <c r="M68" s="984" t="e">
        <f t="shared" si="55"/>
        <v>#DIV/0!</v>
      </c>
      <c r="N68" s="992"/>
      <c r="O68" s="907" t="e">
        <f t="shared" si="56"/>
        <v>#REF!</v>
      </c>
      <c r="P68" s="985" t="e">
        <f>(#REF!*#REF!)/1000</f>
        <v>#REF!</v>
      </c>
      <c r="Q68" s="990" t="e">
        <f t="shared" si="57"/>
        <v>#REF!</v>
      </c>
      <c r="R68" s="970" t="e">
        <f t="shared" si="58"/>
        <v>#REF!</v>
      </c>
      <c r="S68" s="969" t="e">
        <f t="shared" si="59"/>
        <v>#DIV/0!</v>
      </c>
      <c r="T68" s="909" t="e">
        <f t="shared" si="60"/>
        <v>#DIV/0!</v>
      </c>
      <c r="U68" s="986" t="e">
        <f t="shared" si="61"/>
        <v>#DIV/0!</v>
      </c>
      <c r="V68" s="988">
        <f t="shared" si="62"/>
        <v>0</v>
      </c>
      <c r="W68" s="970">
        <f t="shared" si="63"/>
        <v>0</v>
      </c>
      <c r="X68" s="971" t="e">
        <f t="shared" si="64"/>
        <v>#DIV/0!</v>
      </c>
      <c r="Y68" s="847"/>
      <c r="Z68" s="911" t="e">
        <f t="shared" ref="Z68:Z80" si="75">(D68*BC68)</f>
        <v>#DIV/0!</v>
      </c>
      <c r="AA68" s="1006"/>
      <c r="AB68" s="997">
        <f>IF(AA68=0,0,
IF('Calcul_Densité+Dose'!B68="2x2",((10000/(AA68*BB68))/4)*Z68,
((10000/(AA68*BB68))/AZ68)*Z68))</f>
        <v>0</v>
      </c>
      <c r="AC68" s="1007"/>
      <c r="AD68" s="1008">
        <f>IF(AC68=0,0,
IF('Calcul_Densité+Dose'!B68="2x2",((10000/(AC68*BB68))/2)*Z68,
((10000/(AC68*BB68))/AZ68)*Z68))</f>
        <v>0</v>
      </c>
      <c r="AE68" s="1009"/>
      <c r="AF68" s="1010">
        <f>IF(AE68=0,0,
IF('Calcul_Densité+Dose'!B68="2x2",((10000/(AE68*BB68))/4)*Z68,
((10000/(AE68*BB68))/AZ68)*Z68))</f>
        <v>0</v>
      </c>
      <c r="AG68" s="1011">
        <f t="shared" ref="AG68:AG80" si="76">(AB68+AD68+AF68)</f>
        <v>0</v>
      </c>
      <c r="AH68" s="860"/>
      <c r="AI68" s="995"/>
      <c r="AJ68" s="1020"/>
      <c r="AK68" s="997">
        <f t="shared" ref="AK68:AK80" si="77">IF(AJ68=0,0,(((10000/(AJ68*AI68)))*AH68)/2)</f>
        <v>0</v>
      </c>
      <c r="AL68" s="1021"/>
      <c r="AM68" s="1008">
        <f t="shared" ref="AM68:AM80" si="78">IF(AL68=0,0,(((10000/(AL68*AI68)))*AH68)/2)</f>
        <v>0</v>
      </c>
      <c r="AN68" s="1011">
        <f t="shared" ref="AN68:AN80" si="79">(AK68+AM68)</f>
        <v>0</v>
      </c>
      <c r="AO68" s="860"/>
      <c r="AP68" s="996"/>
      <c r="AQ68" s="1022">
        <f t="shared" ref="AQ68:AQ80" si="80">IF(AO68=0,0,(((10000/(AP68*AI68)))*AO68))</f>
        <v>0</v>
      </c>
      <c r="AR68" s="994"/>
      <c r="AS68" s="977"/>
      <c r="AT68" s="978">
        <f t="shared" si="65"/>
        <v>0</v>
      </c>
      <c r="AU68" s="919" t="e">
        <f t="shared" si="66"/>
        <v>#DIV/0!</v>
      </c>
      <c r="AV68" s="920" t="e">
        <f t="shared" si="67"/>
        <v>#DIV/0!</v>
      </c>
      <c r="AW68" s="913"/>
      <c r="AX68" s="854"/>
      <c r="AY68" s="914"/>
      <c r="AZ68" s="979"/>
      <c r="BA68" s="855">
        <f t="shared" si="68"/>
        <v>0</v>
      </c>
      <c r="BB68" s="918" t="e">
        <f t="shared" si="69"/>
        <v>#DIV/0!</v>
      </c>
      <c r="BC68" s="917" t="e">
        <f t="shared" si="70"/>
        <v>#DIV/0!</v>
      </c>
      <c r="BD68" s="916"/>
      <c r="BE68" s="855"/>
      <c r="BF68" s="915">
        <f t="shared" si="71"/>
        <v>1</v>
      </c>
      <c r="BG68" s="980"/>
      <c r="BH68" s="856"/>
      <c r="BI68" s="857">
        <f t="shared" si="72"/>
        <v>0</v>
      </c>
      <c r="BJ68" s="981">
        <f t="shared" si="73"/>
        <v>-1</v>
      </c>
      <c r="BK68" s="858"/>
      <c r="BL68" s="856"/>
      <c r="BM68" s="859">
        <f t="shared" si="74"/>
        <v>0</v>
      </c>
    </row>
    <row r="69" spans="1:65" ht="35.1" customHeight="1" x14ac:dyDescent="0.25">
      <c r="A69" s="963"/>
      <c r="B69" s="964"/>
      <c r="C69" s="965"/>
      <c r="D69" s="966"/>
      <c r="E69" s="965"/>
      <c r="F69" s="965"/>
      <c r="G69" s="967"/>
      <c r="H69" s="968"/>
      <c r="I69" s="861" t="e">
        <f t="shared" si="52"/>
        <v>#DIV/0!</v>
      </c>
      <c r="J69" s="983" t="e">
        <f t="shared" si="53"/>
        <v>#DIV/0!</v>
      </c>
      <c r="K69" s="993"/>
      <c r="L69" s="861" t="e">
        <f t="shared" si="54"/>
        <v>#DIV/0!</v>
      </c>
      <c r="M69" s="984" t="e">
        <f t="shared" si="55"/>
        <v>#DIV/0!</v>
      </c>
      <c r="N69" s="992"/>
      <c r="O69" s="907" t="e">
        <f t="shared" si="56"/>
        <v>#REF!</v>
      </c>
      <c r="P69" s="985" t="e">
        <f>(#REF!*#REF!)/1000</f>
        <v>#REF!</v>
      </c>
      <c r="Q69" s="990" t="e">
        <f t="shared" si="57"/>
        <v>#REF!</v>
      </c>
      <c r="R69" s="970" t="e">
        <f t="shared" si="58"/>
        <v>#REF!</v>
      </c>
      <c r="S69" s="969" t="e">
        <f t="shared" si="59"/>
        <v>#DIV/0!</v>
      </c>
      <c r="T69" s="909" t="e">
        <f t="shared" si="60"/>
        <v>#DIV/0!</v>
      </c>
      <c r="U69" s="986" t="e">
        <f t="shared" si="61"/>
        <v>#DIV/0!</v>
      </c>
      <c r="V69" s="988">
        <f t="shared" si="62"/>
        <v>0</v>
      </c>
      <c r="W69" s="970">
        <f t="shared" si="63"/>
        <v>0</v>
      </c>
      <c r="X69" s="971" t="e">
        <f t="shared" si="64"/>
        <v>#DIV/0!</v>
      </c>
      <c r="Y69" s="847"/>
      <c r="Z69" s="911" t="e">
        <f t="shared" si="75"/>
        <v>#DIV/0!</v>
      </c>
      <c r="AA69" s="1006"/>
      <c r="AB69" s="997">
        <f>IF(AA69=0,0,
IF('Calcul_Densité+Dose'!B69="2x2",((10000/(AA69*BB69))/4)*Z69,
((10000/(AA69*BB69))/AZ69)*Z69))</f>
        <v>0</v>
      </c>
      <c r="AC69" s="1007"/>
      <c r="AD69" s="1008">
        <f>IF(AC69=0,0,
IF('Calcul_Densité+Dose'!B69="2x2",((10000/(AC69*BB69))/2)*Z69,
((10000/(AC69*BB69))/AZ69)*Z69))</f>
        <v>0</v>
      </c>
      <c r="AE69" s="1009"/>
      <c r="AF69" s="1010">
        <f>IF(AE69=0,0,
IF('Calcul_Densité+Dose'!B69="2x2",((10000/(AE69*BB69))/4)*Z69,
((10000/(AE69*BB69))/AZ69)*Z69))</f>
        <v>0</v>
      </c>
      <c r="AG69" s="1011">
        <f t="shared" si="76"/>
        <v>0</v>
      </c>
      <c r="AH69" s="860"/>
      <c r="AI69" s="995"/>
      <c r="AJ69" s="1020"/>
      <c r="AK69" s="997">
        <f t="shared" si="77"/>
        <v>0</v>
      </c>
      <c r="AL69" s="1021"/>
      <c r="AM69" s="1008">
        <f t="shared" si="78"/>
        <v>0</v>
      </c>
      <c r="AN69" s="1011">
        <f t="shared" si="79"/>
        <v>0</v>
      </c>
      <c r="AO69" s="860"/>
      <c r="AP69" s="996"/>
      <c r="AQ69" s="1022">
        <f t="shared" si="80"/>
        <v>0</v>
      </c>
      <c r="AR69" s="994"/>
      <c r="AS69" s="977"/>
      <c r="AT69" s="978">
        <f t="shared" si="65"/>
        <v>0</v>
      </c>
      <c r="AU69" s="919" t="e">
        <f t="shared" si="66"/>
        <v>#DIV/0!</v>
      </c>
      <c r="AV69" s="920" t="e">
        <f t="shared" si="67"/>
        <v>#DIV/0!</v>
      </c>
      <c r="AW69" s="913"/>
      <c r="AX69" s="854"/>
      <c r="AY69" s="914"/>
      <c r="AZ69" s="979"/>
      <c r="BA69" s="855">
        <f t="shared" si="68"/>
        <v>0</v>
      </c>
      <c r="BB69" s="918" t="e">
        <f t="shared" si="69"/>
        <v>#DIV/0!</v>
      </c>
      <c r="BC69" s="917" t="e">
        <f t="shared" si="70"/>
        <v>#DIV/0!</v>
      </c>
      <c r="BD69" s="916"/>
      <c r="BE69" s="855"/>
      <c r="BF69" s="915">
        <f t="shared" si="71"/>
        <v>1</v>
      </c>
      <c r="BG69" s="980"/>
      <c r="BH69" s="856"/>
      <c r="BI69" s="857">
        <f t="shared" si="72"/>
        <v>0</v>
      </c>
      <c r="BJ69" s="981">
        <f t="shared" si="73"/>
        <v>-1</v>
      </c>
      <c r="BK69" s="858"/>
      <c r="BL69" s="856"/>
      <c r="BM69" s="859">
        <f t="shared" si="74"/>
        <v>0</v>
      </c>
    </row>
    <row r="70" spans="1:65" ht="35.1" customHeight="1" x14ac:dyDescent="0.25">
      <c r="A70" s="963"/>
      <c r="B70" s="964"/>
      <c r="C70" s="965"/>
      <c r="D70" s="966"/>
      <c r="E70" s="965"/>
      <c r="F70" s="965"/>
      <c r="G70" s="967"/>
      <c r="H70" s="968"/>
      <c r="I70" s="861" t="e">
        <f t="shared" si="52"/>
        <v>#DIV/0!</v>
      </c>
      <c r="J70" s="983" t="e">
        <f t="shared" si="53"/>
        <v>#DIV/0!</v>
      </c>
      <c r="K70" s="993"/>
      <c r="L70" s="861" t="e">
        <f t="shared" si="54"/>
        <v>#DIV/0!</v>
      </c>
      <c r="M70" s="984" t="e">
        <f t="shared" si="55"/>
        <v>#DIV/0!</v>
      </c>
      <c r="N70" s="992"/>
      <c r="O70" s="907" t="e">
        <f t="shared" si="56"/>
        <v>#REF!</v>
      </c>
      <c r="P70" s="985" t="e">
        <f>(#REF!*#REF!)/1000</f>
        <v>#REF!</v>
      </c>
      <c r="Q70" s="990" t="e">
        <f t="shared" si="57"/>
        <v>#REF!</v>
      </c>
      <c r="R70" s="970" t="e">
        <f t="shared" si="58"/>
        <v>#REF!</v>
      </c>
      <c r="S70" s="969" t="e">
        <f t="shared" si="59"/>
        <v>#DIV/0!</v>
      </c>
      <c r="T70" s="909" t="e">
        <f t="shared" si="60"/>
        <v>#DIV/0!</v>
      </c>
      <c r="U70" s="986" t="e">
        <f t="shared" si="61"/>
        <v>#DIV/0!</v>
      </c>
      <c r="V70" s="988">
        <f t="shared" si="62"/>
        <v>0</v>
      </c>
      <c r="W70" s="970">
        <f t="shared" si="63"/>
        <v>0</v>
      </c>
      <c r="X70" s="971" t="e">
        <f t="shared" si="64"/>
        <v>#DIV/0!</v>
      </c>
      <c r="Y70" s="847"/>
      <c r="Z70" s="911" t="e">
        <f t="shared" si="75"/>
        <v>#DIV/0!</v>
      </c>
      <c r="AA70" s="1006"/>
      <c r="AB70" s="997">
        <f>IF(AA70=0,0,
IF('Calcul_Densité+Dose'!B70="2x2",((10000/(AA70*BB70))/4)*Z70,
((10000/(AA70*BB70))/AZ70)*Z70))</f>
        <v>0</v>
      </c>
      <c r="AC70" s="1007"/>
      <c r="AD70" s="1008">
        <f>IF(AC70=0,0,
IF('Calcul_Densité+Dose'!B70="2x2",((10000/(AC70*BB70))/2)*Z70,
((10000/(AC70*BB70))/AZ70)*Z70))</f>
        <v>0</v>
      </c>
      <c r="AE70" s="1009"/>
      <c r="AF70" s="1010">
        <f>IF(AE70=0,0,
IF('Calcul_Densité+Dose'!B70="2x2",((10000/(AE70*BB70))/4)*Z70,
((10000/(AE70*BB70))/AZ70)*Z70))</f>
        <v>0</v>
      </c>
      <c r="AG70" s="1011">
        <f t="shared" si="76"/>
        <v>0</v>
      </c>
      <c r="AH70" s="860"/>
      <c r="AI70" s="995"/>
      <c r="AJ70" s="1020"/>
      <c r="AK70" s="997">
        <f t="shared" si="77"/>
        <v>0</v>
      </c>
      <c r="AL70" s="1021"/>
      <c r="AM70" s="1008">
        <f t="shared" si="78"/>
        <v>0</v>
      </c>
      <c r="AN70" s="1011">
        <f t="shared" si="79"/>
        <v>0</v>
      </c>
      <c r="AO70" s="860"/>
      <c r="AP70" s="996"/>
      <c r="AQ70" s="1022">
        <f t="shared" si="80"/>
        <v>0</v>
      </c>
      <c r="AR70" s="994"/>
      <c r="AS70" s="977"/>
      <c r="AT70" s="978">
        <f t="shared" si="65"/>
        <v>0</v>
      </c>
      <c r="AU70" s="919" t="e">
        <f t="shared" si="66"/>
        <v>#DIV/0!</v>
      </c>
      <c r="AV70" s="920" t="e">
        <f t="shared" si="67"/>
        <v>#DIV/0!</v>
      </c>
      <c r="AW70" s="913"/>
      <c r="AX70" s="854"/>
      <c r="AY70" s="914"/>
      <c r="AZ70" s="979"/>
      <c r="BA70" s="855">
        <f t="shared" si="68"/>
        <v>0</v>
      </c>
      <c r="BB70" s="918" t="e">
        <f t="shared" si="69"/>
        <v>#DIV/0!</v>
      </c>
      <c r="BC70" s="917" t="e">
        <f t="shared" si="70"/>
        <v>#DIV/0!</v>
      </c>
      <c r="BD70" s="916"/>
      <c r="BE70" s="855"/>
      <c r="BF70" s="915">
        <f t="shared" si="71"/>
        <v>1</v>
      </c>
      <c r="BG70" s="980"/>
      <c r="BH70" s="856"/>
      <c r="BI70" s="857">
        <f t="shared" si="72"/>
        <v>0</v>
      </c>
      <c r="BJ70" s="981">
        <f t="shared" si="73"/>
        <v>-1</v>
      </c>
      <c r="BK70" s="858"/>
      <c r="BL70" s="856"/>
      <c r="BM70" s="859">
        <f t="shared" si="74"/>
        <v>0</v>
      </c>
    </row>
    <row r="71" spans="1:65" ht="35.1" customHeight="1" x14ac:dyDescent="0.25">
      <c r="A71" s="963"/>
      <c r="B71" s="964"/>
      <c r="C71" s="965"/>
      <c r="D71" s="966"/>
      <c r="E71" s="965"/>
      <c r="F71" s="965"/>
      <c r="G71" s="967"/>
      <c r="H71" s="968"/>
      <c r="I71" s="861" t="e">
        <f t="shared" si="52"/>
        <v>#DIV/0!</v>
      </c>
      <c r="J71" s="983" t="e">
        <f t="shared" si="53"/>
        <v>#DIV/0!</v>
      </c>
      <c r="K71" s="993"/>
      <c r="L71" s="861" t="e">
        <f t="shared" si="54"/>
        <v>#DIV/0!</v>
      </c>
      <c r="M71" s="984" t="e">
        <f t="shared" si="55"/>
        <v>#DIV/0!</v>
      </c>
      <c r="N71" s="992"/>
      <c r="O71" s="907" t="e">
        <f t="shared" si="56"/>
        <v>#REF!</v>
      </c>
      <c r="P71" s="985" t="e">
        <f>(#REF!*#REF!)/1000</f>
        <v>#REF!</v>
      </c>
      <c r="Q71" s="990" t="e">
        <f t="shared" si="57"/>
        <v>#REF!</v>
      </c>
      <c r="R71" s="970" t="e">
        <f t="shared" si="58"/>
        <v>#REF!</v>
      </c>
      <c r="S71" s="969" t="e">
        <f t="shared" si="59"/>
        <v>#DIV/0!</v>
      </c>
      <c r="T71" s="909" t="e">
        <f t="shared" si="60"/>
        <v>#DIV/0!</v>
      </c>
      <c r="U71" s="986" t="e">
        <f t="shared" si="61"/>
        <v>#DIV/0!</v>
      </c>
      <c r="V71" s="988">
        <f t="shared" si="62"/>
        <v>0</v>
      </c>
      <c r="W71" s="970">
        <f t="shared" si="63"/>
        <v>0</v>
      </c>
      <c r="X71" s="971" t="e">
        <f t="shared" si="64"/>
        <v>#DIV/0!</v>
      </c>
      <c r="Y71" s="847"/>
      <c r="Z71" s="911" t="e">
        <f t="shared" si="75"/>
        <v>#DIV/0!</v>
      </c>
      <c r="AA71" s="1006"/>
      <c r="AB71" s="997">
        <f>IF(AA71=0,0,
IF('Calcul_Densité+Dose'!B71="2x2",((10000/(AA71*BB71))/4)*Z71,
((10000/(AA71*BB71))/AZ71)*Z71))</f>
        <v>0</v>
      </c>
      <c r="AC71" s="1007"/>
      <c r="AD71" s="1008">
        <f>IF(AC71=0,0,
IF('Calcul_Densité+Dose'!B71="2x2",((10000/(AC71*BB71))/2)*Z71,
((10000/(AC71*BB71))/AZ71)*Z71))</f>
        <v>0</v>
      </c>
      <c r="AE71" s="1009"/>
      <c r="AF71" s="1010">
        <f>IF(AE71=0,0,
IF('Calcul_Densité+Dose'!B71="2x2",((10000/(AE71*BB71))/4)*Z71,
((10000/(AE71*BB71))/AZ71)*Z71))</f>
        <v>0</v>
      </c>
      <c r="AG71" s="1011">
        <f t="shared" si="76"/>
        <v>0</v>
      </c>
      <c r="AH71" s="860"/>
      <c r="AI71" s="995"/>
      <c r="AJ71" s="1020"/>
      <c r="AK71" s="997">
        <f t="shared" si="77"/>
        <v>0</v>
      </c>
      <c r="AL71" s="1021"/>
      <c r="AM71" s="1008">
        <f t="shared" si="78"/>
        <v>0</v>
      </c>
      <c r="AN71" s="1011">
        <f t="shared" si="79"/>
        <v>0</v>
      </c>
      <c r="AO71" s="860"/>
      <c r="AP71" s="996"/>
      <c r="AQ71" s="1022">
        <f t="shared" si="80"/>
        <v>0</v>
      </c>
      <c r="AR71" s="994"/>
      <c r="AS71" s="977"/>
      <c r="AT71" s="978">
        <f t="shared" si="65"/>
        <v>0</v>
      </c>
      <c r="AU71" s="919" t="e">
        <f t="shared" si="66"/>
        <v>#DIV/0!</v>
      </c>
      <c r="AV71" s="920" t="e">
        <f t="shared" si="67"/>
        <v>#DIV/0!</v>
      </c>
      <c r="AW71" s="913"/>
      <c r="AX71" s="854"/>
      <c r="AY71" s="914"/>
      <c r="AZ71" s="979"/>
      <c r="BA71" s="855">
        <f t="shared" si="68"/>
        <v>0</v>
      </c>
      <c r="BB71" s="918" t="e">
        <f t="shared" si="69"/>
        <v>#DIV/0!</v>
      </c>
      <c r="BC71" s="917" t="e">
        <f t="shared" si="70"/>
        <v>#DIV/0!</v>
      </c>
      <c r="BD71" s="916"/>
      <c r="BE71" s="855"/>
      <c r="BF71" s="915">
        <f t="shared" si="71"/>
        <v>1</v>
      </c>
      <c r="BG71" s="980"/>
      <c r="BH71" s="856"/>
      <c r="BI71" s="857">
        <f t="shared" si="72"/>
        <v>0</v>
      </c>
      <c r="BJ71" s="981">
        <f t="shared" si="73"/>
        <v>-1</v>
      </c>
      <c r="BK71" s="858"/>
      <c r="BL71" s="856"/>
      <c r="BM71" s="859">
        <f t="shared" si="74"/>
        <v>0</v>
      </c>
    </row>
    <row r="72" spans="1:65" ht="35.1" customHeight="1" x14ac:dyDescent="0.25">
      <c r="A72" s="963"/>
      <c r="B72" s="964"/>
      <c r="C72" s="965"/>
      <c r="D72" s="966"/>
      <c r="E72" s="965"/>
      <c r="F72" s="965"/>
      <c r="G72" s="967"/>
      <c r="H72" s="968"/>
      <c r="I72" s="861" t="e">
        <f t="shared" si="52"/>
        <v>#DIV/0!</v>
      </c>
      <c r="J72" s="983" t="e">
        <f t="shared" si="53"/>
        <v>#DIV/0!</v>
      </c>
      <c r="K72" s="993"/>
      <c r="L72" s="861" t="e">
        <f t="shared" si="54"/>
        <v>#DIV/0!</v>
      </c>
      <c r="M72" s="984" t="e">
        <f t="shared" si="55"/>
        <v>#DIV/0!</v>
      </c>
      <c r="N72" s="992"/>
      <c r="O72" s="907" t="e">
        <f t="shared" si="56"/>
        <v>#REF!</v>
      </c>
      <c r="P72" s="985" t="e">
        <f>(#REF!*#REF!)/1000</f>
        <v>#REF!</v>
      </c>
      <c r="Q72" s="990" t="e">
        <f t="shared" si="57"/>
        <v>#REF!</v>
      </c>
      <c r="R72" s="970" t="e">
        <f t="shared" si="58"/>
        <v>#REF!</v>
      </c>
      <c r="S72" s="969" t="e">
        <f t="shared" si="59"/>
        <v>#DIV/0!</v>
      </c>
      <c r="T72" s="909" t="e">
        <f t="shared" si="60"/>
        <v>#DIV/0!</v>
      </c>
      <c r="U72" s="986" t="e">
        <f t="shared" si="61"/>
        <v>#DIV/0!</v>
      </c>
      <c r="V72" s="988">
        <f t="shared" si="62"/>
        <v>0</v>
      </c>
      <c r="W72" s="970">
        <f t="shared" si="63"/>
        <v>0</v>
      </c>
      <c r="X72" s="971" t="e">
        <f t="shared" si="64"/>
        <v>#DIV/0!</v>
      </c>
      <c r="Y72" s="847"/>
      <c r="Z72" s="911" t="e">
        <f t="shared" si="75"/>
        <v>#DIV/0!</v>
      </c>
      <c r="AA72" s="1006"/>
      <c r="AB72" s="997">
        <f>IF(AA72=0,0,
IF('Calcul_Densité+Dose'!B72="2x2",((10000/(AA72*BB72))/4)*Z72,
((10000/(AA72*BB72))/AZ72)*Z72))</f>
        <v>0</v>
      </c>
      <c r="AC72" s="1007"/>
      <c r="AD72" s="1008">
        <f>IF(AC72=0,0,
IF('Calcul_Densité+Dose'!B72="2x2",((10000/(AC72*BB72))/2)*Z72,
((10000/(AC72*BB72))/AZ72)*Z72))</f>
        <v>0</v>
      </c>
      <c r="AE72" s="1009"/>
      <c r="AF72" s="1010">
        <f>IF(AE72=0,0,
IF('Calcul_Densité+Dose'!B72="2x2",((10000/(AE72*BB72))/4)*Z72,
((10000/(AE72*BB72))/AZ72)*Z72))</f>
        <v>0</v>
      </c>
      <c r="AG72" s="1011">
        <f t="shared" si="76"/>
        <v>0</v>
      </c>
      <c r="AH72" s="860"/>
      <c r="AI72" s="995"/>
      <c r="AJ72" s="1020"/>
      <c r="AK72" s="997">
        <f t="shared" si="77"/>
        <v>0</v>
      </c>
      <c r="AL72" s="1021"/>
      <c r="AM72" s="1008">
        <f t="shared" si="78"/>
        <v>0</v>
      </c>
      <c r="AN72" s="1011">
        <f t="shared" si="79"/>
        <v>0</v>
      </c>
      <c r="AO72" s="860"/>
      <c r="AP72" s="996"/>
      <c r="AQ72" s="1022">
        <f t="shared" si="80"/>
        <v>0</v>
      </c>
      <c r="AR72" s="994"/>
      <c r="AS72" s="977"/>
      <c r="AT72" s="978">
        <f t="shared" si="65"/>
        <v>0</v>
      </c>
      <c r="AU72" s="919" t="e">
        <f t="shared" si="66"/>
        <v>#DIV/0!</v>
      </c>
      <c r="AV72" s="920" t="e">
        <f t="shared" si="67"/>
        <v>#DIV/0!</v>
      </c>
      <c r="AW72" s="913"/>
      <c r="AX72" s="854"/>
      <c r="AY72" s="914"/>
      <c r="AZ72" s="979"/>
      <c r="BA72" s="855">
        <f t="shared" si="68"/>
        <v>0</v>
      </c>
      <c r="BB72" s="918" t="e">
        <f t="shared" si="69"/>
        <v>#DIV/0!</v>
      </c>
      <c r="BC72" s="917" t="e">
        <f t="shared" si="70"/>
        <v>#DIV/0!</v>
      </c>
      <c r="BD72" s="916"/>
      <c r="BE72" s="855"/>
      <c r="BF72" s="915">
        <f t="shared" si="71"/>
        <v>1</v>
      </c>
      <c r="BG72" s="980"/>
      <c r="BH72" s="856"/>
      <c r="BI72" s="857">
        <f t="shared" si="72"/>
        <v>0</v>
      </c>
      <c r="BJ72" s="981">
        <f t="shared" si="73"/>
        <v>-1</v>
      </c>
      <c r="BK72" s="858"/>
      <c r="BL72" s="856"/>
      <c r="BM72" s="859">
        <f t="shared" si="74"/>
        <v>0</v>
      </c>
    </row>
    <row r="73" spans="1:65" ht="35.1" customHeight="1" x14ac:dyDescent="0.25">
      <c r="A73" s="963"/>
      <c r="B73" s="964"/>
      <c r="C73" s="965"/>
      <c r="D73" s="966"/>
      <c r="E73" s="965"/>
      <c r="F73" s="965"/>
      <c r="G73" s="967"/>
      <c r="H73" s="968"/>
      <c r="I73" s="861" t="e">
        <f t="shared" si="52"/>
        <v>#DIV/0!</v>
      </c>
      <c r="J73" s="983" t="e">
        <f t="shared" si="53"/>
        <v>#DIV/0!</v>
      </c>
      <c r="K73" s="993"/>
      <c r="L73" s="861" t="e">
        <f t="shared" si="54"/>
        <v>#DIV/0!</v>
      </c>
      <c r="M73" s="984" t="e">
        <f t="shared" si="55"/>
        <v>#DIV/0!</v>
      </c>
      <c r="N73" s="992"/>
      <c r="O73" s="907" t="e">
        <f t="shared" si="56"/>
        <v>#REF!</v>
      </c>
      <c r="P73" s="985" t="e">
        <f>(#REF!*#REF!)/1000</f>
        <v>#REF!</v>
      </c>
      <c r="Q73" s="990" t="e">
        <f t="shared" si="57"/>
        <v>#REF!</v>
      </c>
      <c r="R73" s="970" t="e">
        <f t="shared" si="58"/>
        <v>#REF!</v>
      </c>
      <c r="S73" s="969" t="e">
        <f t="shared" si="59"/>
        <v>#DIV/0!</v>
      </c>
      <c r="T73" s="909" t="e">
        <f t="shared" si="60"/>
        <v>#DIV/0!</v>
      </c>
      <c r="U73" s="986" t="e">
        <f t="shared" si="61"/>
        <v>#DIV/0!</v>
      </c>
      <c r="V73" s="988">
        <f t="shared" si="62"/>
        <v>0</v>
      </c>
      <c r="W73" s="970">
        <f t="shared" si="63"/>
        <v>0</v>
      </c>
      <c r="X73" s="971" t="e">
        <f t="shared" si="64"/>
        <v>#DIV/0!</v>
      </c>
      <c r="Y73" s="847"/>
      <c r="Z73" s="911" t="e">
        <f t="shared" si="75"/>
        <v>#DIV/0!</v>
      </c>
      <c r="AA73" s="1006"/>
      <c r="AB73" s="997">
        <f>IF(AA73=0,0,
IF('Calcul_Densité+Dose'!B73="2x2",((10000/(AA73*BB73))/4)*Z73,
((10000/(AA73*BB73))/AZ73)*Z73))</f>
        <v>0</v>
      </c>
      <c r="AC73" s="1007"/>
      <c r="AD73" s="1008">
        <f>IF(AC73=0,0,
IF('Calcul_Densité+Dose'!B73="2x2",((10000/(AC73*BB73))/2)*Z73,
((10000/(AC73*BB73))/AZ73)*Z73))</f>
        <v>0</v>
      </c>
      <c r="AE73" s="1009"/>
      <c r="AF73" s="1010">
        <f>IF(AE73=0,0,
IF('Calcul_Densité+Dose'!B73="2x2",((10000/(AE73*BB73))/4)*Z73,
((10000/(AE73*BB73))/AZ73)*Z73))</f>
        <v>0</v>
      </c>
      <c r="AG73" s="1011">
        <f t="shared" si="76"/>
        <v>0</v>
      </c>
      <c r="AH73" s="860"/>
      <c r="AI73" s="995"/>
      <c r="AJ73" s="1020"/>
      <c r="AK73" s="997">
        <f t="shared" si="77"/>
        <v>0</v>
      </c>
      <c r="AL73" s="1021"/>
      <c r="AM73" s="1008">
        <f t="shared" si="78"/>
        <v>0</v>
      </c>
      <c r="AN73" s="1011">
        <f t="shared" si="79"/>
        <v>0</v>
      </c>
      <c r="AO73" s="860"/>
      <c r="AP73" s="996"/>
      <c r="AQ73" s="1022">
        <f t="shared" si="80"/>
        <v>0</v>
      </c>
      <c r="AR73" s="994"/>
      <c r="AS73" s="977"/>
      <c r="AT73" s="978">
        <f t="shared" si="65"/>
        <v>0</v>
      </c>
      <c r="AU73" s="919" t="e">
        <f t="shared" si="66"/>
        <v>#DIV/0!</v>
      </c>
      <c r="AV73" s="920" t="e">
        <f t="shared" si="67"/>
        <v>#DIV/0!</v>
      </c>
      <c r="AW73" s="913"/>
      <c r="AX73" s="854"/>
      <c r="AY73" s="914"/>
      <c r="AZ73" s="979"/>
      <c r="BA73" s="855">
        <f t="shared" si="68"/>
        <v>0</v>
      </c>
      <c r="BB73" s="918" t="e">
        <f t="shared" si="69"/>
        <v>#DIV/0!</v>
      </c>
      <c r="BC73" s="917" t="e">
        <f t="shared" si="70"/>
        <v>#DIV/0!</v>
      </c>
      <c r="BD73" s="916"/>
      <c r="BE73" s="855"/>
      <c r="BF73" s="915">
        <f t="shared" si="71"/>
        <v>1</v>
      </c>
      <c r="BG73" s="980"/>
      <c r="BH73" s="856"/>
      <c r="BI73" s="857">
        <f t="shared" si="72"/>
        <v>0</v>
      </c>
      <c r="BJ73" s="981">
        <f t="shared" si="73"/>
        <v>-1</v>
      </c>
      <c r="BK73" s="858"/>
      <c r="BL73" s="856"/>
      <c r="BM73" s="859">
        <f t="shared" si="74"/>
        <v>0</v>
      </c>
    </row>
    <row r="74" spans="1:65" ht="35.1" customHeight="1" x14ac:dyDescent="0.25">
      <c r="A74" s="963"/>
      <c r="B74" s="964"/>
      <c r="C74" s="965"/>
      <c r="D74" s="966"/>
      <c r="E74" s="965"/>
      <c r="F74" s="965"/>
      <c r="G74" s="967"/>
      <c r="H74" s="968"/>
      <c r="I74" s="861" t="e">
        <f t="shared" si="52"/>
        <v>#DIV/0!</v>
      </c>
      <c r="J74" s="983" t="e">
        <f t="shared" si="53"/>
        <v>#DIV/0!</v>
      </c>
      <c r="K74" s="993"/>
      <c r="L74" s="861" t="e">
        <f t="shared" si="54"/>
        <v>#DIV/0!</v>
      </c>
      <c r="M74" s="984" t="e">
        <f t="shared" si="55"/>
        <v>#DIV/0!</v>
      </c>
      <c r="N74" s="992"/>
      <c r="O74" s="907" t="e">
        <f t="shared" si="56"/>
        <v>#REF!</v>
      </c>
      <c r="P74" s="985" t="e">
        <f>(#REF!*#REF!)/1000</f>
        <v>#REF!</v>
      </c>
      <c r="Q74" s="990" t="e">
        <f t="shared" si="57"/>
        <v>#REF!</v>
      </c>
      <c r="R74" s="970" t="e">
        <f t="shared" si="58"/>
        <v>#REF!</v>
      </c>
      <c r="S74" s="969" t="e">
        <f t="shared" si="59"/>
        <v>#DIV/0!</v>
      </c>
      <c r="T74" s="909" t="e">
        <f t="shared" si="60"/>
        <v>#DIV/0!</v>
      </c>
      <c r="U74" s="986" t="e">
        <f t="shared" si="61"/>
        <v>#DIV/0!</v>
      </c>
      <c r="V74" s="988">
        <f t="shared" si="62"/>
        <v>0</v>
      </c>
      <c r="W74" s="970">
        <f t="shared" si="63"/>
        <v>0</v>
      </c>
      <c r="X74" s="971" t="e">
        <f t="shared" si="64"/>
        <v>#DIV/0!</v>
      </c>
      <c r="Y74" s="847"/>
      <c r="Z74" s="911" t="e">
        <f t="shared" si="75"/>
        <v>#DIV/0!</v>
      </c>
      <c r="AA74" s="1006"/>
      <c r="AB74" s="997">
        <f>IF(AA74=0,0,
IF('Calcul_Densité+Dose'!B74="2x2",((10000/(AA74*BB74))/4)*Z74,
((10000/(AA74*BB74))/AZ74)*Z74))</f>
        <v>0</v>
      </c>
      <c r="AC74" s="1007"/>
      <c r="AD74" s="1008">
        <f>IF(AC74=0,0,
IF('Calcul_Densité+Dose'!B74="2x2",((10000/(AC74*BB74))/2)*Z74,
((10000/(AC74*BB74))/AZ74)*Z74))</f>
        <v>0</v>
      </c>
      <c r="AE74" s="1009"/>
      <c r="AF74" s="1010">
        <f>IF(AE74=0,0,
IF('Calcul_Densité+Dose'!B74="2x2",((10000/(AE74*BB74))/4)*Z74,
((10000/(AE74*BB74))/AZ74)*Z74))</f>
        <v>0</v>
      </c>
      <c r="AG74" s="1011">
        <f t="shared" si="76"/>
        <v>0</v>
      </c>
      <c r="AH74" s="860"/>
      <c r="AI74" s="995"/>
      <c r="AJ74" s="1020"/>
      <c r="AK74" s="997">
        <f t="shared" si="77"/>
        <v>0</v>
      </c>
      <c r="AL74" s="1021"/>
      <c r="AM74" s="1008">
        <f t="shared" si="78"/>
        <v>0</v>
      </c>
      <c r="AN74" s="1011">
        <f t="shared" si="79"/>
        <v>0</v>
      </c>
      <c r="AO74" s="860"/>
      <c r="AP74" s="996"/>
      <c r="AQ74" s="1022">
        <f t="shared" si="80"/>
        <v>0</v>
      </c>
      <c r="AR74" s="994"/>
      <c r="AS74" s="977"/>
      <c r="AT74" s="978">
        <f t="shared" si="65"/>
        <v>0</v>
      </c>
      <c r="AU74" s="919" t="e">
        <f t="shared" si="66"/>
        <v>#DIV/0!</v>
      </c>
      <c r="AV74" s="920" t="e">
        <f t="shared" si="67"/>
        <v>#DIV/0!</v>
      </c>
      <c r="AW74" s="913"/>
      <c r="AX74" s="854"/>
      <c r="AY74" s="914"/>
      <c r="AZ74" s="979"/>
      <c r="BA74" s="855">
        <f t="shared" si="68"/>
        <v>0</v>
      </c>
      <c r="BB74" s="918" t="e">
        <f t="shared" si="69"/>
        <v>#DIV/0!</v>
      </c>
      <c r="BC74" s="917" t="e">
        <f t="shared" si="70"/>
        <v>#DIV/0!</v>
      </c>
      <c r="BD74" s="916"/>
      <c r="BE74" s="855"/>
      <c r="BF74" s="915">
        <f t="shared" si="71"/>
        <v>1</v>
      </c>
      <c r="BG74" s="980"/>
      <c r="BH74" s="856"/>
      <c r="BI74" s="857">
        <f t="shared" si="72"/>
        <v>0</v>
      </c>
      <c r="BJ74" s="981">
        <f t="shared" si="73"/>
        <v>-1</v>
      </c>
      <c r="BK74" s="858"/>
      <c r="BL74" s="856"/>
      <c r="BM74" s="859">
        <f t="shared" si="74"/>
        <v>0</v>
      </c>
    </row>
    <row r="75" spans="1:65" ht="35.1" customHeight="1" x14ac:dyDescent="0.25">
      <c r="A75" s="963"/>
      <c r="B75" s="964"/>
      <c r="C75" s="965"/>
      <c r="D75" s="966"/>
      <c r="E75" s="965"/>
      <c r="F75" s="965"/>
      <c r="G75" s="967"/>
      <c r="H75" s="968"/>
      <c r="I75" s="861" t="e">
        <f t="shared" si="52"/>
        <v>#DIV/0!</v>
      </c>
      <c r="J75" s="983" t="e">
        <f t="shared" si="53"/>
        <v>#DIV/0!</v>
      </c>
      <c r="K75" s="993"/>
      <c r="L75" s="861" t="e">
        <f t="shared" si="54"/>
        <v>#DIV/0!</v>
      </c>
      <c r="M75" s="984" t="e">
        <f t="shared" si="55"/>
        <v>#DIV/0!</v>
      </c>
      <c r="N75" s="992"/>
      <c r="O75" s="907" t="e">
        <f t="shared" si="56"/>
        <v>#REF!</v>
      </c>
      <c r="P75" s="985" t="e">
        <f>(#REF!*#REF!)/1000</f>
        <v>#REF!</v>
      </c>
      <c r="Q75" s="990" t="e">
        <f t="shared" si="57"/>
        <v>#REF!</v>
      </c>
      <c r="R75" s="970" t="e">
        <f t="shared" si="58"/>
        <v>#REF!</v>
      </c>
      <c r="S75" s="969" t="e">
        <f t="shared" si="59"/>
        <v>#DIV/0!</v>
      </c>
      <c r="T75" s="909" t="e">
        <f t="shared" si="60"/>
        <v>#DIV/0!</v>
      </c>
      <c r="U75" s="986" t="e">
        <f t="shared" si="61"/>
        <v>#DIV/0!</v>
      </c>
      <c r="V75" s="988">
        <f t="shared" si="62"/>
        <v>0</v>
      </c>
      <c r="W75" s="970">
        <f t="shared" si="63"/>
        <v>0</v>
      </c>
      <c r="X75" s="971" t="e">
        <f t="shared" si="64"/>
        <v>#DIV/0!</v>
      </c>
      <c r="Y75" s="847"/>
      <c r="Z75" s="911" t="e">
        <f t="shared" si="75"/>
        <v>#DIV/0!</v>
      </c>
      <c r="AA75" s="1006"/>
      <c r="AB75" s="997">
        <f>IF(AA75=0,0,
IF('Calcul_Densité+Dose'!B75="2x2",((10000/(AA75*BB75))/4)*Z75,
((10000/(AA75*BB75))/AZ75)*Z75))</f>
        <v>0</v>
      </c>
      <c r="AC75" s="1007"/>
      <c r="AD75" s="1008">
        <f>IF(AC75=0,0,
IF('Calcul_Densité+Dose'!B75="2x2",((10000/(AC75*BB75))/2)*Z75,
((10000/(AC75*BB75))/AZ75)*Z75))</f>
        <v>0</v>
      </c>
      <c r="AE75" s="1009"/>
      <c r="AF75" s="1010">
        <f>IF(AE75=0,0,
IF('Calcul_Densité+Dose'!B75="2x2",((10000/(AE75*BB75))/4)*Z75,
((10000/(AE75*BB75))/AZ75)*Z75))</f>
        <v>0</v>
      </c>
      <c r="AG75" s="1011">
        <f t="shared" si="76"/>
        <v>0</v>
      </c>
      <c r="AH75" s="860"/>
      <c r="AI75" s="995"/>
      <c r="AJ75" s="1020"/>
      <c r="AK75" s="997">
        <f t="shared" si="77"/>
        <v>0</v>
      </c>
      <c r="AL75" s="1021"/>
      <c r="AM75" s="1008">
        <f t="shared" si="78"/>
        <v>0</v>
      </c>
      <c r="AN75" s="1011">
        <f t="shared" si="79"/>
        <v>0</v>
      </c>
      <c r="AO75" s="860"/>
      <c r="AP75" s="996"/>
      <c r="AQ75" s="1022">
        <f t="shared" si="80"/>
        <v>0</v>
      </c>
      <c r="AR75" s="994"/>
      <c r="AS75" s="977"/>
      <c r="AT75" s="978">
        <f t="shared" si="65"/>
        <v>0</v>
      </c>
      <c r="AU75" s="919" t="e">
        <f t="shared" si="66"/>
        <v>#DIV/0!</v>
      </c>
      <c r="AV75" s="920" t="e">
        <f t="shared" si="67"/>
        <v>#DIV/0!</v>
      </c>
      <c r="AW75" s="913"/>
      <c r="AX75" s="854"/>
      <c r="AY75" s="914"/>
      <c r="AZ75" s="979"/>
      <c r="BA75" s="855">
        <f t="shared" si="68"/>
        <v>0</v>
      </c>
      <c r="BB75" s="918" t="e">
        <f t="shared" si="69"/>
        <v>#DIV/0!</v>
      </c>
      <c r="BC75" s="917" t="e">
        <f t="shared" si="70"/>
        <v>#DIV/0!</v>
      </c>
      <c r="BD75" s="916"/>
      <c r="BE75" s="855"/>
      <c r="BF75" s="915">
        <f t="shared" si="71"/>
        <v>1</v>
      </c>
      <c r="BG75" s="980"/>
      <c r="BH75" s="856"/>
      <c r="BI75" s="857">
        <f t="shared" si="72"/>
        <v>0</v>
      </c>
      <c r="BJ75" s="981">
        <f t="shared" si="73"/>
        <v>-1</v>
      </c>
      <c r="BK75" s="858"/>
      <c r="BL75" s="856"/>
      <c r="BM75" s="859">
        <f t="shared" si="74"/>
        <v>0</v>
      </c>
    </row>
    <row r="76" spans="1:65" ht="35.1" customHeight="1" x14ac:dyDescent="0.25">
      <c r="A76" s="963"/>
      <c r="B76" s="964"/>
      <c r="C76" s="965"/>
      <c r="D76" s="966"/>
      <c r="E76" s="965"/>
      <c r="F76" s="965"/>
      <c r="G76" s="967"/>
      <c r="H76" s="968"/>
      <c r="I76" s="861" t="e">
        <f t="shared" si="52"/>
        <v>#DIV/0!</v>
      </c>
      <c r="J76" s="983" t="e">
        <f t="shared" si="53"/>
        <v>#DIV/0!</v>
      </c>
      <c r="K76" s="993"/>
      <c r="L76" s="861" t="e">
        <f t="shared" si="54"/>
        <v>#DIV/0!</v>
      </c>
      <c r="M76" s="984" t="e">
        <f t="shared" si="55"/>
        <v>#DIV/0!</v>
      </c>
      <c r="N76" s="992"/>
      <c r="O76" s="907" t="e">
        <f t="shared" si="56"/>
        <v>#REF!</v>
      </c>
      <c r="P76" s="985" t="e">
        <f>(#REF!*#REF!)/1000</f>
        <v>#REF!</v>
      </c>
      <c r="Q76" s="990" t="e">
        <f t="shared" si="57"/>
        <v>#REF!</v>
      </c>
      <c r="R76" s="970" t="e">
        <f t="shared" si="58"/>
        <v>#REF!</v>
      </c>
      <c r="S76" s="969" t="e">
        <f t="shared" si="59"/>
        <v>#DIV/0!</v>
      </c>
      <c r="T76" s="909" t="e">
        <f t="shared" si="60"/>
        <v>#DIV/0!</v>
      </c>
      <c r="U76" s="986" t="e">
        <f t="shared" si="61"/>
        <v>#DIV/0!</v>
      </c>
      <c r="V76" s="988">
        <f t="shared" si="62"/>
        <v>0</v>
      </c>
      <c r="W76" s="970">
        <f t="shared" si="63"/>
        <v>0</v>
      </c>
      <c r="X76" s="971" t="e">
        <f t="shared" si="64"/>
        <v>#DIV/0!</v>
      </c>
      <c r="Y76" s="847"/>
      <c r="Z76" s="911" t="e">
        <f t="shared" si="75"/>
        <v>#DIV/0!</v>
      </c>
      <c r="AA76" s="1006"/>
      <c r="AB76" s="997">
        <f>IF(AA76=0,0,
IF('Calcul_Densité+Dose'!B76="2x2",((10000/(AA76*BB76))/4)*Z76,
((10000/(AA76*BB76))/AZ76)*Z76))</f>
        <v>0</v>
      </c>
      <c r="AC76" s="1007"/>
      <c r="AD76" s="1008">
        <f>IF(AC76=0,0,
IF('Calcul_Densité+Dose'!B76="2x2",((10000/(AC76*BB76))/2)*Z76,
((10000/(AC76*BB76))/AZ76)*Z76))</f>
        <v>0</v>
      </c>
      <c r="AE76" s="1009"/>
      <c r="AF76" s="1010">
        <f>IF(AE76=0,0,
IF('Calcul_Densité+Dose'!B76="2x2",((10000/(AE76*BB76))/4)*Z76,
((10000/(AE76*BB76))/AZ76)*Z76))</f>
        <v>0</v>
      </c>
      <c r="AG76" s="1011">
        <f t="shared" si="76"/>
        <v>0</v>
      </c>
      <c r="AH76" s="860"/>
      <c r="AI76" s="995"/>
      <c r="AJ76" s="1020"/>
      <c r="AK76" s="997">
        <f t="shared" si="77"/>
        <v>0</v>
      </c>
      <c r="AL76" s="1021"/>
      <c r="AM76" s="1008">
        <f t="shared" si="78"/>
        <v>0</v>
      </c>
      <c r="AN76" s="1011">
        <f t="shared" si="79"/>
        <v>0</v>
      </c>
      <c r="AO76" s="860"/>
      <c r="AP76" s="996"/>
      <c r="AQ76" s="1022">
        <f t="shared" si="80"/>
        <v>0</v>
      </c>
      <c r="AR76" s="994"/>
      <c r="AS76" s="977"/>
      <c r="AT76" s="978">
        <f t="shared" si="65"/>
        <v>0</v>
      </c>
      <c r="AU76" s="919" t="e">
        <f t="shared" si="66"/>
        <v>#DIV/0!</v>
      </c>
      <c r="AV76" s="920" t="e">
        <f t="shared" si="67"/>
        <v>#DIV/0!</v>
      </c>
      <c r="AW76" s="913"/>
      <c r="AX76" s="854"/>
      <c r="AY76" s="914"/>
      <c r="AZ76" s="979"/>
      <c r="BA76" s="855">
        <f t="shared" si="68"/>
        <v>0</v>
      </c>
      <c r="BB76" s="918" t="e">
        <f t="shared" si="69"/>
        <v>#DIV/0!</v>
      </c>
      <c r="BC76" s="917" t="e">
        <f t="shared" si="70"/>
        <v>#DIV/0!</v>
      </c>
      <c r="BD76" s="916"/>
      <c r="BE76" s="855"/>
      <c r="BF76" s="915">
        <f t="shared" si="71"/>
        <v>1</v>
      </c>
      <c r="BG76" s="980"/>
      <c r="BH76" s="856"/>
      <c r="BI76" s="857">
        <f t="shared" si="72"/>
        <v>0</v>
      </c>
      <c r="BJ76" s="981">
        <f t="shared" si="73"/>
        <v>-1</v>
      </c>
      <c r="BK76" s="858"/>
      <c r="BL76" s="856"/>
      <c r="BM76" s="859">
        <f t="shared" si="74"/>
        <v>0</v>
      </c>
    </row>
    <row r="77" spans="1:65" ht="35.1" customHeight="1" x14ac:dyDescent="0.25">
      <c r="A77" s="963"/>
      <c r="B77" s="964"/>
      <c r="C77" s="965"/>
      <c r="D77" s="966"/>
      <c r="E77" s="965"/>
      <c r="F77" s="965"/>
      <c r="G77" s="967"/>
      <c r="H77" s="968"/>
      <c r="I77" s="861" t="e">
        <f t="shared" si="52"/>
        <v>#DIV/0!</v>
      </c>
      <c r="J77" s="983" t="e">
        <f t="shared" si="53"/>
        <v>#DIV/0!</v>
      </c>
      <c r="K77" s="993"/>
      <c r="L77" s="861" t="e">
        <f t="shared" si="54"/>
        <v>#DIV/0!</v>
      </c>
      <c r="M77" s="984" t="e">
        <f t="shared" si="55"/>
        <v>#DIV/0!</v>
      </c>
      <c r="N77" s="992"/>
      <c r="O77" s="907" t="e">
        <f t="shared" si="56"/>
        <v>#REF!</v>
      </c>
      <c r="P77" s="985" t="e">
        <f>(#REF!*#REF!)/1000</f>
        <v>#REF!</v>
      </c>
      <c r="Q77" s="990" t="e">
        <f t="shared" si="57"/>
        <v>#REF!</v>
      </c>
      <c r="R77" s="970" t="e">
        <f t="shared" si="58"/>
        <v>#REF!</v>
      </c>
      <c r="S77" s="969" t="e">
        <f t="shared" si="59"/>
        <v>#DIV/0!</v>
      </c>
      <c r="T77" s="909" t="e">
        <f t="shared" si="60"/>
        <v>#DIV/0!</v>
      </c>
      <c r="U77" s="986" t="e">
        <f t="shared" si="61"/>
        <v>#DIV/0!</v>
      </c>
      <c r="V77" s="988">
        <f t="shared" si="62"/>
        <v>0</v>
      </c>
      <c r="W77" s="970">
        <f t="shared" si="63"/>
        <v>0</v>
      </c>
      <c r="X77" s="971" t="e">
        <f t="shared" si="64"/>
        <v>#DIV/0!</v>
      </c>
      <c r="Y77" s="847"/>
      <c r="Z77" s="911" t="e">
        <f t="shared" si="75"/>
        <v>#DIV/0!</v>
      </c>
      <c r="AA77" s="1006"/>
      <c r="AB77" s="997">
        <f>IF(AA77=0,0,
IF('Calcul_Densité+Dose'!B77="2x2",((10000/(AA77*BB77))/4)*Z77,
((10000/(AA77*BB77))/AZ77)*Z77))</f>
        <v>0</v>
      </c>
      <c r="AC77" s="1007"/>
      <c r="AD77" s="1008">
        <f>IF(AC77=0,0,
IF('Calcul_Densité+Dose'!B77="2x2",((10000/(AC77*BB77))/2)*Z77,
((10000/(AC77*BB77))/AZ77)*Z77))</f>
        <v>0</v>
      </c>
      <c r="AE77" s="1009"/>
      <c r="AF77" s="1010">
        <f>IF(AE77=0,0,
IF('Calcul_Densité+Dose'!B77="2x2",((10000/(AE77*BB77))/4)*Z77,
((10000/(AE77*BB77))/AZ77)*Z77))</f>
        <v>0</v>
      </c>
      <c r="AG77" s="1011">
        <f t="shared" si="76"/>
        <v>0</v>
      </c>
      <c r="AH77" s="860"/>
      <c r="AI77" s="995"/>
      <c r="AJ77" s="1020"/>
      <c r="AK77" s="997">
        <f t="shared" si="77"/>
        <v>0</v>
      </c>
      <c r="AL77" s="1021"/>
      <c r="AM77" s="1008">
        <f t="shared" si="78"/>
        <v>0</v>
      </c>
      <c r="AN77" s="1011">
        <f t="shared" si="79"/>
        <v>0</v>
      </c>
      <c r="AO77" s="860"/>
      <c r="AP77" s="996"/>
      <c r="AQ77" s="1022">
        <f t="shared" si="80"/>
        <v>0</v>
      </c>
      <c r="AR77" s="994"/>
      <c r="AS77" s="977"/>
      <c r="AT77" s="978">
        <f t="shared" si="65"/>
        <v>0</v>
      </c>
      <c r="AU77" s="919" t="e">
        <f t="shared" si="66"/>
        <v>#DIV/0!</v>
      </c>
      <c r="AV77" s="920" t="e">
        <f t="shared" si="67"/>
        <v>#DIV/0!</v>
      </c>
      <c r="AW77" s="913"/>
      <c r="AX77" s="854"/>
      <c r="AY77" s="914"/>
      <c r="AZ77" s="979"/>
      <c r="BA77" s="855">
        <f t="shared" si="68"/>
        <v>0</v>
      </c>
      <c r="BB77" s="918" t="e">
        <f t="shared" si="69"/>
        <v>#DIV/0!</v>
      </c>
      <c r="BC77" s="917" t="e">
        <f t="shared" si="70"/>
        <v>#DIV/0!</v>
      </c>
      <c r="BD77" s="916"/>
      <c r="BE77" s="855"/>
      <c r="BF77" s="915">
        <f t="shared" si="71"/>
        <v>1</v>
      </c>
      <c r="BG77" s="980"/>
      <c r="BH77" s="856"/>
      <c r="BI77" s="857">
        <f t="shared" si="72"/>
        <v>0</v>
      </c>
      <c r="BJ77" s="981">
        <f t="shared" si="73"/>
        <v>-1</v>
      </c>
      <c r="BK77" s="858"/>
      <c r="BL77" s="856"/>
      <c r="BM77" s="859">
        <f t="shared" si="74"/>
        <v>0</v>
      </c>
    </row>
    <row r="78" spans="1:65" ht="35.1" customHeight="1" x14ac:dyDescent="0.25">
      <c r="A78" s="963"/>
      <c r="B78" s="964"/>
      <c r="C78" s="965"/>
      <c r="D78" s="966"/>
      <c r="E78" s="965"/>
      <c r="F78" s="965"/>
      <c r="G78" s="967"/>
      <c r="H78" s="968"/>
      <c r="I78" s="861" t="e">
        <f t="shared" si="52"/>
        <v>#DIV/0!</v>
      </c>
      <c r="J78" s="983" t="e">
        <f t="shared" si="53"/>
        <v>#DIV/0!</v>
      </c>
      <c r="K78" s="993"/>
      <c r="L78" s="861" t="e">
        <f t="shared" si="54"/>
        <v>#DIV/0!</v>
      </c>
      <c r="M78" s="984" t="e">
        <f t="shared" si="55"/>
        <v>#DIV/0!</v>
      </c>
      <c r="N78" s="992"/>
      <c r="O78" s="907" t="e">
        <f t="shared" si="56"/>
        <v>#REF!</v>
      </c>
      <c r="P78" s="985" t="e">
        <f>(#REF!*#REF!)/1000</f>
        <v>#REF!</v>
      </c>
      <c r="Q78" s="990" t="e">
        <f t="shared" si="57"/>
        <v>#REF!</v>
      </c>
      <c r="R78" s="970" t="e">
        <f t="shared" si="58"/>
        <v>#REF!</v>
      </c>
      <c r="S78" s="969" t="e">
        <f t="shared" si="59"/>
        <v>#DIV/0!</v>
      </c>
      <c r="T78" s="909" t="e">
        <f t="shared" si="60"/>
        <v>#DIV/0!</v>
      </c>
      <c r="U78" s="986" t="e">
        <f t="shared" si="61"/>
        <v>#DIV/0!</v>
      </c>
      <c r="V78" s="988">
        <f t="shared" si="62"/>
        <v>0</v>
      </c>
      <c r="W78" s="970">
        <f t="shared" si="63"/>
        <v>0</v>
      </c>
      <c r="X78" s="971" t="e">
        <f t="shared" si="64"/>
        <v>#DIV/0!</v>
      </c>
      <c r="Y78" s="847"/>
      <c r="Z78" s="911" t="e">
        <f t="shared" si="75"/>
        <v>#DIV/0!</v>
      </c>
      <c r="AA78" s="1006"/>
      <c r="AB78" s="997">
        <f>IF(AA78=0,0,
IF('Calcul_Densité+Dose'!B78="2x2",((10000/(AA78*BB78))/4)*Z78,
((10000/(AA78*BB78))/AZ78)*Z78))</f>
        <v>0</v>
      </c>
      <c r="AC78" s="1007"/>
      <c r="AD78" s="1008">
        <f>IF(AC78=0,0,
IF('Calcul_Densité+Dose'!B78="2x2",((10000/(AC78*BB78))/2)*Z78,
((10000/(AC78*BB78))/AZ78)*Z78))</f>
        <v>0</v>
      </c>
      <c r="AE78" s="1009"/>
      <c r="AF78" s="1010">
        <f>IF(AE78=0,0,
IF('Calcul_Densité+Dose'!B78="2x2",((10000/(AE78*BB78))/4)*Z78,
((10000/(AE78*BB78))/AZ78)*Z78))</f>
        <v>0</v>
      </c>
      <c r="AG78" s="1011">
        <f t="shared" si="76"/>
        <v>0</v>
      </c>
      <c r="AH78" s="860"/>
      <c r="AI78" s="995"/>
      <c r="AJ78" s="1020"/>
      <c r="AK78" s="997">
        <f t="shared" si="77"/>
        <v>0</v>
      </c>
      <c r="AL78" s="1021"/>
      <c r="AM78" s="1008">
        <f t="shared" si="78"/>
        <v>0</v>
      </c>
      <c r="AN78" s="1011">
        <f t="shared" si="79"/>
        <v>0</v>
      </c>
      <c r="AO78" s="860"/>
      <c r="AP78" s="996"/>
      <c r="AQ78" s="1022">
        <f t="shared" si="80"/>
        <v>0</v>
      </c>
      <c r="AR78" s="994"/>
      <c r="AS78" s="977"/>
      <c r="AT78" s="978">
        <f t="shared" si="65"/>
        <v>0</v>
      </c>
      <c r="AU78" s="919" t="e">
        <f t="shared" si="66"/>
        <v>#DIV/0!</v>
      </c>
      <c r="AV78" s="920" t="e">
        <f t="shared" si="67"/>
        <v>#DIV/0!</v>
      </c>
      <c r="AW78" s="913"/>
      <c r="AX78" s="854"/>
      <c r="AY78" s="914"/>
      <c r="AZ78" s="979"/>
      <c r="BA78" s="855">
        <f t="shared" si="68"/>
        <v>0</v>
      </c>
      <c r="BB78" s="918" t="e">
        <f t="shared" si="69"/>
        <v>#DIV/0!</v>
      </c>
      <c r="BC78" s="917" t="e">
        <f t="shared" si="70"/>
        <v>#DIV/0!</v>
      </c>
      <c r="BD78" s="916"/>
      <c r="BE78" s="855"/>
      <c r="BF78" s="915">
        <f t="shared" si="71"/>
        <v>1</v>
      </c>
      <c r="BG78" s="980"/>
      <c r="BH78" s="856"/>
      <c r="BI78" s="857">
        <f t="shared" si="72"/>
        <v>0</v>
      </c>
      <c r="BJ78" s="981">
        <f t="shared" si="73"/>
        <v>-1</v>
      </c>
      <c r="BK78" s="858"/>
      <c r="BL78" s="856"/>
      <c r="BM78" s="859">
        <f t="shared" si="74"/>
        <v>0</v>
      </c>
    </row>
    <row r="79" spans="1:65" ht="35.1" customHeight="1" x14ac:dyDescent="0.25">
      <c r="A79" s="963"/>
      <c r="B79" s="964"/>
      <c r="C79" s="965"/>
      <c r="D79" s="966"/>
      <c r="E79" s="965"/>
      <c r="F79" s="965"/>
      <c r="G79" s="967"/>
      <c r="H79" s="968"/>
      <c r="I79" s="861" t="e">
        <f t="shared" si="52"/>
        <v>#DIV/0!</v>
      </c>
      <c r="J79" s="983" t="e">
        <f t="shared" si="53"/>
        <v>#DIV/0!</v>
      </c>
      <c r="K79" s="993"/>
      <c r="L79" s="861" t="e">
        <f t="shared" si="54"/>
        <v>#DIV/0!</v>
      </c>
      <c r="M79" s="984" t="e">
        <f t="shared" si="55"/>
        <v>#DIV/0!</v>
      </c>
      <c r="N79" s="992"/>
      <c r="O79" s="907" t="e">
        <f t="shared" si="56"/>
        <v>#REF!</v>
      </c>
      <c r="P79" s="985" t="e">
        <f>(#REF!*#REF!)/1000</f>
        <v>#REF!</v>
      </c>
      <c r="Q79" s="990" t="e">
        <f t="shared" si="57"/>
        <v>#REF!</v>
      </c>
      <c r="R79" s="970" t="e">
        <f t="shared" si="58"/>
        <v>#REF!</v>
      </c>
      <c r="S79" s="969" t="e">
        <f t="shared" si="59"/>
        <v>#DIV/0!</v>
      </c>
      <c r="T79" s="909" t="e">
        <f t="shared" si="60"/>
        <v>#DIV/0!</v>
      </c>
      <c r="U79" s="986" t="e">
        <f t="shared" si="61"/>
        <v>#DIV/0!</v>
      </c>
      <c r="V79" s="988">
        <f t="shared" si="62"/>
        <v>0</v>
      </c>
      <c r="W79" s="970">
        <f t="shared" si="63"/>
        <v>0</v>
      </c>
      <c r="X79" s="971" t="e">
        <f t="shared" si="64"/>
        <v>#DIV/0!</v>
      </c>
      <c r="Y79" s="847"/>
      <c r="Z79" s="911" t="e">
        <f t="shared" si="75"/>
        <v>#DIV/0!</v>
      </c>
      <c r="AA79" s="1006"/>
      <c r="AB79" s="997">
        <f>IF(AA79=0,0,
IF('Calcul_Densité+Dose'!B79="2x2",((10000/(AA79*BB79))/4)*Z79,
((10000/(AA79*BB79))/AZ79)*Z79))</f>
        <v>0</v>
      </c>
      <c r="AC79" s="1007"/>
      <c r="AD79" s="1008">
        <f>IF(AC79=0,0,
IF('Calcul_Densité+Dose'!B79="2x2",((10000/(AC79*BB79))/2)*Z79,
((10000/(AC79*BB79))/AZ79)*Z79))</f>
        <v>0</v>
      </c>
      <c r="AE79" s="1009"/>
      <c r="AF79" s="1010">
        <f>IF(AE79=0,0,
IF('Calcul_Densité+Dose'!B79="2x2",((10000/(AE79*BB79))/4)*Z79,
((10000/(AE79*BB79))/AZ79)*Z79))</f>
        <v>0</v>
      </c>
      <c r="AG79" s="1011">
        <f t="shared" si="76"/>
        <v>0</v>
      </c>
      <c r="AH79" s="860"/>
      <c r="AI79" s="995"/>
      <c r="AJ79" s="1020"/>
      <c r="AK79" s="997">
        <f t="shared" si="77"/>
        <v>0</v>
      </c>
      <c r="AL79" s="1021"/>
      <c r="AM79" s="1008">
        <f t="shared" si="78"/>
        <v>0</v>
      </c>
      <c r="AN79" s="1011">
        <f t="shared" si="79"/>
        <v>0</v>
      </c>
      <c r="AO79" s="860"/>
      <c r="AP79" s="996"/>
      <c r="AQ79" s="1022">
        <f t="shared" si="80"/>
        <v>0</v>
      </c>
      <c r="AR79" s="994"/>
      <c r="AS79" s="977"/>
      <c r="AT79" s="978">
        <f t="shared" si="65"/>
        <v>0</v>
      </c>
      <c r="AU79" s="919" t="e">
        <f t="shared" si="66"/>
        <v>#DIV/0!</v>
      </c>
      <c r="AV79" s="920" t="e">
        <f t="shared" si="67"/>
        <v>#DIV/0!</v>
      </c>
      <c r="AW79" s="913"/>
      <c r="AX79" s="854"/>
      <c r="AY79" s="914"/>
      <c r="AZ79" s="979"/>
      <c r="BA79" s="855">
        <f t="shared" si="68"/>
        <v>0</v>
      </c>
      <c r="BB79" s="918" t="e">
        <f t="shared" si="69"/>
        <v>#DIV/0!</v>
      </c>
      <c r="BC79" s="917" t="e">
        <f t="shared" si="70"/>
        <v>#DIV/0!</v>
      </c>
      <c r="BD79" s="916"/>
      <c r="BE79" s="855"/>
      <c r="BF79" s="915">
        <f t="shared" si="71"/>
        <v>1</v>
      </c>
      <c r="BG79" s="980"/>
      <c r="BH79" s="856"/>
      <c r="BI79" s="857">
        <f t="shared" si="72"/>
        <v>0</v>
      </c>
      <c r="BJ79" s="981">
        <f t="shared" si="73"/>
        <v>-1</v>
      </c>
      <c r="BK79" s="858"/>
      <c r="BL79" s="856"/>
      <c r="BM79" s="859">
        <f t="shared" si="74"/>
        <v>0</v>
      </c>
    </row>
    <row r="80" spans="1:65" ht="35.1" customHeight="1" x14ac:dyDescent="0.25">
      <c r="A80" s="963"/>
      <c r="B80" s="964"/>
      <c r="C80" s="965"/>
      <c r="D80" s="966"/>
      <c r="E80" s="965"/>
      <c r="F80" s="965"/>
      <c r="G80" s="967"/>
      <c r="H80" s="968"/>
      <c r="I80" s="861" t="e">
        <f t="shared" si="52"/>
        <v>#DIV/0!</v>
      </c>
      <c r="J80" s="983" t="e">
        <f t="shared" si="53"/>
        <v>#DIV/0!</v>
      </c>
      <c r="K80" s="993"/>
      <c r="L80" s="861" t="e">
        <f t="shared" si="54"/>
        <v>#DIV/0!</v>
      </c>
      <c r="M80" s="984" t="e">
        <f t="shared" si="55"/>
        <v>#DIV/0!</v>
      </c>
      <c r="N80" s="992"/>
      <c r="O80" s="907" t="e">
        <f t="shared" si="56"/>
        <v>#REF!</v>
      </c>
      <c r="P80" s="985" t="e">
        <f>(#REF!*#REF!)/1000</f>
        <v>#REF!</v>
      </c>
      <c r="Q80" s="990" t="e">
        <f t="shared" si="57"/>
        <v>#REF!</v>
      </c>
      <c r="R80" s="970" t="e">
        <f t="shared" si="58"/>
        <v>#REF!</v>
      </c>
      <c r="S80" s="969" t="e">
        <f t="shared" si="59"/>
        <v>#DIV/0!</v>
      </c>
      <c r="T80" s="909" t="e">
        <f t="shared" si="60"/>
        <v>#DIV/0!</v>
      </c>
      <c r="U80" s="986" t="e">
        <f t="shared" si="61"/>
        <v>#DIV/0!</v>
      </c>
      <c r="V80" s="988">
        <f t="shared" si="62"/>
        <v>0</v>
      </c>
      <c r="W80" s="970">
        <f t="shared" si="63"/>
        <v>0</v>
      </c>
      <c r="X80" s="971" t="e">
        <f t="shared" si="64"/>
        <v>#DIV/0!</v>
      </c>
      <c r="Y80" s="847"/>
      <c r="Z80" s="911" t="e">
        <f t="shared" si="75"/>
        <v>#DIV/0!</v>
      </c>
      <c r="AA80" s="1006"/>
      <c r="AB80" s="997">
        <f>IF(AA80=0,0,
IF('Calcul_Densité+Dose'!B80="2x2",((10000/(AA80*BB80))/4)*Z80,
((10000/(AA80*BB80))/AZ80)*Z80))</f>
        <v>0</v>
      </c>
      <c r="AC80" s="1007"/>
      <c r="AD80" s="1008">
        <f>IF(AC80=0,0,
IF('Calcul_Densité+Dose'!B80="2x2",((10000/(AC80*BB80))/2)*Z80,
((10000/(AC80*BB80))/AZ80)*Z80))</f>
        <v>0</v>
      </c>
      <c r="AE80" s="1009"/>
      <c r="AF80" s="1010">
        <f>IF(AE80=0,0,
IF('Calcul_Densité+Dose'!B80="2x2",((10000/(AE80*BB80))/4)*Z80,
((10000/(AE80*BB80))/AZ80)*Z80))</f>
        <v>0</v>
      </c>
      <c r="AG80" s="1011">
        <f t="shared" si="76"/>
        <v>0</v>
      </c>
      <c r="AH80" s="860"/>
      <c r="AI80" s="995"/>
      <c r="AJ80" s="1020"/>
      <c r="AK80" s="997">
        <f t="shared" si="77"/>
        <v>0</v>
      </c>
      <c r="AL80" s="1021"/>
      <c r="AM80" s="1008">
        <f t="shared" si="78"/>
        <v>0</v>
      </c>
      <c r="AN80" s="1011">
        <f t="shared" si="79"/>
        <v>0</v>
      </c>
      <c r="AO80" s="860"/>
      <c r="AP80" s="996"/>
      <c r="AQ80" s="1022">
        <f t="shared" si="80"/>
        <v>0</v>
      </c>
      <c r="AR80" s="994"/>
      <c r="AS80" s="977"/>
      <c r="AT80" s="978">
        <f t="shared" si="65"/>
        <v>0</v>
      </c>
      <c r="AU80" s="919" t="e">
        <f t="shared" si="66"/>
        <v>#DIV/0!</v>
      </c>
      <c r="AV80" s="920" t="e">
        <f t="shared" si="67"/>
        <v>#DIV/0!</v>
      </c>
      <c r="AW80" s="913"/>
      <c r="AX80" s="854"/>
      <c r="AY80" s="914"/>
      <c r="AZ80" s="979"/>
      <c r="BA80" s="855">
        <f t="shared" si="68"/>
        <v>0</v>
      </c>
      <c r="BB80" s="918" t="e">
        <f t="shared" si="69"/>
        <v>#DIV/0!</v>
      </c>
      <c r="BC80" s="917" t="e">
        <f t="shared" si="70"/>
        <v>#DIV/0!</v>
      </c>
      <c r="BD80" s="916"/>
      <c r="BE80" s="855"/>
      <c r="BF80" s="915">
        <f t="shared" si="71"/>
        <v>1</v>
      </c>
      <c r="BG80" s="980"/>
      <c r="BH80" s="856"/>
      <c r="BI80" s="857">
        <f t="shared" si="72"/>
        <v>0</v>
      </c>
      <c r="BJ80" s="981">
        <f t="shared" si="73"/>
        <v>-1</v>
      </c>
      <c r="BK80" s="858"/>
      <c r="BL80" s="856"/>
      <c r="BM80" s="859">
        <f t="shared" si="74"/>
        <v>0</v>
      </c>
    </row>
    <row r="81" spans="26:44" x14ac:dyDescent="0.25">
      <c r="Z81" s="1025"/>
      <c r="AA81" s="1026"/>
      <c r="AB81" s="1027"/>
      <c r="AC81" s="1026"/>
      <c r="AD81" s="1027"/>
      <c r="AE81" s="1023"/>
      <c r="AF81" s="1028"/>
      <c r="AG81" s="1029"/>
      <c r="AH81" s="1030"/>
      <c r="AI81" s="1031"/>
      <c r="AJ81" s="1032"/>
      <c r="AK81" s="1033"/>
      <c r="AL81" s="1032"/>
      <c r="AM81" s="1033"/>
      <c r="AN81" s="1034"/>
      <c r="AO81" s="1030"/>
      <c r="AP81" s="1032"/>
      <c r="AQ81" s="1035"/>
      <c r="AR81" s="1036"/>
    </row>
    <row r="82" spans="26:44" x14ac:dyDescent="0.25">
      <c r="Z82" s="1025"/>
      <c r="AA82" s="1026"/>
      <c r="AB82" s="1027"/>
      <c r="AC82" s="1026"/>
      <c r="AD82" s="1027"/>
      <c r="AE82" s="1023"/>
      <c r="AF82" s="1028"/>
      <c r="AG82" s="1029"/>
      <c r="AH82" s="1025"/>
      <c r="AI82" s="1031"/>
      <c r="AJ82" s="1037"/>
      <c r="AK82" s="1027"/>
      <c r="AL82" s="1037"/>
      <c r="AM82" s="1027"/>
      <c r="AN82" s="1029"/>
      <c r="AO82" s="1030"/>
      <c r="AP82" s="1032"/>
      <c r="AQ82" s="1035"/>
      <c r="AR82" s="1036"/>
    </row>
    <row r="83" spans="26:44" x14ac:dyDescent="0.25">
      <c r="Z83" s="1025"/>
      <c r="AA83" s="1026"/>
      <c r="AB83" s="1027"/>
      <c r="AC83" s="1026"/>
      <c r="AD83" s="1027"/>
      <c r="AE83" s="1023"/>
      <c r="AF83" s="1028"/>
      <c r="AG83" s="1029"/>
      <c r="AH83" s="1025"/>
      <c r="AI83" s="1031"/>
      <c r="AJ83" s="1037"/>
      <c r="AK83" s="1027"/>
      <c r="AL83" s="1037"/>
      <c r="AM83" s="1027"/>
      <c r="AN83" s="1029"/>
      <c r="AO83" s="1030"/>
      <c r="AP83" s="1032"/>
      <c r="AQ83" s="1035"/>
      <c r="AR83" s="1036"/>
    </row>
    <row r="84" spans="26:44" x14ac:dyDescent="0.25">
      <c r="Z84" s="1025"/>
      <c r="AA84" s="1026"/>
      <c r="AB84" s="1027"/>
      <c r="AC84" s="1026"/>
      <c r="AD84" s="1027"/>
      <c r="AE84" s="1023"/>
      <c r="AF84" s="1028"/>
      <c r="AG84" s="1029"/>
      <c r="AH84" s="1025"/>
      <c r="AI84" s="1031"/>
      <c r="AJ84" s="1037"/>
      <c r="AK84" s="1027"/>
      <c r="AL84" s="1037"/>
      <c r="AM84" s="1027"/>
      <c r="AN84" s="1029"/>
      <c r="AO84" s="1030"/>
      <c r="AP84" s="1032"/>
      <c r="AQ84" s="1035"/>
      <c r="AR84" s="1036"/>
    </row>
    <row r="85" spans="26:44" x14ac:dyDescent="0.25">
      <c r="Z85" s="1025"/>
      <c r="AA85" s="1026"/>
      <c r="AB85" s="1027"/>
      <c r="AC85" s="1026"/>
      <c r="AD85" s="1027"/>
      <c r="AE85" s="1026"/>
      <c r="AF85" s="1028"/>
      <c r="AG85" s="1029"/>
      <c r="AH85" s="1030"/>
      <c r="AI85" s="1031"/>
      <c r="AJ85" s="1032"/>
      <c r="AK85" s="1033"/>
      <c r="AL85" s="1032"/>
      <c r="AM85" s="1033"/>
      <c r="AN85" s="1034"/>
      <c r="AO85" s="1030"/>
      <c r="AP85" s="1032"/>
      <c r="AQ85" s="1035"/>
      <c r="AR85" s="1036"/>
    </row>
    <row r="86" spans="26:44" x14ac:dyDescent="0.25">
      <c r="Z86" s="1025"/>
      <c r="AA86" s="1026"/>
      <c r="AB86" s="1027"/>
      <c r="AC86" s="1026"/>
      <c r="AD86" s="1027"/>
      <c r="AE86" s="1026"/>
      <c r="AF86" s="1028"/>
      <c r="AG86" s="1029"/>
      <c r="AH86" s="1025"/>
      <c r="AI86" s="1031"/>
      <c r="AJ86" s="1037"/>
      <c r="AK86" s="1027"/>
      <c r="AL86" s="1037"/>
      <c r="AM86" s="1027"/>
      <c r="AN86" s="1029"/>
      <c r="AO86" s="1030"/>
      <c r="AP86" s="1032"/>
      <c r="AQ86" s="1035"/>
      <c r="AR86" s="1036"/>
    </row>
    <row r="87" spans="26:44" x14ac:dyDescent="0.25">
      <c r="Z87" s="1025"/>
      <c r="AA87" s="1026"/>
      <c r="AB87" s="1027"/>
      <c r="AC87" s="1026"/>
      <c r="AD87" s="1027"/>
      <c r="AE87" s="1026"/>
      <c r="AF87" s="1028"/>
      <c r="AG87" s="1029"/>
      <c r="AH87" s="1025"/>
      <c r="AI87" s="1031"/>
      <c r="AJ87" s="1037"/>
      <c r="AK87" s="1027"/>
      <c r="AL87" s="1037"/>
      <c r="AM87" s="1027"/>
      <c r="AN87" s="1029"/>
      <c r="AO87" s="1030"/>
      <c r="AP87" s="1032"/>
      <c r="AQ87" s="1035"/>
      <c r="AR87" s="1036"/>
    </row>
    <row r="88" spans="26:44" x14ac:dyDescent="0.25">
      <c r="Z88" s="1025"/>
      <c r="AA88" s="1026"/>
      <c r="AB88" s="1027"/>
      <c r="AC88" s="1026"/>
      <c r="AD88" s="1027"/>
      <c r="AE88" s="1026"/>
      <c r="AF88" s="1028"/>
      <c r="AG88" s="1029"/>
      <c r="AH88" s="1025"/>
      <c r="AI88" s="1031"/>
      <c r="AJ88" s="1037"/>
      <c r="AK88" s="1027"/>
      <c r="AL88" s="1037"/>
      <c r="AM88" s="1027"/>
      <c r="AN88" s="1029"/>
      <c r="AO88" s="1030"/>
      <c r="AP88" s="1032"/>
      <c r="AQ88" s="1035"/>
      <c r="AR88" s="1036"/>
    </row>
    <row r="89" spans="26:44" x14ac:dyDescent="0.25">
      <c r="Z89" s="1025"/>
      <c r="AA89" s="1026"/>
      <c r="AB89" s="1027"/>
      <c r="AC89" s="1026"/>
      <c r="AD89" s="1027"/>
      <c r="AE89" s="1026"/>
      <c r="AF89" s="1028"/>
      <c r="AG89" s="1029"/>
      <c r="AH89" s="1025"/>
      <c r="AI89" s="1031"/>
      <c r="AJ89" s="1037"/>
      <c r="AK89" s="1027"/>
      <c r="AL89" s="1037"/>
      <c r="AM89" s="1027"/>
      <c r="AN89" s="1029"/>
      <c r="AO89" s="1030"/>
      <c r="AP89" s="1032"/>
      <c r="AQ89" s="1035"/>
      <c r="AR89" s="1036"/>
    </row>
    <row r="90" spans="26:44" x14ac:dyDescent="0.25">
      <c r="Z90" s="1025"/>
      <c r="AA90" s="1026"/>
      <c r="AB90" s="1027"/>
      <c r="AC90" s="1026"/>
      <c r="AD90" s="1027"/>
      <c r="AE90" s="1026"/>
      <c r="AF90" s="1028"/>
      <c r="AG90" s="1029"/>
      <c r="AH90" s="1025"/>
      <c r="AI90" s="1031"/>
      <c r="AJ90" s="1037"/>
      <c r="AK90" s="1027"/>
      <c r="AL90" s="1037"/>
      <c r="AM90" s="1027"/>
      <c r="AN90" s="1029"/>
      <c r="AO90" s="1030"/>
      <c r="AP90" s="1032"/>
      <c r="AQ90" s="1035"/>
      <c r="AR90" s="1036"/>
    </row>
    <row r="91" spans="26:44" x14ac:dyDescent="0.25">
      <c r="Z91" s="1030"/>
      <c r="AA91" s="1038"/>
      <c r="AB91" s="1033"/>
      <c r="AC91" s="1038"/>
      <c r="AD91" s="1033"/>
      <c r="AE91" s="1024"/>
      <c r="AF91" s="1035"/>
      <c r="AG91" s="1034"/>
      <c r="AH91" s="1030"/>
      <c r="AI91" s="1031"/>
      <c r="AJ91" s="1032"/>
      <c r="AK91" s="1033"/>
      <c r="AL91" s="1032"/>
      <c r="AM91" s="1033"/>
      <c r="AN91" s="1034"/>
      <c r="AO91" s="1030"/>
      <c r="AP91" s="1032"/>
      <c r="AQ91" s="1035"/>
      <c r="AR91" s="1036"/>
    </row>
    <row r="92" spans="26:44" x14ac:dyDescent="0.25">
      <c r="Z92" s="1030"/>
      <c r="AA92" s="1038"/>
      <c r="AB92" s="1033"/>
      <c r="AC92" s="1038"/>
      <c r="AD92" s="1033"/>
      <c r="AE92" s="1024"/>
      <c r="AF92" s="1035"/>
      <c r="AG92" s="1034"/>
      <c r="AH92" s="1030"/>
      <c r="AI92" s="1031"/>
      <c r="AJ92" s="1032"/>
      <c r="AK92" s="1033"/>
      <c r="AL92" s="1032"/>
      <c r="AM92" s="1033"/>
      <c r="AN92" s="1034"/>
      <c r="AO92" s="1030"/>
      <c r="AP92" s="1032"/>
      <c r="AQ92" s="1035"/>
      <c r="AR92" s="1036"/>
    </row>
    <row r="93" spans="26:44" x14ac:dyDescent="0.25">
      <c r="Z93" s="1030"/>
      <c r="AA93" s="1038"/>
      <c r="AB93" s="1033"/>
      <c r="AC93" s="1038"/>
      <c r="AD93" s="1033"/>
      <c r="AE93" s="1024"/>
      <c r="AF93" s="1035"/>
      <c r="AG93" s="1034"/>
      <c r="AH93" s="1030"/>
      <c r="AI93" s="1031"/>
      <c r="AJ93" s="1032"/>
      <c r="AK93" s="1033"/>
      <c r="AL93" s="1032"/>
      <c r="AM93" s="1033"/>
      <c r="AN93" s="1034"/>
      <c r="AO93" s="1030"/>
      <c r="AP93" s="1032"/>
      <c r="AQ93" s="1035"/>
      <c r="AR93" s="1036"/>
    </row>
    <row r="94" spans="26:44" x14ac:dyDescent="0.25">
      <c r="Z94" s="1030"/>
      <c r="AA94" s="1038"/>
      <c r="AB94" s="1033"/>
      <c r="AC94" s="1038"/>
      <c r="AD94" s="1033"/>
      <c r="AE94" s="1024"/>
      <c r="AF94" s="1035"/>
      <c r="AG94" s="1034"/>
      <c r="AH94" s="1030"/>
      <c r="AI94" s="1031"/>
      <c r="AJ94" s="1032"/>
      <c r="AK94" s="1033"/>
      <c r="AL94" s="1032"/>
      <c r="AM94" s="1033"/>
      <c r="AN94" s="1034"/>
      <c r="AO94" s="1030"/>
      <c r="AP94" s="1032"/>
      <c r="AQ94" s="1035"/>
      <c r="AR94" s="1036"/>
    </row>
    <row r="95" spans="26:44" x14ac:dyDescent="0.25">
      <c r="Z95" s="1030"/>
      <c r="AA95" s="1038"/>
      <c r="AB95" s="1033"/>
      <c r="AC95" s="1038"/>
      <c r="AD95" s="1033"/>
      <c r="AE95" s="1024"/>
      <c r="AF95" s="1035"/>
      <c r="AG95" s="1034"/>
      <c r="AH95" s="1030"/>
      <c r="AI95" s="1031"/>
      <c r="AJ95" s="1032"/>
      <c r="AK95" s="1033"/>
      <c r="AL95" s="1032"/>
      <c r="AM95" s="1033"/>
      <c r="AN95" s="1034"/>
      <c r="AO95" s="1030"/>
      <c r="AP95" s="1032"/>
      <c r="AQ95" s="1035"/>
      <c r="AR95" s="1036"/>
    </row>
    <row r="96" spans="26:44" x14ac:dyDescent="0.25">
      <c r="Z96" s="1025"/>
      <c r="AA96" s="1026"/>
      <c r="AB96" s="1027"/>
      <c r="AC96" s="1023"/>
      <c r="AD96" s="1027"/>
      <c r="AE96" s="1023"/>
      <c r="AF96" s="1028"/>
      <c r="AG96" s="1029"/>
      <c r="AH96" s="1030"/>
      <c r="AI96" s="1031"/>
      <c r="AJ96" s="1032"/>
      <c r="AK96" s="1033"/>
      <c r="AL96" s="1032"/>
      <c r="AM96" s="1033"/>
      <c r="AN96" s="1034"/>
      <c r="AO96" s="1030"/>
      <c r="AP96" s="1032"/>
      <c r="AQ96" s="1035"/>
      <c r="AR96" s="1036"/>
    </row>
    <row r="97" spans="26:44" x14ac:dyDescent="0.25">
      <c r="Z97" s="1025"/>
      <c r="AA97" s="1026"/>
      <c r="AB97" s="1027"/>
      <c r="AC97" s="1026"/>
      <c r="AD97" s="1027"/>
      <c r="AE97" s="1023"/>
      <c r="AF97" s="1028"/>
      <c r="AG97" s="1029"/>
      <c r="AH97" s="1030"/>
      <c r="AI97" s="1031"/>
      <c r="AJ97" s="1032"/>
      <c r="AK97" s="1033"/>
      <c r="AL97" s="1032"/>
      <c r="AM97" s="1033"/>
      <c r="AN97" s="1034"/>
      <c r="AO97" s="1030"/>
      <c r="AP97" s="1032"/>
      <c r="AQ97" s="1035"/>
      <c r="AR97" s="1036"/>
    </row>
    <row r="98" spans="26:44" x14ac:dyDescent="0.25">
      <c r="Z98" s="1025"/>
      <c r="AA98" s="1026"/>
      <c r="AB98" s="1027"/>
      <c r="AC98" s="1026"/>
      <c r="AD98" s="1027"/>
      <c r="AE98" s="1023"/>
      <c r="AF98" s="1028"/>
      <c r="AG98" s="1029"/>
      <c r="AH98" s="1025"/>
      <c r="AI98" s="1031"/>
      <c r="AJ98" s="1037"/>
      <c r="AK98" s="1027"/>
      <c r="AL98" s="1037"/>
      <c r="AM98" s="1027"/>
      <c r="AN98" s="1029"/>
      <c r="AO98" s="1030"/>
      <c r="AP98" s="1032"/>
      <c r="AQ98" s="1035"/>
      <c r="AR98" s="1036"/>
    </row>
    <row r="99" spans="26:44" x14ac:dyDescent="0.25">
      <c r="Z99" s="1025"/>
      <c r="AA99" s="1026"/>
      <c r="AB99" s="1027"/>
      <c r="AC99" s="1026"/>
      <c r="AD99" s="1027"/>
      <c r="AE99" s="1023"/>
      <c r="AF99" s="1028"/>
      <c r="AG99" s="1029"/>
      <c r="AH99" s="1025"/>
      <c r="AI99" s="1031"/>
      <c r="AJ99" s="1037"/>
      <c r="AK99" s="1027"/>
      <c r="AL99" s="1037"/>
      <c r="AM99" s="1027"/>
      <c r="AN99" s="1029"/>
      <c r="AO99" s="1030"/>
      <c r="AP99" s="1032"/>
      <c r="AQ99" s="1035"/>
      <c r="AR99" s="1036"/>
    </row>
    <row r="100" spans="26:44" x14ac:dyDescent="0.25">
      <c r="Z100" s="1025"/>
      <c r="AA100" s="1026"/>
      <c r="AB100" s="1027"/>
      <c r="AC100" s="1026"/>
      <c r="AD100" s="1027"/>
      <c r="AE100" s="1023"/>
      <c r="AF100" s="1028"/>
      <c r="AG100" s="1029"/>
      <c r="AH100" s="1025"/>
      <c r="AI100" s="1031"/>
      <c r="AJ100" s="1037"/>
      <c r="AK100" s="1027"/>
      <c r="AL100" s="1037"/>
      <c r="AM100" s="1027"/>
      <c r="AN100" s="1029"/>
      <c r="AO100" s="1030"/>
      <c r="AP100" s="1032"/>
      <c r="AQ100" s="1035"/>
      <c r="AR100" s="1036"/>
    </row>
    <row r="101" spans="26:44" x14ac:dyDescent="0.25">
      <c r="Z101" s="1025"/>
      <c r="AA101" s="1026"/>
      <c r="AB101" s="1027"/>
      <c r="AC101" s="1026"/>
      <c r="AD101" s="1027"/>
      <c r="AE101" s="1023"/>
      <c r="AF101" s="1028"/>
      <c r="AG101" s="1029"/>
      <c r="AH101" s="1025"/>
      <c r="AI101" s="1031"/>
      <c r="AJ101" s="1037"/>
      <c r="AK101" s="1027"/>
      <c r="AL101" s="1037"/>
      <c r="AM101" s="1027"/>
      <c r="AN101" s="1029"/>
      <c r="AO101" s="1030"/>
      <c r="AP101" s="1032"/>
      <c r="AQ101" s="1035"/>
      <c r="AR101" s="1036"/>
    </row>
    <row r="102" spans="26:44" x14ac:dyDescent="0.25">
      <c r="Z102" s="1025"/>
      <c r="AA102" s="1026"/>
      <c r="AB102" s="1027"/>
      <c r="AC102" s="1026"/>
      <c r="AD102" s="1027"/>
      <c r="AE102" s="1023"/>
      <c r="AF102" s="1028"/>
      <c r="AG102" s="1029"/>
      <c r="AH102" s="1025"/>
      <c r="AI102" s="1031"/>
      <c r="AJ102" s="1037"/>
      <c r="AK102" s="1027"/>
      <c r="AL102" s="1037"/>
      <c r="AM102" s="1027"/>
      <c r="AN102" s="1029"/>
      <c r="AO102" s="1030"/>
      <c r="AP102" s="1032"/>
      <c r="AQ102" s="1035"/>
      <c r="AR102" s="1036"/>
    </row>
    <row r="103" spans="26:44" x14ac:dyDescent="0.25">
      <c r="Z103" s="1025"/>
      <c r="AA103" s="1026"/>
      <c r="AB103" s="1027"/>
      <c r="AC103" s="1026"/>
      <c r="AD103" s="1027"/>
      <c r="AE103" s="1023"/>
      <c r="AF103" s="1028"/>
      <c r="AG103" s="1029"/>
      <c r="AH103" s="1025"/>
      <c r="AI103" s="1031"/>
      <c r="AJ103" s="1037"/>
      <c r="AK103" s="1027"/>
      <c r="AL103" s="1037"/>
      <c r="AM103" s="1027"/>
      <c r="AN103" s="1029"/>
      <c r="AO103" s="1030"/>
      <c r="AP103" s="1032"/>
      <c r="AQ103" s="1035"/>
      <c r="AR103" s="1036"/>
    </row>
    <row r="104" spans="26:44" x14ac:dyDescent="0.25">
      <c r="Z104" s="1025"/>
      <c r="AA104" s="1026"/>
      <c r="AB104" s="1027"/>
      <c r="AC104" s="1026"/>
      <c r="AD104" s="1027"/>
      <c r="AE104" s="1023"/>
      <c r="AF104" s="1028"/>
      <c r="AG104" s="1029"/>
      <c r="AH104" s="1025"/>
      <c r="AI104" s="1031"/>
      <c r="AJ104" s="1037"/>
      <c r="AK104" s="1027"/>
      <c r="AL104" s="1037"/>
      <c r="AM104" s="1027"/>
      <c r="AN104" s="1029"/>
      <c r="AO104" s="1030"/>
      <c r="AP104" s="1032"/>
      <c r="AQ104" s="1035"/>
      <c r="AR104" s="1036"/>
    </row>
    <row r="105" spans="26:44" x14ac:dyDescent="0.25">
      <c r="Z105" s="1025"/>
      <c r="AA105" s="1026"/>
      <c r="AB105" s="1027"/>
      <c r="AC105" s="1026"/>
      <c r="AD105" s="1027"/>
      <c r="AE105" s="1023"/>
      <c r="AF105" s="1028"/>
      <c r="AG105" s="1029"/>
      <c r="AH105" s="1025"/>
      <c r="AI105" s="1031"/>
      <c r="AJ105" s="1037"/>
      <c r="AK105" s="1027"/>
      <c r="AL105" s="1037"/>
      <c r="AM105" s="1027"/>
      <c r="AN105" s="1029"/>
      <c r="AO105" s="1030"/>
      <c r="AP105" s="1032"/>
      <c r="AQ105" s="1035"/>
      <c r="AR105" s="1036"/>
    </row>
    <row r="106" spans="26:44" x14ac:dyDescent="0.25">
      <c r="Z106" s="1025"/>
      <c r="AA106" s="1026"/>
      <c r="AB106" s="1027"/>
      <c r="AC106" s="1026"/>
      <c r="AD106" s="1027"/>
      <c r="AE106" s="1023"/>
      <c r="AF106" s="1028"/>
      <c r="AG106" s="1029"/>
      <c r="AH106" s="1025"/>
      <c r="AI106" s="1031"/>
      <c r="AJ106" s="1037"/>
      <c r="AK106" s="1027"/>
      <c r="AL106" s="1037"/>
      <c r="AM106" s="1027"/>
      <c r="AN106" s="1029"/>
      <c r="AO106" s="1030"/>
      <c r="AP106" s="1032"/>
      <c r="AQ106" s="1035"/>
      <c r="AR106" s="1036"/>
    </row>
    <row r="107" spans="26:44" x14ac:dyDescent="0.25">
      <c r="Z107" s="1025"/>
      <c r="AA107" s="1026"/>
      <c r="AB107" s="1027"/>
      <c r="AC107" s="1026"/>
      <c r="AD107" s="1027"/>
      <c r="AE107" s="1023"/>
      <c r="AF107" s="1028"/>
      <c r="AG107" s="1029"/>
      <c r="AH107" s="1025"/>
      <c r="AI107" s="1031"/>
      <c r="AJ107" s="1037"/>
      <c r="AK107" s="1027"/>
      <c r="AL107" s="1037"/>
      <c r="AM107" s="1027"/>
      <c r="AN107" s="1029"/>
      <c r="AO107" s="1030"/>
      <c r="AP107" s="1032"/>
      <c r="AQ107" s="1035"/>
      <c r="AR107" s="1036"/>
    </row>
    <row r="108" spans="26:44" x14ac:dyDescent="0.25">
      <c r="Z108" s="1030"/>
      <c r="AA108" s="1038"/>
      <c r="AB108" s="1033"/>
      <c r="AC108" s="1038"/>
      <c r="AD108" s="1033"/>
      <c r="AE108" s="1024"/>
      <c r="AF108" s="1035"/>
      <c r="AG108" s="1034"/>
      <c r="AH108" s="1030"/>
      <c r="AI108" s="1031"/>
      <c r="AJ108" s="1032"/>
      <c r="AK108" s="1033"/>
      <c r="AL108" s="1032"/>
      <c r="AM108" s="1033"/>
      <c r="AN108" s="1034"/>
      <c r="AO108" s="1030"/>
      <c r="AP108" s="1032"/>
      <c r="AQ108" s="1035"/>
      <c r="AR108" s="1036"/>
    </row>
    <row r="109" spans="26:44" x14ac:dyDescent="0.25">
      <c r="Z109" s="1030"/>
      <c r="AA109" s="1038"/>
      <c r="AB109" s="1033"/>
      <c r="AC109" s="1038"/>
      <c r="AD109" s="1033"/>
      <c r="AE109" s="1024"/>
      <c r="AF109" s="1035"/>
      <c r="AG109" s="1034"/>
      <c r="AH109" s="1030"/>
      <c r="AI109" s="1031"/>
      <c r="AJ109" s="1032"/>
      <c r="AK109" s="1033"/>
      <c r="AL109" s="1032"/>
      <c r="AM109" s="1033"/>
      <c r="AN109" s="1034"/>
      <c r="AO109" s="1030"/>
      <c r="AP109" s="1032"/>
      <c r="AQ109" s="1035"/>
      <c r="AR109" s="1036"/>
    </row>
    <row r="110" spans="26:44" x14ac:dyDescent="0.25">
      <c r="Z110" s="1030"/>
      <c r="AA110" s="1038"/>
      <c r="AB110" s="1033"/>
      <c r="AC110" s="1038"/>
      <c r="AD110" s="1033"/>
      <c r="AE110" s="1024"/>
      <c r="AF110" s="1035"/>
      <c r="AG110" s="1034"/>
      <c r="AH110" s="1030"/>
      <c r="AI110" s="1031"/>
      <c r="AJ110" s="1032"/>
      <c r="AK110" s="1033"/>
      <c r="AL110" s="1032"/>
      <c r="AM110" s="1033"/>
      <c r="AN110" s="1034"/>
      <c r="AO110" s="1030"/>
      <c r="AP110" s="1032"/>
      <c r="AQ110" s="1035"/>
      <c r="AR110" s="1036"/>
    </row>
    <row r="111" spans="26:44" x14ac:dyDescent="0.25">
      <c r="Z111" s="1030"/>
      <c r="AA111" s="1038"/>
      <c r="AB111" s="1033"/>
      <c r="AC111" s="1038"/>
      <c r="AD111" s="1033"/>
      <c r="AE111" s="1024"/>
      <c r="AF111" s="1035"/>
      <c r="AG111" s="1034"/>
      <c r="AH111" s="1030"/>
      <c r="AI111" s="1031"/>
      <c r="AJ111" s="1032"/>
      <c r="AK111" s="1033"/>
      <c r="AL111" s="1032"/>
      <c r="AM111" s="1033"/>
      <c r="AN111" s="1034"/>
      <c r="AO111" s="1030"/>
      <c r="AP111" s="1032"/>
      <c r="AQ111" s="1035"/>
      <c r="AR111" s="1036"/>
    </row>
    <row r="112" spans="26:44" x14ac:dyDescent="0.25">
      <c r="Z112" s="1025"/>
      <c r="AA112" s="1026"/>
      <c r="AB112" s="1027"/>
      <c r="AC112" s="1026"/>
      <c r="AD112" s="1027"/>
      <c r="AE112" s="1023"/>
      <c r="AF112" s="1028"/>
      <c r="AG112" s="1029"/>
      <c r="AH112" s="1025"/>
      <c r="AI112" s="1039"/>
      <c r="AJ112" s="1037"/>
      <c r="AK112" s="1027"/>
      <c r="AL112" s="1037"/>
      <c r="AM112" s="1027"/>
      <c r="AN112" s="1029"/>
      <c r="AO112" s="1030"/>
      <c r="AP112" s="1032"/>
      <c r="AQ112" s="1035"/>
      <c r="AR112" s="1036"/>
    </row>
    <row r="113" spans="26:44" x14ac:dyDescent="0.25">
      <c r="Z113" s="1025"/>
      <c r="AA113" s="1026"/>
      <c r="AB113" s="1027"/>
      <c r="AC113" s="1026"/>
      <c r="AD113" s="1027"/>
      <c r="AE113" s="1023"/>
      <c r="AF113" s="1028"/>
      <c r="AG113" s="1029"/>
      <c r="AH113" s="1025"/>
      <c r="AI113" s="1039"/>
      <c r="AJ113" s="1037"/>
      <c r="AK113" s="1027"/>
      <c r="AL113" s="1037"/>
      <c r="AM113" s="1027"/>
      <c r="AN113" s="1029"/>
      <c r="AO113" s="1030"/>
      <c r="AP113" s="1032"/>
      <c r="AQ113" s="1035"/>
      <c r="AR113" s="1036"/>
    </row>
    <row r="114" spans="26:44" x14ac:dyDescent="0.25">
      <c r="Z114" s="1025"/>
      <c r="AA114" s="1026"/>
      <c r="AB114" s="1027"/>
      <c r="AC114" s="1026"/>
      <c r="AD114" s="1027"/>
      <c r="AE114" s="1023"/>
      <c r="AF114" s="1028"/>
      <c r="AG114" s="1029"/>
      <c r="AH114" s="1025"/>
      <c r="AI114" s="1039"/>
      <c r="AJ114" s="1037"/>
      <c r="AK114" s="1027"/>
      <c r="AL114" s="1037"/>
      <c r="AM114" s="1027"/>
      <c r="AN114" s="1029"/>
      <c r="AO114" s="1030"/>
      <c r="AP114" s="1032"/>
      <c r="AQ114" s="1035"/>
      <c r="AR114" s="1040"/>
    </row>
  </sheetData>
  <autoFilter ref="A2:BM80" xr:uid="{492FB725-95ED-4A36-AEA2-DD5D1B669A86}"/>
  <mergeCells count="11">
    <mergeCell ref="I1:K1"/>
    <mergeCell ref="L1:N1"/>
    <mergeCell ref="O1:Q1"/>
    <mergeCell ref="T1:V1"/>
    <mergeCell ref="BD1:BF1"/>
    <mergeCell ref="BA1:BC1"/>
    <mergeCell ref="Z1:AG1"/>
    <mergeCell ref="AH1:AN1"/>
    <mergeCell ref="AO1:AQ1"/>
    <mergeCell ref="AT1:AV1"/>
    <mergeCell ref="AW1:AY1"/>
  </mergeCells>
  <conditionalFormatting sqref="X3:X80">
    <cfRule type="cellIs" dxfId="11" priority="20" operator="between">
      <formula>0.25</formula>
      <formula>1</formula>
    </cfRule>
  </conditionalFormatting>
  <conditionalFormatting sqref="X3:X80 S3:S80">
    <cfRule type="cellIs" dxfId="10" priority="21" operator="between">
      <formula>0.1</formula>
      <formula>0.25</formula>
    </cfRule>
    <cfRule type="cellIs" dxfId="9" priority="22" operator="between">
      <formula>0.05</formula>
      <formula>1</formula>
    </cfRule>
    <cfRule type="cellIs" dxfId="8" priority="23" operator="between">
      <formula>-1</formula>
      <formula>-0.25</formula>
    </cfRule>
    <cfRule type="cellIs" dxfId="7" priority="24" operator="between">
      <formula>-0.25</formula>
      <formula>-0.1</formula>
    </cfRule>
    <cfRule type="cellIs" dxfId="6" priority="25" operator="between">
      <formula>-0.1</formula>
      <formula>-0.05</formula>
    </cfRule>
    <cfRule type="cellIs" dxfId="5" priority="26" operator="between">
      <formula>-0.05</formula>
      <formula>0.05</formula>
    </cfRule>
  </conditionalFormatting>
  <conditionalFormatting sqref="BJ3:BJ80">
    <cfRule type="cellIs" dxfId="4" priority="8" operator="between">
      <formula>-1</formula>
      <formula>-0.0250000001</formula>
    </cfRule>
    <cfRule type="cellIs" dxfId="3" priority="9" operator="between">
      <formula>-0.025</formula>
      <formula>-0.010000001</formula>
    </cfRule>
    <cfRule type="cellIs" dxfId="2" priority="10" operator="between">
      <formula>0.02500000001</formula>
      <formula>1</formula>
    </cfRule>
    <cfRule type="cellIs" dxfId="1" priority="11" operator="between">
      <formula>0.0100000001</formula>
      <formula>0.025</formula>
    </cfRule>
    <cfRule type="cellIs" dxfId="0" priority="12" operator="between">
      <formula>-0.01</formula>
      <formula>0.01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BF107"/>
  <sheetViews>
    <sheetView zoomScale="70" zoomScaleNormal="70" workbookViewId="0">
      <pane xSplit="20" ySplit="4" topLeftCell="U5" activePane="bottomRight" state="frozen"/>
      <selection pane="topRight" activeCell="U1" sqref="U1"/>
      <selection pane="bottomLeft" activeCell="A5" sqref="A5"/>
      <selection pane="bottomRight" activeCell="AG48" sqref="AG48:AH48"/>
    </sheetView>
  </sheetViews>
  <sheetFormatPr baseColWidth="10" defaultColWidth="11.5703125" defaultRowHeight="15.75" x14ac:dyDescent="0.25"/>
  <cols>
    <col min="1" max="1" width="0.7109375" style="1" customWidth="1"/>
    <col min="2" max="2" width="7.5703125" style="171" customWidth="1"/>
    <col min="3" max="3" width="10.28515625" customWidth="1"/>
    <col min="4" max="8" width="5.7109375" customWidth="1"/>
    <col min="9" max="9" width="3.42578125" customWidth="1"/>
    <col min="10" max="10" width="1.28515625" customWidth="1"/>
    <col min="11" max="11" width="2" customWidth="1"/>
    <col min="12" max="13" width="1.5703125" customWidth="1"/>
    <col min="14" max="14" width="3.28515625" customWidth="1"/>
    <col min="15" max="15" width="2.28515625" customWidth="1"/>
    <col min="16" max="16" width="2.42578125" customWidth="1"/>
    <col min="17" max="17" width="5.140625" customWidth="1"/>
    <col min="18" max="18" width="6.5703125" customWidth="1"/>
    <col min="19" max="19" width="1.85546875" customWidth="1"/>
    <col min="20" max="20" width="1.140625" customWidth="1"/>
    <col min="21" max="21" width="0.7109375" style="1" customWidth="1"/>
    <col min="22" max="23" width="16.28515625" style="1" customWidth="1"/>
    <col min="24" max="24" width="11" style="1" customWidth="1"/>
    <col min="25" max="25" width="15" style="11" customWidth="1"/>
    <col min="26" max="26" width="14.7109375" style="1" customWidth="1"/>
    <col min="27" max="27" width="4.42578125" style="1" customWidth="1"/>
    <col min="28" max="28" width="30.5703125" style="1" customWidth="1"/>
    <col min="29" max="30" width="14" style="1" customWidth="1"/>
    <col min="31" max="31" width="12.28515625" style="1" customWidth="1"/>
    <col min="32" max="32" width="5.85546875" style="1" customWidth="1"/>
    <col min="33" max="33" width="26.28515625" style="1" customWidth="1"/>
    <col min="34" max="34" width="15" style="1" customWidth="1"/>
    <col min="35" max="35" width="13.140625" style="1" customWidth="1"/>
    <col min="36" max="36" width="10.140625" style="1" customWidth="1"/>
    <col min="37" max="37" width="2.5703125" style="1" customWidth="1"/>
    <col min="38" max="38" width="4.85546875" style="1" customWidth="1"/>
    <col min="39" max="39" width="0.85546875" style="1" customWidth="1"/>
    <col min="40" max="40" width="33.85546875" style="1" customWidth="1"/>
    <col min="41" max="41" width="13.85546875" style="1" customWidth="1"/>
    <col min="42" max="42" width="8.28515625" style="1" customWidth="1"/>
    <col min="43" max="43" width="1.42578125" style="1" customWidth="1"/>
    <col min="44" max="44" width="0.5703125" style="42" customWidth="1"/>
    <col min="45" max="45" width="5.5703125" style="1" customWidth="1"/>
    <col min="46" max="46" width="0.85546875" style="1" customWidth="1"/>
    <col min="47" max="47" width="26.28515625" style="1" customWidth="1"/>
    <col min="48" max="48" width="13.85546875" style="1" customWidth="1"/>
    <col min="49" max="49" width="9.140625" style="1" customWidth="1"/>
    <col min="50" max="50" width="1" style="1" customWidth="1"/>
    <col min="51" max="51" width="6.7109375" style="1" customWidth="1"/>
    <col min="52" max="52" width="34.85546875" style="1" customWidth="1"/>
    <col min="53" max="53" width="13.85546875" style="1" customWidth="1"/>
    <col min="54" max="54" width="8.28515625" style="1" customWidth="1"/>
    <col min="55" max="55" width="30.7109375" style="1" customWidth="1"/>
    <col min="56" max="56" width="13.85546875" style="1" customWidth="1"/>
    <col min="57" max="57" width="8.28515625" style="1" customWidth="1"/>
    <col min="58" max="16384" width="11.5703125" style="1"/>
  </cols>
  <sheetData>
    <row r="1" spans="1:58" ht="6" customHeight="1" thickBot="1" x14ac:dyDescent="0.3">
      <c r="A1" s="1366"/>
      <c r="B1" s="1374"/>
      <c r="C1" s="1374"/>
      <c r="D1" s="1374"/>
      <c r="E1" s="1374"/>
      <c r="F1" s="1374"/>
      <c r="G1" s="1374"/>
      <c r="H1" s="1374"/>
      <c r="I1" s="1374"/>
      <c r="J1" s="1374"/>
      <c r="K1" s="1374"/>
      <c r="L1" s="1374"/>
      <c r="M1" s="1374"/>
      <c r="N1" s="1374"/>
      <c r="O1" s="1374"/>
      <c r="P1" s="1374"/>
      <c r="Q1" s="1374"/>
      <c r="R1" s="1374"/>
      <c r="S1" s="1374"/>
      <c r="T1" s="1374"/>
      <c r="U1" s="1449" t="s">
        <v>288</v>
      </c>
      <c r="V1" s="1450"/>
      <c r="W1" s="1450"/>
      <c r="X1" s="1450"/>
      <c r="Y1" s="1450"/>
      <c r="Z1" s="1450"/>
      <c r="AA1" s="1450"/>
      <c r="AB1" s="1450"/>
      <c r="AC1" s="1450"/>
      <c r="AD1" s="1450"/>
      <c r="AE1" s="1450"/>
      <c r="AF1" s="1450"/>
      <c r="AG1" s="1450"/>
      <c r="AH1" s="1450"/>
      <c r="AI1" s="1450"/>
      <c r="AJ1" s="1450"/>
      <c r="AK1" s="1450"/>
      <c r="AL1" s="1450"/>
      <c r="AM1" s="574"/>
      <c r="AN1" s="574"/>
      <c r="AO1" s="574"/>
      <c r="AP1" s="574"/>
      <c r="AQ1" s="574"/>
      <c r="AR1" s="575"/>
      <c r="AS1" s="576"/>
      <c r="AT1" s="576"/>
      <c r="AU1" s="576"/>
      <c r="AV1" s="576"/>
      <c r="AW1" s="576"/>
      <c r="AX1" s="576"/>
      <c r="AY1" s="576"/>
      <c r="AZ1" s="576"/>
      <c r="BA1" s="576"/>
      <c r="BB1" s="576"/>
      <c r="BC1" s="576"/>
      <c r="BD1" s="576"/>
      <c r="BE1" s="576"/>
      <c r="BF1" s="579"/>
    </row>
    <row r="2" spans="1:58" ht="37.15" customHeight="1" thickTop="1" thickBot="1" x14ac:dyDescent="0.3">
      <c r="A2" s="1366"/>
      <c r="B2" s="1375" t="s">
        <v>0</v>
      </c>
      <c r="C2" s="1376"/>
      <c r="D2" s="1376"/>
      <c r="E2" s="1376"/>
      <c r="F2" s="1377" t="s">
        <v>54</v>
      </c>
      <c r="G2" s="1377"/>
      <c r="H2" s="1377" t="s">
        <v>53</v>
      </c>
      <c r="I2" s="1378"/>
      <c r="J2" s="1330"/>
      <c r="K2" s="1327" t="s">
        <v>51</v>
      </c>
      <c r="L2" s="1328"/>
      <c r="M2" s="1328"/>
      <c r="N2" s="1328"/>
      <c r="O2" s="1329"/>
      <c r="P2" s="1331"/>
      <c r="Q2" s="1368" t="s">
        <v>101</v>
      </c>
      <c r="R2" s="1369"/>
      <c r="S2" s="1370"/>
      <c r="T2" s="1374"/>
      <c r="U2" s="1451"/>
      <c r="V2" s="1452"/>
      <c r="W2" s="1452"/>
      <c r="X2" s="1452"/>
      <c r="Y2" s="1452"/>
      <c r="Z2" s="1452"/>
      <c r="AA2" s="1452"/>
      <c r="AB2" s="1452"/>
      <c r="AC2" s="1452"/>
      <c r="AD2" s="1452"/>
      <c r="AE2" s="1452"/>
      <c r="AF2" s="1452"/>
      <c r="AG2" s="1452"/>
      <c r="AH2" s="1452"/>
      <c r="AI2" s="1452"/>
      <c r="AJ2" s="1452"/>
      <c r="AK2" s="1452"/>
      <c r="AL2" s="1452"/>
      <c r="AM2" s="499"/>
      <c r="AN2" s="498" t="s">
        <v>116</v>
      </c>
      <c r="AO2" s="1437" t="s">
        <v>122</v>
      </c>
      <c r="AP2" s="1438"/>
      <c r="AQ2" s="1439"/>
      <c r="AR2" s="357"/>
      <c r="AS2" s="66"/>
      <c r="AT2" s="66"/>
      <c r="AU2" s="66"/>
      <c r="AV2" s="66"/>
      <c r="AW2" s="66"/>
      <c r="AX2" s="66"/>
      <c r="AY2" s="66"/>
      <c r="AZ2" s="66"/>
      <c r="BA2" s="66"/>
      <c r="BB2" s="66"/>
      <c r="BC2" s="66"/>
      <c r="BD2" s="66"/>
      <c r="BE2" s="66"/>
      <c r="BF2" s="580"/>
    </row>
    <row r="3" spans="1:58" ht="37.9" customHeight="1" thickTop="1" thickBot="1" x14ac:dyDescent="0.3">
      <c r="A3" s="1366"/>
      <c r="B3" s="1333" t="s">
        <v>48</v>
      </c>
      <c r="C3" s="1334"/>
      <c r="D3" s="1334"/>
      <c r="E3" s="1335"/>
      <c r="F3" s="1336">
        <f>IF(B3="2x2",2,
IF(B3="4x3",4,
IF(B3="4x2",4,
IF(B3="6x2",6,
IF(B3="6x3",6,0)))))</f>
        <v>2</v>
      </c>
      <c r="G3" s="1337"/>
      <c r="H3" s="1337">
        <f>IF(B3="2x2",2,
IF(B3="4x3",3,
IF(B3="4x2",2,
IF(B3="6x2",2,
IF(B3="6x3",3,0)))))</f>
        <v>2</v>
      </c>
      <c r="I3" s="1338"/>
      <c r="J3" s="1330"/>
      <c r="K3" s="1379">
        <v>0.75</v>
      </c>
      <c r="L3" s="1380"/>
      <c r="M3" s="1380"/>
      <c r="N3" s="1380"/>
      <c r="O3" s="1381"/>
      <c r="P3" s="1331"/>
      <c r="Q3" s="1371">
        <v>1.5</v>
      </c>
      <c r="R3" s="1372"/>
      <c r="S3" s="1373"/>
      <c r="T3" s="1374"/>
      <c r="U3" s="1152" t="str">
        <f>IF(AN3&lt;&gt;AO3,"� LA VARIÉTÉ ♀ NE CORRESPOND PAS AU DISPOSITIF DE SEMIS �",
IF(AN4&lt;&gt;AO3,"� LA VARIÉTÉ ♂ NE CORRESPOND PAS AU DISPOSITIF DE SEMIS �",
"&lt;-------MODIFIER L'ECARTEMENT ENTRE 2 PLANCHES FEMELLE"))</f>
        <v>&lt;-------MODIFIER L'ECARTEMENT ENTRE 2 PLANCHES FEMELLE</v>
      </c>
      <c r="V3" s="1153"/>
      <c r="W3" s="1153"/>
      <c r="X3" s="1153"/>
      <c r="Y3" s="1153"/>
      <c r="Z3" s="1153"/>
      <c r="AA3" s="1153"/>
      <c r="AB3" s="1153"/>
      <c r="AC3" s="1153"/>
      <c r="AD3" s="1153"/>
      <c r="AE3" s="1153"/>
      <c r="AF3" s="1153"/>
      <c r="AG3" s="1153"/>
      <c r="AH3" s="1153"/>
      <c r="AI3" s="1153"/>
      <c r="AJ3" s="1153"/>
      <c r="AK3" s="1153"/>
      <c r="AL3" s="1153"/>
      <c r="AM3" s="1153"/>
      <c r="AN3" s="500">
        <f>IF(COUNTIF(V8,"*4x3*"),1,
IF(COUNTIF(V8,"*6x3*"),2,
IF(COUNTIF(V8,"*2x2*"),3,
IF(COUNTIF(V8,"*6x2*"),4,""))))</f>
        <v>3</v>
      </c>
      <c r="AO3" s="501">
        <f>IF(COUNTIF(B3,"*4x3*"),1,
IF(COUNTIF(B3,"*6x3*"),2,
IF(COUNTIF(B3,"*2x2*"),3,
IF(COUNTIF(B3,"*6x2*"),4,""))))</f>
        <v>3</v>
      </c>
      <c r="AP3" s="325"/>
      <c r="AQ3" s="299"/>
      <c r="AR3" s="299"/>
      <c r="AS3" s="66"/>
      <c r="AT3" s="66"/>
      <c r="AU3" s="66"/>
      <c r="AV3" s="66"/>
      <c r="AW3" s="66"/>
      <c r="AX3" s="66"/>
      <c r="AY3" s="66"/>
      <c r="AZ3" s="66"/>
      <c r="BA3" s="66"/>
      <c r="BB3" s="66"/>
      <c r="BC3" s="66"/>
      <c r="BD3" s="66"/>
      <c r="BE3" s="66"/>
      <c r="BF3" s="580"/>
    </row>
    <row r="4" spans="1:58" ht="8.25" customHeight="1" thickTop="1" thickBot="1" x14ac:dyDescent="0.3">
      <c r="A4" s="1367"/>
      <c r="B4" s="1367"/>
      <c r="C4" s="1367"/>
      <c r="D4" s="1367"/>
      <c r="E4" s="1367"/>
      <c r="F4" s="1367"/>
      <c r="G4" s="1367"/>
      <c r="H4" s="1367"/>
      <c r="I4" s="1367"/>
      <c r="J4" s="1367"/>
      <c r="K4" s="1367"/>
      <c r="L4" s="1367"/>
      <c r="M4" s="1367"/>
      <c r="N4" s="1367"/>
      <c r="O4" s="1367"/>
      <c r="P4" s="1367"/>
      <c r="Q4" s="1367"/>
      <c r="R4" s="1367"/>
      <c r="S4" s="1367"/>
      <c r="T4" s="1367"/>
      <c r="U4" s="1154"/>
      <c r="V4" s="1155"/>
      <c r="W4" s="1155"/>
      <c r="X4" s="1155"/>
      <c r="Y4" s="1155"/>
      <c r="Z4" s="1155"/>
      <c r="AA4" s="1155"/>
      <c r="AB4" s="1155"/>
      <c r="AC4" s="1155"/>
      <c r="AD4" s="1155"/>
      <c r="AE4" s="1155"/>
      <c r="AF4" s="1155"/>
      <c r="AG4" s="1155"/>
      <c r="AH4" s="1155"/>
      <c r="AI4" s="1155"/>
      <c r="AJ4" s="1155"/>
      <c r="AK4" s="1155"/>
      <c r="AL4" s="1155"/>
      <c r="AM4" s="1155"/>
      <c r="AN4" s="577">
        <f>IF(COUNTIF(V29,"*4x3*"),1,
IF(COUNTIF(V29,"*6x3*"),2,
IF(COUNTIF(V29,"*2x2*"),3,
IF(COUNTIF(V29,"*6x2*"),4,""))))</f>
        <v>3</v>
      </c>
      <c r="AO4" s="577"/>
      <c r="AP4" s="577"/>
      <c r="AQ4" s="577"/>
      <c r="AR4" s="577"/>
      <c r="AS4" s="578"/>
      <c r="AT4" s="578"/>
      <c r="AU4" s="578"/>
      <c r="AV4" s="578"/>
      <c r="AW4" s="578"/>
      <c r="AX4" s="578"/>
      <c r="AY4" s="578"/>
      <c r="AZ4" s="578"/>
      <c r="BA4" s="578"/>
      <c r="BB4" s="578"/>
      <c r="BC4" s="578"/>
      <c r="BD4" s="578"/>
      <c r="BE4" s="578"/>
      <c r="BF4" s="581"/>
    </row>
    <row r="5" spans="1:58" ht="8.25" customHeight="1" thickBot="1" x14ac:dyDescent="0.3">
      <c r="A5" s="434"/>
      <c r="B5" s="434"/>
      <c r="C5" s="434"/>
      <c r="D5" s="434"/>
      <c r="E5" s="434"/>
      <c r="F5" s="434"/>
      <c r="G5" s="434"/>
      <c r="H5" s="434"/>
      <c r="I5" s="434"/>
      <c r="J5" s="434"/>
      <c r="K5" s="434"/>
      <c r="L5" s="434"/>
      <c r="M5" s="434"/>
      <c r="N5" s="434"/>
      <c r="O5" s="434"/>
      <c r="P5" s="434"/>
      <c r="Q5" s="434"/>
      <c r="R5" s="434"/>
      <c r="S5" s="434"/>
      <c r="T5" s="434"/>
      <c r="U5" s="497"/>
      <c r="V5" s="497"/>
      <c r="W5" s="497"/>
      <c r="X5" s="497"/>
      <c r="Y5" s="497"/>
      <c r="Z5" s="497"/>
      <c r="AA5" s="497"/>
      <c r="AB5" s="497"/>
      <c r="AC5" s="497"/>
      <c r="AD5" s="497"/>
      <c r="AE5" s="497"/>
      <c r="AF5" s="497"/>
      <c r="AG5" s="497"/>
      <c r="AH5" s="497"/>
      <c r="AI5" s="497"/>
      <c r="AJ5" s="497"/>
      <c r="AK5" s="497"/>
      <c r="AL5" s="497"/>
      <c r="AM5" s="497"/>
      <c r="AN5" s="161"/>
      <c r="AO5" s="161"/>
      <c r="AP5" s="161"/>
      <c r="AQ5" s="161"/>
      <c r="AR5" s="161"/>
      <c r="AS5" s="214"/>
      <c r="AT5" s="214"/>
      <c r="AU5" s="214"/>
      <c r="AV5" s="214"/>
      <c r="AW5" s="214"/>
      <c r="AX5" s="214"/>
      <c r="AY5" s="214"/>
      <c r="AZ5" s="214"/>
      <c r="BA5" s="214"/>
      <c r="BB5" s="214"/>
      <c r="BC5" s="214"/>
      <c r="BD5" s="214"/>
      <c r="BE5" s="214"/>
      <c r="BF5" s="214"/>
    </row>
    <row r="6" spans="1:58" ht="6" customHeight="1" thickTop="1" thickBot="1" x14ac:dyDescent="0.3">
      <c r="A6" s="1383"/>
      <c r="B6" s="1332"/>
      <c r="C6" s="1332"/>
      <c r="D6" s="1332"/>
      <c r="E6" s="1332"/>
      <c r="F6" s="1332"/>
      <c r="G6" s="1332"/>
      <c r="H6" s="1332"/>
      <c r="I6" s="1332"/>
      <c r="J6" s="1332"/>
      <c r="K6" s="1332"/>
      <c r="L6" s="1332"/>
      <c r="M6" s="1332"/>
      <c r="N6" s="1332"/>
      <c r="O6" s="1332"/>
      <c r="P6" s="1332"/>
      <c r="Q6" s="1332"/>
      <c r="R6" s="1332"/>
      <c r="S6" s="1332"/>
      <c r="T6" s="1332"/>
      <c r="U6" s="1405"/>
      <c r="V6" s="1464"/>
      <c r="W6" s="1464"/>
      <c r="X6" s="1464"/>
      <c r="Y6" s="1464"/>
      <c r="Z6" s="1464"/>
      <c r="AA6" s="1464"/>
      <c r="AB6" s="1464"/>
      <c r="AC6" s="1464"/>
      <c r="AD6" s="1464"/>
      <c r="AE6" s="1464"/>
      <c r="AF6" s="1464"/>
      <c r="AG6" s="1464"/>
      <c r="AH6" s="1464"/>
      <c r="AI6" s="1464"/>
      <c r="AJ6" s="1464"/>
      <c r="AK6" s="1464"/>
      <c r="AL6" s="683"/>
      <c r="AM6" s="683"/>
      <c r="AN6" s="683"/>
      <c r="AO6" s="683"/>
      <c r="AP6" s="683"/>
      <c r="AQ6" s="483"/>
      <c r="AR6" s="488"/>
      <c r="AS6" s="487"/>
      <c r="AT6" s="487"/>
      <c r="AU6" s="487"/>
      <c r="AV6" s="487"/>
      <c r="AW6" s="487"/>
      <c r="AX6" s="487"/>
      <c r="AY6" s="487"/>
      <c r="AZ6" s="487"/>
      <c r="BA6" s="487"/>
      <c r="BB6" s="487"/>
      <c r="BC6" s="487"/>
      <c r="BD6" s="487"/>
      <c r="BE6" s="487"/>
      <c r="BF6" s="634"/>
    </row>
    <row r="7" spans="1:58" ht="37.9" customHeight="1" thickTop="1" thickBot="1" x14ac:dyDescent="0.3">
      <c r="A7" s="1384"/>
      <c r="B7" s="1352" t="s">
        <v>52</v>
      </c>
      <c r="C7" s="1382"/>
      <c r="D7" s="1382"/>
      <c r="E7" s="1382"/>
      <c r="F7" s="1382"/>
      <c r="G7" s="1324"/>
      <c r="H7" s="1325"/>
      <c r="I7" s="1304">
        <f>IF(B3="2x2",(I8+M8),"")</f>
        <v>2.25</v>
      </c>
      <c r="J7" s="1305"/>
      <c r="K7" s="1305"/>
      <c r="L7" s="1305"/>
      <c r="M7" s="1305"/>
      <c r="N7" s="1305"/>
      <c r="O7" s="1305"/>
      <c r="P7" s="1306"/>
      <c r="Q7" s="74"/>
      <c r="R7" s="136"/>
      <c r="S7" s="1390"/>
      <c r="T7" s="1236"/>
      <c r="U7" s="1406"/>
      <c r="V7" s="1495" t="s">
        <v>1</v>
      </c>
      <c r="W7" s="1496"/>
      <c r="X7" s="1497"/>
      <c r="Y7" s="685" t="s">
        <v>2</v>
      </c>
      <c r="Z7" s="686" t="s">
        <v>3</v>
      </c>
      <c r="AA7" s="1465"/>
      <c r="AB7" s="1426" t="s">
        <v>84</v>
      </c>
      <c r="AC7" s="1427"/>
      <c r="AD7" s="67">
        <f>VLOOKUP(V8,Données_SB_Femelle!$A$29:$Q$75,11,FALSE)</f>
        <v>0.9</v>
      </c>
      <c r="AE7" s="2"/>
      <c r="AF7" s="1467"/>
      <c r="AG7" s="443" t="s">
        <v>107</v>
      </c>
      <c r="AH7" s="642">
        <v>5</v>
      </c>
      <c r="AI7" s="441" t="s">
        <v>4</v>
      </c>
      <c r="AJ7" s="393"/>
      <c r="AK7" s="1475"/>
      <c r="AL7" s="1440" t="s">
        <v>179</v>
      </c>
      <c r="AM7" s="1418" t="s">
        <v>287</v>
      </c>
      <c r="AN7" s="1419"/>
      <c r="AO7" s="643">
        <v>100</v>
      </c>
      <c r="AP7" s="1544" t="s">
        <v>9</v>
      </c>
      <c r="AQ7" s="1545"/>
      <c r="AR7" s="542"/>
      <c r="AS7" s="1222" t="s">
        <v>100</v>
      </c>
      <c r="AT7" s="1222"/>
      <c r="AU7" s="1222"/>
      <c r="AV7" s="1061" t="str">
        <f>Z8</f>
        <v>F 0841 B 731 014 A01</v>
      </c>
      <c r="AW7" s="1062"/>
      <c r="AX7" s="189"/>
      <c r="AY7" s="189"/>
      <c r="AZ7" s="189"/>
      <c r="BA7" s="189"/>
      <c r="BB7" s="189"/>
      <c r="BC7" s="189"/>
      <c r="BD7" s="189"/>
      <c r="BE7" s="189"/>
      <c r="BF7" s="633"/>
    </row>
    <row r="8" spans="1:58" ht="25.15" customHeight="1" thickTop="1" thickBot="1" x14ac:dyDescent="0.3">
      <c r="A8" s="1384"/>
      <c r="B8" s="1352"/>
      <c r="C8" s="1382"/>
      <c r="D8" s="1382"/>
      <c r="E8" s="1382"/>
      <c r="F8" s="1382"/>
      <c r="G8" s="1300" t="str">
        <f>IF(B3="2x2","Part au champ","")</f>
        <v>Part au champ</v>
      </c>
      <c r="H8" s="1300"/>
      <c r="I8" s="1362">
        <f>IF(B3="2x2",(I10+K10),"")</f>
        <v>1.25</v>
      </c>
      <c r="J8" s="1363"/>
      <c r="K8" s="1363"/>
      <c r="L8" s="1364"/>
      <c r="M8" s="1359">
        <f>IF(B3="2x2",(M10+O10),"")</f>
        <v>1</v>
      </c>
      <c r="N8" s="1360"/>
      <c r="O8" s="1360"/>
      <c r="P8" s="1361"/>
      <c r="Q8" s="26"/>
      <c r="R8" s="26"/>
      <c r="S8" s="1390"/>
      <c r="T8" s="1236"/>
      <c r="U8" s="1406"/>
      <c r="V8" s="1090" t="s">
        <v>393</v>
      </c>
      <c r="W8" s="1091"/>
      <c r="X8" s="1092"/>
      <c r="Y8" s="1486" t="str">
        <f>VLOOKUP(V8,Données_SB_Femelle!$A$29:$Q$75,3,FALSE)</f>
        <v>KW 5A1629 x 5A1435</v>
      </c>
      <c r="Z8" s="1483" t="str">
        <f>VLOOKUP(V8,Données_SB_Femelle!$A$29:$Q$75,6,FALSE)</f>
        <v>F 0841 B 731 014 A01</v>
      </c>
      <c r="AA8" s="1465"/>
      <c r="AB8" s="1102" t="s">
        <v>83</v>
      </c>
      <c r="AC8" s="1104"/>
      <c r="AD8" s="149">
        <f>Y10/AD7</f>
        <v>72222.222222222219</v>
      </c>
      <c r="AE8" s="114" t="s">
        <v>58</v>
      </c>
      <c r="AF8" s="1467"/>
      <c r="AG8" s="1468" t="s">
        <v>281</v>
      </c>
      <c r="AH8" s="1468"/>
      <c r="AI8" s="1468"/>
      <c r="AJ8" s="1468"/>
      <c r="AK8" s="1475"/>
      <c r="AL8" s="1440"/>
      <c r="AM8" s="535"/>
      <c r="AN8" s="342"/>
      <c r="AO8" s="342"/>
      <c r="AP8" s="342"/>
      <c r="AQ8" s="342"/>
      <c r="AR8" s="523"/>
      <c r="AS8" s="543"/>
      <c r="AT8" s="342"/>
      <c r="AU8" s="342"/>
      <c r="AV8" s="342"/>
      <c r="AW8" s="150"/>
      <c r="AX8" s="189"/>
      <c r="AY8" s="189"/>
      <c r="AZ8" s="189"/>
      <c r="BA8" s="189"/>
      <c r="BB8" s="189"/>
      <c r="BC8" s="189"/>
      <c r="BD8" s="189"/>
      <c r="BE8" s="189"/>
      <c r="BF8" s="633"/>
    </row>
    <row r="9" spans="1:58" ht="25.15" customHeight="1" thickTop="1" thickBot="1" x14ac:dyDescent="0.3">
      <c r="A9" s="1384"/>
      <c r="B9" s="1352"/>
      <c r="C9" s="1382"/>
      <c r="D9" s="1382"/>
      <c r="E9" s="1382"/>
      <c r="F9" s="1382"/>
      <c r="G9" s="1300"/>
      <c r="H9" s="1300"/>
      <c r="I9" s="1387">
        <f>IF(B3="2x2",(I8/I7),"")</f>
        <v>0.55555555555555558</v>
      </c>
      <c r="J9" s="1388"/>
      <c r="K9" s="1388"/>
      <c r="L9" s="1389"/>
      <c r="M9" s="1356">
        <f>IF(B3="2x2",(M8/I7),"")</f>
        <v>0.44444444444444442</v>
      </c>
      <c r="N9" s="1357"/>
      <c r="O9" s="1357"/>
      <c r="P9" s="1358"/>
      <c r="Q9" s="26"/>
      <c r="R9" s="26"/>
      <c r="S9" s="1390"/>
      <c r="T9" s="199"/>
      <c r="U9" s="1406"/>
      <c r="V9" s="1093"/>
      <c r="W9" s="1094"/>
      <c r="X9" s="1095"/>
      <c r="Y9" s="1487"/>
      <c r="Z9" s="1279"/>
      <c r="AA9" s="1465"/>
      <c r="AB9" s="1188" t="s">
        <v>73</v>
      </c>
      <c r="AC9" s="1189"/>
      <c r="AD9" s="1192">
        <v>0</v>
      </c>
      <c r="AE9" s="1193"/>
      <c r="AF9" s="1467"/>
      <c r="AG9" s="458" t="s">
        <v>88</v>
      </c>
      <c r="AH9" s="1488" t="str">
        <f>VLOOKUP(V8,Données_SB_Femelle!$A$29:$Q$75,9,FALSE)</f>
        <v>20</v>
      </c>
      <c r="AI9" s="1489"/>
      <c r="AJ9" s="459" t="s">
        <v>9</v>
      </c>
      <c r="AK9" s="1475"/>
      <c r="AL9" s="1440"/>
      <c r="AM9" s="1199" t="str">
        <f>"Si le PMG annoncé est de "&amp;AH12&amp;" on a :"</f>
        <v>Si le PMG annoncé est de 226 on a :</v>
      </c>
      <c r="AN9" s="1200"/>
      <c r="AO9" s="540">
        <f>$AO$7*AH13/$AH$9</f>
        <v>442477.87610619469</v>
      </c>
      <c r="AP9" s="1540" t="s">
        <v>10</v>
      </c>
      <c r="AQ9" s="1541"/>
      <c r="AR9" s="528"/>
      <c r="AS9" s="1221" t="str">
        <f>"Si le PMG mesuré est de "&amp;$AI$12&amp;" on a :"</f>
        <v>Si le PMG mesuré est de 300 on a :</v>
      </c>
      <c r="AT9" s="1221"/>
      <c r="AU9" s="1221"/>
      <c r="AV9" s="540">
        <f>IF(AI21=0,"",$AO$7*AI13/$AH$9)</f>
        <v>333333.33333333337</v>
      </c>
      <c r="AW9" s="541" t="s">
        <v>10</v>
      </c>
      <c r="AX9" s="189"/>
      <c r="AY9" s="189"/>
      <c r="AZ9" s="189"/>
      <c r="BA9" s="189"/>
      <c r="BB9" s="189"/>
      <c r="BC9" s="189"/>
      <c r="BD9" s="189"/>
      <c r="BE9" s="189"/>
      <c r="BF9" s="633"/>
    </row>
    <row r="10" spans="1:58" ht="25.15" customHeight="1" thickTop="1" thickBot="1" x14ac:dyDescent="0.3">
      <c r="A10" s="1384"/>
      <c r="B10" s="1352"/>
      <c r="C10" s="1382"/>
      <c r="D10" s="1382"/>
      <c r="E10" s="1382"/>
      <c r="F10" s="1382"/>
      <c r="G10" s="1300"/>
      <c r="H10" s="1300"/>
      <c r="I10" s="1391">
        <f>IF(B3="2x2",K3,"")</f>
        <v>0.75</v>
      </c>
      <c r="J10" s="1392"/>
      <c r="K10" s="1309">
        <f>IF(B3="2x2",Q3/3,"")</f>
        <v>0.5</v>
      </c>
      <c r="L10" s="1308"/>
      <c r="M10" s="1307">
        <f>IF(B3="2x2",Q3/3,"")</f>
        <v>0.5</v>
      </c>
      <c r="N10" s="1308"/>
      <c r="O10" s="1307">
        <f>IF(B3="2x2",Q3/3,"")</f>
        <v>0.5</v>
      </c>
      <c r="P10" s="1313"/>
      <c r="Q10" s="26"/>
      <c r="R10" s="26"/>
      <c r="S10" s="1390"/>
      <c r="T10" s="170"/>
      <c r="U10" s="1406"/>
      <c r="V10" s="1185" t="s">
        <v>78</v>
      </c>
      <c r="W10" s="1186"/>
      <c r="X10" s="1187"/>
      <c r="Y10" s="650">
        <f>VLOOKUP(V8,Données_SB_Femelle!$A$29:$Q$75,13,FALSE)</f>
        <v>65000</v>
      </c>
      <c r="Z10" s="114" t="s">
        <v>58</v>
      </c>
      <c r="AA10" s="1466"/>
      <c r="AB10" s="1428"/>
      <c r="AC10" s="1428"/>
      <c r="AD10" s="1428"/>
      <c r="AE10" s="1428"/>
      <c r="AF10" s="431"/>
      <c r="AG10" s="456" t="s">
        <v>86</v>
      </c>
      <c r="AH10" s="1469">
        <f>(AD16*Y14)</f>
        <v>72222.222222222219</v>
      </c>
      <c r="AI10" s="1469"/>
      <c r="AJ10" s="457" t="s">
        <v>55</v>
      </c>
      <c r="AK10" s="1475"/>
      <c r="AL10" s="1440"/>
      <c r="AM10" s="1433" t="s">
        <v>99</v>
      </c>
      <c r="AN10" s="1434"/>
      <c r="AO10" s="460">
        <f>($AO$9*$AD$7)/1000</f>
        <v>398.23008849557522</v>
      </c>
      <c r="AP10" s="1538" t="s">
        <v>189</v>
      </c>
      <c r="AQ10" s="1539"/>
      <c r="AR10" s="523"/>
      <c r="AS10" s="1434" t="s">
        <v>99</v>
      </c>
      <c r="AT10" s="1434"/>
      <c r="AU10" s="1434"/>
      <c r="AV10" s="460">
        <f>IF(AI21=0,"",(AV9*$AD$7)/1000)</f>
        <v>300.00000000000006</v>
      </c>
      <c r="AW10" s="198" t="s">
        <v>189</v>
      </c>
      <c r="AX10" s="189"/>
      <c r="AY10" s="189"/>
      <c r="AZ10" s="189"/>
      <c r="BA10" s="189"/>
      <c r="BB10" s="189"/>
      <c r="BC10" s="189"/>
      <c r="BD10" s="189"/>
      <c r="BE10" s="189"/>
      <c r="BF10" s="633"/>
    </row>
    <row r="11" spans="1:58" s="3" customFormat="1" ht="25.15" customHeight="1" thickTop="1" thickBot="1" x14ac:dyDescent="0.3">
      <c r="A11" s="1384"/>
      <c r="B11" s="1352"/>
      <c r="C11" s="1382"/>
      <c r="D11" s="1382"/>
      <c r="E11" s="1382"/>
      <c r="F11" s="1382"/>
      <c r="G11" s="1300"/>
      <c r="H11" s="1300"/>
      <c r="I11" s="1391"/>
      <c r="J11" s="1392"/>
      <c r="K11" s="1309"/>
      <c r="L11" s="1308"/>
      <c r="M11" s="1307"/>
      <c r="N11" s="1308"/>
      <c r="O11" s="1307"/>
      <c r="P11" s="1313"/>
      <c r="Q11" s="26"/>
      <c r="R11" s="26"/>
      <c r="S11" s="1390"/>
      <c r="T11" s="26"/>
      <c r="U11" s="1406"/>
      <c r="V11" s="1182" t="s">
        <v>292</v>
      </c>
      <c r="W11" s="1183"/>
      <c r="X11" s="1184"/>
      <c r="Y11" s="437">
        <f>IF(B3="2x2",I15,
IF(B3="4x3",F27,
IF(B3="4x2",G37,
IF(B3="6x2",E58,
IF(B3="6x3",D48,0)))))</f>
        <v>0.66666666666666663</v>
      </c>
      <c r="Z11" s="120"/>
      <c r="AA11" s="1480" t="s">
        <v>96</v>
      </c>
      <c r="AB11" s="1416" t="s">
        <v>282</v>
      </c>
      <c r="AC11" s="1417"/>
      <c r="AD11" s="432">
        <f>10000/(AD13*Y12) * 100</f>
        <v>12.307692307692308</v>
      </c>
      <c r="AE11" s="433" t="s">
        <v>5</v>
      </c>
      <c r="AF11" s="1424" t="s">
        <v>96</v>
      </c>
      <c r="AG11" s="115" t="s">
        <v>259</v>
      </c>
      <c r="AH11" s="1114">
        <f>AH10*$AH$7</f>
        <v>361111.11111111112</v>
      </c>
      <c r="AI11" s="1114"/>
      <c r="AJ11" s="70" t="s">
        <v>56</v>
      </c>
      <c r="AK11" s="1475"/>
      <c r="AL11" s="1440"/>
      <c r="AM11" s="1522" t="s">
        <v>283</v>
      </c>
      <c r="AN11" s="1523"/>
      <c r="AO11" s="1523"/>
      <c r="AP11" s="1523"/>
      <c r="AQ11" s="1523"/>
      <c r="AR11" s="1523"/>
      <c r="AS11" s="1523"/>
      <c r="AT11" s="1523"/>
      <c r="AU11" s="1523"/>
      <c r="AV11" s="1528">
        <f>AD11</f>
        <v>12.307692307692308</v>
      </c>
      <c r="AW11" s="1526" t="s">
        <v>5</v>
      </c>
      <c r="AX11" s="188"/>
      <c r="AY11" s="188"/>
      <c r="AZ11" s="188"/>
      <c r="BA11" s="188"/>
      <c r="BB11" s="188"/>
      <c r="BC11" s="188"/>
      <c r="BD11" s="188"/>
      <c r="BE11" s="188"/>
      <c r="BF11" s="636"/>
    </row>
    <row r="12" spans="1:58" s="3" customFormat="1" ht="25.15" customHeight="1" thickBot="1" x14ac:dyDescent="0.3">
      <c r="A12" s="1384"/>
      <c r="B12" s="1352"/>
      <c r="C12" s="1382"/>
      <c r="D12" s="1382"/>
      <c r="E12" s="1382"/>
      <c r="F12" s="1382"/>
      <c r="G12" s="1300" t="str">
        <f>IF(B3="2x2","Part théorique semoir","")</f>
        <v>Part théorique semoir</v>
      </c>
      <c r="H12" s="1300"/>
      <c r="I12" s="1321">
        <f>IF(B3="2x2",K3,"")</f>
        <v>0.75</v>
      </c>
      <c r="J12" s="1351"/>
      <c r="K12" s="1321">
        <f>IF(B3="2x2",K3,"")</f>
        <v>0.75</v>
      </c>
      <c r="L12" s="1322"/>
      <c r="M12" s="1323"/>
      <c r="N12" s="1326">
        <f>IF(B3="2x2",K3,"")</f>
        <v>0.75</v>
      </c>
      <c r="O12" s="1322"/>
      <c r="P12" s="1323"/>
      <c r="Q12" s="1241">
        <f>IF(B3="2x2",K3,"")</f>
        <v>0.75</v>
      </c>
      <c r="R12" s="26"/>
      <c r="S12" s="1390"/>
      <c r="T12" s="26"/>
      <c r="U12" s="1406"/>
      <c r="V12" s="1173" t="s">
        <v>80</v>
      </c>
      <c r="W12" s="1174"/>
      <c r="X12" s="1175"/>
      <c r="Y12" s="143">
        <f>K3</f>
        <v>0.75</v>
      </c>
      <c r="Z12" s="101" t="s">
        <v>57</v>
      </c>
      <c r="AA12" s="1481"/>
      <c r="AB12" s="1291" t="s">
        <v>127</v>
      </c>
      <c r="AC12" s="1292"/>
      <c r="AD12" s="413">
        <f>(AD8/(1-AD9))</f>
        <v>72222.222222222219</v>
      </c>
      <c r="AE12" s="414" t="s">
        <v>58</v>
      </c>
      <c r="AF12" s="1424"/>
      <c r="AG12" s="428" t="s">
        <v>349</v>
      </c>
      <c r="AH12" s="549">
        <f>VLOOKUP($V$8,Données_SB_Femelle!$A$29:$Q$75,10,FALSE)</f>
        <v>226</v>
      </c>
      <c r="AI12" s="557">
        <f>VLOOKUP($V$8,Données_SB_Femelle!$A$29:$Q$75,15,FALSE)</f>
        <v>300</v>
      </c>
      <c r="AJ12" s="502" t="s">
        <v>275</v>
      </c>
      <c r="AK12" s="1475"/>
      <c r="AL12" s="1440"/>
      <c r="AM12" s="1524"/>
      <c r="AN12" s="1525"/>
      <c r="AO12" s="1525"/>
      <c r="AP12" s="1525"/>
      <c r="AQ12" s="1525"/>
      <c r="AR12" s="1525"/>
      <c r="AS12" s="1525"/>
      <c r="AT12" s="1525"/>
      <c r="AU12" s="1525"/>
      <c r="AV12" s="1529"/>
      <c r="AW12" s="1527"/>
      <c r="AX12" s="188"/>
      <c r="AY12" s="188"/>
      <c r="AZ12" s="188"/>
      <c r="BA12" s="188"/>
      <c r="BB12" s="188"/>
      <c r="BC12" s="188"/>
      <c r="BD12" s="188"/>
      <c r="BE12" s="188"/>
      <c r="BF12" s="636"/>
    </row>
    <row r="13" spans="1:58" ht="27" customHeight="1" thickBot="1" x14ac:dyDescent="0.3">
      <c r="A13" s="1384"/>
      <c r="B13" s="1352"/>
      <c r="C13" s="1382"/>
      <c r="D13" s="1382"/>
      <c r="E13" s="1382"/>
      <c r="F13" s="1382"/>
      <c r="G13" s="1300"/>
      <c r="H13" s="1300"/>
      <c r="I13" s="1321"/>
      <c r="J13" s="1351"/>
      <c r="K13" s="1321"/>
      <c r="L13" s="1322"/>
      <c r="M13" s="1323"/>
      <c r="N13" s="1326"/>
      <c r="O13" s="1322"/>
      <c r="P13" s="1323"/>
      <c r="Q13" s="1241"/>
      <c r="R13" s="26"/>
      <c r="S13" s="1390"/>
      <c r="T13" s="26"/>
      <c r="U13" s="1406"/>
      <c r="V13" s="1179" t="s">
        <v>76</v>
      </c>
      <c r="W13" s="1180"/>
      <c r="X13" s="1181"/>
      <c r="Y13" s="438">
        <f>Y10/Y11</f>
        <v>97500</v>
      </c>
      <c r="Z13" s="114" t="s">
        <v>58</v>
      </c>
      <c r="AA13" s="1482"/>
      <c r="AB13" s="1470" t="s">
        <v>76</v>
      </c>
      <c r="AC13" s="1471"/>
      <c r="AD13" s="415">
        <f>AD12/Y11</f>
        <v>108333.33333333333</v>
      </c>
      <c r="AE13" s="152" t="s">
        <v>58</v>
      </c>
      <c r="AF13" s="1424"/>
      <c r="AG13" s="147" t="s">
        <v>8</v>
      </c>
      <c r="AH13" s="408">
        <f>(1000*($AH$9*1000))/AH12</f>
        <v>88495.575221238934</v>
      </c>
      <c r="AI13" s="409">
        <f>IF(AI12=0,"",(1000*($AH$9*1000))/AI12)</f>
        <v>66666.666666666672</v>
      </c>
      <c r="AJ13" s="404" t="s">
        <v>87</v>
      </c>
      <c r="AK13" s="1475"/>
      <c r="AL13" s="1440"/>
      <c r="AM13" s="1422" t="s">
        <v>98</v>
      </c>
      <c r="AN13" s="1423"/>
      <c r="AO13" s="552">
        <f>AO9/AH10</f>
        <v>6.126616746085773</v>
      </c>
      <c r="AP13" s="1536" t="s">
        <v>4</v>
      </c>
      <c r="AQ13" s="1537"/>
      <c r="AR13" s="553"/>
      <c r="AS13" s="1423" t="s">
        <v>98</v>
      </c>
      <c r="AT13" s="1423"/>
      <c r="AU13" s="1423"/>
      <c r="AV13" s="552">
        <f>IF(AI21=0,"",AV9/AH10)</f>
        <v>4.6153846153846159</v>
      </c>
      <c r="AW13" s="554" t="s">
        <v>4</v>
      </c>
      <c r="AX13" s="189"/>
      <c r="AY13" s="189"/>
      <c r="AZ13" s="189"/>
      <c r="BA13" s="189"/>
      <c r="BB13" s="189"/>
      <c r="BC13" s="189"/>
      <c r="BD13" s="189"/>
      <c r="BE13" s="189"/>
      <c r="BF13" s="633"/>
    </row>
    <row r="14" spans="1:58" ht="24" customHeight="1" thickTop="1" x14ac:dyDescent="0.3">
      <c r="A14" s="1384"/>
      <c r="B14" s="1352"/>
      <c r="C14" s="1382"/>
      <c r="D14" s="1382"/>
      <c r="E14" s="1382"/>
      <c r="F14" s="1382"/>
      <c r="G14" s="1300"/>
      <c r="H14" s="1300"/>
      <c r="I14" s="1348">
        <f>IF(B3="2x2",(I12+K12),"")</f>
        <v>1.5</v>
      </c>
      <c r="J14" s="1349"/>
      <c r="K14" s="1349"/>
      <c r="L14" s="1349"/>
      <c r="M14" s="1350"/>
      <c r="N14" s="1342">
        <f>IF(B3="2x2",(N12+Q12),"")</f>
        <v>1.5</v>
      </c>
      <c r="O14" s="1343"/>
      <c r="P14" s="1343"/>
      <c r="Q14" s="1344"/>
      <c r="R14" s="26"/>
      <c r="S14" s="1390"/>
      <c r="T14" s="26"/>
      <c r="U14" s="1406"/>
      <c r="V14" s="1176" t="s">
        <v>293</v>
      </c>
      <c r="W14" s="1177"/>
      <c r="X14" s="1178"/>
      <c r="Y14" s="439">
        <f>IF(B3="2x2",I9,
IF(B3="4x3",F20,
IF(B3="4x2",G31,
IF(B3="6x2",E52,
IF(B3="6x3",D42,0)))))</f>
        <v>0.55555555555555558</v>
      </c>
      <c r="Z14" s="68"/>
      <c r="AA14" s="1480" t="s">
        <v>96</v>
      </c>
      <c r="AB14" s="1416" t="s">
        <v>282</v>
      </c>
      <c r="AC14" s="1417"/>
      <c r="AD14" s="432">
        <f>10000/(AD16*Y15) * 100</f>
        <v>12.30769230769231</v>
      </c>
      <c r="AE14" s="433" t="s">
        <v>5</v>
      </c>
      <c r="AF14" s="1424"/>
      <c r="AG14" s="1435" t="s">
        <v>350</v>
      </c>
      <c r="AH14" s="1429">
        <f>AH11/$AH$13</f>
        <v>4.0805555555555557</v>
      </c>
      <c r="AI14" s="1490">
        <f>IF(AI12=0,"",AH11/AI13)</f>
        <v>5.4166666666666661</v>
      </c>
      <c r="AJ14" s="1431" t="str">
        <f>IF(AH14&lt;1,"sac","sacs")</f>
        <v>sacs</v>
      </c>
      <c r="AK14" s="1475"/>
      <c r="AL14" s="1440"/>
      <c r="AM14" s="1522" t="s">
        <v>284</v>
      </c>
      <c r="AN14" s="1523"/>
      <c r="AO14" s="1523"/>
      <c r="AP14" s="1523"/>
      <c r="AQ14" s="1523"/>
      <c r="AR14" s="1523"/>
      <c r="AS14" s="1523"/>
      <c r="AT14" s="1523"/>
      <c r="AU14" s="1523"/>
      <c r="AV14" s="1532">
        <f>AD20</f>
        <v>14.3</v>
      </c>
      <c r="AW14" s="1530" t="s">
        <v>5</v>
      </c>
      <c r="AX14" s="189"/>
      <c r="AY14" s="189"/>
      <c r="AZ14" s="189"/>
      <c r="BA14" s="189"/>
      <c r="BB14" s="189"/>
      <c r="BC14" s="189"/>
      <c r="BD14" s="189"/>
      <c r="BE14" s="189"/>
      <c r="BF14" s="633"/>
    </row>
    <row r="15" spans="1:58" ht="29.45" customHeight="1" thickBot="1" x14ac:dyDescent="0.3">
      <c r="A15" s="1384"/>
      <c r="B15" s="1352"/>
      <c r="C15" s="1382"/>
      <c r="D15" s="1382"/>
      <c r="E15" s="1382"/>
      <c r="F15" s="1382"/>
      <c r="G15" s="1300"/>
      <c r="H15" s="1300"/>
      <c r="I15" s="1345">
        <f>IF(B3="2x2",I14/I7,"")</f>
        <v>0.66666666666666663</v>
      </c>
      <c r="J15" s="1346"/>
      <c r="K15" s="1346"/>
      <c r="L15" s="1346"/>
      <c r="M15" s="1347"/>
      <c r="N15" s="1339">
        <f>IF(B3="2x2",N14/I7,"")</f>
        <v>0.66666666666666663</v>
      </c>
      <c r="O15" s="1340"/>
      <c r="P15" s="1340"/>
      <c r="Q15" s="1341"/>
      <c r="R15" s="26"/>
      <c r="S15" s="1390"/>
      <c r="T15" s="26"/>
      <c r="U15" s="1406"/>
      <c r="V15" s="1173" t="s">
        <v>79</v>
      </c>
      <c r="W15" s="1174"/>
      <c r="X15" s="1175"/>
      <c r="Y15" s="143">
        <f>IF(B3="2x2",I8/F3,
IF(B3="4x3",F19/F3,
IF(B3="4x2",G30/F3,
IF(B3="6x2",E51/F3,
IF(B3="6x3",D41/F3,0)))))</f>
        <v>0.625</v>
      </c>
      <c r="Z15" s="101" t="s">
        <v>57</v>
      </c>
      <c r="AA15" s="1481"/>
      <c r="AB15" s="1291" t="s">
        <v>127</v>
      </c>
      <c r="AC15" s="1292"/>
      <c r="AD15" s="413">
        <f>AD8/(1-AD9)</f>
        <v>72222.222222222219</v>
      </c>
      <c r="AE15" s="414" t="s">
        <v>58</v>
      </c>
      <c r="AF15" s="1424"/>
      <c r="AG15" s="1436"/>
      <c r="AH15" s="1430"/>
      <c r="AI15" s="1491"/>
      <c r="AJ15" s="1432"/>
      <c r="AK15" s="1475"/>
      <c r="AL15" s="1440"/>
      <c r="AM15" s="1524"/>
      <c r="AN15" s="1525"/>
      <c r="AO15" s="1525"/>
      <c r="AP15" s="1525"/>
      <c r="AQ15" s="1525"/>
      <c r="AR15" s="1525"/>
      <c r="AS15" s="1525"/>
      <c r="AT15" s="1525"/>
      <c r="AU15" s="1525"/>
      <c r="AV15" s="1533"/>
      <c r="AW15" s="1531"/>
      <c r="AX15" s="544"/>
      <c r="AY15" s="189"/>
      <c r="AZ15" s="189"/>
      <c r="BA15" s="189"/>
      <c r="BB15" s="189"/>
      <c r="BC15" s="189"/>
      <c r="BD15" s="189"/>
      <c r="BE15" s="189"/>
      <c r="BF15" s="633"/>
    </row>
    <row r="16" spans="1:58" ht="27" customHeight="1" thickBot="1" x14ac:dyDescent="0.3">
      <c r="A16" s="1384"/>
      <c r="B16" s="134"/>
      <c r="C16" s="124"/>
      <c r="D16" s="124"/>
      <c r="E16" s="124"/>
      <c r="F16" s="124"/>
      <c r="G16" s="130"/>
      <c r="H16" s="130"/>
      <c r="I16" s="117"/>
      <c r="J16" s="117"/>
      <c r="K16" s="117"/>
      <c r="L16" s="117"/>
      <c r="M16" s="117"/>
      <c r="N16" s="118"/>
      <c r="O16" s="118"/>
      <c r="P16" s="118"/>
      <c r="Q16" s="118"/>
      <c r="R16" s="26"/>
      <c r="S16" s="26"/>
      <c r="T16" s="26"/>
      <c r="U16" s="1406"/>
      <c r="V16" s="1170" t="s">
        <v>77</v>
      </c>
      <c r="W16" s="1171"/>
      <c r="X16" s="1172"/>
      <c r="Y16" s="144">
        <f>Y10/Y14</f>
        <v>117000</v>
      </c>
      <c r="Z16" s="142" t="s">
        <v>58</v>
      </c>
      <c r="AA16" s="1482"/>
      <c r="AB16" s="1470" t="s">
        <v>77</v>
      </c>
      <c r="AC16" s="1471"/>
      <c r="AD16" s="416">
        <f>AD15/Y14</f>
        <v>129999.99999999999</v>
      </c>
      <c r="AE16" s="417" t="s">
        <v>58</v>
      </c>
      <c r="AF16" s="1425"/>
      <c r="AG16" s="821" t="s">
        <v>191</v>
      </c>
      <c r="AH16" s="822">
        <f>AH14*$AH$9</f>
        <v>81.611111111111114</v>
      </c>
      <c r="AI16" s="823">
        <f>IF(AI12=0,"",AI14*$AH$9)</f>
        <v>108.33333333333331</v>
      </c>
      <c r="AJ16" s="824" t="s">
        <v>9</v>
      </c>
      <c r="AK16" s="1475"/>
      <c r="AL16" s="1440"/>
      <c r="AM16" s="1420" t="s">
        <v>98</v>
      </c>
      <c r="AN16" s="1421"/>
      <c r="AO16" s="573">
        <f>IF(AV14=0,0,
AO9/((1000000/(AV14*Y15))*Y14))</f>
        <v>7.1183628318584073</v>
      </c>
      <c r="AP16" s="1534" t="s">
        <v>4</v>
      </c>
      <c r="AQ16" s="1535"/>
      <c r="AR16" s="555"/>
      <c r="AS16" s="1421" t="s">
        <v>98</v>
      </c>
      <c r="AT16" s="1421"/>
      <c r="AU16" s="1421"/>
      <c r="AV16" s="573">
        <f>IF(AI21=0,"",
IF(AV14=0,0,
AV9/((1000000/(AV14*Y15))*Y14)))</f>
        <v>5.3625000000000007</v>
      </c>
      <c r="AW16" s="556" t="s">
        <v>4</v>
      </c>
      <c r="AX16" s="189"/>
      <c r="AY16" s="189"/>
      <c r="AZ16" s="189"/>
      <c r="BA16" s="189"/>
      <c r="BB16" s="189"/>
      <c r="BC16" s="189"/>
      <c r="BD16" s="189"/>
      <c r="BE16" s="189"/>
      <c r="BF16" s="633"/>
    </row>
    <row r="17" spans="1:58" ht="12.75" customHeight="1" thickBot="1" x14ac:dyDescent="0.4">
      <c r="A17" s="1384"/>
      <c r="B17" s="510"/>
      <c r="C17" s="124"/>
      <c r="D17" s="124"/>
      <c r="E17" s="124"/>
      <c r="F17" s="124"/>
      <c r="G17" s="509"/>
      <c r="H17" s="509"/>
      <c r="I17" s="117"/>
      <c r="J17" s="117"/>
      <c r="K17" s="117"/>
      <c r="L17" s="117"/>
      <c r="M17" s="117"/>
      <c r="N17" s="118"/>
      <c r="O17" s="118"/>
      <c r="P17" s="118"/>
      <c r="Q17" s="118"/>
      <c r="R17" s="26"/>
      <c r="S17" s="26"/>
      <c r="T17" s="26"/>
      <c r="U17" s="1406"/>
      <c r="V17" s="1473"/>
      <c r="W17" s="1473"/>
      <c r="X17" s="1473"/>
      <c r="Y17" s="1473"/>
      <c r="Z17" s="1473"/>
      <c r="AA17" s="1473"/>
      <c r="AB17" s="1473"/>
      <c r="AC17" s="1473"/>
      <c r="AD17" s="1473"/>
      <c r="AE17" s="1473"/>
      <c r="AF17" s="1473"/>
      <c r="AG17" s="1473"/>
      <c r="AH17" s="1473"/>
      <c r="AI17" s="1473"/>
      <c r="AJ17" s="1473"/>
      <c r="AK17" s="1473"/>
      <c r="AL17" s="519"/>
      <c r="AM17" s="520"/>
      <c r="AN17" s="520"/>
      <c r="AO17" s="521"/>
      <c r="AP17" s="522"/>
      <c r="AQ17" s="484"/>
      <c r="AR17" s="486"/>
      <c r="AS17" s="393"/>
      <c r="AT17" s="520"/>
      <c r="AU17" s="520"/>
      <c r="AV17" s="521"/>
      <c r="AW17" s="522"/>
      <c r="AX17" s="635"/>
      <c r="AY17" s="189"/>
      <c r="AZ17" s="189"/>
      <c r="BA17" s="189"/>
      <c r="BB17" s="189"/>
      <c r="BC17" s="189"/>
      <c r="BD17" s="189"/>
      <c r="BE17" s="189"/>
      <c r="BF17" s="633"/>
    </row>
    <row r="18" spans="1:58" ht="28.5" customHeight="1" thickTop="1" thickBot="1" x14ac:dyDescent="0.3">
      <c r="A18" s="1384"/>
      <c r="B18" s="1314" t="s">
        <v>11</v>
      </c>
      <c r="C18" s="1236"/>
      <c r="D18" s="1315"/>
      <c r="E18" s="1316"/>
      <c r="F18" s="1304" t="str">
        <f>IF(B3="4x3",(F19+K19),"")</f>
        <v/>
      </c>
      <c r="G18" s="1305"/>
      <c r="H18" s="1305"/>
      <c r="I18" s="1305"/>
      <c r="J18" s="1305"/>
      <c r="K18" s="1305"/>
      <c r="L18" s="1305"/>
      <c r="M18" s="1305"/>
      <c r="N18" s="1305"/>
      <c r="O18" s="1305"/>
      <c r="P18" s="1306"/>
      <c r="Q18" s="75"/>
      <c r="R18" s="135"/>
      <c r="S18" s="1396"/>
      <c r="T18" s="26"/>
      <c r="U18" s="1406"/>
      <c r="V18" s="1473"/>
      <c r="W18" s="1473"/>
      <c r="X18" s="1473"/>
      <c r="Y18" s="1473"/>
      <c r="Z18" s="1473"/>
      <c r="AA18" s="1473"/>
      <c r="AB18" s="1473"/>
      <c r="AC18" s="1473"/>
      <c r="AD18" s="1473"/>
      <c r="AE18" s="1473"/>
      <c r="AF18" s="1473"/>
      <c r="AG18" s="1473"/>
      <c r="AH18" s="1473"/>
      <c r="AI18" s="1473"/>
      <c r="AJ18" s="1473"/>
      <c r="AK18" s="1473"/>
      <c r="AL18" s="1494" t="s">
        <v>196</v>
      </c>
      <c r="AM18" s="1542" t="s">
        <v>286</v>
      </c>
      <c r="AN18" s="1543"/>
      <c r="AO18" s="643">
        <f>AH24</f>
        <v>70.240870240870251</v>
      </c>
      <c r="AP18" s="392" t="s">
        <v>9</v>
      </c>
      <c r="AQ18" s="412"/>
      <c r="AR18" s="412"/>
      <c r="AS18" s="412"/>
      <c r="AT18" s="1148" t="s">
        <v>100</v>
      </c>
      <c r="AU18" s="1148"/>
      <c r="AV18" s="1061" t="str">
        <f>Z8</f>
        <v>F 0841 B 731 014 A01</v>
      </c>
      <c r="AW18" s="1061"/>
      <c r="AX18" s="412"/>
      <c r="AY18" s="412"/>
      <c r="AZ18" s="412"/>
      <c r="BA18" s="412"/>
      <c r="BB18" s="412"/>
      <c r="BC18" s="412"/>
      <c r="BD18" s="412"/>
      <c r="BE18" s="531"/>
      <c r="BF18" s="633"/>
    </row>
    <row r="19" spans="1:58" ht="25.15" customHeight="1" thickTop="1" thickBot="1" x14ac:dyDescent="0.4">
      <c r="A19" s="1384"/>
      <c r="B19" s="1314"/>
      <c r="C19" s="1236"/>
      <c r="D19" s="1300" t="str">
        <f>IF(B3="4x3","Part au champ","")</f>
        <v/>
      </c>
      <c r="E19" s="1300"/>
      <c r="F19" s="1251" t="str">
        <f>IF(B3="4x3",(F21+G21+H21+I21),"")</f>
        <v/>
      </c>
      <c r="G19" s="1252"/>
      <c r="H19" s="1252"/>
      <c r="I19" s="1252"/>
      <c r="J19" s="1253"/>
      <c r="K19" s="1301" t="str">
        <f>IF(B3="4x3",(K21+M21+O21),"")</f>
        <v/>
      </c>
      <c r="L19" s="1302"/>
      <c r="M19" s="1302"/>
      <c r="N19" s="1302"/>
      <c r="O19" s="1302"/>
      <c r="P19" s="1303"/>
      <c r="Q19" s="23"/>
      <c r="R19" s="23"/>
      <c r="S19" s="1396"/>
      <c r="T19" s="26"/>
      <c r="U19" s="1406"/>
      <c r="V19" s="1509" t="s">
        <v>237</v>
      </c>
      <c r="W19" s="1510"/>
      <c r="X19" s="1507" t="s">
        <v>308</v>
      </c>
      <c r="Y19" s="1507"/>
      <c r="Z19" s="1508"/>
      <c r="AA19" s="1484" t="s">
        <v>96</v>
      </c>
      <c r="AB19" s="1519" t="s">
        <v>89</v>
      </c>
      <c r="AC19" s="1520"/>
      <c r="AD19" s="1520"/>
      <c r="AE19" s="1521"/>
      <c r="AF19" s="418"/>
      <c r="AG19" s="453" t="s">
        <v>86</v>
      </c>
      <c r="AH19" s="1105">
        <f>AD22*Y14</f>
        <v>62160.06216006216</v>
      </c>
      <c r="AI19" s="1106"/>
      <c r="AJ19" s="69" t="s">
        <v>55</v>
      </c>
      <c r="AK19" s="1474"/>
      <c r="AL19" s="1494"/>
      <c r="AM19" s="1214" t="str">
        <f>"Si la surface semée est de "&amp;AH7&amp;" ha :"</f>
        <v>Si la surface semée est de 5 ha :</v>
      </c>
      <c r="AN19" s="1215"/>
      <c r="AO19" s="1215"/>
      <c r="AP19" s="1215"/>
      <c r="AQ19" s="1215"/>
      <c r="AR19" s="1215"/>
      <c r="AS19" s="1215"/>
      <c r="AT19" s="1215"/>
      <c r="AU19" s="1215"/>
      <c r="AV19" s="1215"/>
      <c r="AW19" s="1215"/>
      <c r="AX19" s="342"/>
      <c r="AY19" s="342"/>
      <c r="AZ19" s="342"/>
      <c r="BA19" s="342"/>
      <c r="BB19" s="342"/>
      <c r="BC19" s="342"/>
      <c r="BD19" s="342"/>
      <c r="BE19" s="150"/>
      <c r="BF19" s="633"/>
    </row>
    <row r="20" spans="1:58" ht="24.6" customHeight="1" thickTop="1" thickBot="1" x14ac:dyDescent="0.4">
      <c r="A20" s="1384"/>
      <c r="B20" s="1314"/>
      <c r="C20" s="1236"/>
      <c r="D20" s="1300"/>
      <c r="E20" s="1300"/>
      <c r="F20" s="1254" t="str">
        <f>IF(B3="4x3",(F19/F18),"")</f>
        <v/>
      </c>
      <c r="G20" s="1255"/>
      <c r="H20" s="1255"/>
      <c r="I20" s="1255"/>
      <c r="J20" s="1256"/>
      <c r="K20" s="1237" t="str">
        <f>IF(B3="4x3",(K19/F18),"")</f>
        <v/>
      </c>
      <c r="L20" s="1238"/>
      <c r="M20" s="1238"/>
      <c r="N20" s="1238"/>
      <c r="O20" s="1238"/>
      <c r="P20" s="1239"/>
      <c r="Q20" s="23"/>
      <c r="R20" s="23"/>
      <c r="S20" s="1396"/>
      <c r="T20" s="26"/>
      <c r="U20" s="1406"/>
      <c r="V20" s="1408" t="s">
        <v>234</v>
      </c>
      <c r="W20" s="1409"/>
      <c r="X20" s="1498" t="str">
        <f>HYPERLINK("[\\VSECHANGE\Echange\Semences\00. SEMAGR\00_Process\30. Production au champ\20_Semis\Tableaux_réglage_semoir.xlsx]"&amp;V20&amp;"!A1")</f>
        <v>[\\VSECHANGE\Echange\Semences\00. SEMAGR\00_Process\30. Production au champ\20_Semis\Tableaux_réglage_semoir.xlsx]WILERLE!A1</v>
      </c>
      <c r="Y20" s="1499"/>
      <c r="Z20" s="1500"/>
      <c r="AA20" s="1485"/>
      <c r="AB20" s="1478" t="s">
        <v>74</v>
      </c>
      <c r="AC20" s="1479"/>
      <c r="AD20" s="644">
        <v>14.3</v>
      </c>
      <c r="AE20" s="440" t="s">
        <v>5</v>
      </c>
      <c r="AF20" s="1493" t="s">
        <v>96</v>
      </c>
      <c r="AG20" s="115" t="s">
        <v>259</v>
      </c>
      <c r="AH20" s="1113">
        <f>AH19*$AH$7</f>
        <v>310800.31080031081</v>
      </c>
      <c r="AI20" s="1114"/>
      <c r="AJ20" s="70" t="s">
        <v>56</v>
      </c>
      <c r="AK20" s="1474"/>
      <c r="AL20" s="1494"/>
      <c r="AM20" s="1511" t="str">
        <f>"avec un écartement moyen des rangs ♀ de "&amp;ROUND(Y15,3)&amp;" m :"</f>
        <v>avec un écartement moyen des rangs ♀ de 0,625 m :</v>
      </c>
      <c r="AN20" s="1512"/>
      <c r="AO20" s="1512"/>
      <c r="AP20" s="1512"/>
      <c r="AQ20" s="1512"/>
      <c r="AR20" s="1512"/>
      <c r="AS20" s="1512"/>
      <c r="AT20" s="1512"/>
      <c r="AU20" s="1512"/>
      <c r="AV20" s="1512"/>
      <c r="AW20" s="1512"/>
      <c r="AX20" s="1513"/>
      <c r="AY20" s="1511" t="str">
        <f>"avec un écartement semoir des rangs ♀ de "&amp;Y12&amp;" m :"</f>
        <v>avec un écartement semoir des rangs ♀ de 0,75 m :</v>
      </c>
      <c r="AZ20" s="1512"/>
      <c r="BA20" s="1512"/>
      <c r="BB20" s="1512"/>
      <c r="BC20" s="1512"/>
      <c r="BD20" s="1512"/>
      <c r="BE20" s="1513"/>
      <c r="BF20" s="633"/>
    </row>
    <row r="21" spans="1:58" ht="24.6" customHeight="1" thickTop="1" thickBot="1" x14ac:dyDescent="0.3">
      <c r="A21" s="1384"/>
      <c r="B21" s="1314"/>
      <c r="C21" s="1236"/>
      <c r="D21" s="1300"/>
      <c r="E21" s="1300"/>
      <c r="F21" s="1299" t="str">
        <f>IF($B$3="4x3",$K$3,"")</f>
        <v/>
      </c>
      <c r="G21" s="1299" t="str">
        <f>IF($B$3="4x3",$K$3,"")</f>
        <v/>
      </c>
      <c r="H21" s="1299" t="str">
        <f>IF($B$3="4x3",$K$3,"")</f>
        <v/>
      </c>
      <c r="I21" s="1309" t="str">
        <f>IF(B3="4x3",Q3*(1/3),"")</f>
        <v/>
      </c>
      <c r="J21" s="1308"/>
      <c r="K21" s="1307" t="str">
        <f>IF(B3="4x3",Q3*(1/6),"")</f>
        <v/>
      </c>
      <c r="L21" s="1308"/>
      <c r="M21" s="1307" t="str">
        <f>IF(B3="4x3",Q3*(1/6),"")</f>
        <v/>
      </c>
      <c r="N21" s="1308"/>
      <c r="O21" s="1307" t="str">
        <f>IF(B3="4x3",Q3*(1/3),"")</f>
        <v/>
      </c>
      <c r="P21" s="1313"/>
      <c r="Q21" s="23"/>
      <c r="R21" s="23"/>
      <c r="S21" s="1396"/>
      <c r="T21" s="26"/>
      <c r="U21" s="1406"/>
      <c r="V21" s="1410"/>
      <c r="W21" s="1411"/>
      <c r="X21" s="1501"/>
      <c r="Y21" s="1502"/>
      <c r="Z21" s="1503"/>
      <c r="AA21" s="1485"/>
      <c r="AB21" s="1170" t="s">
        <v>280</v>
      </c>
      <c r="AC21" s="1171"/>
      <c r="AD21" s="429">
        <f>1000000/(AD20*K3)</f>
        <v>93240.093240093222</v>
      </c>
      <c r="AE21" s="151" t="s">
        <v>58</v>
      </c>
      <c r="AF21" s="1493"/>
      <c r="AG21" s="428" t="s">
        <v>349</v>
      </c>
      <c r="AH21" s="549">
        <f>VLOOKUP($V$8,Données_SB_Femelle!$A$29:$Q$75,10,FALSE)</f>
        <v>226</v>
      </c>
      <c r="AI21" s="557">
        <f>VLOOKUP($V$8,Données_SB_Femelle!$A$29:$Q$75,15,FALSE)</f>
        <v>300</v>
      </c>
      <c r="AJ21" s="502" t="s">
        <v>275</v>
      </c>
      <c r="AK21" s="1474"/>
      <c r="AL21" s="1494"/>
      <c r="AM21" s="1219" t="str">
        <f>"Si le PMG annoncé est de "&amp;AH12&amp;" on a :"</f>
        <v>Si le PMG annoncé est de 226 on a :</v>
      </c>
      <c r="AN21" s="1220"/>
      <c r="AO21" s="460">
        <f>$AO$18*AH13/$AH$9</f>
        <v>310800.31080031081</v>
      </c>
      <c r="AP21" s="525" t="s">
        <v>10</v>
      </c>
      <c r="AQ21" s="526"/>
      <c r="AR21" s="342"/>
      <c r="AS21" s="1147" t="str">
        <f>"Si le PMG mesuré est de "&amp;AI12&amp;" on a :"</f>
        <v>Si le PMG mesuré est de 300 on a :</v>
      </c>
      <c r="AT21" s="1147"/>
      <c r="AU21" s="1147"/>
      <c r="AV21" s="460">
        <f>IF(AI21=0,"",$AO$18*AI13/$AH$9)</f>
        <v>234136.23413623418</v>
      </c>
      <c r="AW21" s="525" t="s">
        <v>10</v>
      </c>
      <c r="AX21" s="150"/>
      <c r="AY21" s="535"/>
      <c r="AZ21" s="559" t="str">
        <f>"Si le PMG annoncé est de "&amp;AH12&amp;" on a :"</f>
        <v>Si le PMG annoncé est de 226 on a :</v>
      </c>
      <c r="BA21" s="460">
        <f>$AO$18*$AH$13/$AH$9</f>
        <v>310800.31080031081</v>
      </c>
      <c r="BB21" s="525" t="s">
        <v>10</v>
      </c>
      <c r="BC21" s="560" t="str">
        <f>"Si le PMG mesuré est de "&amp;AI12&amp;" on a :"</f>
        <v>Si le PMG mesuré est de 300 on a :</v>
      </c>
      <c r="BD21" s="460">
        <f>$AO$18*AI13/$AH$9</f>
        <v>234136.23413623418</v>
      </c>
      <c r="BE21" s="198" t="s">
        <v>10</v>
      </c>
      <c r="BF21" s="633"/>
    </row>
    <row r="22" spans="1:58" ht="30" customHeight="1" thickBot="1" x14ac:dyDescent="0.3">
      <c r="A22" s="1384"/>
      <c r="B22" s="1314"/>
      <c r="C22" s="1236"/>
      <c r="D22" s="1300"/>
      <c r="E22" s="1300"/>
      <c r="F22" s="1299"/>
      <c r="G22" s="1299"/>
      <c r="H22" s="1299"/>
      <c r="I22" s="1309"/>
      <c r="J22" s="1308"/>
      <c r="K22" s="1307"/>
      <c r="L22" s="1308"/>
      <c r="M22" s="1307"/>
      <c r="N22" s="1308"/>
      <c r="O22" s="1307"/>
      <c r="P22" s="1313"/>
      <c r="Q22" s="23"/>
      <c r="R22" s="23"/>
      <c r="S22" s="1396"/>
      <c r="T22" s="160"/>
      <c r="U22" s="1406"/>
      <c r="V22" s="1412"/>
      <c r="W22" s="1413"/>
      <c r="X22" s="1504"/>
      <c r="Y22" s="1505"/>
      <c r="Z22" s="1506"/>
      <c r="AA22" s="1485"/>
      <c r="AB22" s="1516" t="s">
        <v>277</v>
      </c>
      <c r="AC22" s="1517"/>
      <c r="AD22" s="153">
        <f>1000000/(AD20*Y15)</f>
        <v>111888.11188811189</v>
      </c>
      <c r="AE22" s="152" t="s">
        <v>58</v>
      </c>
      <c r="AF22" s="1493"/>
      <c r="AG22" s="470" t="s">
        <v>262</v>
      </c>
      <c r="AH22" s="467">
        <f>AH20/$AH$13</f>
        <v>3.5120435120435123</v>
      </c>
      <c r="AI22" s="468">
        <f>IF(AI21=0,"",$AH$20/$AI$13)</f>
        <v>4.6620046620046613</v>
      </c>
      <c r="AJ22" s="469" t="str">
        <f>IF(AH22&lt;=1,"sac","sacs")</f>
        <v>sacs</v>
      </c>
      <c r="AK22" s="1474"/>
      <c r="AL22" s="1494"/>
      <c r="AM22" s="532" t="e">
        <f>(AM21*$AD$7)/1000</f>
        <v>#VALUE!</v>
      </c>
      <c r="AN22" s="507" t="s">
        <v>99</v>
      </c>
      <c r="AO22" s="681">
        <f>($AO$21*$AD$7)/1000</f>
        <v>279.72027972027973</v>
      </c>
      <c r="AP22" s="525" t="s">
        <v>189</v>
      </c>
      <c r="AQ22" s="526"/>
      <c r="AR22" s="399"/>
      <c r="AS22" s="1518" t="s">
        <v>99</v>
      </c>
      <c r="AT22" s="1518"/>
      <c r="AU22" s="1518"/>
      <c r="AV22" s="460">
        <f>IF(AI21=0,"",($AV$21*$AD$7)/1000)</f>
        <v>210.72261072261077</v>
      </c>
      <c r="AW22" s="525" t="s">
        <v>189</v>
      </c>
      <c r="AX22" s="150"/>
      <c r="AY22" s="535"/>
      <c r="AZ22" s="507" t="s">
        <v>99</v>
      </c>
      <c r="BA22" s="460">
        <f>($AO$21*$AD$7)/1000</f>
        <v>279.72027972027973</v>
      </c>
      <c r="BB22" s="525" t="s">
        <v>189</v>
      </c>
      <c r="BC22" s="538" t="s">
        <v>99</v>
      </c>
      <c r="BD22" s="460">
        <f>($AV$21*$AD$7)/1000</f>
        <v>210.72261072261077</v>
      </c>
      <c r="BE22" s="198" t="s">
        <v>189</v>
      </c>
      <c r="BF22" s="633"/>
    </row>
    <row r="23" spans="1:58" ht="30" customHeight="1" thickTop="1" thickBot="1" x14ac:dyDescent="0.4">
      <c r="A23" s="1384"/>
      <c r="B23" s="1314"/>
      <c r="C23" s="1236"/>
      <c r="D23" s="1300" t="str">
        <f>IF(B3="4x3","Part théorique semoir","")</f>
        <v/>
      </c>
      <c r="E23" s="1300"/>
      <c r="F23" s="1240" t="str">
        <f>IF($B$3="4x3",$K$3,"")</f>
        <v/>
      </c>
      <c r="G23" s="1240" t="str">
        <f>IF($B$3="4x3",$K$3,"")</f>
        <v/>
      </c>
      <c r="H23" s="1240" t="str">
        <f>IF($B$3="4x3",$K$3,"")</f>
        <v/>
      </c>
      <c r="I23" s="1245" t="str">
        <f>IF($B$3="4x3",$K$3,"")</f>
        <v/>
      </c>
      <c r="J23" s="1243"/>
      <c r="K23" s="1244"/>
      <c r="L23" s="1242" t="str">
        <f>IF($B$3="4x3",IF(F21&lt;0.75,0.75,$K$3),"")</f>
        <v/>
      </c>
      <c r="M23" s="1243"/>
      <c r="N23" s="1243"/>
      <c r="O23" s="1244"/>
      <c r="P23" s="1242" t="str">
        <f>IF($B$3="4x3",IF(F21&lt;0.75,0.75,$K$3),"")</f>
        <v/>
      </c>
      <c r="Q23" s="1244"/>
      <c r="R23" s="1320" t="str">
        <f>IF($B$3="4x3",IF(F21&lt;0.75,0.75,$K$3),"")</f>
        <v/>
      </c>
      <c r="S23" s="1396"/>
      <c r="T23" s="23"/>
      <c r="U23" s="1406"/>
      <c r="V23" s="1476"/>
      <c r="W23" s="1477"/>
      <c r="X23" s="1477"/>
      <c r="Y23" s="1477"/>
      <c r="Z23" s="1477"/>
      <c r="AA23" s="825"/>
      <c r="AB23" s="1170" t="s">
        <v>75</v>
      </c>
      <c r="AC23" s="1171"/>
      <c r="AD23" s="430" t="str">
        <f>IF($AE23&lt;0,"","+")</f>
        <v/>
      </c>
      <c r="AE23" s="9">
        <f>(AD22/AD16)-100%</f>
        <v>-0.13932221624529306</v>
      </c>
      <c r="AF23" s="1493"/>
      <c r="AG23" s="390" t="s">
        <v>120</v>
      </c>
      <c r="AH23" s="405">
        <f>AH22/AH7</f>
        <v>0.70240870240870246</v>
      </c>
      <c r="AI23" s="407">
        <f>IF(AI21=0,"",$AI$22/AH7)</f>
        <v>0.93240093240093225</v>
      </c>
      <c r="AJ23" s="146" t="s">
        <v>121</v>
      </c>
      <c r="AK23" s="1474"/>
      <c r="AL23" s="1494"/>
      <c r="AM23" s="1196" t="s">
        <v>195</v>
      </c>
      <c r="AN23" s="1144"/>
      <c r="AO23" s="545">
        <f>$AO$18*AH13/$AH$9/$AH$7/Y14</f>
        <v>111888.11188811189</v>
      </c>
      <c r="AP23" s="546" t="s">
        <v>55</v>
      </c>
      <c r="AQ23" s="526"/>
      <c r="AR23" s="524"/>
      <c r="AS23" s="1144" t="s">
        <v>195</v>
      </c>
      <c r="AT23" s="1144"/>
      <c r="AU23" s="1144"/>
      <c r="AV23" s="545">
        <f>IF(AI21=0,"",$AO$18*AI13/$AH$9/$AH$7/Y14)</f>
        <v>84289.044289044308</v>
      </c>
      <c r="AW23" s="546" t="s">
        <v>55</v>
      </c>
      <c r="AX23" s="150"/>
      <c r="AY23" s="535"/>
      <c r="AZ23" s="527" t="s">
        <v>194</v>
      </c>
      <c r="BA23" s="547">
        <f>$AO$18*AH13/$AH$9/$AH$7/Y11</f>
        <v>93240.093240093251</v>
      </c>
      <c r="BB23" s="546" t="s">
        <v>55</v>
      </c>
      <c r="BC23" s="529" t="s">
        <v>194</v>
      </c>
      <c r="BD23" s="547">
        <f>$AO$18*$AI$13/$AH$9/$AH$7/$Y$11</f>
        <v>70240.870240870267</v>
      </c>
      <c r="BE23" s="548" t="s">
        <v>55</v>
      </c>
      <c r="BF23" s="633"/>
    </row>
    <row r="24" spans="1:58" ht="30" customHeight="1" thickBot="1" x14ac:dyDescent="0.3">
      <c r="A24" s="1384"/>
      <c r="B24" s="1314"/>
      <c r="C24" s="1236"/>
      <c r="D24" s="1300"/>
      <c r="E24" s="1300"/>
      <c r="F24" s="1240"/>
      <c r="G24" s="1240"/>
      <c r="H24" s="1240"/>
      <c r="I24" s="1245"/>
      <c r="J24" s="1243"/>
      <c r="K24" s="1244"/>
      <c r="L24" s="1242"/>
      <c r="M24" s="1243"/>
      <c r="N24" s="1243"/>
      <c r="O24" s="1244"/>
      <c r="P24" s="1242"/>
      <c r="Q24" s="1244"/>
      <c r="R24" s="1320"/>
      <c r="S24" s="1396"/>
      <c r="T24" s="23"/>
      <c r="U24" s="1406"/>
      <c r="V24" s="1477"/>
      <c r="W24" s="1477"/>
      <c r="X24" s="1477"/>
      <c r="Y24" s="1477"/>
      <c r="Z24" s="1477"/>
      <c r="AA24" s="1477"/>
      <c r="AB24" s="1477"/>
      <c r="AC24" s="1477"/>
      <c r="AD24" s="1477"/>
      <c r="AE24" s="1477"/>
      <c r="AF24" s="419"/>
      <c r="AG24" s="471" t="s">
        <v>192</v>
      </c>
      <c r="AH24" s="472">
        <f>AH22*AH9</f>
        <v>70.240870240870251</v>
      </c>
      <c r="AI24" s="473">
        <f>IF(AI21=0,"",$AI$22*$AH$9)</f>
        <v>93.240093240093231</v>
      </c>
      <c r="AJ24" s="474" t="s">
        <v>9</v>
      </c>
      <c r="AK24" s="1474"/>
      <c r="AL24" s="1494"/>
      <c r="AM24" s="1414" t="s">
        <v>170</v>
      </c>
      <c r="AN24" s="1415"/>
      <c r="AO24" s="505">
        <f>IF(AO18=0,0,
1000000/(AO23*Y15))</f>
        <v>14.299999999999999</v>
      </c>
      <c r="AP24" s="398" t="s">
        <v>5</v>
      </c>
      <c r="AQ24" s="533"/>
      <c r="AR24" s="482"/>
      <c r="AS24" s="1415" t="s">
        <v>170</v>
      </c>
      <c r="AT24" s="1415"/>
      <c r="AU24" s="1415"/>
      <c r="AV24" s="505">
        <f>IF(AI21=0,"",
IF(AO18=0,0,
IF(AV23=0,0,
1000000/(AV23*Y15))))</f>
        <v>18.982300884955748</v>
      </c>
      <c r="AW24" s="398" t="s">
        <v>5</v>
      </c>
      <c r="AX24" s="534"/>
      <c r="AY24" s="536"/>
      <c r="AZ24" s="508" t="s">
        <v>170</v>
      </c>
      <c r="BA24" s="506">
        <f>IF(AO18=0,0,
1000000/(BA23*Y12))</f>
        <v>14.299999999999999</v>
      </c>
      <c r="BB24" s="537" t="s">
        <v>5</v>
      </c>
      <c r="BC24" s="511" t="s">
        <v>170</v>
      </c>
      <c r="BD24" s="506">
        <f>IF(AO18=0,0,
1000000/(BD23*Y12))</f>
        <v>18.982300884955748</v>
      </c>
      <c r="BE24" s="400" t="s">
        <v>5</v>
      </c>
      <c r="BF24" s="633"/>
    </row>
    <row r="25" spans="1:58" ht="8.25" customHeight="1" thickBot="1" x14ac:dyDescent="0.3">
      <c r="A25" s="1384"/>
      <c r="B25" s="1314"/>
      <c r="C25" s="1236"/>
      <c r="D25" s="1300"/>
      <c r="E25" s="1300"/>
      <c r="F25" s="1240"/>
      <c r="G25" s="1240"/>
      <c r="H25" s="1240"/>
      <c r="I25" s="1245"/>
      <c r="J25" s="1243"/>
      <c r="K25" s="1244"/>
      <c r="L25" s="1242"/>
      <c r="M25" s="1243"/>
      <c r="N25" s="1243"/>
      <c r="O25" s="1244"/>
      <c r="P25" s="1242"/>
      <c r="Q25" s="1244"/>
      <c r="R25" s="1320"/>
      <c r="S25" s="1396"/>
      <c r="T25" s="27"/>
      <c r="U25" s="1407"/>
      <c r="V25" s="1472"/>
      <c r="W25" s="1472"/>
      <c r="X25" s="1472"/>
      <c r="Y25" s="1472"/>
      <c r="Z25" s="1472"/>
      <c r="AA25" s="1472"/>
      <c r="AB25" s="1472"/>
      <c r="AC25" s="1472"/>
      <c r="AD25" s="1472"/>
      <c r="AE25" s="1472"/>
      <c r="AF25" s="1472"/>
      <c r="AG25" s="1472"/>
      <c r="AH25" s="1472"/>
      <c r="AI25" s="1472"/>
      <c r="AJ25" s="1472"/>
      <c r="AK25" s="1472"/>
      <c r="AL25" s="485"/>
      <c r="AM25" s="485"/>
      <c r="AN25" s="485"/>
      <c r="AO25" s="485"/>
      <c r="AP25" s="485"/>
      <c r="AQ25" s="485"/>
      <c r="AR25" s="486"/>
      <c r="AS25" s="393"/>
      <c r="AT25" s="393"/>
      <c r="AU25" s="393"/>
      <c r="AV25" s="393"/>
      <c r="AW25" s="393"/>
      <c r="AX25" s="530"/>
      <c r="AY25" s="189"/>
      <c r="AZ25" s="393"/>
      <c r="BA25" s="393"/>
      <c r="BB25" s="393"/>
      <c r="BC25" s="393"/>
      <c r="BD25" s="393"/>
      <c r="BE25" s="393"/>
      <c r="BF25" s="633"/>
    </row>
    <row r="26" spans="1:58" ht="18" customHeight="1" thickTop="1" thickBot="1" x14ac:dyDescent="0.3">
      <c r="A26" s="1384"/>
      <c r="B26" s="1314"/>
      <c r="C26" s="1236"/>
      <c r="D26" s="1300"/>
      <c r="E26" s="1300"/>
      <c r="F26" s="1317" t="str">
        <f>IF(B3="4x3",(F23+G23+H23+I23),"")</f>
        <v/>
      </c>
      <c r="G26" s="1318"/>
      <c r="H26" s="1318"/>
      <c r="I26" s="1318"/>
      <c r="J26" s="1318"/>
      <c r="K26" s="1319"/>
      <c r="L26" s="1262" t="str">
        <f>IF(B3="4x3",(L23+P23+R23),"")</f>
        <v/>
      </c>
      <c r="M26" s="1263"/>
      <c r="N26" s="1263"/>
      <c r="O26" s="1263"/>
      <c r="P26" s="1263"/>
      <c r="Q26" s="1263"/>
      <c r="R26" s="1264"/>
      <c r="S26" s="1396"/>
      <c r="T26" s="22"/>
      <c r="U26" s="162"/>
      <c r="V26" s="162"/>
      <c r="W26" s="162"/>
      <c r="X26" s="186"/>
      <c r="Y26" s="186"/>
      <c r="Z26" s="186"/>
      <c r="AA26" s="186"/>
      <c r="AB26" s="186"/>
      <c r="AC26" s="186"/>
      <c r="AD26" s="186"/>
      <c r="AE26" s="186"/>
      <c r="AF26" s="186"/>
      <c r="AG26" s="186"/>
      <c r="AH26" s="186"/>
      <c r="AI26" s="186"/>
      <c r="AJ26" s="186"/>
      <c r="AK26" s="186"/>
      <c r="AL26" s="186"/>
      <c r="AM26" s="186"/>
      <c r="AN26" s="186"/>
      <c r="AO26" s="186"/>
      <c r="AP26" s="186"/>
      <c r="AQ26" s="186"/>
      <c r="AR26" s="186"/>
      <c r="AS26" s="186"/>
      <c r="AT26" s="186"/>
      <c r="AU26" s="186"/>
      <c r="AV26" s="186"/>
      <c r="AW26" s="186"/>
      <c r="AX26" s="186"/>
      <c r="AY26" s="186"/>
      <c r="AZ26" s="186"/>
      <c r="BA26" s="186"/>
      <c r="BB26" s="186"/>
      <c r="BC26" s="186"/>
      <c r="BD26" s="186"/>
      <c r="BE26" s="186"/>
      <c r="BF26" s="349"/>
    </row>
    <row r="27" spans="1:58" ht="19.149999999999999" customHeight="1" thickTop="1" x14ac:dyDescent="0.25">
      <c r="A27" s="1384"/>
      <c r="B27" s="1314"/>
      <c r="C27" s="1236"/>
      <c r="D27" s="1300"/>
      <c r="E27" s="1300"/>
      <c r="F27" s="1254" t="str">
        <f>IF(B3="4x3",(F26/F18),"")</f>
        <v/>
      </c>
      <c r="G27" s="1255"/>
      <c r="H27" s="1255"/>
      <c r="I27" s="1255"/>
      <c r="J27" s="1255"/>
      <c r="K27" s="1256"/>
      <c r="L27" s="1257" t="str">
        <f>IF(B3="4x3",L26/F18,"")</f>
        <v/>
      </c>
      <c r="M27" s="1258"/>
      <c r="N27" s="1258"/>
      <c r="O27" s="1258"/>
      <c r="P27" s="1258"/>
      <c r="Q27" s="1258"/>
      <c r="R27" s="1259"/>
      <c r="S27" s="1396"/>
      <c r="T27" s="22"/>
      <c r="U27" s="29"/>
      <c r="V27" s="1156" t="s">
        <v>128</v>
      </c>
      <c r="W27" s="1157"/>
      <c r="X27" s="1158"/>
      <c r="Y27" s="1403" t="s">
        <v>2</v>
      </c>
      <c r="Z27" s="1457" t="s">
        <v>3</v>
      </c>
      <c r="AA27" s="180"/>
      <c r="AB27" s="1426" t="s">
        <v>84</v>
      </c>
      <c r="AC27" s="1492"/>
      <c r="AD27" s="1401">
        <f>VLOOKUP(V29,Données_SB_Mâle!$A$2:$Q$28,11,FALSE)</f>
        <v>0.88</v>
      </c>
      <c r="AE27" s="1399"/>
      <c r="AF27" s="180"/>
      <c r="AG27" s="1397" t="s">
        <v>107</v>
      </c>
      <c r="AH27" s="1453">
        <f>AH7</f>
        <v>5</v>
      </c>
      <c r="AI27" s="1447" t="s">
        <v>4</v>
      </c>
      <c r="AJ27" s="422"/>
      <c r="AK27" s="422"/>
      <c r="AL27" s="1201" t="s">
        <v>179</v>
      </c>
      <c r="AM27" s="1418" t="s">
        <v>285</v>
      </c>
      <c r="AN27" s="1419"/>
      <c r="AO27" s="1118">
        <v>100</v>
      </c>
      <c r="AP27" s="1514" t="s">
        <v>9</v>
      </c>
      <c r="AQ27" s="412"/>
      <c r="AR27" s="412"/>
      <c r="AS27" s="1222" t="s">
        <v>100</v>
      </c>
      <c r="AT27" s="1222"/>
      <c r="AU27" s="1222"/>
      <c r="AV27" s="1061" t="str">
        <f>Z29</f>
        <v>F 0841 B 711 844 A01</v>
      </c>
      <c r="AW27" s="1062"/>
      <c r="AX27" s="180"/>
      <c r="AY27" s="1115" t="s">
        <v>165</v>
      </c>
      <c r="AZ27" s="1120" t="s">
        <v>169</v>
      </c>
      <c r="BA27" s="1118">
        <f>AC56</f>
        <v>11.640211640211639</v>
      </c>
      <c r="BB27" s="1116" t="s">
        <v>9</v>
      </c>
      <c r="BC27" s="1059" t="s">
        <v>100</v>
      </c>
      <c r="BD27" s="1061" t="str">
        <f>Z29</f>
        <v>F 0841 B 711 844 A01</v>
      </c>
      <c r="BE27" s="1062"/>
      <c r="BF27" s="350"/>
    </row>
    <row r="28" spans="1:58" ht="24.75" customHeight="1" thickBot="1" x14ac:dyDescent="0.3">
      <c r="A28" s="1384"/>
      <c r="B28" s="134"/>
      <c r="C28" s="133"/>
      <c r="D28" s="130"/>
      <c r="E28" s="130"/>
      <c r="F28" s="125"/>
      <c r="G28" s="125"/>
      <c r="H28" s="125"/>
      <c r="I28" s="125"/>
      <c r="J28" s="125"/>
      <c r="K28" s="125"/>
      <c r="L28" s="125"/>
      <c r="M28" s="125"/>
      <c r="N28" s="125"/>
      <c r="O28" s="125"/>
      <c r="P28" s="125"/>
      <c r="Q28" s="125"/>
      <c r="R28" s="125"/>
      <c r="S28" s="135"/>
      <c r="T28" s="22"/>
      <c r="U28" s="29"/>
      <c r="V28" s="1159"/>
      <c r="W28" s="1160"/>
      <c r="X28" s="1161"/>
      <c r="Y28" s="1404"/>
      <c r="Z28" s="1458"/>
      <c r="AA28" s="180"/>
      <c r="AB28" s="1096"/>
      <c r="AC28" s="1097"/>
      <c r="AD28" s="1402"/>
      <c r="AE28" s="1400"/>
      <c r="AF28" s="180"/>
      <c r="AG28" s="1398"/>
      <c r="AH28" s="1454"/>
      <c r="AI28" s="1448"/>
      <c r="AJ28" s="422"/>
      <c r="AK28" s="422"/>
      <c r="AL28" s="1201"/>
      <c r="AM28" s="1455"/>
      <c r="AN28" s="1456"/>
      <c r="AO28" s="1119"/>
      <c r="AP28" s="1515"/>
      <c r="AQ28" s="565"/>
      <c r="AR28" s="565"/>
      <c r="AS28" s="1223"/>
      <c r="AT28" s="1223"/>
      <c r="AU28" s="1223"/>
      <c r="AV28" s="1063"/>
      <c r="AW28" s="1064"/>
      <c r="AX28" s="180"/>
      <c r="AY28" s="1115"/>
      <c r="AZ28" s="1121"/>
      <c r="BA28" s="1119"/>
      <c r="BB28" s="1117"/>
      <c r="BC28" s="1060"/>
      <c r="BD28" s="1063"/>
      <c r="BE28" s="1064"/>
      <c r="BF28" s="350"/>
    </row>
    <row r="29" spans="1:58" ht="25.15" customHeight="1" thickTop="1" thickBot="1" x14ac:dyDescent="0.4">
      <c r="A29" s="1384"/>
      <c r="B29" s="1298" t="s">
        <v>105</v>
      </c>
      <c r="C29" s="1058"/>
      <c r="D29" s="156"/>
      <c r="E29" s="208"/>
      <c r="F29" s="209"/>
      <c r="G29" s="1265" t="str">
        <f>IF(B3="4x2",(G30+N30),"")</f>
        <v/>
      </c>
      <c r="H29" s="1266"/>
      <c r="I29" s="1266"/>
      <c r="J29" s="1266"/>
      <c r="K29" s="1266"/>
      <c r="L29" s="1266"/>
      <c r="M29" s="1266"/>
      <c r="N29" s="1266"/>
      <c r="O29" s="1266"/>
      <c r="P29" s="1267"/>
      <c r="Q29" s="116"/>
      <c r="R29" s="194"/>
      <c r="S29" s="1331"/>
      <c r="T29" s="22"/>
      <c r="U29" s="29"/>
      <c r="V29" s="1090" t="s">
        <v>392</v>
      </c>
      <c r="W29" s="1091"/>
      <c r="X29" s="1092"/>
      <c r="Y29" s="1463" t="str">
        <f>VLOOKUP(V29,Données_SB_Mâle!$A$2:$Q$28,3,FALSE)</f>
        <v>KW 1A252</v>
      </c>
      <c r="Z29" s="1278" t="str">
        <f>VLOOKUP(V29,Données_SB_Mâle!$A$2:$Q$28,6,FALSE)</f>
        <v>F 0841 B 711 844 A01</v>
      </c>
      <c r="AA29" s="180"/>
      <c r="AB29" s="1167" t="s">
        <v>83</v>
      </c>
      <c r="AC29" s="1169"/>
      <c r="AD29" s="149">
        <f>Y31/AD27</f>
        <v>43181.818181818184</v>
      </c>
      <c r="AE29" s="397" t="s">
        <v>58</v>
      </c>
      <c r="AF29" s="180"/>
      <c r="AG29" s="421"/>
      <c r="AH29" s="421"/>
      <c r="AI29" s="421"/>
      <c r="AJ29" s="423"/>
      <c r="AK29" s="395"/>
      <c r="AL29" s="1201"/>
      <c r="AM29" s="1199" t="str">
        <f>"Si le PMG annoncé est de "&amp;AH33&amp;" on a :"</f>
        <v>Si le PMG annoncé est de 220 on a :</v>
      </c>
      <c r="AN29" s="1200"/>
      <c r="AO29" s="164">
        <f>$AO$27*AH34/$AH$30</f>
        <v>454545.45454545459</v>
      </c>
      <c r="AP29" s="562" t="s">
        <v>10</v>
      </c>
      <c r="AQ29" s="563"/>
      <c r="AR29" s="569"/>
      <c r="AS29" s="1221" t="str">
        <f>"Si le PMG mesuré est de "&amp;AI33&amp;" on a :"</f>
        <v>Si le PMG mesuré est de 0 on a :</v>
      </c>
      <c r="AT29" s="1221"/>
      <c r="AU29" s="1221"/>
      <c r="AV29" s="164" t="str">
        <f>IF(AI33=0,"",$AO$27*AI34/$AH$30)</f>
        <v/>
      </c>
      <c r="AW29" s="561" t="s">
        <v>10</v>
      </c>
      <c r="AX29" s="180"/>
      <c r="AY29" s="1115"/>
      <c r="AZ29" s="558" t="str">
        <f>"Si le PMG annoncé est de "&amp;AH33&amp;" on a :"</f>
        <v>Si le PMG annoncé est de 220 on a :</v>
      </c>
      <c r="BA29" s="164">
        <f>$BA$27*AH34/$AH$30</f>
        <v>52910.052910052902</v>
      </c>
      <c r="BB29" s="411" t="s">
        <v>10</v>
      </c>
      <c r="BC29" s="560" t="str">
        <f>"Si le PMG mesuré est de "&amp;AI33&amp;" on a :"</f>
        <v>Si le PMG mesuré est de 0 on a :</v>
      </c>
      <c r="BD29" s="164" t="str">
        <f>IF(AI33=0,"",$BA$27*AI34/$AH$30)</f>
        <v/>
      </c>
      <c r="BE29" s="169" t="s">
        <v>10</v>
      </c>
      <c r="BF29" s="350"/>
    </row>
    <row r="30" spans="1:58" ht="25.15" customHeight="1" thickTop="1" thickBot="1" x14ac:dyDescent="0.3">
      <c r="A30" s="1384"/>
      <c r="B30" s="1298"/>
      <c r="C30" s="1058"/>
      <c r="D30" s="156"/>
      <c r="E30" s="1250" t="str">
        <f>IF(B3="4x2","Part au champ","")</f>
        <v/>
      </c>
      <c r="F30" s="1250"/>
      <c r="G30" s="1251" t="str">
        <f>IF(B3="4x2",(G32+H32+I32+K32),"")</f>
        <v/>
      </c>
      <c r="H30" s="1252"/>
      <c r="I30" s="1252"/>
      <c r="J30" s="1252"/>
      <c r="K30" s="1252"/>
      <c r="L30" s="1252"/>
      <c r="M30" s="1253"/>
      <c r="N30" s="1262" t="str">
        <f>IF(B3="4x2",(O32+N32),"")</f>
        <v/>
      </c>
      <c r="O30" s="1263"/>
      <c r="P30" s="1264"/>
      <c r="Q30" s="22"/>
      <c r="R30" s="22"/>
      <c r="S30" s="1331"/>
      <c r="T30" s="22"/>
      <c r="U30" s="29"/>
      <c r="V30" s="1093"/>
      <c r="W30" s="1094"/>
      <c r="X30" s="1095"/>
      <c r="Y30" s="1463"/>
      <c r="Z30" s="1279"/>
      <c r="AA30" s="180"/>
      <c r="AB30" s="1188" t="s">
        <v>73</v>
      </c>
      <c r="AC30" s="1189"/>
      <c r="AD30" s="1192">
        <v>0</v>
      </c>
      <c r="AE30" s="1193"/>
      <c r="AF30" s="180"/>
      <c r="AG30" s="489" t="s">
        <v>88</v>
      </c>
      <c r="AH30" s="1461">
        <f>IF(V29="Aga gold / Bavanta",25,
IF(V29="4x2 Ajowan",25,
IF(V29="Bayrossa / Mojagger",25,
20)))</f>
        <v>20</v>
      </c>
      <c r="AI30" s="1462"/>
      <c r="AJ30" s="146" t="s">
        <v>9</v>
      </c>
      <c r="AK30" s="395"/>
      <c r="AL30" s="1201"/>
      <c r="AM30" s="1190" t="s">
        <v>99</v>
      </c>
      <c r="AN30" s="1191"/>
      <c r="AO30" s="389">
        <f>(AO29*$AD$27)/1000</f>
        <v>400.00000000000006</v>
      </c>
      <c r="AP30" s="525" t="s">
        <v>189</v>
      </c>
      <c r="AQ30" s="567"/>
      <c r="AR30" s="565"/>
      <c r="AS30" s="1191" t="s">
        <v>99</v>
      </c>
      <c r="AT30" s="1191"/>
      <c r="AU30" s="1191"/>
      <c r="AV30" s="389" t="str">
        <f>IF(AI33=0,"",(AV29*$AD$27)/1000)</f>
        <v/>
      </c>
      <c r="AW30" s="198" t="s">
        <v>189</v>
      </c>
      <c r="AX30" s="180"/>
      <c r="AY30" s="1115"/>
      <c r="AZ30" s="517" t="s">
        <v>99</v>
      </c>
      <c r="BA30" s="388">
        <f>(BA29*$AD$27)/1000</f>
        <v>46.560846560846556</v>
      </c>
      <c r="BB30" s="525" t="s">
        <v>189</v>
      </c>
      <c r="BC30" s="624" t="s">
        <v>99</v>
      </c>
      <c r="BD30" s="388" t="str">
        <f>IF(AI33=0,"",(BD29*$AD$27)/1000)</f>
        <v/>
      </c>
      <c r="BE30" s="539" t="s">
        <v>189</v>
      </c>
      <c r="BF30" s="350"/>
    </row>
    <row r="31" spans="1:58" ht="25.15" customHeight="1" thickTop="1" thickBot="1" x14ac:dyDescent="0.3">
      <c r="A31" s="1384"/>
      <c r="B31" s="1298"/>
      <c r="C31" s="1058"/>
      <c r="D31" s="156"/>
      <c r="E31" s="1250"/>
      <c r="F31" s="1250"/>
      <c r="G31" s="1254" t="str">
        <f>IF(B3="4x2",(G30/G29),"")</f>
        <v/>
      </c>
      <c r="H31" s="1255"/>
      <c r="I31" s="1255"/>
      <c r="J31" s="1255"/>
      <c r="K31" s="1255"/>
      <c r="L31" s="1255"/>
      <c r="M31" s="1256"/>
      <c r="N31" s="1310" t="str">
        <f>IF(B3="4x2",(N30/G29),"")</f>
        <v/>
      </c>
      <c r="O31" s="1311"/>
      <c r="P31" s="1312"/>
      <c r="Q31" s="22"/>
      <c r="R31" s="22"/>
      <c r="S31" s="1331"/>
      <c r="T31" s="22"/>
      <c r="U31" s="29"/>
      <c r="V31" s="1096" t="str">
        <f>IF(B3="2x2","Densité objectif Obtenteur pour les 3 mâles",
IF(B3="4x3","Densité objectif Obtenteur pour les 3 mâles",
IF(B3="6x3","Densité objectif Obtenteur pour les 3 mâles",
IF(B3="4x2","Densité objectif Obtenteur pour les 2 mâles",
IF(B3="6x2","Densité objectif Obtenteur pour les 2 mâles",0)))))</f>
        <v>Densité objectif Obtenteur pour les 3 mâles</v>
      </c>
      <c r="W31" s="1097"/>
      <c r="X31" s="1098"/>
      <c r="Y31" s="651">
        <f>VLOOKUP(V29,Données_SB_Mâle!$A$2:$Q$28,13,FALSE)</f>
        <v>38000</v>
      </c>
      <c r="Z31" s="5" t="s">
        <v>7</v>
      </c>
      <c r="AA31" s="180"/>
      <c r="AB31" s="187"/>
      <c r="AC31" s="187"/>
      <c r="AD31" s="187"/>
      <c r="AE31" s="187"/>
      <c r="AF31" s="493"/>
      <c r="AG31" s="456" t="s">
        <v>86</v>
      </c>
      <c r="AH31" s="1459">
        <f>AD37*Y35</f>
        <v>43181.818181818184</v>
      </c>
      <c r="AI31" s="1460"/>
      <c r="AJ31" s="69" t="s">
        <v>55</v>
      </c>
      <c r="AK31" s="394"/>
      <c r="AL31" s="1201"/>
      <c r="AM31" s="1208" t="s">
        <v>166</v>
      </c>
      <c r="AN31" s="1209"/>
      <c r="AO31" s="196"/>
      <c r="AP31" s="196"/>
      <c r="AQ31" s="564"/>
      <c r="AR31" s="342"/>
      <c r="AS31" s="1150" t="s">
        <v>166</v>
      </c>
      <c r="AT31" s="1150"/>
      <c r="AU31" s="1150"/>
      <c r="AV31" s="196"/>
      <c r="AW31" s="197"/>
      <c r="AX31" s="180"/>
      <c r="AY31" s="1115"/>
      <c r="AZ31" s="518" t="s">
        <v>258</v>
      </c>
      <c r="BA31" s="226">
        <f>AH27</f>
        <v>5</v>
      </c>
      <c r="BB31" s="623" t="s">
        <v>4</v>
      </c>
      <c r="BC31" s="625" t="s">
        <v>258</v>
      </c>
      <c r="BD31" s="226">
        <f>AH27</f>
        <v>5</v>
      </c>
      <c r="BE31" s="225" t="s">
        <v>4</v>
      </c>
      <c r="BF31" s="350"/>
    </row>
    <row r="32" spans="1:58" ht="21" customHeight="1" thickTop="1" thickBot="1" x14ac:dyDescent="0.3">
      <c r="A32" s="1384"/>
      <c r="B32" s="1298"/>
      <c r="C32" s="1058"/>
      <c r="D32" s="156"/>
      <c r="E32" s="1250"/>
      <c r="F32" s="1250"/>
      <c r="G32" s="1299" t="str">
        <f>IF(B3="4x2",K3,"")</f>
        <v/>
      </c>
      <c r="H32" s="1299" t="str">
        <f>IF(B3="4x2",K3,"")</f>
        <v/>
      </c>
      <c r="I32" s="1391" t="str">
        <f>IF(B3="4x2",K3,"")</f>
        <v/>
      </c>
      <c r="J32" s="1392"/>
      <c r="K32" s="1309" t="str">
        <f>IF(B3="4x2",Q3/3,"")</f>
        <v/>
      </c>
      <c r="L32" s="1393"/>
      <c r="M32" s="1393"/>
      <c r="N32" s="1394" t="str">
        <f>IF(B3="4x2",Q3/3,"")</f>
        <v/>
      </c>
      <c r="O32" s="1393" t="str">
        <f>IF(B3="4x2",Q3/3,"")</f>
        <v/>
      </c>
      <c r="P32" s="1313"/>
      <c r="Q32" s="22"/>
      <c r="R32" s="22"/>
      <c r="S32" s="1331"/>
      <c r="T32" s="25"/>
      <c r="U32" s="29"/>
      <c r="V32" s="1099" t="s">
        <v>294</v>
      </c>
      <c r="W32" s="1100"/>
      <c r="X32" s="1101"/>
      <c r="Y32" s="231">
        <f>IF(B3="2x2",N15,
IF(B3="4x3",L27,
IF(B3="4x2",N37,
IF(B3="6x2",N58,
IF(B3="6x3",L48,0)))))</f>
        <v>0.66666666666666663</v>
      </c>
      <c r="Z32" s="120"/>
      <c r="AA32" s="1271" t="s">
        <v>96</v>
      </c>
      <c r="AB32" s="1280" t="s">
        <v>201</v>
      </c>
      <c r="AC32" s="1281"/>
      <c r="AD32" s="192">
        <f>1000000/(AD34*Y34)</f>
        <v>20.584795321637426</v>
      </c>
      <c r="AE32" s="193" t="s">
        <v>5</v>
      </c>
      <c r="AF32" s="1274" t="s">
        <v>96</v>
      </c>
      <c r="AG32" s="115" t="s">
        <v>259</v>
      </c>
      <c r="AH32" s="1113">
        <f>AH31*AH27</f>
        <v>215909.09090909091</v>
      </c>
      <c r="AI32" s="1114"/>
      <c r="AJ32" s="70" t="s">
        <v>56</v>
      </c>
      <c r="AK32" s="394"/>
      <c r="AL32" s="1201"/>
      <c r="AM32" s="1210"/>
      <c r="AN32" s="1151"/>
      <c r="AO32" s="645">
        <f>Y41</f>
        <v>19</v>
      </c>
      <c r="AP32" s="673" t="s">
        <v>5</v>
      </c>
      <c r="AQ32" s="567"/>
      <c r="AR32" s="565"/>
      <c r="AS32" s="1151"/>
      <c r="AT32" s="1151"/>
      <c r="AU32" s="1151"/>
      <c r="AV32" s="645">
        <f>AO32</f>
        <v>19</v>
      </c>
      <c r="AW32" s="675" t="s">
        <v>5</v>
      </c>
      <c r="AX32" s="180"/>
      <c r="AY32" s="1115"/>
      <c r="AZ32" s="1071" t="str">
        <f>IF(B3="2x2","l'agriculteur pourra semer le ♂1 seul ou le ♂3 seul à :",
IF(B3="4x2","l'agriculteur pourra semer 1 des 2 mâles à un espacement entre graines théorique de :",
IF(B3="6x2","l'agriculteur pourra semer 1 des 2 mâles à un espacement entre graines théorique de :",
"l'agriculteur pourra semer 1 des 3 mâles à un espacement entre graines théorique de :")))</f>
        <v>l'agriculteur pourra semer le ♂1 seul ou le ♂3 seul à :</v>
      </c>
      <c r="BA32" s="1077">
        <f>IF($BA$27=0,"0",
IF(B3="2x2",(1000000/((((BA29/BA31)*4)/$Y$35)*$Y$37)),
IF(B3="4x2",(1000000/((((BA29/BA31)*2)/$Y$35)*$Y$37)),
IF(B3="6x2",(1000000/((((BA29/BA31)*2)/$Y$35)*$Y$37)),
IF(B3="6x3",(1000000/((((BA29/BA31)*3)/$Y$35)*$Y$37)),
IF(B3="4x3",(1000000/((((BA29/BA31)*3)/$Y$35)*$Y$37)),
0))))))</f>
        <v>21.000000000000004</v>
      </c>
      <c r="BB32" s="1082" t="s">
        <v>5</v>
      </c>
      <c r="BC32" s="1067" t="str">
        <f>IF(E3="2x2","l'agriculteur pourra semer le ♂1 seul ou le ♂3 seul à :",
IF(E3="4x2","l'agriculteur pourra semer 1 des 2 mâles à un espacement entre graines théorique de :",
IF(E3="6x2","l'agriculteur pourra semer 1 des 2 mâles à un espacement entre graines théorique de :",
"l'agriculteur pourra semer 1 des 3 mâles à un espacement entre graines théorique de :")))</f>
        <v>l'agriculteur pourra semer 1 des 3 mâles à un espacement entre graines théorique de :</v>
      </c>
      <c r="BD32" s="1077" t="str">
        <f>IF(AI33=0,"",
IF($BA$27=0,"0",
IF($B$3="2x2",(1000000/((((BD29/BD31)*4)/$Y$35)*$Y$37)),
IF($B$3="4x2",(1000000/((((BD29/BD31)*2)/$Y$35)*$Y$37)),
IF($B$3="6x2",(1000000/((((BD29/BD31)*2)/$Y$35)*$Y$37)),
IF($B$3="6x3",(1000000/((((BD29/BD31)*3)/$Y$35)*$Y$37)),
IF($B$3="4x3",(1000000/((((BD29/BD31)*3)/$Y$35)*$Y$37)),
0)))))))</f>
        <v/>
      </c>
      <c r="BE32" s="1075" t="s">
        <v>5</v>
      </c>
      <c r="BF32" s="350"/>
    </row>
    <row r="33" spans="1:58" ht="25.15" customHeight="1" thickBot="1" x14ac:dyDescent="0.3">
      <c r="A33" s="1384"/>
      <c r="B33" s="1298"/>
      <c r="C33" s="1058"/>
      <c r="D33" s="156"/>
      <c r="E33" s="1250"/>
      <c r="F33" s="1250"/>
      <c r="G33" s="1299"/>
      <c r="H33" s="1299"/>
      <c r="I33" s="1391"/>
      <c r="J33" s="1392"/>
      <c r="K33" s="1309"/>
      <c r="L33" s="1393"/>
      <c r="M33" s="1393"/>
      <c r="N33" s="1394"/>
      <c r="O33" s="1393"/>
      <c r="P33" s="1313"/>
      <c r="Q33" s="22"/>
      <c r="R33" s="22"/>
      <c r="S33" s="1331"/>
      <c r="T33" s="25"/>
      <c r="U33" s="29"/>
      <c r="V33" s="1102" t="s">
        <v>90</v>
      </c>
      <c r="W33" s="1103"/>
      <c r="X33" s="1104"/>
      <c r="Y33" s="63">
        <f>Y31/Y32</f>
        <v>57000</v>
      </c>
      <c r="Z33" s="5" t="s">
        <v>7</v>
      </c>
      <c r="AA33" s="1272"/>
      <c r="AB33" s="1291" t="s">
        <v>127</v>
      </c>
      <c r="AC33" s="1292"/>
      <c r="AD33" s="413">
        <f>AD29/(1-AD30)</f>
        <v>43181.818181818184</v>
      </c>
      <c r="AE33" s="414" t="s">
        <v>58</v>
      </c>
      <c r="AF33" s="1275"/>
      <c r="AG33" s="428" t="s">
        <v>349</v>
      </c>
      <c r="AH33" s="549">
        <f>VLOOKUP($V$29,Données_SB_Mâle!$A$2:$Q$28,10,FALSE)</f>
        <v>220</v>
      </c>
      <c r="AI33" s="551">
        <f>VLOOKUP($V$29,Données_SB_Mâle!$A$2:$Q$28,15,FALSE)</f>
        <v>0</v>
      </c>
      <c r="AJ33" s="503" t="s">
        <v>275</v>
      </c>
      <c r="AK33" s="582"/>
      <c r="AL33" s="1201"/>
      <c r="AM33" s="1208" t="s">
        <v>167</v>
      </c>
      <c r="AN33" s="1209"/>
      <c r="AO33" s="342"/>
      <c r="AP33" s="674"/>
      <c r="AQ33" s="564"/>
      <c r="AR33" s="342"/>
      <c r="AS33" s="1150" t="s">
        <v>167</v>
      </c>
      <c r="AT33" s="1150"/>
      <c r="AU33" s="1150"/>
      <c r="AV33" s="342"/>
      <c r="AW33" s="676"/>
      <c r="AX33" s="180"/>
      <c r="AY33" s="1115"/>
      <c r="AZ33" s="1072"/>
      <c r="BA33" s="1078"/>
      <c r="BB33" s="1083"/>
      <c r="BC33" s="1068"/>
      <c r="BD33" s="1078"/>
      <c r="BE33" s="1076"/>
      <c r="BF33" s="350"/>
    </row>
    <row r="34" spans="1:58" ht="25.15" customHeight="1" thickTop="1" thickBot="1" x14ac:dyDescent="0.3">
      <c r="A34" s="1384"/>
      <c r="B34" s="1298"/>
      <c r="C34" s="1058"/>
      <c r="D34" s="156"/>
      <c r="E34" s="1250" t="str">
        <f>IF(B3="4x2","Théorique semoir","")</f>
        <v/>
      </c>
      <c r="F34" s="1250"/>
      <c r="G34" s="1240" t="str">
        <f>IF(B3="4x2",K3,"")</f>
        <v/>
      </c>
      <c r="H34" s="1240" t="str">
        <f>IF(B3="4x2",K3,"")</f>
        <v/>
      </c>
      <c r="I34" s="1245" t="str">
        <f>IF(B3="4x2",K3,"")</f>
        <v/>
      </c>
      <c r="J34" s="1246"/>
      <c r="K34" s="1245" t="str">
        <f>IF(B3="4x2",K3,"")</f>
        <v/>
      </c>
      <c r="L34" s="1243"/>
      <c r="M34" s="1244"/>
      <c r="N34" s="1242" t="str">
        <f>IF(B3="4x2",K3,"")</f>
        <v/>
      </c>
      <c r="O34" s="1243"/>
      <c r="P34" s="1244"/>
      <c r="Q34" s="1241" t="str">
        <f>IF(B3="4x2",K3,"")</f>
        <v/>
      </c>
      <c r="R34" s="22"/>
      <c r="S34" s="1331"/>
      <c r="T34" s="133"/>
      <c r="U34" s="29"/>
      <c r="V34" s="1288" t="s">
        <v>80</v>
      </c>
      <c r="W34" s="1289"/>
      <c r="X34" s="1290"/>
      <c r="Y34" s="450">
        <f>K3</f>
        <v>0.75</v>
      </c>
      <c r="Z34" s="451" t="s">
        <v>57</v>
      </c>
      <c r="AA34" s="1273"/>
      <c r="AB34" s="1293" t="s">
        <v>90</v>
      </c>
      <c r="AC34" s="1294"/>
      <c r="AD34" s="479">
        <f>AD33/Y32</f>
        <v>64772.727272727279</v>
      </c>
      <c r="AE34" s="397" t="s">
        <v>58</v>
      </c>
      <c r="AF34" s="1275"/>
      <c r="AG34" s="148" t="s">
        <v>8</v>
      </c>
      <c r="AH34" s="424">
        <f>(1000*($AH$30*1000))/AH33</f>
        <v>90909.090909090912</v>
      </c>
      <c r="AI34" s="445" t="str">
        <f>IF(AD39=0,"",(1000*($AH$30*1000))/AI33)</f>
        <v/>
      </c>
      <c r="AJ34" s="404" t="s">
        <v>87</v>
      </c>
      <c r="AK34" s="394"/>
      <c r="AL34" s="1201"/>
      <c r="AM34" s="1210"/>
      <c r="AN34" s="1151"/>
      <c r="AO34" s="645">
        <f>Y47</f>
        <v>20</v>
      </c>
      <c r="AP34" s="673" t="s">
        <v>5</v>
      </c>
      <c r="AQ34" s="567"/>
      <c r="AR34" s="565"/>
      <c r="AS34" s="1151"/>
      <c r="AT34" s="1151"/>
      <c r="AU34" s="1151"/>
      <c r="AV34" s="645">
        <f>AO34</f>
        <v>20</v>
      </c>
      <c r="AW34" s="675" t="s">
        <v>5</v>
      </c>
      <c r="AX34" s="180"/>
      <c r="AY34" s="1115"/>
      <c r="AZ34" s="1069" t="str">
        <f>IF(B3="2x2","ou bien il pourra semer le ♂2 seul à :","")</f>
        <v>ou bien il pourra semer le ♂2 seul à :</v>
      </c>
      <c r="BA34" s="1077">
        <f>IF($BA$27=0,"0",
IF($B$3="2x2",(1000000/((((BA29/BA31)*2)/$Y$35)*$Y$37)),
""))</f>
        <v>42.000000000000007</v>
      </c>
      <c r="BB34" s="1080" t="str">
        <f>IF(B3="2x2","cm","")</f>
        <v>cm</v>
      </c>
      <c r="BC34" s="1065" t="str">
        <f>IF(B3="2x2","ou bien il pourra semer le ♂2 seul à :","")</f>
        <v>ou bien il pourra semer le ♂2 seul à :</v>
      </c>
      <c r="BD34" s="1077" t="str">
        <f>IF(AI39=0,"",
IF($BA$27=0,"0",
IF($B$3="2x2",(1000000/((((BD29/BD31)*2)/$Y$35)*$Y$37)),
"")))</f>
        <v/>
      </c>
      <c r="BE34" s="1073" t="str">
        <f>IF(B3="2x2","cm","")</f>
        <v>cm</v>
      </c>
      <c r="BF34" s="350"/>
    </row>
    <row r="35" spans="1:58" ht="25.15" customHeight="1" thickBot="1" x14ac:dyDescent="0.3">
      <c r="A35" s="1384"/>
      <c r="B35" s="1298"/>
      <c r="C35" s="1058"/>
      <c r="D35" s="156"/>
      <c r="E35" s="1250"/>
      <c r="F35" s="1250"/>
      <c r="G35" s="1240"/>
      <c r="H35" s="1240"/>
      <c r="I35" s="1245"/>
      <c r="J35" s="1246"/>
      <c r="K35" s="1245"/>
      <c r="L35" s="1243"/>
      <c r="M35" s="1244"/>
      <c r="N35" s="1242"/>
      <c r="O35" s="1243"/>
      <c r="P35" s="1244"/>
      <c r="Q35" s="1241"/>
      <c r="R35" s="25"/>
      <c r="S35" s="1331"/>
      <c r="T35" s="61"/>
      <c r="U35" s="29"/>
      <c r="V35" s="1282" t="s">
        <v>295</v>
      </c>
      <c r="W35" s="1283"/>
      <c r="X35" s="1284"/>
      <c r="Y35" s="121">
        <f>IF(B3="2x2",M9,
IF(B3="4x3",K20,
IF(B3="4x2",N31,
IF(B3="6x2",M52,
IF(B3="6x3",K42,0)))))</f>
        <v>0.44444444444444442</v>
      </c>
      <c r="Z35" s="68"/>
      <c r="AA35" s="1271" t="s">
        <v>96</v>
      </c>
      <c r="AB35" s="1280" t="s">
        <v>201</v>
      </c>
      <c r="AC35" s="1281"/>
      <c r="AD35" s="192">
        <f>1000000/(AD37*Y37)</f>
        <v>20.584795321637426</v>
      </c>
      <c r="AE35" s="193" t="s">
        <v>5</v>
      </c>
      <c r="AF35" s="1275"/>
      <c r="AG35" s="1445" t="s">
        <v>345</v>
      </c>
      <c r="AH35" s="1443">
        <f>AH32/AH34</f>
        <v>2.375</v>
      </c>
      <c r="AI35" s="1206" t="str">
        <f>IF(AD39=0,"",AH32/AI34)</f>
        <v/>
      </c>
      <c r="AJ35" s="1441" t="str">
        <f>IF(AH35&lt;1,"sac","sacs")</f>
        <v>sacs</v>
      </c>
      <c r="AK35" s="583"/>
      <c r="AL35" s="1201"/>
      <c r="AM35" s="1208" t="s">
        <v>168</v>
      </c>
      <c r="AN35" s="1209"/>
      <c r="AO35" s="342"/>
      <c r="AP35" s="196"/>
      <c r="AQ35" s="564"/>
      <c r="AR35" s="342"/>
      <c r="AS35" s="1150" t="s">
        <v>168</v>
      </c>
      <c r="AT35" s="1150"/>
      <c r="AU35" s="1150"/>
      <c r="AV35" s="342"/>
      <c r="AW35" s="197"/>
      <c r="AX35" s="180"/>
      <c r="AY35" s="1115"/>
      <c r="AZ35" s="1070"/>
      <c r="BA35" s="1079"/>
      <c r="BB35" s="1081"/>
      <c r="BC35" s="1066"/>
      <c r="BD35" s="1079"/>
      <c r="BE35" s="1074"/>
      <c r="BF35" s="350"/>
    </row>
    <row r="36" spans="1:58" ht="25.15" customHeight="1" thickTop="1" thickBot="1" x14ac:dyDescent="0.3">
      <c r="A36" s="1384"/>
      <c r="B36" s="1298"/>
      <c r="C36" s="1058"/>
      <c r="D36" s="156"/>
      <c r="E36" s="1250"/>
      <c r="F36" s="1250"/>
      <c r="G36" s="1362" t="str">
        <f>IF(B3="4x2",(G34+H34+I34+K34),"")</f>
        <v/>
      </c>
      <c r="H36" s="1363"/>
      <c r="I36" s="1363"/>
      <c r="J36" s="1363"/>
      <c r="K36" s="1363"/>
      <c r="L36" s="1363"/>
      <c r="M36" s="1364"/>
      <c r="N36" s="1359" t="str">
        <f>IF(B3="4x2",(N34+Q34),"")</f>
        <v/>
      </c>
      <c r="O36" s="1360"/>
      <c r="P36" s="1360"/>
      <c r="Q36" s="1361"/>
      <c r="R36" s="194"/>
      <c r="S36" s="1331"/>
      <c r="T36" s="26"/>
      <c r="U36" s="29"/>
      <c r="V36" s="1102" t="s">
        <v>91</v>
      </c>
      <c r="W36" s="1103"/>
      <c r="X36" s="1104"/>
      <c r="Y36" s="119">
        <f>Y31/Y35</f>
        <v>85500</v>
      </c>
      <c r="Z36" s="6" t="s">
        <v>7</v>
      </c>
      <c r="AA36" s="1272"/>
      <c r="AB36" s="1291" t="s">
        <v>127</v>
      </c>
      <c r="AC36" s="1292"/>
      <c r="AD36" s="413">
        <f>AD29/(1-AD30)</f>
        <v>43181.818181818184</v>
      </c>
      <c r="AE36" s="414" t="s">
        <v>58</v>
      </c>
      <c r="AF36" s="1275"/>
      <c r="AG36" s="1446"/>
      <c r="AH36" s="1444"/>
      <c r="AI36" s="1207"/>
      <c r="AJ36" s="1442"/>
      <c r="AK36" s="583"/>
      <c r="AL36" s="1201"/>
      <c r="AM36" s="1210"/>
      <c r="AN36" s="1151"/>
      <c r="AO36" s="645">
        <f>Y53</f>
        <v>21</v>
      </c>
      <c r="AP36" s="673" t="s">
        <v>5</v>
      </c>
      <c r="AQ36" s="567"/>
      <c r="AR36" s="565"/>
      <c r="AS36" s="1151"/>
      <c r="AT36" s="1151"/>
      <c r="AU36" s="1151"/>
      <c r="AV36" s="645">
        <f>AO36</f>
        <v>21</v>
      </c>
      <c r="AW36" s="675" t="s">
        <v>5</v>
      </c>
      <c r="AX36" s="180"/>
      <c r="AY36" s="570"/>
      <c r="AZ36" s="626" t="s">
        <v>178</v>
      </c>
      <c r="BA36" s="627"/>
      <c r="BB36" s="627"/>
      <c r="BC36" s="627"/>
      <c r="BD36" s="627"/>
      <c r="BE36" s="628"/>
      <c r="BF36" s="350"/>
    </row>
    <row r="37" spans="1:58" ht="25.15" customHeight="1" thickBot="1" x14ac:dyDescent="0.3">
      <c r="A37" s="1384"/>
      <c r="B37" s="1298"/>
      <c r="C37" s="1058"/>
      <c r="D37" s="156"/>
      <c r="E37" s="1250"/>
      <c r="F37" s="1250"/>
      <c r="G37" s="1254" t="str">
        <f>IF(B3="4x2",(G36/G29),"")</f>
        <v/>
      </c>
      <c r="H37" s="1255"/>
      <c r="I37" s="1255"/>
      <c r="J37" s="1255"/>
      <c r="K37" s="1255"/>
      <c r="L37" s="1255"/>
      <c r="M37" s="1256"/>
      <c r="N37" s="1356" t="str">
        <f>IF(B3="4x2",(N36/G29),"")</f>
        <v/>
      </c>
      <c r="O37" s="1357"/>
      <c r="P37" s="1357"/>
      <c r="Q37" s="1358"/>
      <c r="R37" s="66"/>
      <c r="S37" s="1331"/>
      <c r="T37" s="4"/>
      <c r="U37" s="29"/>
      <c r="V37" s="1285" t="s">
        <v>79</v>
      </c>
      <c r="W37" s="1286"/>
      <c r="X37" s="1287"/>
      <c r="Y37" s="123">
        <f>IF(B3="2x2",M8/H3,
IF(B3="4x3",K19/H3,
IF(B3="4x2",N30/H3,
IF(B3="6x2",M51/H3,
IF(B3="6x3",K41/H3,0)))))</f>
        <v>0.5</v>
      </c>
      <c r="Z37" s="64" t="s">
        <v>57</v>
      </c>
      <c r="AA37" s="1273"/>
      <c r="AB37" s="1293" t="s">
        <v>91</v>
      </c>
      <c r="AC37" s="1294"/>
      <c r="AD37" s="480">
        <f>AD36/Y35</f>
        <v>97159.090909090912</v>
      </c>
      <c r="AE37" s="481" t="s">
        <v>58</v>
      </c>
      <c r="AF37" s="1276"/>
      <c r="AG37" s="462" t="s">
        <v>13</v>
      </c>
      <c r="AH37" s="406">
        <f>AH35*AH30</f>
        <v>47.5</v>
      </c>
      <c r="AI37" s="461" t="str">
        <f>IF(AD39=0,"",AI35*AH30)</f>
        <v/>
      </c>
      <c r="AJ37" s="391" t="s">
        <v>9</v>
      </c>
      <c r="AK37" s="396"/>
      <c r="AL37" s="1201"/>
      <c r="AM37" s="1204" t="s">
        <v>164</v>
      </c>
      <c r="AN37" s="1205"/>
      <c r="AO37" s="358">
        <f>IF($B$3="2x2",((AO29/((1000000/(AO32*$Y$37))*$Y$35))/4)+((AO29/((1000000/(AO34*$Y$37))*$Y$35))/2)+((AO29/((1000000/(AO36*$Y$37))*$Y$35))/4),
IF($B$3="4x2",((AO29/((1000000/(AO32*$Y$37))*$Y$35))+(AO29/((1000000/(AO34*$Y$37))*$Y$35)))/$H$3,
IF($B$3="6x2",((AO29/((1000000/(AO32*$Y$37))*$Y$35))+(AO29/((1000000/(AO34*$Y$37))*$Y$35)))/$H$3,
IF($B$3="4x3",((AO29/((1000000/(AO32*$Y$37))*$Y$35))+((AO29/((1000000/(AO34*$Y$37))*$Y$35))+((AO29/((1000000/(AO36*$Y$37))*$Y$35)))))/$H$3,
IF($B$3="6x3",((AO29/((1000000/(AO32*$Y$37))*$Y$35))+((AO29/((1000000/(AO34*$Y$37))*$Y$35))+((AO29/((1000000/(AO36*$Y$37))*$Y$35)))))/$H$3,
0)))))</f>
        <v>10.227272727272728</v>
      </c>
      <c r="AP37" s="572" t="s">
        <v>4</v>
      </c>
      <c r="AQ37" s="566"/>
      <c r="AR37" s="442"/>
      <c r="AS37" s="1149" t="s">
        <v>164</v>
      </c>
      <c r="AT37" s="1149"/>
      <c r="AU37" s="1149"/>
      <c r="AV37" s="358" t="str">
        <f>IF(AI33=0,"",
IF($B$3="2x2",((AV29/((1000000/(AV32*$Y$37))*$Y$35))/4)+((AV29/((1000000/(AV34*$Y$37))*$Y$35))/2)+((AV29/((1000000/(AV36*$Y$37))*$Y$35))/4),
IF($B$3="4x2",((AV29/((1000000/(AV32*$Y$37))*$Y$35))+(AV29/((1000000/(AV34*$Y$37))*$Y$35)))/$H$3,
IF($B$3="6x2",((AV29/((1000000/(AV32*$Y$37))*$Y$35))+(AV29/((1000000/(AV34*$Y$37))*$Y$35)))/$H$3,
IF($B$3="4x3",((AV29/((1000000/(AV32*$Y$37))*$Y$35))+((AV29/((1000000/(AV34*$Y$37))*$Y$35))+((AV29/((1000000/(AV36*$Y$37))*$Y$35)))))/$H$3,
IF($B$3="6x3",((AV29/((1000000/(AV32*$Y$37))*$Y$35))+((AV29/((1000000/(AV34*$Y$37))*$Y$35))+((AV29/((1000000/(AV36*$Y$37))*$Y$35)))))/$H$3,
0))))))</f>
        <v/>
      </c>
      <c r="AW37" s="571" t="s">
        <v>4</v>
      </c>
      <c r="AX37" s="180"/>
      <c r="AY37" s="348"/>
      <c r="AZ37" s="629"/>
      <c r="BA37" s="630"/>
      <c r="BB37" s="630"/>
      <c r="BC37" s="630"/>
      <c r="BD37" s="630"/>
      <c r="BE37" s="631"/>
      <c r="BF37" s="350"/>
    </row>
    <row r="38" spans="1:58" ht="31.5" customHeight="1" thickBot="1" x14ac:dyDescent="0.3">
      <c r="A38" s="1384"/>
      <c r="B38" s="338"/>
      <c r="C38" s="156"/>
      <c r="D38" s="156"/>
      <c r="E38" s="339"/>
      <c r="F38" s="339"/>
      <c r="G38" s="126"/>
      <c r="H38" s="126"/>
      <c r="I38" s="126"/>
      <c r="J38" s="126"/>
      <c r="K38" s="126"/>
      <c r="L38" s="126"/>
      <c r="M38" s="126"/>
      <c r="N38" s="346"/>
      <c r="O38" s="346"/>
      <c r="P38" s="346"/>
      <c r="Q38" s="346"/>
      <c r="R38" s="66"/>
      <c r="S38" s="340"/>
      <c r="T38" s="4"/>
      <c r="U38" s="29"/>
      <c r="V38" s="29"/>
      <c r="W38" s="29"/>
      <c r="X38" s="180"/>
      <c r="Y38" s="180"/>
      <c r="Z38" s="180"/>
      <c r="AA38" s="180"/>
      <c r="AB38" s="180"/>
      <c r="AC38" s="180"/>
      <c r="AD38" s="180"/>
      <c r="AE38" s="180"/>
      <c r="AF38" s="180"/>
      <c r="AG38" s="341"/>
      <c r="AH38" s="180"/>
      <c r="AI38" s="180"/>
      <c r="AJ38" s="180"/>
      <c r="AK38" s="180"/>
      <c r="AL38" s="568"/>
      <c r="AM38" s="179"/>
      <c r="AN38" s="421"/>
      <c r="AO38" s="421"/>
      <c r="AP38" s="421"/>
      <c r="AQ38" s="180"/>
      <c r="AR38" s="421"/>
      <c r="AS38" s="421"/>
      <c r="AT38" s="421"/>
      <c r="AU38" s="421"/>
      <c r="AV38" s="421"/>
      <c r="AW38" s="421"/>
      <c r="AX38" s="180"/>
      <c r="AY38" s="348"/>
      <c r="AZ38" s="421"/>
      <c r="BA38" s="421"/>
      <c r="BB38" s="421"/>
      <c r="BC38" s="421"/>
      <c r="BD38" s="421"/>
      <c r="BE38" s="421"/>
      <c r="BF38" s="350"/>
    </row>
    <row r="39" spans="1:58" ht="25.35" customHeight="1" thickTop="1" thickBot="1" x14ac:dyDescent="0.3">
      <c r="A39" s="1384"/>
      <c r="B39" s="210"/>
      <c r="C39" s="207"/>
      <c r="D39" s="207"/>
      <c r="E39" s="207"/>
      <c r="F39" s="207"/>
      <c r="G39" s="207"/>
      <c r="H39" s="207"/>
      <c r="I39" s="207"/>
      <c r="J39" s="207"/>
      <c r="K39" s="207"/>
      <c r="L39" s="207"/>
      <c r="M39" s="207"/>
      <c r="N39" s="207"/>
      <c r="O39" s="207"/>
      <c r="P39" s="207"/>
      <c r="Q39" s="207"/>
      <c r="R39" s="207"/>
      <c r="S39" s="207"/>
      <c r="T39" s="62"/>
      <c r="U39" s="180"/>
      <c r="V39" s="180"/>
      <c r="W39" s="180"/>
      <c r="X39" s="180"/>
      <c r="Y39" s="180"/>
      <c r="Z39" s="180"/>
      <c r="AA39" s="180"/>
      <c r="AB39" s="428" t="s">
        <v>349</v>
      </c>
      <c r="AC39" s="549">
        <f>VLOOKUP($V$29,Données_SB_Mâle!$A$2:$Q$28,10,FALSE)</f>
        <v>220</v>
      </c>
      <c r="AD39" s="551">
        <f>VLOOKUP($V$29,Données_SB_Mâle!$A$2:$Q$28,15,FALSE)</f>
        <v>0</v>
      </c>
      <c r="AE39" s="503" t="s">
        <v>275</v>
      </c>
      <c r="AF39" s="180"/>
      <c r="AG39" s="428" t="s">
        <v>349</v>
      </c>
      <c r="AH39" s="550">
        <f>VLOOKUP($V$29,Données_SB_Mâle!$A$2:$Q$28,10,FALSE)</f>
        <v>220</v>
      </c>
      <c r="AI39" s="551">
        <f>VLOOKUP($V$29,Données_SB_Mâle!$A$2:$Q$28,15,FALSE)</f>
        <v>0</v>
      </c>
      <c r="AJ39" s="503" t="s">
        <v>275</v>
      </c>
      <c r="AK39" s="582"/>
      <c r="AL39" s="1194" t="s">
        <v>196</v>
      </c>
      <c r="AM39" s="1202" t="s">
        <v>291</v>
      </c>
      <c r="AN39" s="1203"/>
      <c r="AO39" s="649">
        <f>AN59</f>
        <v>30.105263157894736</v>
      </c>
      <c r="AP39" s="392" t="s">
        <v>9</v>
      </c>
      <c r="AQ39" s="412"/>
      <c r="AR39" s="412"/>
      <c r="AS39" s="1148" t="s">
        <v>100</v>
      </c>
      <c r="AT39" s="1148"/>
      <c r="AU39" s="1148"/>
      <c r="AV39" s="1141" t="str">
        <f>Z29</f>
        <v>F 0841 B 711 844 A01</v>
      </c>
      <c r="AW39" s="1142"/>
      <c r="AX39" s="180"/>
      <c r="AY39" s="180"/>
      <c r="AZ39" s="180"/>
      <c r="BA39" s="180"/>
      <c r="BB39" s="180"/>
      <c r="BC39" s="180"/>
      <c r="BD39" s="180"/>
      <c r="BE39" s="180"/>
      <c r="BF39" s="350"/>
    </row>
    <row r="40" spans="1:58" ht="25.15" customHeight="1" thickBot="1" x14ac:dyDescent="0.4">
      <c r="A40" s="1384"/>
      <c r="B40" s="1386" t="s">
        <v>15</v>
      </c>
      <c r="C40" s="154"/>
      <c r="D40" s="1265" t="str">
        <f>IF(B3="6x3",(D41+K41),"")</f>
        <v/>
      </c>
      <c r="E40" s="1266"/>
      <c r="F40" s="1266"/>
      <c r="G40" s="1266"/>
      <c r="H40" s="1266"/>
      <c r="I40" s="1266"/>
      <c r="J40" s="1266"/>
      <c r="K40" s="1266"/>
      <c r="L40" s="1266"/>
      <c r="M40" s="1266"/>
      <c r="N40" s="1266"/>
      <c r="O40" s="1266"/>
      <c r="P40" s="1267"/>
      <c r="Q40" s="76"/>
      <c r="R40" s="132"/>
      <c r="S40" s="1058"/>
      <c r="T40" s="59"/>
      <c r="U40" s="180"/>
      <c r="V40" s="1162" t="s">
        <v>94</v>
      </c>
      <c r="W40" s="1163"/>
      <c r="X40" s="1163"/>
      <c r="Y40" s="1164"/>
      <c r="Z40" s="1165"/>
      <c r="AA40" s="492"/>
      <c r="AB40" s="7" t="s">
        <v>260</v>
      </c>
      <c r="AC40" s="1105">
        <f>Y43*Y35</f>
        <v>11695.906432748538</v>
      </c>
      <c r="AD40" s="1106"/>
      <c r="AE40" s="145" t="s">
        <v>55</v>
      </c>
      <c r="AF40" s="827"/>
      <c r="AG40" s="410" t="s">
        <v>86</v>
      </c>
      <c r="AH40" s="1105">
        <f>IF(B3="6x2",
AC40+AC46,
IF(B3="4x2",
AC40+AC46,
AC40+AC46+AC52))</f>
        <v>44500.13923698134</v>
      </c>
      <c r="AI40" s="1106"/>
      <c r="AJ40" s="69" t="s">
        <v>55</v>
      </c>
      <c r="AK40" s="394"/>
      <c r="AL40" s="1194"/>
      <c r="AM40" s="1214" t="str">
        <f>"Si la surface semée est de "&amp;AH27&amp;" ha :"</f>
        <v>Si la surface semée est de 5 ha :</v>
      </c>
      <c r="AN40" s="1215"/>
      <c r="AO40" s="1215"/>
      <c r="AP40" s="1215"/>
      <c r="AQ40" s="1215"/>
      <c r="AR40" s="1215"/>
      <c r="AS40" s="1215"/>
      <c r="AT40" s="1215"/>
      <c r="AU40" s="1215"/>
      <c r="AV40" s="1215"/>
      <c r="AW40" s="1216"/>
      <c r="AX40" s="632"/>
      <c r="AY40" s="180"/>
      <c r="AZ40" s="180"/>
      <c r="BA40" s="180"/>
      <c r="BB40" s="180"/>
      <c r="BC40" s="180"/>
      <c r="BD40" s="180"/>
      <c r="BE40" s="180"/>
      <c r="BF40" s="350"/>
    </row>
    <row r="41" spans="1:58" ht="25.15" customHeight="1" thickTop="1" thickBot="1" x14ac:dyDescent="0.4">
      <c r="A41" s="1384"/>
      <c r="B41" s="1386"/>
      <c r="C41" s="1250" t="str">
        <f>IF(B3="6x3","Part au champ","")</f>
        <v/>
      </c>
      <c r="D41" s="1251" t="str">
        <f>IF(B3="6x3",(D43+E43+F43+G43+H43+I43),"")</f>
        <v/>
      </c>
      <c r="E41" s="1252"/>
      <c r="F41" s="1252"/>
      <c r="G41" s="1252"/>
      <c r="H41" s="1252"/>
      <c r="I41" s="1252"/>
      <c r="J41" s="1253"/>
      <c r="K41" s="1262" t="str">
        <f>IF(B3="6x3",(K43+M43+O43),"")</f>
        <v/>
      </c>
      <c r="L41" s="1263"/>
      <c r="M41" s="1263"/>
      <c r="N41" s="1263"/>
      <c r="O41" s="1263"/>
      <c r="P41" s="1264"/>
      <c r="Q41" s="26"/>
      <c r="R41" s="26"/>
      <c r="S41" s="1058"/>
      <c r="T41" s="59"/>
      <c r="U41" s="180"/>
      <c r="V41" s="1102" t="s">
        <v>82</v>
      </c>
      <c r="W41" s="1103"/>
      <c r="X41" s="1166"/>
      <c r="Y41" s="646">
        <v>19</v>
      </c>
      <c r="Z41" s="589" t="s">
        <v>5</v>
      </c>
      <c r="AA41" s="1268" t="s">
        <v>96</v>
      </c>
      <c r="AB41" s="28" t="s">
        <v>263</v>
      </c>
      <c r="AC41" s="1113">
        <f>AC40*$AH$27</f>
        <v>58479.53216374269</v>
      </c>
      <c r="AD41" s="1114"/>
      <c r="AE41" s="70" t="s">
        <v>56</v>
      </c>
      <c r="AF41" s="826"/>
      <c r="AG41" s="115" t="s">
        <v>259</v>
      </c>
      <c r="AH41" s="1113">
        <f>IF(B3="6x2",
AC41+AC47,
IF(B3="4x2",
AC41+AC47,
AC41+AC47+AC53))</f>
        <v>222500.6961849067</v>
      </c>
      <c r="AI41" s="1114"/>
      <c r="AJ41" s="70" t="s">
        <v>56</v>
      </c>
      <c r="AK41" s="394"/>
      <c r="AL41" s="1194"/>
      <c r="AM41" s="1211" t="str">
        <f>"avec un écartement moyen des rangs mâle de "&amp;ROUND(Y37,3)&amp;" m :"</f>
        <v>avec un écartement moyen des rangs mâle de 0,5 m :</v>
      </c>
      <c r="AN41" s="1212"/>
      <c r="AO41" s="1212"/>
      <c r="AP41" s="1212"/>
      <c r="AQ41" s="1212"/>
      <c r="AR41" s="1212"/>
      <c r="AS41" s="1212"/>
      <c r="AT41" s="1212"/>
      <c r="AU41" s="1212"/>
      <c r="AV41" s="1212"/>
      <c r="AW41" s="1213"/>
      <c r="AX41" s="637"/>
      <c r="AY41" s="180"/>
      <c r="AZ41" s="180"/>
      <c r="BA41" s="180"/>
      <c r="BB41" s="180"/>
      <c r="BC41" s="180"/>
      <c r="BD41" s="180"/>
      <c r="BE41" s="180"/>
      <c r="BF41" s="350"/>
    </row>
    <row r="42" spans="1:58" ht="25.15" customHeight="1" thickTop="1" thickBot="1" x14ac:dyDescent="0.3">
      <c r="A42" s="1384"/>
      <c r="B42" s="1386"/>
      <c r="C42" s="1250"/>
      <c r="D42" s="1254" t="str">
        <f>IF(B3="6x3",(D41/D40),"")</f>
        <v/>
      </c>
      <c r="E42" s="1255"/>
      <c r="F42" s="1255"/>
      <c r="G42" s="1255"/>
      <c r="H42" s="1255"/>
      <c r="I42" s="1255"/>
      <c r="J42" s="1256"/>
      <c r="K42" s="1237" t="str">
        <f>IF(B3="6x3",(K41/D40),"")</f>
        <v/>
      </c>
      <c r="L42" s="1238"/>
      <c r="M42" s="1238"/>
      <c r="N42" s="1238"/>
      <c r="O42" s="1238"/>
      <c r="P42" s="1239"/>
      <c r="Q42" s="4"/>
      <c r="R42" s="4"/>
      <c r="S42" s="1058"/>
      <c r="T42" s="59"/>
      <c r="U42" s="180"/>
      <c r="V42" s="1167" t="s">
        <v>278</v>
      </c>
      <c r="W42" s="1168"/>
      <c r="X42" s="1169"/>
      <c r="Y42" s="58">
        <f>1000000/(Y41*K3)</f>
        <v>70175.438596491222</v>
      </c>
      <c r="Z42" s="452" t="s">
        <v>58</v>
      </c>
      <c r="AA42" s="1269"/>
      <c r="AB42" s="206" t="s">
        <v>202</v>
      </c>
      <c r="AC42" s="427">
        <f>AC41/$AH$34</f>
        <v>0.64327485380116955</v>
      </c>
      <c r="AD42" s="447" t="str">
        <f>IF(AD39=0,"",AC41/$AI$34)</f>
        <v/>
      </c>
      <c r="AE42" s="72" t="str">
        <f>IF(AC42&lt;=1,"sac","sacs")</f>
        <v>sac</v>
      </c>
      <c r="AF42" s="826"/>
      <c r="AG42" s="466" t="s">
        <v>261</v>
      </c>
      <c r="AH42" s="463">
        <f>IF(B3="6x2",
AC42+AC48,
IF(B3="4x2",
AC42+AC48,
AC42+AC48+AC54))</f>
        <v>2.4475076580339734</v>
      </c>
      <c r="AI42" s="464" t="str">
        <f>IF(AD39=0,"",
IF(B3="6x2",
AD42+AD48,
IF(B3="4x2",
AD42+AD48,
AD42+AD48+AD54)))</f>
        <v/>
      </c>
      <c r="AJ42" s="465" t="str">
        <f>IF(AH42&lt;1,"sac","sacs")</f>
        <v>sacs</v>
      </c>
      <c r="AK42" s="394"/>
      <c r="AL42" s="1194"/>
      <c r="AM42" s="1219" t="str">
        <f>"Si le PMG annoncé est de "&amp;AH33&amp;" on a :"</f>
        <v>Si le PMG annoncé est de 220 on a :</v>
      </c>
      <c r="AN42" s="1220"/>
      <c r="AO42" s="388">
        <f>$AO$39*$AH$34/$AH$30</f>
        <v>136842.10526315789</v>
      </c>
      <c r="AP42" s="411" t="s">
        <v>10</v>
      </c>
      <c r="AQ42" s="388"/>
      <c r="AR42" s="564"/>
      <c r="AS42" s="1147" t="str">
        <f>"Si le PMG mesuré est de "&amp;AI39&amp;" on a :"</f>
        <v>Si le PMG mesuré est de 0 on a :</v>
      </c>
      <c r="AT42" s="1147"/>
      <c r="AU42" s="1147"/>
      <c r="AV42" s="388" t="str">
        <f>IF(AI39=0,"",$AO$39*AI34/$AH$30)</f>
        <v/>
      </c>
      <c r="AW42" s="169" t="s">
        <v>10</v>
      </c>
      <c r="AX42" s="180"/>
      <c r="AY42" s="180"/>
      <c r="AZ42" s="180"/>
      <c r="BA42" s="180"/>
      <c r="BB42" s="180"/>
      <c r="BC42" s="180"/>
      <c r="BD42" s="180"/>
      <c r="BE42" s="180"/>
      <c r="BF42" s="350"/>
    </row>
    <row r="43" spans="1:58" ht="25.15" customHeight="1" x14ac:dyDescent="0.25">
      <c r="A43" s="1384"/>
      <c r="B43" s="1386"/>
      <c r="C43" s="1250"/>
      <c r="D43" s="1299" t="str">
        <f>IF(B3="6x3",K3,"")</f>
        <v/>
      </c>
      <c r="E43" s="1299" t="str">
        <f>IF(B3="6x3",K3,"")</f>
        <v/>
      </c>
      <c r="F43" s="1299" t="str">
        <f>IF(B3="6x3",K3,"")</f>
        <v/>
      </c>
      <c r="G43" s="1299" t="str">
        <f>IF(B3="6x3",K3,"")</f>
        <v/>
      </c>
      <c r="H43" s="1299" t="str">
        <f>IF(B3="6x3",K3,"")</f>
        <v/>
      </c>
      <c r="I43" s="1309" t="str">
        <f>IF(B3="6x3",Q3/3,"")</f>
        <v/>
      </c>
      <c r="J43" s="1308"/>
      <c r="K43" s="1307" t="str">
        <f>IF(B3="6x3",(Q3/6),"")</f>
        <v/>
      </c>
      <c r="L43" s="1308"/>
      <c r="M43" s="1307" t="str">
        <f>IF(B3="6x3",(Q3/6),"")</f>
        <v/>
      </c>
      <c r="N43" s="1308"/>
      <c r="O43" s="1307" t="str">
        <f>IF(B3="6x3",Q3/3,"")</f>
        <v/>
      </c>
      <c r="P43" s="1313"/>
      <c r="Q43" s="24"/>
      <c r="R43" s="60"/>
      <c r="S43" s="1058"/>
      <c r="T43" s="59"/>
      <c r="U43" s="180"/>
      <c r="V43" s="1084" t="s">
        <v>148</v>
      </c>
      <c r="W43" s="1085"/>
      <c r="X43" s="1086"/>
      <c r="Y43" s="190">
        <f>IF(B3="2x2",
(1000000/(Y41*$Y$37))/4,
(1000000/(Y41*$Y$37))/$H$3)</f>
        <v>26315.78947368421</v>
      </c>
      <c r="Z43" s="191" t="s">
        <v>58</v>
      </c>
      <c r="AA43" s="1269"/>
      <c r="AB43" s="390" t="s">
        <v>120</v>
      </c>
      <c r="AC43" s="425">
        <f>AC42/AH27</f>
        <v>0.12865497076023391</v>
      </c>
      <c r="AD43" s="446" t="str">
        <f>IF(AD39=0,"",AD42/$AH$27)</f>
        <v/>
      </c>
      <c r="AE43" s="146" t="s">
        <v>121</v>
      </c>
      <c r="AF43" s="826"/>
      <c r="AG43" s="390" t="s">
        <v>120</v>
      </c>
      <c r="AH43" s="444">
        <f>AH42/AH27</f>
        <v>0.48950153160679466</v>
      </c>
      <c r="AI43" s="448" t="str">
        <f>IF(AD39=0,"",AI42/AH27)</f>
        <v/>
      </c>
      <c r="AJ43" s="146" t="s">
        <v>121</v>
      </c>
      <c r="AK43" s="584"/>
      <c r="AL43" s="1194"/>
      <c r="AM43" s="1217" t="s">
        <v>99</v>
      </c>
      <c r="AN43" s="1218"/>
      <c r="AO43" s="587">
        <f>(AO42*$AD$27)/1000</f>
        <v>120.42105263157895</v>
      </c>
      <c r="AP43" s="525" t="s">
        <v>189</v>
      </c>
      <c r="AQ43" s="388"/>
      <c r="AR43" s="564"/>
      <c r="AS43" s="342"/>
      <c r="AT43" s="342"/>
      <c r="AU43" s="507" t="s">
        <v>99</v>
      </c>
      <c r="AV43" s="587" t="str">
        <f>IF(AI39=0,"",(AV42*$AD$27)/1000)</f>
        <v/>
      </c>
      <c r="AW43" s="198" t="s">
        <v>189</v>
      </c>
      <c r="AX43" s="180"/>
      <c r="AY43" s="180"/>
      <c r="AZ43" s="180"/>
      <c r="BA43" s="180"/>
      <c r="BB43" s="180"/>
      <c r="BC43" s="180"/>
      <c r="BD43" s="180"/>
      <c r="BE43" s="180"/>
      <c r="BF43" s="350"/>
    </row>
    <row r="44" spans="1:58" ht="26.45" customHeight="1" thickBot="1" x14ac:dyDescent="0.3">
      <c r="A44" s="1384"/>
      <c r="B44" s="1386"/>
      <c r="C44" s="1250"/>
      <c r="D44" s="1299"/>
      <c r="E44" s="1299"/>
      <c r="F44" s="1299"/>
      <c r="G44" s="1299"/>
      <c r="H44" s="1299"/>
      <c r="I44" s="1309"/>
      <c r="J44" s="1308"/>
      <c r="K44" s="1307"/>
      <c r="L44" s="1308"/>
      <c r="M44" s="1307"/>
      <c r="N44" s="1308"/>
      <c r="O44" s="1307"/>
      <c r="P44" s="1313"/>
      <c r="Q44" s="24"/>
      <c r="R44" s="60"/>
      <c r="S44" s="1058"/>
      <c r="T44" s="59"/>
      <c r="U44" s="180"/>
      <c r="V44" s="1087" t="s">
        <v>75</v>
      </c>
      <c r="W44" s="1088"/>
      <c r="X44" s="1089"/>
      <c r="Y44" s="8" t="str">
        <f>IF($Z44&lt;0,"","+")</f>
        <v>+</v>
      </c>
      <c r="Z44" s="141">
        <f>(Y42/$AD$34)-100%</f>
        <v>8.3410280086180233E-2</v>
      </c>
      <c r="AA44" s="1270"/>
      <c r="AB44" s="205" t="s">
        <v>13</v>
      </c>
      <c r="AC44" s="426">
        <f>AC42*$AH$30</f>
        <v>12.865497076023392</v>
      </c>
      <c r="AD44" s="449" t="str">
        <f>IF(AD39=0,"",AD42*AH30)</f>
        <v/>
      </c>
      <c r="AE44" s="71" t="s">
        <v>9</v>
      </c>
      <c r="AF44" s="826"/>
      <c r="AG44" s="475" t="s">
        <v>192</v>
      </c>
      <c r="AH44" s="476">
        <f>IF(B3="6x2",
AC44+AC50,
IF(B3="4x2",
AC44+AC50,
AC44+AC50+AC56))</f>
        <v>48.95015316067947</v>
      </c>
      <c r="AI44" s="477" t="str">
        <f>IF(AD39=0,"",
IF(B3="6x2",
AD44+AD50,
IF(B3="4x2",
AD44+AD50,
AD44+AD50+AD56)))</f>
        <v/>
      </c>
      <c r="AJ44" s="478" t="s">
        <v>9</v>
      </c>
      <c r="AK44" s="395"/>
      <c r="AL44" s="1194"/>
      <c r="AM44" s="1196" t="s">
        <v>289</v>
      </c>
      <c r="AN44" s="1144"/>
      <c r="AO44" s="359">
        <f>$AO$39*AH34/$AH$9/$AH$27/$Y$35</f>
        <v>61578.947368421061</v>
      </c>
      <c r="AP44" s="586" t="s">
        <v>55</v>
      </c>
      <c r="AQ44" s="388"/>
      <c r="AR44" s="1143" t="s">
        <v>290</v>
      </c>
      <c r="AS44" s="1144"/>
      <c r="AT44" s="1144"/>
      <c r="AU44" s="1144"/>
      <c r="AV44" s="359" t="str">
        <f>IF(AI39=0,"",$AO$39*AI34/$AH$9/$AH$27/$Y$35)</f>
        <v/>
      </c>
      <c r="AW44" s="360" t="s">
        <v>55</v>
      </c>
      <c r="AX44" s="180"/>
      <c r="AY44" s="180"/>
      <c r="AZ44" s="180"/>
      <c r="BA44" s="180"/>
      <c r="BB44" s="180"/>
      <c r="BC44" s="180"/>
      <c r="BD44" s="180"/>
      <c r="BE44" s="180"/>
      <c r="BF44" s="350"/>
    </row>
    <row r="45" spans="1:58" ht="27.75" customHeight="1" thickBot="1" x14ac:dyDescent="0.3">
      <c r="A45" s="1384"/>
      <c r="B45" s="1386"/>
      <c r="C45" s="1261" t="str">
        <f>IF(B3="6x3","Théorique semoir","")</f>
        <v/>
      </c>
      <c r="D45" s="1260" t="str">
        <f>IF(B3="6x3",K3,"")</f>
        <v/>
      </c>
      <c r="E45" s="1260" t="str">
        <f>IF(B3="6x3",K3,"")</f>
        <v/>
      </c>
      <c r="F45" s="1260" t="str">
        <f>IF(B3="6x3",K3,"")</f>
        <v/>
      </c>
      <c r="G45" s="1260" t="str">
        <f>IF(B3="6x3",K3,"")</f>
        <v/>
      </c>
      <c r="H45" s="1260" t="str">
        <f>IF(B3="6x3",K3,"")</f>
        <v/>
      </c>
      <c r="I45" s="1321" t="str">
        <f>IF(B3="6x3",K3,"")</f>
        <v/>
      </c>
      <c r="J45" s="1322"/>
      <c r="K45" s="1323"/>
      <c r="L45" s="1326" t="str">
        <f>IF(B3="6x3",K3,"")</f>
        <v/>
      </c>
      <c r="M45" s="1322"/>
      <c r="N45" s="1322"/>
      <c r="O45" s="1323"/>
      <c r="P45" s="1326" t="str">
        <f>IF(B3="6x3",K3,"")</f>
        <v/>
      </c>
      <c r="Q45" s="1323"/>
      <c r="R45" s="1241" t="str">
        <f>IF(B3="6x3",K3,"")</f>
        <v/>
      </c>
      <c r="S45" s="1058"/>
      <c r="T45" s="59"/>
      <c r="U45" s="180"/>
      <c r="V45" s="180"/>
      <c r="W45" s="180"/>
      <c r="X45" s="180"/>
      <c r="Y45" s="317"/>
      <c r="Z45" s="180"/>
      <c r="AA45" s="180"/>
      <c r="AB45" s="322"/>
      <c r="AC45" s="322"/>
      <c r="AD45" s="179"/>
      <c r="AE45" s="179"/>
      <c r="AF45" s="1057"/>
      <c r="AG45" s="421"/>
      <c r="AH45" s="421"/>
      <c r="AI45" s="421"/>
      <c r="AJ45" s="421"/>
      <c r="AK45" s="585"/>
      <c r="AL45" s="1194"/>
      <c r="AM45" s="1195" t="s">
        <v>193</v>
      </c>
      <c r="AN45" s="1146"/>
      <c r="AO45" s="505">
        <f>IF($AO$39=0,0,
1000000/(AO44*$Y$37))</f>
        <v>32.478632478632477</v>
      </c>
      <c r="AP45" s="398" t="s">
        <v>5</v>
      </c>
      <c r="AQ45" s="588"/>
      <c r="AR45" s="1145" t="s">
        <v>193</v>
      </c>
      <c r="AS45" s="1146"/>
      <c r="AT45" s="1146"/>
      <c r="AU45" s="1146"/>
      <c r="AV45" s="505" t="str">
        <f>IF(AI39=0,"",
IF(AV44=0,0,
IF($AO$39=0,0,
1000000/(AV44*$Y$37))))</f>
        <v/>
      </c>
      <c r="AW45" s="128" t="s">
        <v>5</v>
      </c>
      <c r="AX45" s="180"/>
      <c r="AY45" s="180"/>
      <c r="AZ45" s="180"/>
      <c r="BA45" s="180"/>
      <c r="BB45" s="180"/>
      <c r="BC45" s="180"/>
      <c r="BD45" s="180"/>
      <c r="BE45" s="180"/>
      <c r="BF45" s="350"/>
    </row>
    <row r="46" spans="1:58" s="3" customFormat="1" ht="25.15" customHeight="1" thickBot="1" x14ac:dyDescent="0.3">
      <c r="A46" s="1384"/>
      <c r="B46" s="1386"/>
      <c r="C46" s="1261"/>
      <c r="D46" s="1260"/>
      <c r="E46" s="1260"/>
      <c r="F46" s="1260"/>
      <c r="G46" s="1260"/>
      <c r="H46" s="1260"/>
      <c r="I46" s="1321"/>
      <c r="J46" s="1322"/>
      <c r="K46" s="1323"/>
      <c r="L46" s="1326"/>
      <c r="M46" s="1322"/>
      <c r="N46" s="1322"/>
      <c r="O46" s="1323"/>
      <c r="P46" s="1326"/>
      <c r="Q46" s="1323"/>
      <c r="R46" s="1241"/>
      <c r="S46" s="1058"/>
      <c r="T46" s="124"/>
      <c r="U46" s="180"/>
      <c r="V46" s="1162" t="s">
        <v>93</v>
      </c>
      <c r="W46" s="1163"/>
      <c r="X46" s="1163"/>
      <c r="Y46" s="1164"/>
      <c r="Z46" s="1165"/>
      <c r="AA46" s="491"/>
      <c r="AB46" s="7" t="s">
        <v>260</v>
      </c>
      <c r="AC46" s="1105">
        <f>Y49*Y35</f>
        <v>22222.222222222223</v>
      </c>
      <c r="AD46" s="1106"/>
      <c r="AE46" s="69" t="s">
        <v>55</v>
      </c>
      <c r="AF46" s="1057"/>
      <c r="AG46" s="274"/>
      <c r="AH46" s="274"/>
      <c r="AI46" s="274"/>
      <c r="AJ46" s="274"/>
      <c r="AK46" s="274"/>
      <c r="AL46" s="570"/>
      <c r="AM46" s="274"/>
      <c r="AN46" s="274"/>
      <c r="AO46" s="274"/>
      <c r="AP46" s="274"/>
      <c r="AQ46" s="181"/>
      <c r="AR46" s="274"/>
      <c r="AS46" s="274"/>
      <c r="AT46" s="274"/>
      <c r="AU46" s="274"/>
      <c r="AV46" s="274"/>
      <c r="AW46" s="274"/>
      <c r="AX46" s="638"/>
      <c r="AY46" s="638"/>
      <c r="AZ46" s="638"/>
      <c r="BA46" s="638"/>
      <c r="BB46" s="638"/>
      <c r="BC46" s="638"/>
      <c r="BD46" s="638"/>
      <c r="BE46" s="638"/>
      <c r="BF46" s="351"/>
    </row>
    <row r="47" spans="1:58" ht="25.15" customHeight="1" thickTop="1" thickBot="1" x14ac:dyDescent="0.3">
      <c r="A47" s="1384"/>
      <c r="B47" s="1386"/>
      <c r="C47" s="1261"/>
      <c r="D47" s="1247" t="str">
        <f>IF(B3="6x3",(D45+E45+F45+G45+H45+I45),"")</f>
        <v/>
      </c>
      <c r="E47" s="1248"/>
      <c r="F47" s="1248"/>
      <c r="G47" s="1248"/>
      <c r="H47" s="1248"/>
      <c r="I47" s="1248"/>
      <c r="J47" s="1248"/>
      <c r="K47" s="1249"/>
      <c r="L47" s="1353" t="str">
        <f>IF(B3="6x3",L45+P45+R45,"")</f>
        <v/>
      </c>
      <c r="M47" s="1354"/>
      <c r="N47" s="1354"/>
      <c r="O47" s="1354"/>
      <c r="P47" s="1354"/>
      <c r="Q47" s="1354"/>
      <c r="R47" s="1355"/>
      <c r="S47" s="1058"/>
      <c r="T47" s="1277"/>
      <c r="U47" s="180"/>
      <c r="V47" s="1102" t="s">
        <v>82</v>
      </c>
      <c r="W47" s="1103"/>
      <c r="X47" s="1166"/>
      <c r="Y47" s="646">
        <v>20</v>
      </c>
      <c r="Z47" s="589" t="s">
        <v>5</v>
      </c>
      <c r="AA47" s="1268" t="s">
        <v>96</v>
      </c>
      <c r="AB47" s="28" t="s">
        <v>264</v>
      </c>
      <c r="AC47" s="1113">
        <f>AC46*$AH$27</f>
        <v>111111.11111111111</v>
      </c>
      <c r="AD47" s="1114"/>
      <c r="AE47" s="70" t="s">
        <v>56</v>
      </c>
      <c r="AF47" s="1057"/>
      <c r="AG47" s="1129" t="s">
        <v>307</v>
      </c>
      <c r="AH47" s="1130"/>
      <c r="AI47" s="647">
        <v>1</v>
      </c>
      <c r="AJ47" s="604" t="s">
        <v>4</v>
      </c>
      <c r="AK47" s="186"/>
      <c r="AL47" s="186"/>
      <c r="AM47" s="619"/>
      <c r="AN47" s="1107" t="s">
        <v>301</v>
      </c>
      <c r="AO47" s="1137" t="s">
        <v>305</v>
      </c>
      <c r="AP47" s="1138"/>
      <c r="AQ47" s="181"/>
      <c r="AR47" s="421"/>
      <c r="AS47" s="421"/>
      <c r="AT47" s="421"/>
      <c r="AU47" s="421"/>
      <c r="AV47" s="421"/>
      <c r="AW47" s="421"/>
      <c r="AX47" s="180"/>
      <c r="AY47" s="180"/>
      <c r="AZ47" s="180"/>
      <c r="BA47" s="180"/>
      <c r="BB47" s="180"/>
      <c r="BC47" s="180"/>
      <c r="BD47" s="180"/>
      <c r="BE47" s="180"/>
      <c r="BF47" s="350"/>
    </row>
    <row r="48" spans="1:58" ht="25.15" customHeight="1" thickTop="1" thickBot="1" x14ac:dyDescent="0.4">
      <c r="A48" s="1384"/>
      <c r="B48" s="1386"/>
      <c r="C48" s="1261"/>
      <c r="D48" s="1254" t="str">
        <f>IF(B3="6x3",(D47/D40),"")</f>
        <v/>
      </c>
      <c r="E48" s="1255"/>
      <c r="F48" s="1255"/>
      <c r="G48" s="1255"/>
      <c r="H48" s="1255"/>
      <c r="I48" s="1255"/>
      <c r="J48" s="1255"/>
      <c r="K48" s="1256"/>
      <c r="L48" s="1257" t="str">
        <f>IF(B3="6x3",(L47/D40),"")</f>
        <v/>
      </c>
      <c r="M48" s="1258"/>
      <c r="N48" s="1258"/>
      <c r="O48" s="1258"/>
      <c r="P48" s="1258"/>
      <c r="Q48" s="1258"/>
      <c r="R48" s="1259"/>
      <c r="S48" s="1058"/>
      <c r="T48" s="1277"/>
      <c r="U48" s="180"/>
      <c r="V48" s="1167" t="s">
        <v>279</v>
      </c>
      <c r="W48" s="1168"/>
      <c r="X48" s="1169"/>
      <c r="Y48" s="58">
        <f>1000000/(Y47*K3)</f>
        <v>66666.666666666672</v>
      </c>
      <c r="Z48" s="452" t="s">
        <v>58</v>
      </c>
      <c r="AA48" s="1269"/>
      <c r="AB48" s="206" t="s">
        <v>200</v>
      </c>
      <c r="AC48" s="427">
        <f>AC47/$AH$34</f>
        <v>1.2222222222222221</v>
      </c>
      <c r="AD48" s="447" t="str">
        <f>IF(AD39=0,"",AC47/$AI$34)</f>
        <v/>
      </c>
      <c r="AE48" s="72" t="str">
        <f>IF(AC48&lt;=1,"sac","sacs")</f>
        <v>sacs</v>
      </c>
      <c r="AF48" s="1057"/>
      <c r="AG48" s="1127" t="s">
        <v>302</v>
      </c>
      <c r="AH48" s="1128"/>
      <c r="AI48" s="648">
        <v>0.375</v>
      </c>
      <c r="AJ48" s="605" t="s">
        <v>57</v>
      </c>
      <c r="AK48" s="180"/>
      <c r="AL48" s="180"/>
      <c r="AM48" s="180"/>
      <c r="AN48" s="1108"/>
      <c r="AO48" s="1139"/>
      <c r="AP48" s="1140"/>
      <c r="AQ48" s="347"/>
      <c r="AR48" s="421"/>
      <c r="AS48" s="421"/>
      <c r="AT48" s="421"/>
      <c r="AU48" s="421"/>
      <c r="AV48" s="421"/>
      <c r="AW48" s="421"/>
      <c r="AX48" s="180"/>
      <c r="AY48" s="180"/>
      <c r="AZ48" s="180"/>
      <c r="BA48" s="180"/>
      <c r="BB48" s="180"/>
      <c r="BC48" s="180"/>
      <c r="BD48" s="180"/>
      <c r="BE48" s="180"/>
      <c r="BF48" s="350"/>
    </row>
    <row r="49" spans="1:58" ht="25.15" customHeight="1" thickBot="1" x14ac:dyDescent="0.3">
      <c r="A49" s="1384"/>
      <c r="B49" s="131"/>
      <c r="C49" s="127"/>
      <c r="D49" s="66"/>
      <c r="E49" s="126"/>
      <c r="F49" s="126"/>
      <c r="G49" s="126"/>
      <c r="H49" s="126"/>
      <c r="I49" s="126"/>
      <c r="J49" s="126"/>
      <c r="K49" s="126"/>
      <c r="L49" s="66"/>
      <c r="M49" s="126"/>
      <c r="N49" s="126"/>
      <c r="O49" s="126"/>
      <c r="P49" s="126"/>
      <c r="Q49" s="126"/>
      <c r="R49" s="126"/>
      <c r="S49" s="132"/>
      <c r="T49" s="1277"/>
      <c r="U49" s="180"/>
      <c r="V49" s="1084" t="s">
        <v>92</v>
      </c>
      <c r="W49" s="1085"/>
      <c r="X49" s="1086"/>
      <c r="Y49" s="190">
        <f>IF(B3="2x2",
(1000000/(Y47*$Y$37))/2,
(1000000/(Y47*$Y$37))/$H$3)</f>
        <v>50000</v>
      </c>
      <c r="Z49" s="191" t="s">
        <v>58</v>
      </c>
      <c r="AA49" s="1269"/>
      <c r="AB49" s="390" t="s">
        <v>120</v>
      </c>
      <c r="AC49" s="425">
        <f>AC48/AH27</f>
        <v>0.24444444444444441</v>
      </c>
      <c r="AD49" s="446" t="str">
        <f>IF(AD39=0,"",AD48/$AH$27)</f>
        <v/>
      </c>
      <c r="AE49" s="146" t="s">
        <v>121</v>
      </c>
      <c r="AF49" s="1057"/>
      <c r="AG49" s="603"/>
      <c r="AH49" s="180"/>
      <c r="AI49" s="180"/>
      <c r="AJ49" s="180"/>
      <c r="AK49" s="180"/>
      <c r="AL49" s="180"/>
      <c r="AM49" s="180"/>
      <c r="AN49" s="180"/>
      <c r="AO49" s="180"/>
      <c r="AP49" s="350"/>
      <c r="AQ49" s="347"/>
      <c r="AR49" s="347"/>
      <c r="AS49" s="180"/>
      <c r="AT49" s="180"/>
      <c r="AU49" s="180"/>
      <c r="AV49" s="180"/>
      <c r="AW49" s="180"/>
      <c r="AX49" s="180"/>
      <c r="AY49" s="180"/>
      <c r="AZ49" s="180"/>
      <c r="BA49" s="180"/>
      <c r="BB49" s="180"/>
      <c r="BC49" s="180"/>
      <c r="BD49" s="180"/>
      <c r="BE49" s="180"/>
      <c r="BF49" s="350"/>
    </row>
    <row r="50" spans="1:58" ht="25.15" customHeight="1" thickBot="1" x14ac:dyDescent="0.4">
      <c r="A50" s="1384"/>
      <c r="B50" s="1352" t="s">
        <v>14</v>
      </c>
      <c r="C50" s="154"/>
      <c r="D50" s="130"/>
      <c r="E50" s="1265" t="str">
        <f>IF(B3="6x2",(E51+M51),"")</f>
        <v/>
      </c>
      <c r="F50" s="1266"/>
      <c r="G50" s="1266"/>
      <c r="H50" s="1266"/>
      <c r="I50" s="1266"/>
      <c r="J50" s="1266"/>
      <c r="K50" s="1266"/>
      <c r="L50" s="1266"/>
      <c r="M50" s="1266"/>
      <c r="N50" s="1266"/>
      <c r="O50" s="1266"/>
      <c r="P50" s="1267"/>
      <c r="Q50" s="116"/>
      <c r="R50" s="133"/>
      <c r="S50" s="1236"/>
      <c r="T50" s="1277"/>
      <c r="U50" s="180"/>
      <c r="V50" s="1087" t="s">
        <v>75</v>
      </c>
      <c r="W50" s="1088"/>
      <c r="X50" s="1089"/>
      <c r="Y50" s="8" t="str">
        <f>IF($Z50&lt;0,"","+")</f>
        <v>+</v>
      </c>
      <c r="Z50" s="141">
        <f>(Y48/$AD$34)-100%</f>
        <v>2.9239766081871288E-2</v>
      </c>
      <c r="AA50" s="1270"/>
      <c r="AB50" s="205" t="s">
        <v>13</v>
      </c>
      <c r="AC50" s="426">
        <f>AC48*$AH$30</f>
        <v>24.444444444444443</v>
      </c>
      <c r="AD50" s="449" t="str">
        <f>IF(AD39=0,"",AD48*$AH$30)</f>
        <v/>
      </c>
      <c r="AE50" s="71" t="s">
        <v>9</v>
      </c>
      <c r="AF50" s="1057"/>
      <c r="AG50" s="428" t="s">
        <v>349</v>
      </c>
      <c r="AH50" s="550">
        <f>VLOOKUP($V$29,Données_SB_Mâle!$A$2:$Q$28,10,FALSE)</f>
        <v>220</v>
      </c>
      <c r="AI50" s="551">
        <f>VLOOKUP($V$29,Données_SB_Mâle!$A$2:$Q$28,15,FALSE)</f>
        <v>0</v>
      </c>
      <c r="AJ50" s="503" t="s">
        <v>275</v>
      </c>
      <c r="AK50" s="598"/>
      <c r="AL50" s="180"/>
      <c r="AM50" s="617"/>
      <c r="AN50" s="421"/>
      <c r="AO50" s="421"/>
      <c r="AP50" s="350"/>
      <c r="AQ50" s="347"/>
      <c r="AR50" s="347"/>
      <c r="AS50" s="180"/>
      <c r="AT50" s="180"/>
      <c r="AU50" s="180"/>
      <c r="AV50" s="180"/>
      <c r="AW50" s="180"/>
      <c r="AX50" s="180"/>
      <c r="AY50" s="180"/>
      <c r="AZ50" s="180"/>
      <c r="BA50" s="180"/>
      <c r="BB50" s="180"/>
      <c r="BC50" s="180"/>
      <c r="BD50" s="180"/>
      <c r="BE50" s="180"/>
      <c r="BF50" s="350"/>
    </row>
    <row r="51" spans="1:58" ht="25.15" customHeight="1" thickTop="1" thickBot="1" x14ac:dyDescent="0.3">
      <c r="A51" s="1384"/>
      <c r="B51" s="1352"/>
      <c r="C51" s="1250" t="str">
        <f>IF(B3="6x2","Part au champ","")</f>
        <v/>
      </c>
      <c r="D51" s="1250"/>
      <c r="E51" s="1251" t="str">
        <f>IF(B3="6x2",(E53+F53+G53+H53+I53+K53),"")</f>
        <v/>
      </c>
      <c r="F51" s="1252"/>
      <c r="G51" s="1252"/>
      <c r="H51" s="1252"/>
      <c r="I51" s="1252"/>
      <c r="J51" s="1252"/>
      <c r="K51" s="1252"/>
      <c r="L51" s="1253"/>
      <c r="M51" s="1262" t="str">
        <f>IF(B3="6x2",(M53+O53),"")</f>
        <v/>
      </c>
      <c r="N51" s="1263"/>
      <c r="O51" s="1263"/>
      <c r="P51" s="1264"/>
      <c r="Q51" s="22"/>
      <c r="R51" s="22"/>
      <c r="S51" s="1236"/>
      <c r="T51" s="1277"/>
      <c r="U51" s="180"/>
      <c r="V51" s="180"/>
      <c r="W51" s="180"/>
      <c r="X51" s="180"/>
      <c r="Y51" s="180"/>
      <c r="Z51" s="180"/>
      <c r="AA51" s="180"/>
      <c r="AB51" s="179"/>
      <c r="AC51" s="179"/>
      <c r="AD51" s="179"/>
      <c r="AE51" s="179"/>
      <c r="AF51" s="1057"/>
      <c r="AG51" s="513" t="s">
        <v>297</v>
      </c>
      <c r="AH51" s="1197">
        <v>19</v>
      </c>
      <c r="AI51" s="1198"/>
      <c r="AJ51" s="177" t="s">
        <v>5</v>
      </c>
      <c r="AK51" s="1111"/>
      <c r="AL51" s="1112"/>
      <c r="AM51" s="1112"/>
      <c r="AN51" s="421"/>
      <c r="AO51" s="421"/>
      <c r="AP51" s="618"/>
      <c r="AQ51" s="347"/>
      <c r="AR51" s="347"/>
      <c r="AS51" s="352"/>
      <c r="AT51" s="352"/>
      <c r="AU51" s="180"/>
      <c r="AV51" s="180"/>
      <c r="AW51" s="180"/>
      <c r="AX51" s="180"/>
      <c r="AY51" s="180"/>
      <c r="AZ51" s="180"/>
      <c r="BA51" s="180"/>
      <c r="BB51" s="180"/>
      <c r="BC51" s="180"/>
      <c r="BD51" s="180"/>
      <c r="BE51" s="180"/>
      <c r="BF51" s="350"/>
    </row>
    <row r="52" spans="1:58" s="11" customFormat="1" ht="25.15" customHeight="1" thickTop="1" thickBot="1" x14ac:dyDescent="0.3">
      <c r="A52" s="1384"/>
      <c r="B52" s="1352"/>
      <c r="C52" s="1250"/>
      <c r="D52" s="1250"/>
      <c r="E52" s="1254" t="str">
        <f>IF(B3="6x2",(E51/E50),"")</f>
        <v/>
      </c>
      <c r="F52" s="1255"/>
      <c r="G52" s="1255"/>
      <c r="H52" s="1255"/>
      <c r="I52" s="1255"/>
      <c r="J52" s="1255"/>
      <c r="K52" s="1255"/>
      <c r="L52" s="1256"/>
      <c r="M52" s="1237" t="str">
        <f>IF(B3="6x2",(M51/E50),"")</f>
        <v/>
      </c>
      <c r="N52" s="1238"/>
      <c r="O52" s="1238"/>
      <c r="P52" s="1239"/>
      <c r="Q52" s="22"/>
      <c r="R52" s="22"/>
      <c r="S52" s="1236"/>
      <c r="T52" s="1277"/>
      <c r="U52" s="180"/>
      <c r="V52" s="1162" t="s">
        <v>95</v>
      </c>
      <c r="W52" s="1163"/>
      <c r="X52" s="1163"/>
      <c r="Y52" s="1164"/>
      <c r="Z52" s="1165"/>
      <c r="AA52" s="490"/>
      <c r="AB52" s="7" t="s">
        <v>260</v>
      </c>
      <c r="AC52" s="1105">
        <f>Y55*Y35</f>
        <v>10582.010582010582</v>
      </c>
      <c r="AD52" s="1106"/>
      <c r="AE52" s="69" t="s">
        <v>55</v>
      </c>
      <c r="AF52" s="1057"/>
      <c r="AG52" s="514" t="s">
        <v>86</v>
      </c>
      <c r="AH52" s="1125">
        <f>IF(AH51=0,"0",(1000000/(AH51*AI48))/2)</f>
        <v>70175.438596491222</v>
      </c>
      <c r="AI52" s="1126"/>
      <c r="AJ52" s="172" t="s">
        <v>55</v>
      </c>
      <c r="AK52" s="599"/>
      <c r="AL52" s="343"/>
      <c r="AM52" s="29"/>
      <c r="AN52" s="1131" t="s">
        <v>304</v>
      </c>
      <c r="AO52" s="1132"/>
      <c r="AP52" s="1133"/>
      <c r="AQ52" s="347"/>
      <c r="AR52" s="347"/>
      <c r="AS52" s="343"/>
      <c r="AT52" s="353"/>
      <c r="AU52" s="343"/>
      <c r="AV52" s="343"/>
      <c r="AW52" s="343"/>
      <c r="AX52" s="343"/>
      <c r="AY52" s="343"/>
      <c r="AZ52" s="343"/>
      <c r="BA52" s="343"/>
      <c r="BB52" s="343"/>
      <c r="BC52" s="343"/>
      <c r="BD52" s="343"/>
      <c r="BE52" s="343"/>
      <c r="BF52" s="354"/>
    </row>
    <row r="53" spans="1:58" ht="25.15" customHeight="1" thickTop="1" thickBot="1" x14ac:dyDescent="0.3">
      <c r="A53" s="1384"/>
      <c r="B53" s="1352"/>
      <c r="C53" s="1250"/>
      <c r="D53" s="1250"/>
      <c r="E53" s="1299" t="str">
        <f>IF(B3="6x2",K3,"")</f>
        <v/>
      </c>
      <c r="F53" s="1299" t="str">
        <f>IF(B3="6x2",K3,"")</f>
        <v/>
      </c>
      <c r="G53" s="1299" t="str">
        <f>IF(B3="6x2",K3,"")</f>
        <v/>
      </c>
      <c r="H53" s="1299" t="str">
        <f>IF(B3="6x2",K3,"")</f>
        <v/>
      </c>
      <c r="I53" s="1391" t="str">
        <f>IF(B3="6x2",K3,"")</f>
        <v/>
      </c>
      <c r="J53" s="1392"/>
      <c r="K53" s="1395" t="str">
        <f>IF(B3="6x2",Q3/3,"")</f>
        <v/>
      </c>
      <c r="L53" s="1233"/>
      <c r="M53" s="1232" t="str">
        <f>IF(B3="6x2",Q3/3,"")</f>
        <v/>
      </c>
      <c r="N53" s="1233"/>
      <c r="O53" s="1232" t="str">
        <f>IF(B3="6x2",Q3/3,"")</f>
        <v/>
      </c>
      <c r="P53" s="1365"/>
      <c r="Q53" s="22"/>
      <c r="R53" s="22"/>
      <c r="S53" s="1236"/>
      <c r="T53" s="1277"/>
      <c r="U53" s="180"/>
      <c r="V53" s="1102" t="s">
        <v>82</v>
      </c>
      <c r="W53" s="1103"/>
      <c r="X53" s="1166"/>
      <c r="Y53" s="646">
        <v>21</v>
      </c>
      <c r="Z53" s="589" t="s">
        <v>5</v>
      </c>
      <c r="AA53" s="1295" t="s">
        <v>96</v>
      </c>
      <c r="AB53" s="28" t="s">
        <v>265</v>
      </c>
      <c r="AC53" s="1113">
        <f>AC52*$AH$27</f>
        <v>52910.052910052909</v>
      </c>
      <c r="AD53" s="1114"/>
      <c r="AE53" s="70" t="s">
        <v>56</v>
      </c>
      <c r="AF53" s="1057"/>
      <c r="AG53" s="606" t="s">
        <v>259</v>
      </c>
      <c r="AH53" s="1113">
        <f>$AH$52*$AI$47</f>
        <v>70175.438596491222</v>
      </c>
      <c r="AI53" s="1114"/>
      <c r="AJ53" s="173" t="s">
        <v>56</v>
      </c>
      <c r="AK53" s="1122" t="s">
        <v>96</v>
      </c>
      <c r="AL53" s="1123"/>
      <c r="AM53" s="1124"/>
      <c r="AN53" s="1134"/>
      <c r="AO53" s="1135"/>
      <c r="AP53" s="1136"/>
      <c r="AQ53" s="347"/>
      <c r="AR53" s="347"/>
      <c r="AS53" s="180"/>
      <c r="AT53" s="180"/>
      <c r="AU53" s="180"/>
      <c r="AV53" s="180"/>
      <c r="AW53" s="180"/>
      <c r="AX53" s="180"/>
      <c r="AY53" s="180"/>
      <c r="AZ53" s="180"/>
      <c r="BA53" s="180"/>
      <c r="BB53" s="180"/>
      <c r="BC53" s="180"/>
      <c r="BD53" s="180"/>
      <c r="BE53" s="180"/>
      <c r="BF53" s="350"/>
    </row>
    <row r="54" spans="1:58" ht="25.15" customHeight="1" thickTop="1" thickBot="1" x14ac:dyDescent="0.45">
      <c r="A54" s="1384"/>
      <c r="B54" s="1352"/>
      <c r="C54" s="1250"/>
      <c r="D54" s="1250"/>
      <c r="E54" s="1299"/>
      <c r="F54" s="1299"/>
      <c r="G54" s="1299"/>
      <c r="H54" s="1299"/>
      <c r="I54" s="1391"/>
      <c r="J54" s="1392"/>
      <c r="K54" s="1395"/>
      <c r="L54" s="1233"/>
      <c r="M54" s="1232"/>
      <c r="N54" s="1233"/>
      <c r="O54" s="1232"/>
      <c r="P54" s="1365"/>
      <c r="Q54" s="22"/>
      <c r="R54" s="22"/>
      <c r="S54" s="1236"/>
      <c r="T54" s="1277"/>
      <c r="U54" s="180"/>
      <c r="V54" s="1167" t="s">
        <v>279</v>
      </c>
      <c r="W54" s="1168"/>
      <c r="X54" s="1169"/>
      <c r="Y54" s="58">
        <f>1000000/(Y53*K3)</f>
        <v>63492.063492063491</v>
      </c>
      <c r="Z54" s="452" t="s">
        <v>58</v>
      </c>
      <c r="AA54" s="1296"/>
      <c r="AB54" s="206" t="s">
        <v>203</v>
      </c>
      <c r="AC54" s="427">
        <f>AC53/$AH$34</f>
        <v>0.58201058201058198</v>
      </c>
      <c r="AD54" s="447" t="str">
        <f>IF(AD39=0,"",AC53/$AI$34)</f>
        <v/>
      </c>
      <c r="AE54" s="72" t="str">
        <f>IF(AC54&lt;=1,"sac","sacs")</f>
        <v>sac</v>
      </c>
      <c r="AF54" s="1057"/>
      <c r="AG54" s="515" t="s">
        <v>298</v>
      </c>
      <c r="AH54" s="590">
        <f>$AH$53/$AH$34</f>
        <v>0.77192982456140347</v>
      </c>
      <c r="AI54" s="591" t="str">
        <f>IF(AI50=0,"",$AH$53/AI34)</f>
        <v/>
      </c>
      <c r="AJ54" s="72" t="str">
        <f>IF(AH54&lt;=1,"sac","sacs")</f>
        <v>sac</v>
      </c>
      <c r="AK54" s="1122"/>
      <c r="AL54" s="1123"/>
      <c r="AM54" s="1124"/>
      <c r="AN54" s="550">
        <f>VLOOKUP($V$29,Données_SB_Mâle!$A$2:$Q$28,10,FALSE)</f>
        <v>220</v>
      </c>
      <c r="AO54" s="551">
        <f>VLOOKUP($V$29,Données_SB_Mâle!$A$2:$Q$28,15,FALSE)</f>
        <v>0</v>
      </c>
      <c r="AP54" s="608" t="s">
        <v>275</v>
      </c>
      <c r="AQ54" s="347"/>
      <c r="AR54" s="347"/>
      <c r="AS54" s="180"/>
      <c r="AT54" s="180"/>
      <c r="AU54" s="180"/>
      <c r="AV54" s="180"/>
      <c r="AW54" s="180"/>
      <c r="AX54" s="180"/>
      <c r="AY54" s="180"/>
      <c r="AZ54" s="180"/>
      <c r="BA54" s="180"/>
      <c r="BB54" s="180"/>
      <c r="BC54" s="180"/>
      <c r="BD54" s="180"/>
      <c r="BE54" s="180"/>
      <c r="BF54" s="350"/>
    </row>
    <row r="55" spans="1:58" ht="25.15" customHeight="1" thickBot="1" x14ac:dyDescent="0.3">
      <c r="A55" s="1384"/>
      <c r="B55" s="1352"/>
      <c r="C55" s="1250" t="str">
        <f>IF(B3="6x2","Théorique semoir","")</f>
        <v/>
      </c>
      <c r="D55" s="1250"/>
      <c r="E55" s="1240" t="str">
        <f>IF(B3="6x2",K3,"")</f>
        <v/>
      </c>
      <c r="F55" s="1240" t="str">
        <f>IF(B3="6x2",K3,"")</f>
        <v/>
      </c>
      <c r="G55" s="1240" t="str">
        <f>IF(B3="6x2",K3,"")</f>
        <v/>
      </c>
      <c r="H55" s="1240" t="str">
        <f>IF(B3="6x2",K3,"")</f>
        <v/>
      </c>
      <c r="I55" s="1245" t="str">
        <f>IF(B3="6x2",K3,"")</f>
        <v/>
      </c>
      <c r="J55" s="1246"/>
      <c r="K55" s="1245" t="str">
        <f>IF(B3="6x2",K3,"")</f>
        <v/>
      </c>
      <c r="L55" s="1243"/>
      <c r="M55" s="1244"/>
      <c r="N55" s="1242" t="str">
        <f>IF(B3="6x2",K3,"")</f>
        <v/>
      </c>
      <c r="O55" s="1243"/>
      <c r="P55" s="1244"/>
      <c r="Q55" s="1241" t="str">
        <f>IF(B3="6x2",K3,"")</f>
        <v/>
      </c>
      <c r="R55" s="22"/>
      <c r="S55" s="1236"/>
      <c r="T55" s="1277"/>
      <c r="U55" s="180"/>
      <c r="V55" s="1084" t="s">
        <v>92</v>
      </c>
      <c r="W55" s="1085"/>
      <c r="X55" s="1086"/>
      <c r="Y55" s="190">
        <f>IF(B3="2x2",
(1000000/(Y53*$Y$37))/4,
(1000000/(Y53*$Y$37))/$H$3)</f>
        <v>23809.523809523809</v>
      </c>
      <c r="Z55" s="191" t="s">
        <v>58</v>
      </c>
      <c r="AA55" s="1296"/>
      <c r="AB55" s="390" t="s">
        <v>120</v>
      </c>
      <c r="AC55" s="425">
        <f>AC54/AH27</f>
        <v>0.1164021164021164</v>
      </c>
      <c r="AD55" s="446" t="str">
        <f>IF(AD39=0,"",AD54/$AH$27)</f>
        <v/>
      </c>
      <c r="AE55" s="146" t="s">
        <v>121</v>
      </c>
      <c r="AF55" s="1057"/>
      <c r="AG55" s="512" t="s">
        <v>13</v>
      </c>
      <c r="AH55" s="592">
        <f>$AH$54*$AH$30</f>
        <v>15.438596491228068</v>
      </c>
      <c r="AI55" s="593" t="str">
        <f>IF(AI50=0,"",AI54*$AH$30)</f>
        <v/>
      </c>
      <c r="AJ55" s="176" t="s">
        <v>9</v>
      </c>
      <c r="AK55" s="1122"/>
      <c r="AL55" s="1123"/>
      <c r="AM55" s="1124"/>
      <c r="AN55" s="1105">
        <f>AH52+AH57</f>
        <v>136842.10526315789</v>
      </c>
      <c r="AO55" s="1106"/>
      <c r="AP55" s="612" t="s">
        <v>55</v>
      </c>
      <c r="AQ55" s="347"/>
      <c r="AR55" s="347"/>
      <c r="AS55" s="180"/>
      <c r="AT55" s="180"/>
      <c r="AU55" s="180"/>
      <c r="AV55" s="180"/>
      <c r="AW55" s="180"/>
      <c r="AX55" s="180"/>
      <c r="AY55" s="180"/>
      <c r="AZ55" s="180"/>
      <c r="BA55" s="180"/>
      <c r="BB55" s="180"/>
      <c r="BC55" s="180"/>
      <c r="BD55" s="180"/>
      <c r="BE55" s="180"/>
      <c r="BF55" s="350"/>
    </row>
    <row r="56" spans="1:58" ht="25.15" customHeight="1" thickTop="1" thickBot="1" x14ac:dyDescent="0.3">
      <c r="A56" s="1384"/>
      <c r="B56" s="1352"/>
      <c r="C56" s="1250"/>
      <c r="D56" s="1250"/>
      <c r="E56" s="1240"/>
      <c r="F56" s="1240"/>
      <c r="G56" s="1240"/>
      <c r="H56" s="1240"/>
      <c r="I56" s="1245"/>
      <c r="J56" s="1246"/>
      <c r="K56" s="1245"/>
      <c r="L56" s="1243"/>
      <c r="M56" s="1244"/>
      <c r="N56" s="1242"/>
      <c r="O56" s="1243"/>
      <c r="P56" s="1244"/>
      <c r="Q56" s="1241"/>
      <c r="R56" s="25"/>
      <c r="S56" s="1236"/>
      <c r="T56" s="1277"/>
      <c r="U56" s="180"/>
      <c r="V56" s="1087" t="s">
        <v>75</v>
      </c>
      <c r="W56" s="1088"/>
      <c r="X56" s="1089"/>
      <c r="Y56" s="8" t="str">
        <f>IF($Z56&lt;0,"","+")</f>
        <v/>
      </c>
      <c r="Z56" s="141">
        <f>(Y54/$AD$34)-100%</f>
        <v>-1.9771651350598884E-2</v>
      </c>
      <c r="AA56" s="1297"/>
      <c r="AB56" s="454" t="s">
        <v>13</v>
      </c>
      <c r="AC56" s="426">
        <f>AC54*$AH$30</f>
        <v>11.640211640211639</v>
      </c>
      <c r="AD56" s="455" t="str">
        <f>IF(AD39=0,"",AD54*$AH$30)</f>
        <v/>
      </c>
      <c r="AE56" s="71" t="s">
        <v>9</v>
      </c>
      <c r="AF56" s="1057"/>
      <c r="AG56" s="513" t="s">
        <v>299</v>
      </c>
      <c r="AH56" s="1197">
        <v>20</v>
      </c>
      <c r="AI56" s="1198"/>
      <c r="AJ56" s="178" t="s">
        <v>5</v>
      </c>
      <c r="AK56" s="1122"/>
      <c r="AL56" s="1123"/>
      <c r="AM56" s="1124"/>
      <c r="AN56" s="1113">
        <f>AH53+AH58</f>
        <v>136842.10526315789</v>
      </c>
      <c r="AO56" s="1114"/>
      <c r="AP56" s="174" t="s">
        <v>303</v>
      </c>
      <c r="AQ56" s="347"/>
      <c r="AR56" s="347"/>
      <c r="AS56" s="180"/>
      <c r="AT56" s="180"/>
      <c r="AU56" s="180"/>
      <c r="AV56" s="180"/>
      <c r="AW56" s="180"/>
      <c r="AX56" s="180"/>
      <c r="AY56" s="180"/>
      <c r="AZ56" s="180"/>
      <c r="BA56" s="180"/>
      <c r="BB56" s="180"/>
      <c r="BC56" s="180"/>
      <c r="BD56" s="180"/>
      <c r="BE56" s="180"/>
      <c r="BF56" s="350"/>
    </row>
    <row r="57" spans="1:58" ht="25.15" customHeight="1" thickTop="1" thickBot="1" x14ac:dyDescent="0.3">
      <c r="A57" s="1384"/>
      <c r="B57" s="1352"/>
      <c r="C57" s="1250"/>
      <c r="D57" s="1250"/>
      <c r="E57" s="1362" t="str">
        <f>IF(B3="6x2",(E55+F55+G55+H55+I55+K55),"")</f>
        <v/>
      </c>
      <c r="F57" s="1363"/>
      <c r="G57" s="1363"/>
      <c r="H57" s="1363"/>
      <c r="I57" s="1363"/>
      <c r="J57" s="1363"/>
      <c r="K57" s="1363"/>
      <c r="L57" s="1363"/>
      <c r="M57" s="1364"/>
      <c r="N57" s="1359" t="str">
        <f>IF(B3="6x2",(N55+Q55),"")</f>
        <v/>
      </c>
      <c r="O57" s="1360"/>
      <c r="P57" s="1360"/>
      <c r="Q57" s="1361"/>
      <c r="R57" s="133"/>
      <c r="S57" s="1236"/>
      <c r="T57" s="61"/>
      <c r="U57" s="180"/>
      <c r="V57" s="180"/>
      <c r="W57" s="180"/>
      <c r="X57" s="180"/>
      <c r="Y57" s="180"/>
      <c r="Z57" s="180"/>
      <c r="AA57" s="185"/>
      <c r="AB57" s="320"/>
      <c r="AC57" s="320"/>
      <c r="AD57" s="320"/>
      <c r="AE57" s="320"/>
      <c r="AF57" s="182"/>
      <c r="AG57" s="514" t="s">
        <v>86</v>
      </c>
      <c r="AH57" s="1125">
        <f>IF(AH56=0,"0",(1000000/(AH56*AI48))/2)</f>
        <v>66666.666666666672</v>
      </c>
      <c r="AI57" s="1126"/>
      <c r="AJ57" s="172" t="s">
        <v>55</v>
      </c>
      <c r="AK57" s="1122"/>
      <c r="AL57" s="1123"/>
      <c r="AM57" s="1124"/>
      <c r="AN57" s="620">
        <f>AH54+AH59</f>
        <v>1.5052631578947369</v>
      </c>
      <c r="AO57" s="621" t="str">
        <f>IF(AI50=0,"",AI54+AI59)</f>
        <v/>
      </c>
      <c r="AP57" s="820" t="str">
        <f>IF(AN57&lt;1,"sac","sacs")</f>
        <v>sacs</v>
      </c>
      <c r="AQ57" s="819"/>
      <c r="AR57" s="348"/>
      <c r="AS57" s="180"/>
      <c r="AT57" s="180"/>
      <c r="AU57" s="180"/>
      <c r="AV57" s="180"/>
      <c r="AW57" s="180"/>
      <c r="AX57" s="180"/>
      <c r="AY57" s="180"/>
      <c r="AZ57" s="180"/>
      <c r="BA57" s="180"/>
      <c r="BB57" s="180"/>
      <c r="BC57" s="180"/>
      <c r="BD57" s="180"/>
      <c r="BE57" s="180"/>
      <c r="BF57" s="350"/>
    </row>
    <row r="58" spans="1:58" ht="25.15" customHeight="1" thickBot="1" x14ac:dyDescent="0.3">
      <c r="A58" s="1384"/>
      <c r="B58" s="1352"/>
      <c r="C58" s="1250"/>
      <c r="D58" s="1250"/>
      <c r="E58" s="1254" t="str">
        <f>IF(B3="6x2",(E57/E50),"")</f>
        <v/>
      </c>
      <c r="F58" s="1255"/>
      <c r="G58" s="1255"/>
      <c r="H58" s="1255"/>
      <c r="I58" s="1255"/>
      <c r="J58" s="1255"/>
      <c r="K58" s="1255"/>
      <c r="L58" s="1255"/>
      <c r="M58" s="1256"/>
      <c r="N58" s="1356" t="str">
        <f>IF(B3="6x2",(N57/E50),"")</f>
        <v/>
      </c>
      <c r="O58" s="1357"/>
      <c r="P58" s="1357"/>
      <c r="Q58" s="1358"/>
      <c r="R58" s="66"/>
      <c r="S58" s="1236"/>
      <c r="T58" s="22"/>
      <c r="U58" s="180"/>
      <c r="V58" s="1226" t="s">
        <v>85</v>
      </c>
      <c r="W58" s="1227"/>
      <c r="X58" s="1228"/>
      <c r="Y58" s="1234" t="str">
        <f>IF($Z58&lt;0,"","+")</f>
        <v>+</v>
      </c>
      <c r="Z58" s="1224">
        <f>IF(B3="6x2",
AVERAGE($Z$44,$Z$50),
IF(B3="4x2",
AVERAGE($Z$44,$Z$50),
AVERAGE($Z$44,$Z$50,Z56)))</f>
        <v>3.0959464939150878E-2</v>
      </c>
      <c r="AA58" s="182"/>
      <c r="AB58" s="319"/>
      <c r="AC58" s="319"/>
      <c r="AD58" s="321"/>
      <c r="AE58" s="320"/>
      <c r="AF58" s="182"/>
      <c r="AG58" s="607" t="s">
        <v>259</v>
      </c>
      <c r="AH58" s="1113">
        <f>$AH$57*$AI$47</f>
        <v>66666.666666666672</v>
      </c>
      <c r="AI58" s="1114"/>
      <c r="AJ58" s="173" t="s">
        <v>56</v>
      </c>
      <c r="AK58" s="1122"/>
      <c r="AL58" s="1123"/>
      <c r="AM58" s="1124"/>
      <c r="AN58" s="615">
        <f>AN57/AI47</f>
        <v>1.5052631578947369</v>
      </c>
      <c r="AO58" s="609" t="str">
        <f>IF(AI50=0,"",AO57/AI47)</f>
        <v/>
      </c>
      <c r="AP58" s="616" t="s">
        <v>121</v>
      </c>
      <c r="AQ58" s="180"/>
      <c r="AR58" s="180"/>
      <c r="AS58" s="180"/>
      <c r="AT58" s="180"/>
      <c r="AU58" s="180"/>
      <c r="AV58" s="180"/>
      <c r="AW58" s="180"/>
      <c r="AX58" s="180"/>
      <c r="AY58" s="180"/>
      <c r="AZ58" s="180"/>
      <c r="BA58" s="180"/>
      <c r="BB58" s="180"/>
      <c r="BC58" s="180"/>
      <c r="BD58" s="180"/>
      <c r="BE58" s="180"/>
      <c r="BF58" s="350"/>
    </row>
    <row r="59" spans="1:58" ht="25.15" customHeight="1" thickBot="1" x14ac:dyDescent="0.45">
      <c r="A59" s="1384"/>
      <c r="B59" s="137"/>
      <c r="C59" s="137"/>
      <c r="D59" s="137"/>
      <c r="E59" s="137"/>
      <c r="F59" s="137"/>
      <c r="G59" s="137"/>
      <c r="H59" s="137"/>
      <c r="I59" s="137"/>
      <c r="J59" s="137"/>
      <c r="K59" s="137"/>
      <c r="L59" s="137"/>
      <c r="M59" s="137"/>
      <c r="N59" s="137"/>
      <c r="O59" s="137"/>
      <c r="P59" s="137"/>
      <c r="Q59" s="137"/>
      <c r="R59" s="137"/>
      <c r="S59" s="137"/>
      <c r="T59" s="22"/>
      <c r="U59" s="180"/>
      <c r="V59" s="1229"/>
      <c r="W59" s="1230"/>
      <c r="X59" s="1231"/>
      <c r="Y59" s="1235"/>
      <c r="Z59" s="1225"/>
      <c r="AA59" s="182"/>
      <c r="AB59" s="321"/>
      <c r="AC59" s="321"/>
      <c r="AD59" s="321"/>
      <c r="AE59" s="320"/>
      <c r="AF59" s="182"/>
      <c r="AG59" s="515" t="s">
        <v>300</v>
      </c>
      <c r="AH59" s="594">
        <f>$AH$58/$AH$34</f>
        <v>0.73333333333333339</v>
      </c>
      <c r="AI59" s="595" t="str">
        <f>IF(AI50=0,"",$AH$58/AI34)</f>
        <v/>
      </c>
      <c r="AJ59" s="72" t="str">
        <f>IF(AH59&lt;=1,"sac","sacs")</f>
        <v>sac</v>
      </c>
      <c r="AK59" s="600"/>
      <c r="AL59" s="348"/>
      <c r="AM59" s="602"/>
      <c r="AN59" s="614">
        <f>AH55+AH60</f>
        <v>30.105263157894736</v>
      </c>
      <c r="AO59" s="613" t="str">
        <f>IF(AI50=0,"",AI60+AI55)</f>
        <v/>
      </c>
      <c r="AP59" s="175" t="s">
        <v>9</v>
      </c>
      <c r="AQ59" s="180"/>
      <c r="AR59" s="180"/>
      <c r="AS59" s="180"/>
      <c r="AT59" s="180"/>
      <c r="AU59" s="180"/>
      <c r="AV59" s="180"/>
      <c r="AW59" s="180"/>
      <c r="AX59" s="180"/>
      <c r="AY59" s="180"/>
      <c r="AZ59" s="180"/>
      <c r="BA59" s="180"/>
      <c r="BB59" s="180"/>
      <c r="BC59" s="180"/>
      <c r="BD59" s="180"/>
      <c r="BE59" s="180"/>
      <c r="BF59" s="350"/>
    </row>
    <row r="60" spans="1:58" ht="25.15" customHeight="1" thickBot="1" x14ac:dyDescent="0.3">
      <c r="A60" s="1384"/>
      <c r="B60" s="516"/>
      <c r="C60" s="516"/>
      <c r="D60" s="516"/>
      <c r="E60" s="516"/>
      <c r="F60" s="516"/>
      <c r="G60" s="516"/>
      <c r="H60" s="516"/>
      <c r="I60" s="516"/>
      <c r="J60" s="516"/>
      <c r="K60" s="516"/>
      <c r="L60" s="516"/>
      <c r="M60" s="516"/>
      <c r="N60" s="516"/>
      <c r="O60" s="516"/>
      <c r="P60" s="516"/>
      <c r="Q60" s="516"/>
      <c r="R60" s="516"/>
      <c r="S60" s="516"/>
      <c r="T60" s="22"/>
      <c r="U60" s="180"/>
      <c r="V60" s="639"/>
      <c r="W60" s="639"/>
      <c r="X60" s="639"/>
      <c r="Y60" s="640"/>
      <c r="Z60" s="641"/>
      <c r="AA60" s="182"/>
      <c r="AB60" s="321"/>
      <c r="AC60" s="321"/>
      <c r="AD60" s="321"/>
      <c r="AE60" s="320"/>
      <c r="AF60" s="182"/>
      <c r="AG60" s="512" t="s">
        <v>13</v>
      </c>
      <c r="AH60" s="596">
        <f>$AH$59*$AH$30</f>
        <v>14.666666666666668</v>
      </c>
      <c r="AI60" s="597" t="str">
        <f>IF(AI50=0,"",AI59*$AH$30)</f>
        <v/>
      </c>
      <c r="AJ60" s="159" t="s">
        <v>9</v>
      </c>
      <c r="AK60" s="1109"/>
      <c r="AL60" s="1110"/>
      <c r="AM60" s="1110"/>
      <c r="AN60" s="610"/>
      <c r="AO60" s="601"/>
      <c r="AP60" s="611"/>
      <c r="AQ60" s="180"/>
      <c r="AR60" s="180"/>
      <c r="AS60" s="180"/>
      <c r="AT60" s="180"/>
      <c r="AU60" s="180"/>
      <c r="AV60" s="180"/>
      <c r="AW60" s="180"/>
      <c r="AX60" s="180"/>
      <c r="AY60" s="180"/>
      <c r="AZ60" s="180"/>
      <c r="BA60" s="180"/>
      <c r="BB60" s="180"/>
      <c r="BC60" s="180"/>
      <c r="BD60" s="180"/>
      <c r="BE60" s="180"/>
      <c r="BF60" s="350"/>
    </row>
    <row r="61" spans="1:58" ht="25.35" customHeight="1" thickTop="1" thickBot="1" x14ac:dyDescent="0.3">
      <c r="A61" s="1385"/>
      <c r="B61" s="211"/>
      <c r="C61" s="212"/>
      <c r="D61" s="212"/>
      <c r="E61" s="212"/>
      <c r="F61" s="212"/>
      <c r="G61" s="212"/>
      <c r="H61" s="212"/>
      <c r="I61" s="212"/>
      <c r="J61" s="212"/>
      <c r="K61" s="212"/>
      <c r="L61" s="212"/>
      <c r="M61" s="212"/>
      <c r="N61" s="212"/>
      <c r="O61" s="212"/>
      <c r="P61" s="212"/>
      <c r="Q61" s="212"/>
      <c r="R61" s="212"/>
      <c r="S61" s="212"/>
      <c r="T61" s="57"/>
      <c r="U61" s="184"/>
      <c r="V61" s="184"/>
      <c r="W61" s="184"/>
      <c r="X61" s="183"/>
      <c r="Y61" s="183"/>
      <c r="Z61" s="183"/>
      <c r="AA61" s="183"/>
      <c r="AB61" s="318"/>
      <c r="AC61" s="318"/>
      <c r="AD61" s="183"/>
      <c r="AE61" s="183"/>
      <c r="AF61" s="183"/>
      <c r="AG61" s="183"/>
      <c r="AH61" s="183"/>
      <c r="AI61" s="183"/>
      <c r="AJ61" s="183"/>
      <c r="AK61" s="183"/>
      <c r="AL61" s="183"/>
      <c r="AM61" s="183"/>
      <c r="AN61" s="183"/>
      <c r="AO61" s="183"/>
      <c r="AP61" s="183"/>
      <c r="AQ61" s="184"/>
      <c r="AR61" s="184"/>
      <c r="AS61" s="355"/>
      <c r="AT61" s="355"/>
      <c r="AU61" s="184"/>
      <c r="AV61" s="184"/>
      <c r="AW61" s="184"/>
      <c r="AX61" s="184"/>
      <c r="AY61" s="184"/>
      <c r="AZ61" s="184"/>
      <c r="BA61" s="184"/>
      <c r="BB61" s="184"/>
      <c r="BC61" s="184"/>
      <c r="BD61" s="184"/>
      <c r="BE61" s="184"/>
      <c r="BF61" s="356"/>
    </row>
    <row r="62" spans="1:58" ht="25.35" customHeight="1" x14ac:dyDescent="0.25">
      <c r="A62" s="156"/>
      <c r="B62" s="210"/>
      <c r="C62" s="207"/>
      <c r="D62" s="207"/>
      <c r="E62" s="207"/>
      <c r="F62" s="207"/>
      <c r="G62" s="207"/>
      <c r="H62" s="207"/>
      <c r="I62" s="207"/>
      <c r="J62" s="207"/>
      <c r="K62" s="207"/>
      <c r="L62" s="207"/>
      <c r="M62" s="207"/>
      <c r="N62" s="207"/>
      <c r="O62" s="207"/>
      <c r="P62" s="207"/>
      <c r="Q62" s="207"/>
      <c r="R62" s="207"/>
      <c r="S62" s="207"/>
      <c r="T62" s="61"/>
      <c r="U62" s="361"/>
      <c r="V62" s="361"/>
      <c r="W62" s="361"/>
      <c r="X62" s="361"/>
      <c r="Y62" s="361"/>
      <c r="Z62" s="361"/>
      <c r="AA62" s="361"/>
      <c r="AB62" s="361"/>
      <c r="AC62" s="361"/>
      <c r="AD62" s="361"/>
      <c r="AE62" s="361"/>
      <c r="AF62" s="361"/>
      <c r="AG62" s="361"/>
      <c r="AH62" s="361"/>
      <c r="AI62" s="361"/>
      <c r="AJ62" s="361"/>
      <c r="AK62" s="361"/>
      <c r="AL62" s="361"/>
      <c r="AM62" s="361"/>
      <c r="AN62" s="361"/>
      <c r="AO62" s="361"/>
      <c r="AP62" s="361"/>
      <c r="AQ62" s="361"/>
      <c r="AR62" s="361"/>
      <c r="AS62" s="362"/>
      <c r="AT62" s="213"/>
      <c r="AU62" s="214"/>
      <c r="AV62" s="214"/>
      <c r="AW62" s="214"/>
      <c r="AX62" s="214"/>
      <c r="AY62" s="214"/>
      <c r="AZ62" s="214"/>
      <c r="BA62" s="214"/>
      <c r="BB62" s="214"/>
      <c r="BC62" s="214"/>
      <c r="BD62" s="214"/>
      <c r="BE62" s="214"/>
    </row>
    <row r="63" spans="1:58" ht="25.15" customHeight="1" x14ac:dyDescent="0.25">
      <c r="A63" s="156"/>
      <c r="B63" s="210"/>
      <c r="C63" s="207"/>
      <c r="D63" s="207"/>
      <c r="E63" s="207"/>
      <c r="F63" s="207"/>
      <c r="G63" s="207"/>
      <c r="H63" s="207"/>
      <c r="I63" s="207"/>
      <c r="J63" s="207"/>
      <c r="K63" s="207"/>
      <c r="L63" s="207"/>
      <c r="M63" s="207"/>
      <c r="N63" s="207"/>
      <c r="O63" s="207"/>
      <c r="P63" s="207"/>
      <c r="Q63" s="207"/>
      <c r="R63" s="207"/>
      <c r="S63" s="207"/>
      <c r="T63" s="61"/>
      <c r="U63" s="361"/>
      <c r="V63" s="361"/>
      <c r="W63" s="361"/>
      <c r="X63" s="361"/>
      <c r="Y63" s="361"/>
      <c r="Z63" s="361"/>
      <c r="AA63" s="361"/>
      <c r="AB63" s="361"/>
      <c r="AC63" s="361"/>
      <c r="AD63" s="361"/>
      <c r="AE63" s="361"/>
      <c r="AF63" s="361"/>
      <c r="AG63" s="363"/>
      <c r="AH63" s="363"/>
      <c r="AI63" s="361"/>
      <c r="AJ63" s="361"/>
      <c r="AK63" s="361"/>
      <c r="AL63" s="361"/>
      <c r="AM63" s="361"/>
      <c r="AN63" s="361"/>
      <c r="AO63" s="361"/>
      <c r="AP63" s="361"/>
      <c r="AQ63" s="361"/>
      <c r="AR63" s="361"/>
      <c r="AS63" s="364"/>
      <c r="AT63" s="364"/>
      <c r="AU63" s="214"/>
      <c r="AV63" s="214"/>
      <c r="AW63" s="214"/>
      <c r="AX63" s="214"/>
      <c r="AY63" s="214"/>
      <c r="AZ63" s="214"/>
      <c r="BA63" s="214"/>
      <c r="BB63" s="214"/>
      <c r="BC63" s="214"/>
      <c r="BD63" s="214"/>
      <c r="BE63" s="214"/>
    </row>
    <row r="64" spans="1:58" ht="25.15" customHeight="1" x14ac:dyDescent="0.35">
      <c r="A64" s="156"/>
      <c r="B64" s="210"/>
      <c r="C64" s="207"/>
      <c r="D64" s="207"/>
      <c r="E64" s="207"/>
      <c r="F64" s="207"/>
      <c r="G64" s="207"/>
      <c r="H64" s="207"/>
      <c r="I64" s="207"/>
      <c r="J64" s="207"/>
      <c r="K64" s="207"/>
      <c r="L64" s="207"/>
      <c r="M64" s="207"/>
      <c r="N64" s="207"/>
      <c r="O64" s="207"/>
      <c r="P64" s="207"/>
      <c r="Q64" s="207"/>
      <c r="R64" s="207"/>
      <c r="S64" s="207"/>
      <c r="T64" s="61"/>
      <c r="U64" s="361"/>
      <c r="V64" s="361"/>
      <c r="W64" s="361"/>
      <c r="X64" s="361"/>
      <c r="Y64" s="361"/>
      <c r="Z64" s="361"/>
      <c r="AA64" s="361"/>
      <c r="AB64" s="361"/>
      <c r="AC64" s="361"/>
      <c r="AD64" s="361"/>
      <c r="AE64" s="361"/>
      <c r="AF64" s="361"/>
      <c r="AG64" s="365"/>
      <c r="AH64" s="366"/>
      <c r="AI64" s="367"/>
      <c r="AJ64" s="367"/>
      <c r="AK64" s="367"/>
      <c r="AL64" s="361"/>
      <c r="AM64" s="361"/>
      <c r="AN64" s="361"/>
      <c r="AO64" s="361"/>
      <c r="AP64" s="361"/>
      <c r="AQ64" s="361"/>
      <c r="AR64" s="361"/>
      <c r="AS64" s="364"/>
      <c r="AT64" s="364"/>
      <c r="AU64" s="214"/>
      <c r="AV64" s="214"/>
      <c r="AW64" s="214"/>
      <c r="AX64" s="214"/>
      <c r="AY64" s="214"/>
      <c r="AZ64" s="214"/>
      <c r="BA64" s="214"/>
      <c r="BB64" s="214"/>
      <c r="BC64" s="214"/>
      <c r="BD64" s="214"/>
      <c r="BE64" s="214"/>
    </row>
    <row r="65" spans="1:57" ht="10.15" customHeight="1" x14ac:dyDescent="0.25">
      <c r="A65" s="156"/>
      <c r="B65" s="210"/>
      <c r="C65" s="207"/>
      <c r="D65" s="207"/>
      <c r="E65" s="207"/>
      <c r="F65" s="207"/>
      <c r="G65" s="207"/>
      <c r="H65" s="207"/>
      <c r="I65" s="207"/>
      <c r="J65" s="207"/>
      <c r="K65" s="207"/>
      <c r="L65" s="207"/>
      <c r="M65" s="207"/>
      <c r="N65" s="207"/>
      <c r="O65" s="207"/>
      <c r="P65" s="207"/>
      <c r="Q65" s="207"/>
      <c r="R65" s="207"/>
      <c r="S65" s="207"/>
      <c r="T65" s="61"/>
      <c r="U65" s="361"/>
      <c r="V65" s="361"/>
      <c r="W65" s="361"/>
      <c r="X65" s="361"/>
      <c r="Y65" s="361"/>
      <c r="Z65" s="361"/>
      <c r="AA65" s="361"/>
      <c r="AB65" s="361"/>
      <c r="AC65" s="361"/>
      <c r="AD65" s="361"/>
      <c r="AE65" s="361"/>
      <c r="AF65" s="361"/>
      <c r="AG65" s="361"/>
      <c r="AH65" s="361"/>
      <c r="AI65" s="361"/>
      <c r="AJ65" s="361"/>
      <c r="AK65" s="361"/>
      <c r="AL65" s="361"/>
      <c r="AM65" s="361"/>
      <c r="AN65" s="361"/>
      <c r="AO65" s="361"/>
      <c r="AP65" s="361"/>
      <c r="AQ65" s="361"/>
      <c r="AR65" s="361"/>
      <c r="AS65" s="364"/>
      <c r="AT65" s="364"/>
      <c r="AU65" s="214"/>
      <c r="AV65" s="214"/>
      <c r="AW65" s="214"/>
      <c r="AX65" s="214"/>
      <c r="AY65" s="214"/>
      <c r="AZ65" s="214"/>
      <c r="BA65" s="214"/>
      <c r="BB65" s="214"/>
      <c r="BC65" s="214"/>
      <c r="BD65" s="214"/>
      <c r="BE65" s="214"/>
    </row>
    <row r="66" spans="1:57" ht="25.15" customHeight="1" x14ac:dyDescent="0.25">
      <c r="A66" s="156"/>
      <c r="T66" s="65"/>
      <c r="U66" s="158"/>
      <c r="V66" s="158"/>
      <c r="W66" s="158"/>
      <c r="X66" s="158"/>
      <c r="Y66" s="158"/>
      <c r="Z66" s="158"/>
      <c r="AA66" s="158"/>
      <c r="AB66" s="158"/>
      <c r="AC66" s="158"/>
      <c r="AD66" s="158"/>
      <c r="AE66" s="158"/>
      <c r="AF66" s="158"/>
      <c r="AG66" s="158"/>
      <c r="AH66" s="158"/>
      <c r="AI66" s="158"/>
      <c r="AJ66" s="158"/>
      <c r="AK66" s="158"/>
      <c r="AL66" s="158"/>
      <c r="AM66" s="158"/>
      <c r="AN66" s="158"/>
      <c r="AO66" s="158"/>
      <c r="AP66" s="158"/>
      <c r="AQ66" s="158"/>
      <c r="AR66" s="158"/>
      <c r="AS66" s="167"/>
      <c r="AT66" s="14"/>
    </row>
    <row r="67" spans="1:57" ht="25.15" customHeight="1" x14ac:dyDescent="0.25">
      <c r="A67" s="156"/>
      <c r="T67" s="65"/>
      <c r="U67" s="158"/>
      <c r="V67" s="158"/>
      <c r="W67" s="158"/>
      <c r="X67" s="158"/>
      <c r="Y67" s="158"/>
      <c r="Z67" s="158"/>
      <c r="AA67" s="158"/>
      <c r="AB67" s="158"/>
      <c r="AC67" s="158"/>
      <c r="AD67" s="158"/>
      <c r="AE67" s="158"/>
      <c r="AF67" s="158"/>
      <c r="AG67" s="158"/>
      <c r="AH67" s="158"/>
      <c r="AI67" s="158"/>
      <c r="AJ67" s="158"/>
      <c r="AK67" s="158"/>
      <c r="AL67" s="158"/>
      <c r="AM67" s="158"/>
      <c r="AN67" s="158"/>
      <c r="AO67" s="158"/>
      <c r="AP67" s="158"/>
      <c r="AQ67" s="158"/>
      <c r="AR67" s="158"/>
      <c r="AS67" s="167"/>
      <c r="AT67" s="14"/>
    </row>
    <row r="68" spans="1:57" ht="25.15" customHeight="1" thickBot="1" x14ac:dyDescent="0.3">
      <c r="A68" s="157"/>
      <c r="T68" s="65"/>
      <c r="U68" s="158"/>
      <c r="V68" s="158"/>
      <c r="W68" s="158"/>
      <c r="X68" s="158"/>
      <c r="Y68" s="158"/>
      <c r="Z68" s="158"/>
      <c r="AA68" s="158"/>
      <c r="AB68" s="158"/>
      <c r="AC68" s="158"/>
      <c r="AD68" s="158"/>
      <c r="AE68" s="158"/>
      <c r="AF68" s="158"/>
      <c r="AG68" s="158"/>
      <c r="AH68" s="158"/>
      <c r="AI68" s="158"/>
      <c r="AJ68" s="158"/>
      <c r="AK68" s="158"/>
      <c r="AL68" s="158"/>
      <c r="AM68" s="158"/>
      <c r="AN68" s="158"/>
      <c r="AO68" s="158"/>
      <c r="AP68" s="158"/>
      <c r="AQ68" s="158"/>
      <c r="AR68" s="158"/>
      <c r="AS68" s="166"/>
      <c r="AT68" s="13"/>
    </row>
    <row r="69" spans="1:57" ht="25.15" customHeight="1" x14ac:dyDescent="0.25">
      <c r="T69" s="44"/>
      <c r="U69" s="42"/>
      <c r="V69" s="42"/>
      <c r="W69" s="42"/>
      <c r="Y69" s="155"/>
      <c r="Z69" s="154"/>
      <c r="AA69" s="163"/>
      <c r="AB69" s="154"/>
      <c r="AC69" s="154"/>
      <c r="AD69" s="154"/>
      <c r="AE69" s="154"/>
      <c r="AF69" s="30"/>
      <c r="AG69" s="30"/>
      <c r="AH69" s="30"/>
      <c r="AI69" s="30"/>
      <c r="AJ69" s="30"/>
      <c r="AK69" s="30"/>
      <c r="AL69" s="31"/>
      <c r="AM69" s="31"/>
      <c r="AN69" s="30"/>
      <c r="AO69" s="30"/>
      <c r="AP69" s="32"/>
      <c r="AQ69" s="33"/>
      <c r="AR69" s="33"/>
      <c r="AS69" s="168"/>
      <c r="AT69" s="3"/>
    </row>
    <row r="70" spans="1:57" ht="25.15" customHeight="1" x14ac:dyDescent="0.25">
      <c r="Q70" s="43"/>
      <c r="R70" s="43"/>
      <c r="S70" s="43"/>
      <c r="T70" s="44"/>
      <c r="U70" s="42"/>
      <c r="V70" s="42"/>
      <c r="W70" s="42"/>
      <c r="Y70" s="155"/>
      <c r="Z70" s="154"/>
      <c r="AA70" s="163"/>
      <c r="AB70" s="154"/>
      <c r="AC70" s="154"/>
      <c r="AD70" s="154"/>
      <c r="AE70" s="154"/>
      <c r="AF70" s="32"/>
      <c r="AG70" s="30"/>
      <c r="AH70" s="30"/>
      <c r="AI70" s="30"/>
      <c r="AJ70" s="30"/>
      <c r="AK70" s="30"/>
      <c r="AL70" s="35"/>
      <c r="AM70" s="35"/>
      <c r="AN70" s="36"/>
      <c r="AO70" s="37"/>
      <c r="AP70" s="32"/>
      <c r="AQ70" s="31"/>
      <c r="AR70" s="31"/>
      <c r="AS70" s="168"/>
      <c r="AT70" s="3"/>
    </row>
    <row r="71" spans="1:57" ht="10.15" customHeight="1" x14ac:dyDescent="0.25">
      <c r="Q71" s="43"/>
      <c r="R71" s="43"/>
      <c r="S71" s="43"/>
      <c r="T71" s="44"/>
      <c r="U71" s="42"/>
      <c r="V71" s="42"/>
      <c r="W71" s="42"/>
      <c r="Y71" s="155"/>
      <c r="Z71" s="154"/>
      <c r="AA71" s="30"/>
      <c r="AB71" s="30"/>
      <c r="AC71" s="30"/>
      <c r="AD71" s="30"/>
      <c r="AE71" s="30"/>
      <c r="AF71" s="38"/>
      <c r="AG71" s="30"/>
      <c r="AH71" s="30"/>
      <c r="AI71" s="30"/>
      <c r="AJ71" s="30"/>
      <c r="AK71" s="30"/>
      <c r="AL71" s="39"/>
      <c r="AM71" s="39"/>
      <c r="AN71" s="30"/>
      <c r="AO71" s="30"/>
      <c r="AP71" s="30"/>
      <c r="AQ71" s="39"/>
      <c r="AR71" s="39"/>
      <c r="AS71" s="168"/>
      <c r="AT71" s="3"/>
    </row>
    <row r="72" spans="1:57" ht="25.15" customHeight="1" x14ac:dyDescent="0.25">
      <c r="Q72" s="43"/>
      <c r="R72" s="43"/>
      <c r="S72" s="43"/>
      <c r="T72" s="44"/>
      <c r="U72" s="42"/>
      <c r="V72" s="42"/>
      <c r="W72" s="42"/>
      <c r="Y72" s="155"/>
      <c r="Z72" s="154"/>
      <c r="AA72" s="30"/>
      <c r="AB72" s="30"/>
      <c r="AC72" s="30"/>
      <c r="AD72" s="30"/>
      <c r="AE72" s="30"/>
      <c r="AF72" s="38"/>
      <c r="AG72" s="30"/>
      <c r="AH72" s="30"/>
      <c r="AI72" s="30"/>
      <c r="AJ72" s="30"/>
      <c r="AK72" s="30"/>
      <c r="AL72" s="40"/>
      <c r="AM72" s="40"/>
      <c r="AN72" s="30"/>
      <c r="AO72" s="30"/>
      <c r="AP72" s="30"/>
      <c r="AQ72" s="40"/>
      <c r="AR72" s="40"/>
      <c r="AS72" s="165"/>
      <c r="AT72" s="10"/>
    </row>
    <row r="73" spans="1:57" ht="30" customHeight="1" x14ac:dyDescent="0.25">
      <c r="Q73" s="43"/>
      <c r="R73" s="43"/>
      <c r="S73" s="43"/>
      <c r="T73" s="44"/>
      <c r="U73" s="42"/>
      <c r="V73" s="42"/>
      <c r="W73" s="42"/>
      <c r="X73" s="30"/>
      <c r="Y73" s="30"/>
      <c r="Z73" s="30"/>
      <c r="AA73" s="30"/>
      <c r="AB73" s="30"/>
      <c r="AC73" s="30"/>
      <c r="AD73" s="30"/>
      <c r="AE73" s="30"/>
      <c r="AF73" s="38"/>
      <c r="AG73" s="30"/>
      <c r="AH73" s="30"/>
      <c r="AI73" s="30"/>
      <c r="AJ73" s="30"/>
      <c r="AK73" s="30"/>
      <c r="AL73" s="40"/>
      <c r="AR73" s="1"/>
    </row>
    <row r="74" spans="1:57" ht="30" customHeight="1" x14ac:dyDescent="0.25">
      <c r="Q74" s="43"/>
      <c r="R74" s="43"/>
      <c r="S74" s="43"/>
      <c r="T74" s="44"/>
      <c r="U74" s="42"/>
      <c r="V74" s="42"/>
      <c r="W74" s="42"/>
      <c r="X74" s="30"/>
      <c r="Y74" s="30"/>
      <c r="Z74" s="30"/>
      <c r="AA74" s="30"/>
      <c r="AB74" s="30"/>
      <c r="AC74" s="30"/>
      <c r="AD74" s="30"/>
      <c r="AE74" s="30"/>
      <c r="AF74" s="38"/>
      <c r="AG74" s="30"/>
      <c r="AH74" s="30"/>
      <c r="AI74" s="30"/>
      <c r="AJ74" s="30"/>
      <c r="AK74" s="30"/>
      <c r="AL74" s="41"/>
      <c r="AR74" s="1"/>
    </row>
    <row r="75" spans="1:57" ht="30" customHeight="1" x14ac:dyDescent="0.25">
      <c r="Q75" s="43"/>
      <c r="R75" s="43"/>
      <c r="S75" s="43"/>
      <c r="T75" s="44"/>
      <c r="U75" s="42"/>
      <c r="V75" s="42"/>
      <c r="W75" s="42"/>
      <c r="X75" s="30"/>
      <c r="Y75" s="30"/>
      <c r="Z75" s="30"/>
      <c r="AA75" s="30"/>
      <c r="AB75" s="30"/>
      <c r="AC75" s="30"/>
      <c r="AD75" s="30"/>
      <c r="AE75" s="30"/>
      <c r="AF75" s="38"/>
      <c r="AG75" s="30"/>
      <c r="AH75" s="30"/>
      <c r="AI75" s="30"/>
      <c r="AJ75" s="30"/>
      <c r="AK75" s="30"/>
      <c r="AL75" s="41"/>
      <c r="AR75" s="1"/>
    </row>
    <row r="76" spans="1:57" ht="14.45" customHeight="1" x14ac:dyDescent="0.25">
      <c r="Q76" s="43"/>
      <c r="R76" s="43"/>
      <c r="S76" s="43"/>
      <c r="T76" s="44"/>
      <c r="U76" s="42"/>
      <c r="V76" s="42"/>
      <c r="W76" s="42"/>
      <c r="X76" s="30"/>
      <c r="Y76" s="30"/>
      <c r="Z76" s="30"/>
      <c r="AA76" s="30"/>
      <c r="AB76" s="34"/>
      <c r="AC76" s="34"/>
      <c r="AD76" s="36"/>
      <c r="AE76" s="37"/>
      <c r="AF76" s="38"/>
      <c r="AG76" s="30"/>
      <c r="AH76" s="30"/>
      <c r="AI76" s="30"/>
      <c r="AJ76" s="30"/>
      <c r="AK76" s="30"/>
      <c r="AL76" s="41"/>
      <c r="AR76" s="1"/>
    </row>
    <row r="77" spans="1:57" ht="40.15" customHeight="1" x14ac:dyDescent="0.25">
      <c r="Q77" s="43"/>
      <c r="R77" s="43"/>
      <c r="S77" s="43"/>
      <c r="T77" s="44"/>
      <c r="U77" s="42"/>
      <c r="V77" s="42"/>
      <c r="W77" s="42"/>
      <c r="X77" s="30"/>
      <c r="Y77" s="30"/>
      <c r="Z77" s="30"/>
      <c r="AA77" s="30"/>
      <c r="AB77" s="30"/>
      <c r="AC77" s="30"/>
      <c r="AD77" s="30"/>
      <c r="AE77" s="30"/>
      <c r="AF77" s="38"/>
      <c r="AG77" s="30"/>
      <c r="AH77" s="30"/>
      <c r="AI77" s="30"/>
      <c r="AJ77" s="30"/>
      <c r="AK77" s="30"/>
      <c r="AL77" s="31"/>
      <c r="AR77" s="1"/>
    </row>
    <row r="78" spans="1:57" ht="7.9" customHeight="1" x14ac:dyDescent="0.25">
      <c r="Q78" s="43"/>
      <c r="R78" s="43"/>
      <c r="S78" s="43"/>
      <c r="T78" s="44"/>
      <c r="U78" s="42"/>
      <c r="V78" s="42"/>
      <c r="W78" s="42"/>
      <c r="X78" s="45"/>
      <c r="Y78" s="46"/>
      <c r="Z78" s="47"/>
      <c r="AA78" s="42"/>
      <c r="AB78" s="42"/>
      <c r="AC78" s="42"/>
      <c r="AD78" s="42"/>
      <c r="AE78" s="42"/>
      <c r="AF78" s="42"/>
      <c r="AG78" s="48"/>
      <c r="AH78" s="49"/>
      <c r="AI78" s="49"/>
      <c r="AJ78" s="49"/>
      <c r="AK78" s="49"/>
      <c r="AL78" s="50"/>
      <c r="AM78" s="50"/>
      <c r="AN78" s="50"/>
      <c r="AO78" s="50"/>
      <c r="AP78" s="51"/>
      <c r="AQ78" s="42"/>
      <c r="AS78" s="42"/>
    </row>
    <row r="79" spans="1:57" ht="40.15" customHeight="1" x14ac:dyDescent="0.25">
      <c r="Q79" s="43"/>
      <c r="R79" s="43"/>
      <c r="S79" s="43"/>
      <c r="T79" s="44"/>
      <c r="U79" s="42"/>
      <c r="V79" s="42"/>
      <c r="W79" s="42"/>
      <c r="X79" s="42"/>
      <c r="Y79" s="42"/>
      <c r="Z79" s="42"/>
      <c r="AA79" s="42"/>
      <c r="AB79" s="42"/>
      <c r="AC79" s="42"/>
      <c r="AD79" s="42"/>
      <c r="AE79" s="42"/>
      <c r="AF79" s="42"/>
      <c r="AG79" s="48"/>
      <c r="AH79" s="49"/>
      <c r="AI79" s="49"/>
      <c r="AJ79" s="49"/>
      <c r="AK79" s="49"/>
      <c r="AL79" s="50"/>
      <c r="AM79" s="50"/>
      <c r="AN79" s="50"/>
      <c r="AO79" s="50"/>
      <c r="AP79" s="51"/>
      <c r="AQ79" s="42"/>
      <c r="AS79" s="42"/>
    </row>
    <row r="80" spans="1:57" ht="40.15" customHeight="1" x14ac:dyDescent="0.25">
      <c r="Q80" s="43"/>
      <c r="R80" s="43"/>
      <c r="S80" s="43"/>
      <c r="T80" s="44"/>
      <c r="U80" s="42"/>
      <c r="V80" s="42"/>
      <c r="W80" s="42"/>
      <c r="X80" s="42"/>
      <c r="Y80" s="42"/>
      <c r="Z80" s="42"/>
      <c r="AA80" s="42"/>
      <c r="AB80" s="42"/>
      <c r="AC80" s="42"/>
      <c r="AD80" s="42"/>
      <c r="AE80" s="42"/>
      <c r="AF80" s="42"/>
      <c r="AG80" s="42"/>
      <c r="AH80" s="42"/>
      <c r="AI80" s="42"/>
      <c r="AJ80" s="42"/>
      <c r="AK80" s="42"/>
      <c r="AL80" s="42"/>
      <c r="AM80" s="42"/>
      <c r="AN80" s="42"/>
      <c r="AO80" s="42"/>
      <c r="AP80" s="42"/>
      <c r="AQ80" s="42"/>
      <c r="AS80" s="42"/>
    </row>
    <row r="81" spans="17:45" ht="30" customHeight="1" x14ac:dyDescent="0.25">
      <c r="Q81" s="43"/>
      <c r="R81" s="43"/>
      <c r="S81" s="43"/>
      <c r="T81" s="43"/>
      <c r="U81" s="42"/>
      <c r="V81" s="42"/>
      <c r="W81" s="42"/>
      <c r="X81" s="42"/>
      <c r="Y81" s="42"/>
      <c r="Z81" s="42"/>
      <c r="AA81" s="42"/>
      <c r="AB81" s="42"/>
      <c r="AC81" s="42"/>
      <c r="AD81" s="42"/>
      <c r="AE81" s="42"/>
      <c r="AF81" s="42"/>
      <c r="AG81" s="42"/>
      <c r="AH81" s="42"/>
      <c r="AI81" s="42"/>
      <c r="AJ81" s="42"/>
      <c r="AK81" s="42"/>
      <c r="AL81" s="42"/>
      <c r="AM81" s="42"/>
      <c r="AN81" s="42"/>
      <c r="AO81" s="42"/>
      <c r="AP81" s="42"/>
      <c r="AQ81" s="42"/>
      <c r="AS81" s="42"/>
    </row>
    <row r="82" spans="17:45" ht="30" customHeight="1" x14ac:dyDescent="0.25">
      <c r="Q82" s="43"/>
      <c r="R82" s="43"/>
      <c r="S82" s="43"/>
      <c r="T82" s="43"/>
      <c r="U82" s="42"/>
      <c r="V82" s="42"/>
      <c r="W82" s="42"/>
      <c r="X82" s="42"/>
      <c r="Y82" s="42"/>
      <c r="Z82" s="42"/>
      <c r="AA82" s="42"/>
      <c r="AB82" s="42"/>
      <c r="AC82" s="42"/>
      <c r="AD82" s="42"/>
      <c r="AE82" s="42"/>
      <c r="AF82" s="42"/>
      <c r="AG82" s="42"/>
      <c r="AH82" s="42"/>
      <c r="AI82" s="42"/>
      <c r="AJ82" s="42"/>
      <c r="AK82" s="42"/>
      <c r="AL82" s="42"/>
      <c r="AM82" s="42"/>
      <c r="AN82" s="42"/>
      <c r="AO82" s="42"/>
      <c r="AP82" s="42"/>
      <c r="AQ82" s="42"/>
      <c r="AS82" s="42"/>
    </row>
    <row r="83" spans="17:45" ht="30" customHeight="1" x14ac:dyDescent="0.25">
      <c r="Q83" s="43"/>
      <c r="R83" s="43"/>
      <c r="S83" s="43"/>
      <c r="T83" s="43"/>
      <c r="U83" s="42"/>
      <c r="V83" s="42"/>
      <c r="W83" s="42"/>
      <c r="X83" s="42"/>
      <c r="Y83" s="42"/>
      <c r="Z83" s="42"/>
      <c r="AA83" s="42"/>
      <c r="AB83" s="42"/>
      <c r="AC83" s="42"/>
      <c r="AD83" s="42"/>
      <c r="AE83" s="42"/>
      <c r="AF83" s="42"/>
      <c r="AG83" s="42"/>
      <c r="AH83" s="42"/>
      <c r="AI83" s="42"/>
      <c r="AJ83" s="42"/>
      <c r="AK83" s="42"/>
      <c r="AL83" s="42"/>
      <c r="AM83" s="42"/>
      <c r="AN83" s="42"/>
      <c r="AO83" s="42"/>
      <c r="AP83" s="42"/>
      <c r="AQ83" s="42"/>
      <c r="AS83" s="42"/>
    </row>
    <row r="84" spans="17:45" ht="14.45" customHeight="1" x14ac:dyDescent="0.25">
      <c r="Q84" s="43"/>
      <c r="R84" s="43"/>
      <c r="S84" s="43"/>
      <c r="T84" s="43"/>
      <c r="U84" s="42"/>
      <c r="V84" s="42"/>
      <c r="W84" s="42"/>
      <c r="X84" s="42"/>
      <c r="Y84" s="42"/>
      <c r="Z84" s="42"/>
      <c r="AA84" s="42"/>
      <c r="AB84" s="42"/>
      <c r="AC84" s="42"/>
      <c r="AD84" s="42"/>
      <c r="AE84" s="42"/>
      <c r="AF84" s="42"/>
      <c r="AG84" s="42"/>
      <c r="AH84" s="42"/>
      <c r="AI84" s="42"/>
      <c r="AJ84" s="42"/>
      <c r="AK84" s="42"/>
      <c r="AL84" s="42"/>
      <c r="AM84" s="42"/>
      <c r="AN84" s="42"/>
      <c r="AO84" s="42"/>
      <c r="AP84" s="42"/>
      <c r="AQ84" s="42"/>
      <c r="AS84" s="42"/>
    </row>
    <row r="85" spans="17:45" ht="40.15" customHeight="1" x14ac:dyDescent="0.25">
      <c r="Q85" s="43"/>
      <c r="R85" s="43"/>
      <c r="S85" s="43"/>
      <c r="T85" s="43"/>
      <c r="U85" s="42"/>
      <c r="V85" s="42"/>
      <c r="W85" s="42"/>
      <c r="X85" s="42"/>
      <c r="Y85" s="42"/>
      <c r="Z85" s="42"/>
      <c r="AA85" s="42"/>
      <c r="AB85" s="42"/>
      <c r="AC85" s="42"/>
      <c r="AD85" s="42"/>
      <c r="AE85" s="42"/>
      <c r="AF85" s="42"/>
      <c r="AG85" s="42"/>
      <c r="AH85" s="42"/>
      <c r="AI85" s="42"/>
      <c r="AJ85" s="42"/>
      <c r="AK85" s="42"/>
      <c r="AL85" s="42"/>
      <c r="AM85" s="42"/>
      <c r="AN85" s="42"/>
      <c r="AO85" s="42"/>
      <c r="AP85" s="42"/>
      <c r="AQ85" s="42"/>
      <c r="AS85" s="42"/>
    </row>
    <row r="86" spans="17:45" ht="7.9" customHeight="1" x14ac:dyDescent="0.25">
      <c r="Q86" s="43"/>
      <c r="R86" s="43"/>
      <c r="S86" s="43"/>
      <c r="T86" s="43"/>
      <c r="U86" s="42"/>
      <c r="V86" s="42"/>
      <c r="W86" s="42"/>
      <c r="X86" s="42"/>
      <c r="Y86" s="42"/>
      <c r="Z86" s="42"/>
      <c r="AA86" s="42"/>
      <c r="AB86" s="42"/>
      <c r="AC86" s="42"/>
      <c r="AD86" s="42"/>
      <c r="AE86" s="42"/>
      <c r="AF86" s="42"/>
      <c r="AG86" s="42"/>
      <c r="AH86" s="42"/>
      <c r="AI86" s="42"/>
      <c r="AJ86" s="42"/>
      <c r="AK86" s="42"/>
      <c r="AL86" s="42"/>
      <c r="AM86" s="42"/>
      <c r="AN86" s="42"/>
      <c r="AO86" s="42"/>
      <c r="AP86" s="42"/>
      <c r="AQ86" s="42"/>
      <c r="AS86" s="42"/>
    </row>
    <row r="87" spans="17:45" ht="40.15" customHeight="1" x14ac:dyDescent="0.25">
      <c r="Q87" s="43"/>
      <c r="R87" s="43"/>
      <c r="S87" s="43"/>
      <c r="T87" s="43"/>
      <c r="U87" s="42"/>
      <c r="V87" s="42"/>
      <c r="W87" s="42"/>
      <c r="X87" s="42"/>
      <c r="Y87" s="42"/>
      <c r="Z87" s="42"/>
      <c r="AA87" s="42"/>
      <c r="AB87" s="42"/>
      <c r="AC87" s="42"/>
      <c r="AD87" s="42"/>
      <c r="AE87" s="42"/>
      <c r="AF87" s="42"/>
      <c r="AG87" s="42"/>
      <c r="AH87" s="42"/>
      <c r="AI87" s="42"/>
      <c r="AJ87" s="42"/>
      <c r="AK87" s="42"/>
      <c r="AL87" s="42"/>
      <c r="AM87" s="42"/>
      <c r="AN87" s="42"/>
      <c r="AO87" s="42"/>
      <c r="AP87" s="42"/>
      <c r="AQ87" s="42"/>
      <c r="AS87" s="42"/>
    </row>
    <row r="88" spans="17:45" ht="40.15" customHeight="1" x14ac:dyDescent="0.25">
      <c r="Q88" s="43"/>
      <c r="R88" s="43"/>
      <c r="S88" s="43"/>
      <c r="T88" s="43"/>
      <c r="U88" s="42"/>
      <c r="V88" s="42"/>
      <c r="W88" s="42"/>
      <c r="X88" s="42"/>
      <c r="Y88" s="42"/>
      <c r="Z88" s="42"/>
      <c r="AA88" s="42"/>
      <c r="AB88" s="42"/>
      <c r="AC88" s="42"/>
      <c r="AD88" s="42"/>
      <c r="AE88" s="42"/>
      <c r="AF88" s="42"/>
      <c r="AG88" s="42"/>
      <c r="AH88" s="42"/>
      <c r="AI88" s="42"/>
      <c r="AJ88" s="42"/>
      <c r="AK88" s="42"/>
      <c r="AL88" s="42"/>
      <c r="AM88" s="42"/>
      <c r="AN88" s="42"/>
      <c r="AO88" s="42"/>
      <c r="AP88" s="42"/>
      <c r="AQ88" s="42"/>
    </row>
    <row r="89" spans="17:45" ht="30" customHeight="1" x14ac:dyDescent="0.25">
      <c r="Q89" s="43"/>
      <c r="R89" s="43"/>
      <c r="S89" s="43"/>
      <c r="T89" s="43"/>
      <c r="U89" s="42"/>
      <c r="V89" s="42"/>
      <c r="W89" s="42"/>
      <c r="X89" s="42"/>
      <c r="Y89" s="42"/>
      <c r="Z89" s="42"/>
      <c r="AA89" s="42"/>
      <c r="AB89" s="42"/>
      <c r="AC89" s="42"/>
      <c r="AD89" s="42"/>
      <c r="AE89" s="42"/>
      <c r="AF89" s="42"/>
      <c r="AG89" s="42"/>
      <c r="AH89" s="42"/>
      <c r="AI89" s="42"/>
      <c r="AJ89" s="42"/>
      <c r="AK89" s="42"/>
      <c r="AL89" s="42"/>
      <c r="AM89" s="42"/>
      <c r="AN89" s="42"/>
      <c r="AO89" s="42"/>
      <c r="AP89" s="42"/>
      <c r="AQ89" s="42"/>
    </row>
    <row r="90" spans="17:45" ht="30" customHeight="1" x14ac:dyDescent="0.25">
      <c r="Q90" s="43"/>
      <c r="R90" s="43"/>
      <c r="S90" s="43"/>
      <c r="T90" s="43"/>
      <c r="U90" s="42"/>
      <c r="V90" s="42"/>
      <c r="W90" s="42"/>
      <c r="X90" s="42"/>
      <c r="Y90" s="42"/>
      <c r="Z90" s="42"/>
      <c r="AA90" s="42"/>
      <c r="AB90" s="42"/>
      <c r="AC90" s="42"/>
      <c r="AD90" s="42"/>
      <c r="AE90" s="42"/>
      <c r="AF90" s="42"/>
      <c r="AG90" s="42"/>
      <c r="AH90" s="42"/>
      <c r="AI90" s="42"/>
      <c r="AJ90" s="42"/>
      <c r="AK90" s="42"/>
      <c r="AL90" s="42"/>
      <c r="AM90" s="42"/>
      <c r="AN90" s="42"/>
      <c r="AO90" s="42"/>
      <c r="AP90" s="42"/>
      <c r="AQ90" s="42"/>
    </row>
    <row r="91" spans="17:45" ht="30" customHeight="1" x14ac:dyDescent="0.25">
      <c r="Q91" s="43"/>
      <c r="R91" s="43"/>
      <c r="S91" s="43"/>
      <c r="T91" s="43"/>
      <c r="U91" s="42"/>
      <c r="V91" s="42"/>
      <c r="W91" s="42"/>
      <c r="X91" s="42"/>
      <c r="Y91" s="42"/>
      <c r="Z91" s="42"/>
      <c r="AA91" s="42"/>
      <c r="AB91" s="42"/>
      <c r="AC91" s="42"/>
      <c r="AD91" s="42"/>
      <c r="AE91" s="42"/>
      <c r="AF91" s="42"/>
      <c r="AG91" s="42"/>
      <c r="AH91" s="42"/>
      <c r="AI91" s="42"/>
      <c r="AJ91" s="42"/>
      <c r="AK91" s="42"/>
      <c r="AL91" s="42"/>
      <c r="AM91" s="42"/>
      <c r="AN91" s="42"/>
      <c r="AO91" s="42"/>
      <c r="AP91" s="42"/>
      <c r="AQ91" s="42"/>
    </row>
    <row r="92" spans="17:45" ht="14.45" customHeight="1" x14ac:dyDescent="0.25">
      <c r="Q92" s="43"/>
      <c r="R92" s="43"/>
      <c r="S92" s="43"/>
      <c r="T92" s="43"/>
      <c r="U92" s="42"/>
      <c r="V92" s="42"/>
      <c r="W92" s="42"/>
      <c r="X92" s="42"/>
      <c r="Y92" s="52"/>
      <c r="Z92" s="42"/>
      <c r="AA92" s="42"/>
      <c r="AB92" s="42"/>
      <c r="AC92" s="42"/>
      <c r="AD92" s="42"/>
      <c r="AE92" s="42"/>
      <c r="AF92" s="42"/>
      <c r="AG92" s="42"/>
      <c r="AH92" s="42"/>
      <c r="AI92" s="42"/>
      <c r="AJ92" s="42"/>
      <c r="AK92" s="42"/>
      <c r="AL92" s="42"/>
      <c r="AM92" s="42"/>
      <c r="AN92" s="42"/>
      <c r="AO92" s="42"/>
      <c r="AP92" s="42"/>
      <c r="AQ92" s="42"/>
    </row>
    <row r="93" spans="17:45" ht="29.25" customHeight="1" x14ac:dyDescent="0.25">
      <c r="Q93" s="43"/>
      <c r="R93" s="43"/>
      <c r="S93" s="43"/>
      <c r="T93" s="43"/>
      <c r="U93" s="42"/>
      <c r="V93" s="42"/>
      <c r="W93" s="42"/>
      <c r="X93" s="42"/>
      <c r="Y93" s="52"/>
      <c r="Z93" s="42"/>
      <c r="AA93" s="42"/>
      <c r="AB93" s="42"/>
      <c r="AC93" s="42"/>
      <c r="AD93" s="42"/>
      <c r="AE93" s="42"/>
      <c r="AF93" s="42"/>
      <c r="AG93" s="42"/>
      <c r="AH93" s="42"/>
      <c r="AI93" s="42"/>
      <c r="AJ93" s="42"/>
      <c r="AK93" s="42"/>
      <c r="AL93" s="42"/>
      <c r="AM93" s="42"/>
      <c r="AN93" s="42"/>
      <c r="AO93" s="42"/>
      <c r="AP93" s="42"/>
      <c r="AQ93" s="42"/>
    </row>
    <row r="94" spans="17:45" ht="15.6" customHeight="1" x14ac:dyDescent="0.25">
      <c r="Q94" s="43"/>
      <c r="R94" s="43"/>
      <c r="S94" s="43"/>
      <c r="T94" s="43"/>
      <c r="U94" s="42"/>
      <c r="V94" s="42"/>
      <c r="W94" s="42"/>
      <c r="X94" s="42"/>
      <c r="Y94" s="52"/>
      <c r="Z94" s="42"/>
      <c r="AA94" s="42"/>
      <c r="AB94" s="42"/>
      <c r="AC94" s="42"/>
      <c r="AD94" s="42"/>
      <c r="AE94" s="42"/>
      <c r="AF94" s="42"/>
      <c r="AG94" s="53"/>
      <c r="AH94" s="53"/>
      <c r="AI94" s="53"/>
      <c r="AJ94" s="53"/>
      <c r="AK94" s="53"/>
      <c r="AL94" s="54"/>
      <c r="AM94" s="54"/>
      <c r="AN94" s="55"/>
      <c r="AO94" s="42"/>
      <c r="AP94" s="56"/>
      <c r="AQ94" s="53"/>
      <c r="AR94" s="53"/>
    </row>
    <row r="95" spans="17:45" ht="14.45" customHeight="1" x14ac:dyDescent="0.25">
      <c r="Q95" s="43"/>
      <c r="R95" s="43"/>
      <c r="S95" s="43"/>
      <c r="T95" s="43"/>
      <c r="U95" s="42"/>
      <c r="V95" s="42"/>
      <c r="W95" s="42"/>
      <c r="X95" s="42"/>
      <c r="Y95" s="52"/>
      <c r="Z95" s="42"/>
      <c r="AA95" s="42"/>
      <c r="AB95" s="42"/>
      <c r="AC95" s="42"/>
      <c r="AD95" s="42"/>
      <c r="AE95" s="42"/>
      <c r="AF95" s="42"/>
      <c r="AG95" s="48"/>
      <c r="AH95" s="54"/>
      <c r="AI95" s="54"/>
      <c r="AJ95" s="54"/>
      <c r="AK95" s="54"/>
      <c r="AL95" s="54"/>
      <c r="AM95" s="54"/>
      <c r="AN95" s="54"/>
      <c r="AO95" s="54"/>
      <c r="AP95" s="54"/>
      <c r="AQ95" s="54"/>
      <c r="AR95" s="54"/>
    </row>
    <row r="96" spans="17:45" ht="14.45" customHeight="1" x14ac:dyDescent="0.25">
      <c r="Q96" s="43"/>
      <c r="R96" s="43"/>
      <c r="S96" s="43"/>
      <c r="T96" s="43"/>
      <c r="U96" s="42"/>
      <c r="V96" s="42"/>
      <c r="W96" s="42"/>
      <c r="X96" s="42"/>
      <c r="Y96" s="52"/>
      <c r="Z96" s="42"/>
      <c r="AA96" s="42"/>
      <c r="AB96" s="42"/>
      <c r="AC96" s="42"/>
      <c r="AD96" s="42"/>
      <c r="AE96" s="42"/>
      <c r="AF96" s="42"/>
      <c r="AG96" s="48"/>
      <c r="AH96" s="54"/>
      <c r="AI96" s="54"/>
      <c r="AJ96" s="54"/>
      <c r="AK96" s="54"/>
      <c r="AL96" s="54"/>
      <c r="AM96" s="54"/>
      <c r="AN96" s="54"/>
      <c r="AO96" s="54"/>
      <c r="AP96" s="54"/>
      <c r="AQ96" s="54"/>
      <c r="AR96" s="54"/>
    </row>
    <row r="97" spans="17:44" ht="14.45" customHeight="1" x14ac:dyDescent="0.25">
      <c r="Q97" s="43"/>
      <c r="R97" s="43"/>
      <c r="S97" s="43"/>
      <c r="T97" s="43"/>
      <c r="U97" s="42"/>
      <c r="V97" s="42"/>
      <c r="W97" s="42"/>
      <c r="X97" s="42"/>
      <c r="Y97" s="52"/>
      <c r="Z97" s="42"/>
      <c r="AA97" s="42"/>
      <c r="AB97" s="42"/>
      <c r="AC97" s="42"/>
      <c r="AD97" s="42"/>
      <c r="AE97" s="42"/>
      <c r="AF97" s="42"/>
      <c r="AG97" s="48"/>
      <c r="AH97" s="54"/>
      <c r="AI97" s="54"/>
      <c r="AJ97" s="54"/>
      <c r="AK97" s="54"/>
      <c r="AL97" s="54"/>
      <c r="AM97" s="54"/>
      <c r="AN97" s="54"/>
      <c r="AO97" s="54"/>
      <c r="AP97" s="54"/>
      <c r="AQ97" s="54"/>
      <c r="AR97" s="54"/>
    </row>
    <row r="98" spans="17:44" ht="14.45" customHeight="1" x14ac:dyDescent="0.25">
      <c r="Q98" s="43"/>
      <c r="R98" s="43"/>
      <c r="S98" s="43"/>
      <c r="T98" s="43"/>
      <c r="U98" s="42"/>
      <c r="V98" s="42"/>
      <c r="W98" s="42"/>
      <c r="X98" s="42"/>
      <c r="Y98" s="52"/>
      <c r="Z98" s="42"/>
      <c r="AA98" s="42"/>
      <c r="AB98" s="42"/>
      <c r="AC98" s="42"/>
      <c r="AD98" s="42"/>
      <c r="AE98" s="42"/>
      <c r="AF98" s="42"/>
      <c r="AG98" s="48"/>
      <c r="AH98" s="54"/>
      <c r="AI98" s="54"/>
      <c r="AJ98" s="54"/>
      <c r="AK98" s="54"/>
      <c r="AL98" s="54"/>
      <c r="AM98" s="54"/>
      <c r="AN98" s="54"/>
      <c r="AO98" s="54"/>
      <c r="AP98" s="54"/>
      <c r="AQ98" s="54"/>
      <c r="AR98" s="54"/>
    </row>
    <row r="99" spans="17:44" ht="14.45" customHeight="1" x14ac:dyDescent="0.25">
      <c r="Q99" s="43"/>
      <c r="R99" s="43"/>
      <c r="S99" s="43"/>
      <c r="T99" s="43"/>
      <c r="U99" s="42"/>
      <c r="V99" s="42"/>
      <c r="W99" s="42"/>
      <c r="X99" s="42"/>
      <c r="Y99" s="52"/>
      <c r="Z99" s="42"/>
      <c r="AA99" s="42"/>
      <c r="AB99" s="42"/>
      <c r="AC99" s="42"/>
      <c r="AD99" s="42"/>
      <c r="AE99" s="42"/>
      <c r="AF99" s="42"/>
      <c r="AG99" s="48"/>
      <c r="AH99" s="54"/>
      <c r="AI99" s="54"/>
      <c r="AJ99" s="54"/>
      <c r="AK99" s="54"/>
      <c r="AL99" s="54"/>
      <c r="AM99" s="54"/>
      <c r="AN99" s="54"/>
      <c r="AO99" s="54"/>
      <c r="AP99" s="54"/>
      <c r="AQ99" s="54"/>
      <c r="AR99" s="54"/>
    </row>
    <row r="100" spans="17:44" ht="14.45" customHeight="1" x14ac:dyDescent="0.25">
      <c r="Q100" s="43"/>
      <c r="R100" s="43"/>
      <c r="S100" s="43"/>
      <c r="T100" s="43"/>
      <c r="U100" s="42"/>
      <c r="V100" s="42"/>
      <c r="W100" s="42"/>
      <c r="X100" s="42"/>
      <c r="Y100" s="52"/>
      <c r="Z100" s="42"/>
      <c r="AA100" s="42"/>
      <c r="AB100" s="42"/>
      <c r="AC100" s="42"/>
      <c r="AD100" s="42"/>
      <c r="AE100" s="42"/>
      <c r="AF100" s="42"/>
      <c r="AG100" s="48"/>
      <c r="AH100" s="54"/>
      <c r="AI100" s="54"/>
      <c r="AJ100" s="54"/>
      <c r="AK100" s="54"/>
      <c r="AL100" s="54"/>
      <c r="AM100" s="54"/>
      <c r="AN100" s="54"/>
      <c r="AO100" s="54"/>
      <c r="AP100" s="54"/>
      <c r="AQ100" s="54"/>
      <c r="AR100" s="54"/>
    </row>
    <row r="101" spans="17:44" ht="14.45" customHeight="1" x14ac:dyDescent="0.25">
      <c r="AG101" s="14"/>
      <c r="AH101" s="16"/>
      <c r="AI101" s="16"/>
      <c r="AJ101" s="16"/>
      <c r="AK101" s="16"/>
      <c r="AL101" s="15"/>
      <c r="AM101" s="15"/>
      <c r="AN101" s="16"/>
      <c r="AO101" s="16"/>
      <c r="AP101" s="16"/>
      <c r="AQ101" s="16"/>
      <c r="AR101" s="344"/>
    </row>
    <row r="102" spans="17:44" ht="14.45" customHeight="1" x14ac:dyDescent="0.25">
      <c r="AG102" s="14"/>
      <c r="AH102" s="16"/>
      <c r="AI102" s="16"/>
      <c r="AJ102" s="16"/>
      <c r="AK102" s="16"/>
      <c r="AL102" s="15"/>
      <c r="AM102" s="15"/>
      <c r="AN102" s="16"/>
      <c r="AO102" s="16"/>
      <c r="AP102" s="16"/>
      <c r="AQ102" s="16"/>
      <c r="AR102" s="344"/>
    </row>
    <row r="103" spans="17:44" ht="14.45" customHeight="1" x14ac:dyDescent="0.25">
      <c r="AG103" s="12"/>
      <c r="AH103" s="17"/>
      <c r="AI103" s="17"/>
      <c r="AJ103" s="17"/>
      <c r="AK103" s="17"/>
      <c r="AL103" s="15"/>
      <c r="AM103" s="15"/>
      <c r="AN103" s="17"/>
      <c r="AO103" s="17"/>
      <c r="AP103" s="16"/>
      <c r="AQ103" s="16"/>
      <c r="AR103" s="344"/>
    </row>
    <row r="104" spans="17:44" ht="15" customHeight="1" x14ac:dyDescent="0.25">
      <c r="AG104" s="18"/>
      <c r="AH104" s="19"/>
      <c r="AI104" s="20"/>
      <c r="AJ104" s="20"/>
      <c r="AK104" s="20"/>
      <c r="AL104" s="15"/>
      <c r="AM104" s="15"/>
      <c r="AN104" s="19"/>
      <c r="AO104" s="20"/>
      <c r="AP104" s="19"/>
      <c r="AQ104" s="20"/>
      <c r="AR104" s="345"/>
    </row>
    <row r="106" spans="17:44" x14ac:dyDescent="0.25">
      <c r="AH106" s="14"/>
      <c r="AI106" s="14"/>
      <c r="AJ106" s="14"/>
      <c r="AK106" s="14"/>
      <c r="AN106" s="16"/>
      <c r="AO106" s="16"/>
      <c r="AP106" s="16"/>
      <c r="AQ106" s="16"/>
      <c r="AR106" s="344"/>
    </row>
    <row r="107" spans="17:44" ht="14.45" customHeight="1" x14ac:dyDescent="0.25">
      <c r="AH107" s="14"/>
      <c r="AI107" s="14"/>
      <c r="AJ107" s="14"/>
      <c r="AK107" s="14"/>
      <c r="AN107" s="16"/>
      <c r="AO107" s="16"/>
      <c r="AP107" s="16"/>
      <c r="AQ107" s="16"/>
      <c r="AR107" s="344"/>
    </row>
  </sheetData>
  <protectedRanges>
    <protectedRange algorithmName="SHA-512" hashValue="XKvrRib6kVxts4Y/FHriRzYfSWmPYihNONSwfGi4RO5OhkG7TA4N+88YmAS64ZenUaEd6CcvTHRTk3l00mwLkQ==" saltValue="wsK+GlQJLa49zpwPOft0Rg==" spinCount="100000" sqref="B3:S5 AD9 Z33 AD30 X51:AA51 V44 AF20 AD14:AE14 AJ16:AK17 AG25:AL25 Z13 AE22 AD19:AE21 AE13:AF13 AF6:AF11 AB10:AE11 AE33:AE36 AO13:AP13 AN12:AP12 AM23 AB7:AB8 AD23:AE24 AB29:AE29 AG26:AG27 AH26:AH28 AB31:AE32 AD36 U45:Z45 AA25:AA37 AM27 V38 U39:Z39 AG6:AR6 AF34 AG61:AO61 AA58:AF61 AN57 AN52 AF36:AF37 AA52:AA57 AE12 AB12:AC15 AB33:AC36 AO9:AP9 AM11:AM17 AN15:AO15 AM7 AM29 AI26:AL26 AM25:AN26 AG64:AK64 AJ37:AK37 AM28:AN28 AO37:AP37 AB37:AE37 AC56 AS31:AS37 AJ44 AP59:AP61 BA31:BB31 BA33:BB33 AF39:AF57 AA39:AA50 X38:AK38 AN32 AN34 AN36 AM31:AM37 BB36:BC37 BA37 AZ31:AZ37 AP40 AO44:AP45 AO39:AP39 BA35:BB35 AP47:AP49 AL56:AL58 AY28:AY36 AM42 AP42 AL21:AL24 AC44 AC50 Y20 BB23 AG13:AH14 AG16:AH18 AG24:AK24 AJ13:AK14 AJ19:AK20 AB16:AD18 AG22:AK22 AH19:AH21 AI21 AB6:AC6 AG9:AH11 AH12:AI12 AI27:AI28 AJ27:AK32 AJ34:AK35 AG34:AH35 AG37:AH37 AH33:AI33 AE40:AE42 AB40:AC42 AC39:AD39 AB44:AB45 AE44:AE48 AE50:AE54 AB56:AB57 AE56:AE57 AC57:AD57 AC45:AD45 AC52:AC54 AC51:AD51 AS21 AB25:AE27 AO16:AP18 AE15:AF18 AF22:AF32 AV16:AW17 AQ25:AR26 AB23:AB24 AB19:AB21 AD6:AE8 AG7:AI7 AJ8:AK11 U6:U38 Y16:Z17 Y14:Z14 V13:V14 Y6:Z11 X6 V6:V11 X9 V16:V18 W22:W38 W6:W19 X28 Y25:Z32 X30 Y35:Z36 V35:V36 U40:U44 W40:W44 V40:V42 Y44:Z44 Y46:Z48 U46:U61 W46:W61 V46:V48 Y50:Z50 V50:V54 X59:X61 Y56:Z61 X57 V56:V61 X25:X26 V21:V33 AS29:AW29 AH39:AI39 AG44:AH44 AV37:AW37 AI40:AI44 AG19:AG20 AG30:AH32 AP21 AB46:AC48 AB50:AB54 AM9 AM21 AV9:AW9 AS9 AV13:AW13 AS16 AW7 AS23 AV23:AW24 AW21 AI18:AL18 BE23 AZ21 BB21:BC21 BE21 AT17 AS13:AS14 AS11 AW19 AO23:AP29 AR7:AR17 AO7:AQ7 AQ9:AQ17 AV11:AW11 AT12:AU12 AV14 AX15 AT15:AU15 AR49:AR61 AL39:AL46 AT32 AT34 AT36 AQ27:AQ38 AQ40:AQ61 AU44 AS42 AW42 AM44 AR44 AV44:AW45 Y52:Z54 Y40:Z42 AG58:AG60 AH50:AI50 AH59:AJ60 AK49:AO49 AK58:AK60 AG53:AG55 AJ54:AJ55 AN60:AO60 AG40:AH42 AK40:AK43 AJ40:AJ42 AK45 AN47:AO48 AM50:AM60 AP57 AN59 AO52:AP53 AN54:AO54 AZ27:BB28 AZ29:BE29 BD31:BE31 BD33:BE33 BC31:BC35 BD35:BE35 AK53:AK54 AA6:AA19 AA21:AA22" name="Plage1" securityDescriptor="O:WDG:WDD:(A;;CC;;;S-1-5-21-2033017805-1665091272-172311279-7998)(A;;CC;;;S-1-5-21-2033017805-1665091272-172311279-7938)(A;;CC;;;S-1-5-21-2033017805-1665091272-172311279-5591)(A;;CC;;;S-1-5-21-2033017805-1665091272-172311279-9378)"/>
    <protectedRange algorithmName="SHA-512" hashValue="XKvrRib6kVxts4Y/FHriRzYfSWmPYihNONSwfGi4RO5OhkG7TA4N+88YmAS64ZenUaEd6CcvTHRTk3l00mwLkQ==" saltValue="wsK+GlQJLa49zpwPOft0Rg==" spinCount="100000" sqref="AI47:AJ48 AG47:AG48" name="Plage1_1" securityDescriptor="O:WDG:WDD:(A;;CC;;;S-1-5-21-2033017805-1665091272-172311279-7998)(A;;CC;;;S-1-5-21-2033017805-1665091272-172311279-7938)(A;;CC;;;S-1-5-21-2033017805-1665091272-172311279-5591)(A;;CC;;;S-1-5-21-2033017805-1665091272-172311279-9378)"/>
    <protectedRange algorithmName="SHA-512" hashValue="XKvrRib6kVxts4Y/FHriRzYfSWmPYihNONSwfGi4RO5OhkG7TA4N+88YmAS64ZenUaEd6CcvTHRTk3l00mwLkQ==" saltValue="wsK+GlQJLa49zpwPOft0Rg==" spinCount="100000" sqref="AG51 AG56 AJ51:AJ52 AH51:AH52 AK50:AK51" name="Plage1_2" securityDescriptor="O:WDG:WDD:(A;;CC;;;S-1-5-21-2033017805-1665091272-172311279-7998)(A;;CC;;;S-1-5-21-2033017805-1665091272-172311279-7938)(A;;CC;;;S-1-5-21-2033017805-1665091272-172311279-5591)(A;;CC;;;S-1-5-21-2033017805-1665091272-172311279-9378)"/>
    <protectedRange algorithmName="SHA-512" hashValue="XKvrRib6kVxts4Y/FHriRzYfSWmPYihNONSwfGi4RO5OhkG7TA4N+88YmAS64ZenUaEd6CcvTHRTk3l00mwLkQ==" saltValue="wsK+GlQJLa49zpwPOft0Rg==" spinCount="100000" sqref="AJ56:AJ57 AG52 AP55 AH56:AH58 AG57 AI58 AK55:AK56 AN55:AN56" name="Plage1_3" securityDescriptor="O:WDG:WDD:(A;;CC;;;S-1-5-21-2033017805-1665091272-172311279-7998)(A;;CC;;;S-1-5-21-2033017805-1665091272-172311279-7938)(A;;CC;;;S-1-5-21-2033017805-1665091272-172311279-5591)(A;;CC;;;S-1-5-21-2033017805-1665091272-172311279-9378)"/>
    <protectedRange algorithmName="SHA-512" hashValue="XKvrRib6kVxts4Y/FHriRzYfSWmPYihNONSwfGi4RO5OhkG7TA4N+88YmAS64ZenUaEd6CcvTHRTk3l00mwLkQ==" saltValue="wsK+GlQJLa49zpwPOft0Rg==" spinCount="100000" sqref="AL7:AL17" name="Plage1_4" securityDescriptor="O:WDG:WDD:(A;;CC;;;S-1-5-21-2033017805-1665091272-172311279-7998)(A;;CC;;;S-1-5-21-2033017805-1665091272-172311279-7938)(A;;CC;;;S-1-5-21-2033017805-1665091272-172311279-5591)(A;;CC;;;S-1-5-21-2033017805-1665091272-172311279-9378)"/>
    <protectedRange algorithmName="SHA-512" hashValue="XKvrRib6kVxts4Y/FHriRzYfSWmPYihNONSwfGi4RO5OhkG7TA4N+88YmAS64ZenUaEd6CcvTHRTk3l00mwLkQ==" saltValue="wsK+GlQJLa49zpwPOft0Rg==" spinCount="100000" sqref="AL27:AL38" name="Plage1_5" securityDescriptor="O:WDG:WDD:(A;;CC;;;S-1-5-21-2033017805-1665091272-172311279-7998)(A;;CC;;;S-1-5-21-2033017805-1665091272-172311279-7938)(A;;CC;;;S-1-5-21-2033017805-1665091272-172311279-5591)(A;;CC;;;S-1-5-21-2033017805-1665091272-172311279-9378)"/>
  </protectedRanges>
  <dataConsolidate link="1"/>
  <mergeCells count="387">
    <mergeCell ref="AY20:BE20"/>
    <mergeCell ref="AV7:AW7"/>
    <mergeCell ref="AS7:AU7"/>
    <mergeCell ref="AM11:AU12"/>
    <mergeCell ref="AW11:AW12"/>
    <mergeCell ref="AV11:AV12"/>
    <mergeCell ref="AM14:AU15"/>
    <mergeCell ref="AW14:AW15"/>
    <mergeCell ref="AV14:AV15"/>
    <mergeCell ref="AP16:AQ16"/>
    <mergeCell ref="AP13:AQ13"/>
    <mergeCell ref="AP10:AQ10"/>
    <mergeCell ref="AP9:AQ9"/>
    <mergeCell ref="AV18:AW18"/>
    <mergeCell ref="AT18:AU18"/>
    <mergeCell ref="AM19:AW19"/>
    <mergeCell ref="AM18:AN18"/>
    <mergeCell ref="AP7:AQ7"/>
    <mergeCell ref="AS16:AU16"/>
    <mergeCell ref="AS13:AU13"/>
    <mergeCell ref="AS10:AU10"/>
    <mergeCell ref="AS9:AU9"/>
    <mergeCell ref="AM20:AX20"/>
    <mergeCell ref="AB14:AC14"/>
    <mergeCell ref="AB13:AC13"/>
    <mergeCell ref="AB12:AC12"/>
    <mergeCell ref="AP27:AP28"/>
    <mergeCell ref="AB23:AC23"/>
    <mergeCell ref="AB22:AC22"/>
    <mergeCell ref="AS21:AU21"/>
    <mergeCell ref="AS22:AU22"/>
    <mergeCell ref="AS24:AU24"/>
    <mergeCell ref="AB21:AC21"/>
    <mergeCell ref="AB19:AE19"/>
    <mergeCell ref="AS23:AU23"/>
    <mergeCell ref="AB27:AC28"/>
    <mergeCell ref="AF20:AF23"/>
    <mergeCell ref="AL18:AL24"/>
    <mergeCell ref="V7:X7"/>
    <mergeCell ref="V8:X9"/>
    <mergeCell ref="AA11:AA13"/>
    <mergeCell ref="X20:Z22"/>
    <mergeCell ref="X19:Z19"/>
    <mergeCell ref="V19:W19"/>
    <mergeCell ref="V25:AK25"/>
    <mergeCell ref="V17:AK18"/>
    <mergeCell ref="AK19:AK24"/>
    <mergeCell ref="AK7:AK16"/>
    <mergeCell ref="V23:Z23"/>
    <mergeCell ref="V24:AE24"/>
    <mergeCell ref="AB20:AC20"/>
    <mergeCell ref="AA14:AA16"/>
    <mergeCell ref="Z8:Z9"/>
    <mergeCell ref="AA19:AA22"/>
    <mergeCell ref="Y8:Y9"/>
    <mergeCell ref="AH9:AI9"/>
    <mergeCell ref="AI14:AI15"/>
    <mergeCell ref="AH11:AI11"/>
    <mergeCell ref="AO2:AQ2"/>
    <mergeCell ref="AL7:AL16"/>
    <mergeCell ref="AJ35:AJ36"/>
    <mergeCell ref="AH35:AH36"/>
    <mergeCell ref="AA41:AA44"/>
    <mergeCell ref="AG35:AG36"/>
    <mergeCell ref="AI27:AI28"/>
    <mergeCell ref="U1:AL2"/>
    <mergeCell ref="AH27:AH28"/>
    <mergeCell ref="AM27:AN28"/>
    <mergeCell ref="AM21:AN21"/>
    <mergeCell ref="Z27:Z28"/>
    <mergeCell ref="AH32:AI32"/>
    <mergeCell ref="AH31:AI31"/>
    <mergeCell ref="AH30:AI30"/>
    <mergeCell ref="Y29:Y30"/>
    <mergeCell ref="V6:AK6"/>
    <mergeCell ref="AA7:AA10"/>
    <mergeCell ref="AF7:AF9"/>
    <mergeCell ref="AG8:AJ8"/>
    <mergeCell ref="AB34:AC34"/>
    <mergeCell ref="AH10:AI10"/>
    <mergeCell ref="AB16:AC16"/>
    <mergeCell ref="AB15:AC15"/>
    <mergeCell ref="V20:W22"/>
    <mergeCell ref="AD9:AE9"/>
    <mergeCell ref="AM24:AN24"/>
    <mergeCell ref="AM23:AN23"/>
    <mergeCell ref="AB11:AC11"/>
    <mergeCell ref="AB9:AC9"/>
    <mergeCell ref="AM7:AN7"/>
    <mergeCell ref="AM16:AN16"/>
    <mergeCell ref="AM13:AN13"/>
    <mergeCell ref="AF11:AF16"/>
    <mergeCell ref="AB7:AC7"/>
    <mergeCell ref="AB10:AE10"/>
    <mergeCell ref="AM9:AN9"/>
    <mergeCell ref="AH14:AH15"/>
    <mergeCell ref="AJ14:AJ15"/>
    <mergeCell ref="AM10:AN10"/>
    <mergeCell ref="AB8:AC8"/>
    <mergeCell ref="AG14:AG15"/>
    <mergeCell ref="S29:S37"/>
    <mergeCell ref="S18:S27"/>
    <mergeCell ref="AG27:AG28"/>
    <mergeCell ref="AE27:AE28"/>
    <mergeCell ref="AD27:AD28"/>
    <mergeCell ref="Y27:Y28"/>
    <mergeCell ref="O32:P33"/>
    <mergeCell ref="I34:J35"/>
    <mergeCell ref="K34:M35"/>
    <mergeCell ref="N34:P35"/>
    <mergeCell ref="G31:M31"/>
    <mergeCell ref="G30:M30"/>
    <mergeCell ref="U6:U25"/>
    <mergeCell ref="K20:P20"/>
    <mergeCell ref="F20:J20"/>
    <mergeCell ref="I23:K25"/>
    <mergeCell ref="H23:H25"/>
    <mergeCell ref="K10:L11"/>
    <mergeCell ref="I10:J11"/>
    <mergeCell ref="G23:G25"/>
    <mergeCell ref="F23:F25"/>
    <mergeCell ref="M21:N22"/>
    <mergeCell ref="L27:R27"/>
    <mergeCell ref="G29:P29"/>
    <mergeCell ref="E34:F37"/>
    <mergeCell ref="E30:F33"/>
    <mergeCell ref="G37:M37"/>
    <mergeCell ref="G36:M36"/>
    <mergeCell ref="I53:J54"/>
    <mergeCell ref="E51:L51"/>
    <mergeCell ref="G43:G44"/>
    <mergeCell ref="H34:H35"/>
    <mergeCell ref="Q34:Q35"/>
    <mergeCell ref="K32:M33"/>
    <mergeCell ref="N32:N33"/>
    <mergeCell ref="G34:G35"/>
    <mergeCell ref="H32:H33"/>
    <mergeCell ref="I32:J33"/>
    <mergeCell ref="E45:E46"/>
    <mergeCell ref="K53:L54"/>
    <mergeCell ref="N36:Q36"/>
    <mergeCell ref="N37:Q37"/>
    <mergeCell ref="M51:P51"/>
    <mergeCell ref="E43:E44"/>
    <mergeCell ref="I43:J44"/>
    <mergeCell ref="A1:A3"/>
    <mergeCell ref="A4:T4"/>
    <mergeCell ref="Q2:S2"/>
    <mergeCell ref="Q3:S3"/>
    <mergeCell ref="T6:T8"/>
    <mergeCell ref="T1:T3"/>
    <mergeCell ref="B1:S1"/>
    <mergeCell ref="B2:E2"/>
    <mergeCell ref="F2:G2"/>
    <mergeCell ref="H2:I2"/>
    <mergeCell ref="M8:P8"/>
    <mergeCell ref="I8:L8"/>
    <mergeCell ref="I7:P7"/>
    <mergeCell ref="G8:H11"/>
    <mergeCell ref="O10:P11"/>
    <mergeCell ref="M10:N11"/>
    <mergeCell ref="K3:O3"/>
    <mergeCell ref="C7:F15"/>
    <mergeCell ref="A6:A61"/>
    <mergeCell ref="C41:C44"/>
    <mergeCell ref="B40:B48"/>
    <mergeCell ref="I9:L9"/>
    <mergeCell ref="M9:P9"/>
    <mergeCell ref="S7:S15"/>
    <mergeCell ref="B50:B58"/>
    <mergeCell ref="D43:D44"/>
    <mergeCell ref="M43:N44"/>
    <mergeCell ref="K43:L44"/>
    <mergeCell ref="H43:H44"/>
    <mergeCell ref="F43:F44"/>
    <mergeCell ref="C55:D58"/>
    <mergeCell ref="L47:R47"/>
    <mergeCell ref="N58:Q58"/>
    <mergeCell ref="E58:M58"/>
    <mergeCell ref="N57:Q57"/>
    <mergeCell ref="E57:M57"/>
    <mergeCell ref="E50:P50"/>
    <mergeCell ref="E52:L52"/>
    <mergeCell ref="O53:P54"/>
    <mergeCell ref="R45:R46"/>
    <mergeCell ref="G55:G56"/>
    <mergeCell ref="F55:F56"/>
    <mergeCell ref="E55:E56"/>
    <mergeCell ref="H53:H54"/>
    <mergeCell ref="G53:G54"/>
    <mergeCell ref="F53:F54"/>
    <mergeCell ref="E53:E54"/>
    <mergeCell ref="O43:P44"/>
    <mergeCell ref="K12:M13"/>
    <mergeCell ref="G7:H7"/>
    <mergeCell ref="P45:Q46"/>
    <mergeCell ref="L45:O46"/>
    <mergeCell ref="I45:K46"/>
    <mergeCell ref="H45:H46"/>
    <mergeCell ref="G45:G46"/>
    <mergeCell ref="F45:F46"/>
    <mergeCell ref="K2:O2"/>
    <mergeCell ref="J2:J3"/>
    <mergeCell ref="P2:P3"/>
    <mergeCell ref="B6:S6"/>
    <mergeCell ref="B3:E3"/>
    <mergeCell ref="F3:G3"/>
    <mergeCell ref="H3:I3"/>
    <mergeCell ref="G12:H15"/>
    <mergeCell ref="N15:Q15"/>
    <mergeCell ref="N14:Q14"/>
    <mergeCell ref="I15:M15"/>
    <mergeCell ref="I14:M14"/>
    <mergeCell ref="Q12:Q13"/>
    <mergeCell ref="I12:J13"/>
    <mergeCell ref="B7:B15"/>
    <mergeCell ref="N12:P13"/>
    <mergeCell ref="B29:B37"/>
    <mergeCell ref="G32:G33"/>
    <mergeCell ref="D19:E22"/>
    <mergeCell ref="C18:C27"/>
    <mergeCell ref="K19:P19"/>
    <mergeCell ref="F19:J19"/>
    <mergeCell ref="F18:P18"/>
    <mergeCell ref="L26:R26"/>
    <mergeCell ref="N30:P30"/>
    <mergeCell ref="K21:L22"/>
    <mergeCell ref="I21:J22"/>
    <mergeCell ref="H21:H22"/>
    <mergeCell ref="N31:P31"/>
    <mergeCell ref="O21:P22"/>
    <mergeCell ref="F21:F22"/>
    <mergeCell ref="D23:E27"/>
    <mergeCell ref="G21:G22"/>
    <mergeCell ref="B18:B27"/>
    <mergeCell ref="D18:E18"/>
    <mergeCell ref="F27:K27"/>
    <mergeCell ref="F26:K26"/>
    <mergeCell ref="R23:R25"/>
    <mergeCell ref="P23:Q25"/>
    <mergeCell ref="L23:O25"/>
    <mergeCell ref="AA47:AA50"/>
    <mergeCell ref="AA32:AA34"/>
    <mergeCell ref="AA35:AA37"/>
    <mergeCell ref="AF32:AF37"/>
    <mergeCell ref="T47:T56"/>
    <mergeCell ref="Z29:Z30"/>
    <mergeCell ref="AC47:AD47"/>
    <mergeCell ref="AC46:AD46"/>
    <mergeCell ref="AC53:AD53"/>
    <mergeCell ref="AB32:AC32"/>
    <mergeCell ref="V35:X35"/>
    <mergeCell ref="V36:X36"/>
    <mergeCell ref="V37:X37"/>
    <mergeCell ref="V40:Z40"/>
    <mergeCell ref="V34:X34"/>
    <mergeCell ref="V47:X47"/>
    <mergeCell ref="AC41:AD41"/>
    <mergeCell ref="AC40:AD40"/>
    <mergeCell ref="AB33:AC33"/>
    <mergeCell ref="AB37:AC37"/>
    <mergeCell ref="AB36:AC36"/>
    <mergeCell ref="AB35:AC35"/>
    <mergeCell ref="V48:X48"/>
    <mergeCell ref="AA53:AA56"/>
    <mergeCell ref="S40:S48"/>
    <mergeCell ref="S50:S58"/>
    <mergeCell ref="M52:P52"/>
    <mergeCell ref="H55:H56"/>
    <mergeCell ref="Q55:Q56"/>
    <mergeCell ref="N55:P56"/>
    <mergeCell ref="K55:M56"/>
    <mergeCell ref="I55:J56"/>
    <mergeCell ref="D47:K47"/>
    <mergeCell ref="C51:D54"/>
    <mergeCell ref="D41:J41"/>
    <mergeCell ref="D42:J42"/>
    <mergeCell ref="K42:P42"/>
    <mergeCell ref="L48:R48"/>
    <mergeCell ref="D48:K48"/>
    <mergeCell ref="D45:D46"/>
    <mergeCell ref="C45:C48"/>
    <mergeCell ref="K41:P41"/>
    <mergeCell ref="D40:P40"/>
    <mergeCell ref="Z58:Z59"/>
    <mergeCell ref="V52:Z52"/>
    <mergeCell ref="V53:X53"/>
    <mergeCell ref="V54:X54"/>
    <mergeCell ref="V55:X55"/>
    <mergeCell ref="V56:X56"/>
    <mergeCell ref="V58:X59"/>
    <mergeCell ref="M53:N54"/>
    <mergeCell ref="Y58:Y59"/>
    <mergeCell ref="AM44:AN44"/>
    <mergeCell ref="AH56:AI56"/>
    <mergeCell ref="AH51:AI51"/>
    <mergeCell ref="AH52:AI52"/>
    <mergeCell ref="AM29:AN29"/>
    <mergeCell ref="AL27:AL37"/>
    <mergeCell ref="AM39:AN39"/>
    <mergeCell ref="AM37:AN37"/>
    <mergeCell ref="AI35:AI36"/>
    <mergeCell ref="AM35:AN36"/>
    <mergeCell ref="AM33:AN34"/>
    <mergeCell ref="AM41:AW41"/>
    <mergeCell ref="AM40:AW40"/>
    <mergeCell ref="AM43:AN43"/>
    <mergeCell ref="AM42:AN42"/>
    <mergeCell ref="AS33:AU34"/>
    <mergeCell ref="AS31:AU32"/>
    <mergeCell ref="AS30:AU30"/>
    <mergeCell ref="AS29:AU29"/>
    <mergeCell ref="AV27:AW28"/>
    <mergeCell ref="AS27:AU28"/>
    <mergeCell ref="AM31:AN32"/>
    <mergeCell ref="U3:AM4"/>
    <mergeCell ref="V27:X28"/>
    <mergeCell ref="V46:Z46"/>
    <mergeCell ref="AH41:AI41"/>
    <mergeCell ref="AH20:AI20"/>
    <mergeCell ref="AH19:AI19"/>
    <mergeCell ref="AH40:AI40"/>
    <mergeCell ref="V41:X41"/>
    <mergeCell ref="V42:X42"/>
    <mergeCell ref="V43:X43"/>
    <mergeCell ref="V44:X44"/>
    <mergeCell ref="V16:X16"/>
    <mergeCell ref="V15:X15"/>
    <mergeCell ref="V14:X14"/>
    <mergeCell ref="V13:X13"/>
    <mergeCell ref="V12:X12"/>
    <mergeCell ref="V11:X11"/>
    <mergeCell ref="V10:X10"/>
    <mergeCell ref="AB30:AC30"/>
    <mergeCell ref="AB29:AC29"/>
    <mergeCell ref="AM30:AN30"/>
    <mergeCell ref="AD30:AE30"/>
    <mergeCell ref="AL39:AL45"/>
    <mergeCell ref="AM45:AN45"/>
    <mergeCell ref="AK60:AM60"/>
    <mergeCell ref="AK51:AM51"/>
    <mergeCell ref="AN56:AO56"/>
    <mergeCell ref="AN55:AO55"/>
    <mergeCell ref="AH58:AI58"/>
    <mergeCell ref="AY27:AY35"/>
    <mergeCell ref="BB27:BB28"/>
    <mergeCell ref="BA27:BA28"/>
    <mergeCell ref="AZ27:AZ28"/>
    <mergeCell ref="AK53:AM58"/>
    <mergeCell ref="AH57:AI57"/>
    <mergeCell ref="AG48:AH48"/>
    <mergeCell ref="AG47:AH47"/>
    <mergeCell ref="AH53:AI53"/>
    <mergeCell ref="AN52:AP53"/>
    <mergeCell ref="AO47:AP48"/>
    <mergeCell ref="AV39:AW39"/>
    <mergeCell ref="AO27:AO28"/>
    <mergeCell ref="AR44:AU44"/>
    <mergeCell ref="AR45:AU45"/>
    <mergeCell ref="AS42:AU42"/>
    <mergeCell ref="AS39:AU39"/>
    <mergeCell ref="AS37:AU37"/>
    <mergeCell ref="AS35:AU36"/>
    <mergeCell ref="AF45:AF56"/>
    <mergeCell ref="C29:C37"/>
    <mergeCell ref="BC27:BC28"/>
    <mergeCell ref="BD27:BE28"/>
    <mergeCell ref="BC34:BC35"/>
    <mergeCell ref="BC32:BC33"/>
    <mergeCell ref="AZ34:AZ35"/>
    <mergeCell ref="AZ32:AZ33"/>
    <mergeCell ref="BE34:BE35"/>
    <mergeCell ref="BE32:BE33"/>
    <mergeCell ref="BD32:BD33"/>
    <mergeCell ref="BD34:BD35"/>
    <mergeCell ref="BB34:BB35"/>
    <mergeCell ref="BA34:BA35"/>
    <mergeCell ref="BB32:BB33"/>
    <mergeCell ref="BA32:BA33"/>
    <mergeCell ref="V49:X49"/>
    <mergeCell ref="V50:X50"/>
    <mergeCell ref="V29:X30"/>
    <mergeCell ref="V31:X31"/>
    <mergeCell ref="V32:X32"/>
    <mergeCell ref="V33:X33"/>
    <mergeCell ref="AC52:AD52"/>
    <mergeCell ref="AN47:AN48"/>
  </mergeCells>
  <conditionalFormatting sqref="Y7">
    <cfRule type="expression" dxfId="155" priority="384">
      <formula>SEARCH("*CMS*",Y8)</formula>
    </cfRule>
  </conditionalFormatting>
  <conditionalFormatting sqref="Z7">
    <cfRule type="expression" dxfId="154" priority="383">
      <formula>SEARCH("*CMS*",Y8)</formula>
    </cfRule>
  </conditionalFormatting>
  <conditionalFormatting sqref="I8">
    <cfRule type="expression" dxfId="153" priority="370">
      <formula>SEARCH("*CMS*",Y8)</formula>
    </cfRule>
    <cfRule type="expression" dxfId="152" priority="373">
      <formula>"CHERCHE(""*CMS*"";X7)"</formula>
    </cfRule>
  </conditionalFormatting>
  <conditionalFormatting sqref="I9">
    <cfRule type="expression" dxfId="151" priority="369">
      <formula>SEARCH("*CMS*",Y8)</formula>
    </cfRule>
  </conditionalFormatting>
  <conditionalFormatting sqref="F19">
    <cfRule type="expression" dxfId="150" priority="368">
      <formula>SEARCH("*CMS*",Y8)</formula>
    </cfRule>
  </conditionalFormatting>
  <conditionalFormatting sqref="F20">
    <cfRule type="expression" dxfId="149" priority="367">
      <formula>SEARCH("*CMS*",Y8)</formula>
    </cfRule>
  </conditionalFormatting>
  <conditionalFormatting sqref="F26">
    <cfRule type="expression" dxfId="148" priority="366">
      <formula>SEARCH("*CMS*",Y8)</formula>
    </cfRule>
  </conditionalFormatting>
  <conditionalFormatting sqref="F27 F28:H28">
    <cfRule type="expression" dxfId="147" priority="365">
      <formula>SEARCH("*CMS*",Y8)</formula>
    </cfRule>
  </conditionalFormatting>
  <conditionalFormatting sqref="E51">
    <cfRule type="expression" dxfId="146" priority="364">
      <formula>SEARCH("*CMS*",Y8)</formula>
    </cfRule>
  </conditionalFormatting>
  <conditionalFormatting sqref="I14">
    <cfRule type="expression" dxfId="145" priority="363">
      <formula>SEARCH("*CMS*",Y8)</formula>
    </cfRule>
  </conditionalFormatting>
  <conditionalFormatting sqref="I15 I16:K17">
    <cfRule type="expression" dxfId="144" priority="362">
      <formula>SEARCH("*CMS*",Y8)</formula>
    </cfRule>
  </conditionalFormatting>
  <conditionalFormatting sqref="E52">
    <cfRule type="expression" dxfId="143" priority="361">
      <formula>SEARCH("*CMS*",Y8)</formula>
    </cfRule>
  </conditionalFormatting>
  <conditionalFormatting sqref="E57">
    <cfRule type="expression" dxfId="142" priority="360">
      <formula>SEARCH("*CMS*",Y8)</formula>
    </cfRule>
  </conditionalFormatting>
  <conditionalFormatting sqref="E58">
    <cfRule type="expression" dxfId="141" priority="359">
      <formula>SEARCH("*CMS*",Y8)</formula>
    </cfRule>
  </conditionalFormatting>
  <conditionalFormatting sqref="D41">
    <cfRule type="expression" dxfId="140" priority="358">
      <formula>SEARCH("*CMS*",Y8)</formula>
    </cfRule>
  </conditionalFormatting>
  <conditionalFormatting sqref="D42">
    <cfRule type="expression" dxfId="139" priority="357">
      <formula>SEARCH("*CMS*",Y8)</formula>
    </cfRule>
  </conditionalFormatting>
  <conditionalFormatting sqref="E49:F49">
    <cfRule type="expression" dxfId="138" priority="355">
      <formula>SEARCH("*CMS*",Z8)</formula>
    </cfRule>
  </conditionalFormatting>
  <conditionalFormatting sqref="G7:R7">
    <cfRule type="expression" dxfId="137" priority="346">
      <formula>$B$3="2x2"</formula>
    </cfRule>
  </conditionalFormatting>
  <conditionalFormatting sqref="B7:B15">
    <cfRule type="expression" dxfId="136" priority="343">
      <formula>$B$3="2x2"</formula>
    </cfRule>
  </conditionalFormatting>
  <conditionalFormatting sqref="B18:B27">
    <cfRule type="expression" dxfId="135" priority="339">
      <formula>$B$3="4x3"</formula>
    </cfRule>
  </conditionalFormatting>
  <conditionalFormatting sqref="B40:B48">
    <cfRule type="expression" dxfId="134" priority="332">
      <formula>$B$3="6x3"</formula>
    </cfRule>
  </conditionalFormatting>
  <conditionalFormatting sqref="B50:B58">
    <cfRule type="expression" dxfId="133" priority="328">
      <formula>$B$3="6x2"</formula>
    </cfRule>
  </conditionalFormatting>
  <conditionalFormatting sqref="AF32">
    <cfRule type="expression" dxfId="132" priority="281">
      <formula>SEARCH("*CMS*",Y29)</formula>
    </cfRule>
  </conditionalFormatting>
  <conditionalFormatting sqref="U3">
    <cfRule type="expression" dxfId="131" priority="91">
      <formula>IF($B$3="2x2",$Q$3&gt;1.6,IF($B$3="4x2",$Q$3&gt;1.6,IF($B$3="6x2",$Q$3&gt;1.6)))</formula>
    </cfRule>
    <cfRule type="expression" dxfId="130" priority="92">
      <formula>$AN$3&lt;&gt;$AO$3</formula>
    </cfRule>
    <cfRule type="expression" dxfId="129" priority="93">
      <formula>IF($B$3="4x3",$Q$3&lt;1.6,IF($B$3="6x3",$Q$3&lt;1.6))</formula>
    </cfRule>
  </conditionalFormatting>
  <conditionalFormatting sqref="AG10:AH10 AG13:AH13 AJ10 AJ13">
    <cfRule type="expression" dxfId="128" priority="254">
      <formula>$AO$3="non"</formula>
    </cfRule>
  </conditionalFormatting>
  <conditionalFormatting sqref="AG9 AJ9">
    <cfRule type="expression" dxfId="127" priority="253">
      <formula>$AO$3="non"</formula>
    </cfRule>
  </conditionalFormatting>
  <conditionalFormatting sqref="AH9">
    <cfRule type="expression" dxfId="126" priority="251">
      <formula>$AO$3="non"</formula>
    </cfRule>
  </conditionalFormatting>
  <conditionalFormatting sqref="AG34:AH34 AJ34:AK34 AH31 AJ31:AK31 AK42">
    <cfRule type="expression" dxfId="125" priority="250">
      <formula>$AO$3="non"</formula>
    </cfRule>
  </conditionalFormatting>
  <conditionalFormatting sqref="AG30 AJ29:AK30">
    <cfRule type="expression" dxfId="124" priority="249">
      <formula>$AO$3="non"</formula>
    </cfRule>
  </conditionalFormatting>
  <conditionalFormatting sqref="AH30">
    <cfRule type="expression" dxfId="123" priority="248">
      <formula>$AO$3="non"</formula>
    </cfRule>
  </conditionalFormatting>
  <conditionalFormatting sqref="AG11:AH11 AJ11">
    <cfRule type="expression" dxfId="122" priority="229">
      <formula>$AO$3="non"</formula>
    </cfRule>
  </conditionalFormatting>
  <conditionalFormatting sqref="AH32 AJ32:AK32">
    <cfRule type="expression" dxfId="121" priority="217">
      <formula>$AO$3="non"</formula>
    </cfRule>
  </conditionalFormatting>
  <conditionalFormatting sqref="AH40">
    <cfRule type="expression" dxfId="120" priority="211">
      <formula>$AO$3="non"</formula>
    </cfRule>
  </conditionalFormatting>
  <conditionalFormatting sqref="AJ40:AK40">
    <cfRule type="expression" dxfId="119" priority="210">
      <formula>$AO$3="non"</formula>
    </cfRule>
  </conditionalFormatting>
  <conditionalFormatting sqref="AJ41:AK41">
    <cfRule type="expression" dxfId="118" priority="209">
      <formula>$AO$3="non"</formula>
    </cfRule>
  </conditionalFormatting>
  <conditionalFormatting sqref="AH41">
    <cfRule type="expression" dxfId="117" priority="208">
      <formula>$AO$3="non"</formula>
    </cfRule>
  </conditionalFormatting>
  <conditionalFormatting sqref="AB51:AC51">
    <cfRule type="expression" dxfId="116" priority="203">
      <formula>$B$3="6x2"</formula>
    </cfRule>
  </conditionalFormatting>
  <conditionalFormatting sqref="AV35:AW36 AS35 AM35 AO35:AP36">
    <cfRule type="expression" dxfId="115" priority="145">
      <formula>$B$3="6x2"</formula>
    </cfRule>
    <cfRule type="expression" dxfId="114" priority="147">
      <formula>$B$3="4x2"</formula>
    </cfRule>
  </conditionalFormatting>
  <conditionalFormatting sqref="B29:B37">
    <cfRule type="expression" dxfId="113" priority="144">
      <formula>$B$3="4x2"</formula>
    </cfRule>
  </conditionalFormatting>
  <conditionalFormatting sqref="AZ23:AZ24 AY20 BE23:BE24 BB23:BC24">
    <cfRule type="expression" dxfId="112" priority="134">
      <formula>$Y$11=$Y$14</formula>
    </cfRule>
  </conditionalFormatting>
  <conditionalFormatting sqref="AH21">
    <cfRule type="expression" dxfId="111" priority="130">
      <formula>$AO$3="non"</formula>
    </cfRule>
  </conditionalFormatting>
  <conditionalFormatting sqref="AI21">
    <cfRule type="expression" dxfId="110" priority="127">
      <formula>$AO$3="non"</formula>
    </cfRule>
  </conditionalFormatting>
  <conditionalFormatting sqref="AH12">
    <cfRule type="expression" dxfId="109" priority="126">
      <formula>$AO$3="non"</formula>
    </cfRule>
  </conditionalFormatting>
  <conditionalFormatting sqref="AI12">
    <cfRule type="expression" dxfId="108" priority="125">
      <formula>$AO$3="non"</formula>
    </cfRule>
  </conditionalFormatting>
  <conditionalFormatting sqref="AH33">
    <cfRule type="expression" dxfId="107" priority="121">
      <formula>$AO$3="non"</formula>
    </cfRule>
  </conditionalFormatting>
  <conditionalFormatting sqref="AI33">
    <cfRule type="expression" dxfId="106" priority="120">
      <formula>$AO$3="non"</formula>
    </cfRule>
  </conditionalFormatting>
  <conditionalFormatting sqref="AD39">
    <cfRule type="expression" dxfId="105" priority="116">
      <formula>$AO$3="non"</formula>
    </cfRule>
  </conditionalFormatting>
  <conditionalFormatting sqref="AC39">
    <cfRule type="expression" dxfId="104" priority="117">
      <formula>$AO$3="non"</formula>
    </cfRule>
  </conditionalFormatting>
  <conditionalFormatting sqref="AH39">
    <cfRule type="expression" dxfId="103" priority="112">
      <formula>$AO$3="non"</formula>
    </cfRule>
  </conditionalFormatting>
  <conditionalFormatting sqref="AI39">
    <cfRule type="expression" dxfId="102" priority="111">
      <formula>$AO$3="non"</formula>
    </cfRule>
  </conditionalFormatting>
  <conditionalFormatting sqref="AG19">
    <cfRule type="expression" dxfId="101" priority="109">
      <formula>$AO$3="non"</formula>
    </cfRule>
  </conditionalFormatting>
  <conditionalFormatting sqref="AG20">
    <cfRule type="expression" dxfId="100" priority="108">
      <formula>$AO$3="non"</formula>
    </cfRule>
  </conditionalFormatting>
  <conditionalFormatting sqref="AG31">
    <cfRule type="expression" dxfId="99" priority="107">
      <formula>$AO$3="non"</formula>
    </cfRule>
  </conditionalFormatting>
  <conditionalFormatting sqref="AG32">
    <cfRule type="expression" dxfId="98" priority="106">
      <formula>$AO$3="non"</formula>
    </cfRule>
  </conditionalFormatting>
  <conditionalFormatting sqref="AG40">
    <cfRule type="expression" dxfId="97" priority="105">
      <formula>$AO$3="non"</formula>
    </cfRule>
  </conditionalFormatting>
  <conditionalFormatting sqref="AG41">
    <cfRule type="expression" dxfId="96" priority="104">
      <formula>$AO$3="non"</formula>
    </cfRule>
  </conditionalFormatting>
  <conditionalFormatting sqref="BA23">
    <cfRule type="expression" dxfId="95" priority="97">
      <formula>$Y$11=$Y$14</formula>
    </cfRule>
  </conditionalFormatting>
  <conditionalFormatting sqref="BA24">
    <cfRule type="expression" dxfId="94" priority="95">
      <formula>$Y$11=$Y$14</formula>
    </cfRule>
  </conditionalFormatting>
  <conditionalFormatting sqref="U3:AM4">
    <cfRule type="expression" dxfId="93" priority="89">
      <formula>$AN$4&lt;&gt;$AO$3</formula>
    </cfRule>
  </conditionalFormatting>
  <conditionalFormatting sqref="V52:AE53 V56:AE56 V54:Y55 AA54:AE55">
    <cfRule type="expression" dxfId="92" priority="87">
      <formula>$B$3="4x2"</formula>
    </cfRule>
    <cfRule type="expression" dxfId="91" priority="88">
      <formula>$B$3="6x2"</formula>
    </cfRule>
  </conditionalFormatting>
  <conditionalFormatting sqref="BD23">
    <cfRule type="expression" dxfId="90" priority="68">
      <formula>$Y$11=$Y$14</formula>
    </cfRule>
  </conditionalFormatting>
  <conditionalFormatting sqref="BD24">
    <cfRule type="expression" dxfId="89" priority="66">
      <formula>$Y$11=$Y$14</formula>
    </cfRule>
  </conditionalFormatting>
  <conditionalFormatting sqref="AZ21:BE22">
    <cfRule type="expression" dxfId="88" priority="65">
      <formula>$Y$11=$Y$14</formula>
    </cfRule>
  </conditionalFormatting>
  <conditionalFormatting sqref="AS9:AW10 AS21:AW24 BC21:BE24">
    <cfRule type="expression" dxfId="87" priority="64">
      <formula>$AI$12=$AH$12</formula>
    </cfRule>
  </conditionalFormatting>
  <conditionalFormatting sqref="AG47:AJ49 AN50:AP54 AK49:AM52 AN57:AP60 AN55:AN56 AP55:AP56 AK59:AM60 AG51:AJ60 AH50:AJ50">
    <cfRule type="expression" dxfId="86" priority="42">
      <formula>$AO$47="non"</formula>
    </cfRule>
  </conditionalFormatting>
  <conditionalFormatting sqref="Z54:Z55">
    <cfRule type="expression" dxfId="85" priority="37">
      <formula>$B$3="6x2"</formula>
    </cfRule>
    <cfRule type="expression" dxfId="84" priority="39">
      <formula>$B$3="4x2"</formula>
    </cfRule>
  </conditionalFormatting>
  <conditionalFormatting sqref="AK53:AM58 AN55:AO55">
    <cfRule type="expression" dxfId="83" priority="36">
      <formula>$AO$47="NON"</formula>
    </cfRule>
  </conditionalFormatting>
  <conditionalFormatting sqref="AF11:AF16 AA11:AA16">
    <cfRule type="expression" dxfId="82" priority="34">
      <formula>SEARCH("*CMS*",$Y$8)</formula>
    </cfRule>
  </conditionalFormatting>
  <conditionalFormatting sqref="V7:X7">
    <cfRule type="expression" dxfId="81" priority="32">
      <formula>SEARCH("*CMS*",Y8)</formula>
    </cfRule>
  </conditionalFormatting>
  <conditionalFormatting sqref="G30:M31 G36:M37 D47:K48">
    <cfRule type="expression" dxfId="80" priority="31">
      <formula>SEARCH("*CMS*",$Y$8)</formula>
    </cfRule>
  </conditionalFormatting>
  <conditionalFormatting sqref="AK47:AM47">
    <cfRule type="expression" dxfId="79" priority="29">
      <formula>$AO$47="NON"</formula>
    </cfRule>
  </conditionalFormatting>
  <conditionalFormatting sqref="AP49">
    <cfRule type="expression" dxfId="78" priority="28">
      <formula>$AO$47="NON"</formula>
    </cfRule>
  </conditionalFormatting>
  <conditionalFormatting sqref="AB11:AE11 AB14:AE14 AG14:AG16">
    <cfRule type="expression" dxfId="77" priority="24">
      <formula>SEARCH("*CMS*",$Y$8)</formula>
    </cfRule>
  </conditionalFormatting>
  <conditionalFormatting sqref="V19:Z19 AB19:AE19 AG22:AJ22 AG24:AJ24">
    <cfRule type="expression" dxfId="76" priority="21">
      <formula>SEARCH("*CMS*",$Y$8)</formula>
    </cfRule>
  </conditionalFormatting>
  <conditionalFormatting sqref="AA19:AA22 AF20:AF23">
    <cfRule type="expression" dxfId="75" priority="20">
      <formula>SEARCH("*CMS*",$Y$8)</formula>
    </cfRule>
  </conditionalFormatting>
  <conditionalFormatting sqref="C7:F15">
    <cfRule type="expression" dxfId="74" priority="19">
      <formula>$B$3="2x2"</formula>
    </cfRule>
  </conditionalFormatting>
  <conditionalFormatting sqref="G12:H15 I15:R15">
    <cfRule type="expression" dxfId="73" priority="18">
      <formula>$B$3="2x2"</formula>
    </cfRule>
  </conditionalFormatting>
  <conditionalFormatting sqref="S7:S15">
    <cfRule type="expression" dxfId="72" priority="17">
      <formula>$B$3="2x2"</formula>
    </cfRule>
  </conditionalFormatting>
  <conditionalFormatting sqref="D18:R18">
    <cfRule type="expression" dxfId="71" priority="16">
      <formula>$B$3="4x3"</formula>
    </cfRule>
  </conditionalFormatting>
  <conditionalFormatting sqref="F27:R27 D23:E27">
    <cfRule type="expression" dxfId="70" priority="15">
      <formula>$B$3="4x3"</formula>
    </cfRule>
  </conditionalFormatting>
  <conditionalFormatting sqref="S18:S27">
    <cfRule type="expression" dxfId="69" priority="14">
      <formula>$B$3="4x3"</formula>
    </cfRule>
  </conditionalFormatting>
  <conditionalFormatting sqref="C18:C27">
    <cfRule type="expression" dxfId="68" priority="13">
      <formula>$B$3="4x3"</formula>
    </cfRule>
  </conditionalFormatting>
  <conditionalFormatting sqref="D29:R29">
    <cfRule type="expression" dxfId="67" priority="12">
      <formula>$B$3="4x2"</formula>
    </cfRule>
  </conditionalFormatting>
  <conditionalFormatting sqref="D37 E34:F37 G37:R37">
    <cfRule type="expression" dxfId="66" priority="11">
      <formula>$B$3="4x2"</formula>
    </cfRule>
  </conditionalFormatting>
  <conditionalFormatting sqref="S29:S37">
    <cfRule type="expression" dxfId="65" priority="10">
      <formula>$B$3="4x2"</formula>
    </cfRule>
  </conditionalFormatting>
  <conditionalFormatting sqref="C29:C37">
    <cfRule type="expression" dxfId="64" priority="9">
      <formula>$B$3="4x2"</formula>
    </cfRule>
  </conditionalFormatting>
  <conditionalFormatting sqref="C40:R40">
    <cfRule type="expression" dxfId="63" priority="8">
      <formula>$B$3="6x3"</formula>
    </cfRule>
  </conditionalFormatting>
  <conditionalFormatting sqref="C45:C48 D48:R48">
    <cfRule type="expression" dxfId="62" priority="7">
      <formula>$B$3="6x3"</formula>
    </cfRule>
  </conditionalFormatting>
  <conditionalFormatting sqref="S40:S48">
    <cfRule type="expression" dxfId="61" priority="6">
      <formula>$B$3="6x3"</formula>
    </cfRule>
  </conditionalFormatting>
  <conditionalFormatting sqref="C50:R50">
    <cfRule type="expression" dxfId="60" priority="5">
      <formula>$B$3="6x2"</formula>
    </cfRule>
  </conditionalFormatting>
  <conditionalFormatting sqref="C55:D58 E58:R58">
    <cfRule type="expression" dxfId="59" priority="4">
      <formula>$B$3="6x2"</formula>
    </cfRule>
  </conditionalFormatting>
  <conditionalFormatting sqref="S50:S58">
    <cfRule type="expression" dxfId="58" priority="3">
      <formula>$B$3="6x2"</formula>
    </cfRule>
  </conditionalFormatting>
  <conditionalFormatting sqref="AG50">
    <cfRule type="expression" dxfId="57" priority="2">
      <formula>$AO$47="NON"</formula>
    </cfRule>
  </conditionalFormatting>
  <dataValidations count="5">
    <dataValidation type="list" allowBlank="1" showInputMessage="1" showErrorMessage="1" sqref="B3:E3" xr:uid="{00000000-0002-0000-0000-000002000000}">
      <formula1>Dispositif</formula1>
    </dataValidation>
    <dataValidation type="list" allowBlank="1" showInputMessage="1" showErrorMessage="1" sqref="AO47" xr:uid="{00000000-0002-0000-0000-000003000000}">
      <formula1>choix</formula1>
    </dataValidation>
    <dataValidation type="list" allowBlank="1" showInputMessage="1" showErrorMessage="1" sqref="V8:X9" xr:uid="{00000000-0002-0000-0000-000000000000}">
      <formula1>Femelle</formula1>
    </dataValidation>
    <dataValidation type="list" allowBlank="1" showInputMessage="1" showErrorMessage="1" sqref="V20" xr:uid="{8668D0BA-62AB-4A23-82D7-7B688F39DCC6}">
      <formula1>Agris</formula1>
    </dataValidation>
    <dataValidation type="list" allowBlank="1" showInputMessage="1" showErrorMessage="1" sqref="V29:X30" xr:uid="{00000000-0002-0000-0000-000001000000}">
      <formula1>Mâle</formula1>
    </dataValidation>
  </dataValidations>
  <hyperlinks>
    <hyperlink ref="AO2:AQ2" location="Récap_à_Copier_Coller_pour_Impr!A1" display="Récap" xr:uid="{00000000-0004-0000-0000-000000000000}"/>
  </hyperlinks>
  <pageMargins left="0.70866141732283461" right="0.70866141732283461" top="0.23622047244094488" bottom="0.23622047244094488" header="0.31496062992125984" footer="0.31496062992125984"/>
  <pageSetup paperSize="9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30</vt:i4>
      </vt:variant>
    </vt:vector>
  </HeadingPairs>
  <TitlesOfParts>
    <vt:vector size="36" baseType="lpstr">
      <vt:lpstr>EXPORT_PDF</vt:lpstr>
      <vt:lpstr>Données_SB_Femelle</vt:lpstr>
      <vt:lpstr>Données_SB_Mâle</vt:lpstr>
      <vt:lpstr>SB1</vt:lpstr>
      <vt:lpstr>SB2</vt:lpstr>
      <vt:lpstr>Calcul_Densité+Dose</vt:lpstr>
      <vt:lpstr>_2x2</vt:lpstr>
      <vt:lpstr>_4x3</vt:lpstr>
      <vt:lpstr>_6x2</vt:lpstr>
      <vt:lpstr>_6x3</vt:lpstr>
      <vt:lpstr>'SB1'!Agris</vt:lpstr>
      <vt:lpstr>'SB2'!Agris</vt:lpstr>
      <vt:lpstr>Agris</vt:lpstr>
      <vt:lpstr>'SB1'!choix</vt:lpstr>
      <vt:lpstr>'SB2'!choix</vt:lpstr>
      <vt:lpstr>choix</vt:lpstr>
      <vt:lpstr>DensitéFemelle</vt:lpstr>
      <vt:lpstr>DensitéMâle</vt:lpstr>
      <vt:lpstr>'SB1'!Dispositif</vt:lpstr>
      <vt:lpstr>'SB2'!Dispositif</vt:lpstr>
      <vt:lpstr>Dispositif</vt:lpstr>
      <vt:lpstr>'SB1'!Femelle</vt:lpstr>
      <vt:lpstr>'SB2'!Femelle</vt:lpstr>
      <vt:lpstr>Femelle</vt:lpstr>
      <vt:lpstr>FG_Mâle</vt:lpstr>
      <vt:lpstr>FGFemelle</vt:lpstr>
      <vt:lpstr>LibFemelle</vt:lpstr>
      <vt:lpstr>LibMâle</vt:lpstr>
      <vt:lpstr>'SB1'!Mâle</vt:lpstr>
      <vt:lpstr>'SB2'!Mâle</vt:lpstr>
      <vt:lpstr>Mâle</vt:lpstr>
      <vt:lpstr>MGV_par_kg_Femelle</vt:lpstr>
      <vt:lpstr>Données_SB_Mâle!MGV_par_kg_Mâle</vt:lpstr>
      <vt:lpstr>part</vt:lpstr>
      <vt:lpstr>Données_SB_Mâle!part2</vt:lpstr>
      <vt:lpstr>EXPORT_PDF!Zone_d_impression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DISS Bertrand</dc:creator>
  <cp:lastModifiedBy>DISS Bertrand</cp:lastModifiedBy>
  <cp:lastPrinted>2021-03-23T13:25:15Z</cp:lastPrinted>
  <dcterms:created xsi:type="dcterms:W3CDTF">2020-01-27T12:47:16Z</dcterms:created>
  <dcterms:modified xsi:type="dcterms:W3CDTF">2021-03-24T15:40:54Z</dcterms:modified>
</cp:coreProperties>
</file>