
<file path=[Content_Types].xml><?xml version="1.0" encoding="utf-8"?>
<Types xmlns="http://schemas.openxmlformats.org/package/2006/content-type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110"/>
  <workbookPr defaultThemeVersion="166925"/>
  <mc:AlternateContent xmlns:mc="http://schemas.openxmlformats.org/markup-compatibility/2006">
    <mc:Choice Requires="x15">
      <x15ac:absPath xmlns:x15ac="http://schemas.microsoft.com/office/spreadsheetml/2010/11/ac" url="/Users/marie-evelaroche/Downloads/Travail_Pratique_5_R2H (1)/"/>
    </mc:Choice>
  </mc:AlternateContent>
  <xr:revisionPtr revIDLastSave="0" documentId="13_ncr:1_{E9965519-BAF2-474C-9308-E2F558AEAFAA}" xr6:coauthVersionLast="45" xr6:coauthVersionMax="46" xr10:uidLastSave="{00000000-0000-0000-0000-000000000000}"/>
  <bookViews>
    <workbookView xWindow="0" yWindow="0" windowWidth="25600" windowHeight="16000" activeTab="1" xr2:uid="{52B229B0-D8EA-4EFB-81AD-8747899B629E}"/>
  </bookViews>
  <sheets>
    <sheet name="Employés" sheetId="3" r:id="rId1"/>
    <sheet name="Maintenance" sheetId="2" r:id="rId2"/>
    <sheet name="Budget de formation" sheetId="4" r:id="rId3"/>
    <sheet name="Directives gouvernementales" sheetId="5" r:id="rId4"/>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K2" i="2" l="1"/>
  <c r="J7" i="2"/>
  <c r="J2" i="2"/>
  <c r="E3" i="3"/>
  <c r="E4" i="3"/>
  <c r="E5" i="3"/>
  <c r="E6" i="3"/>
  <c r="E7" i="3"/>
  <c r="E8" i="3"/>
  <c r="E9" i="3"/>
  <c r="E10" i="3"/>
  <c r="E11" i="3"/>
  <c r="E12" i="3"/>
  <c r="E13" i="3"/>
  <c r="E14" i="3"/>
  <c r="E15" i="3"/>
  <c r="E16" i="3"/>
  <c r="E17" i="3"/>
  <c r="E18" i="3"/>
  <c r="E19" i="3"/>
  <c r="E20" i="3"/>
  <c r="E21" i="3"/>
  <c r="E22" i="3"/>
  <c r="E23" i="3"/>
  <c r="E24" i="3"/>
  <c r="E25" i="3"/>
  <c r="E26" i="3"/>
  <c r="E27" i="3"/>
  <c r="E28" i="3"/>
  <c r="E29" i="3"/>
  <c r="E30" i="3"/>
  <c r="E31" i="3"/>
  <c r="E32" i="3"/>
  <c r="E33" i="3"/>
  <c r="E34" i="3"/>
  <c r="E35" i="3"/>
  <c r="E36" i="3"/>
  <c r="E37" i="3"/>
  <c r="E38" i="3"/>
  <c r="E39" i="3"/>
  <c r="E40" i="3"/>
  <c r="E41" i="3"/>
  <c r="E42" i="3"/>
  <c r="E43" i="3"/>
  <c r="E44" i="3"/>
  <c r="E45" i="3"/>
  <c r="E46" i="3"/>
  <c r="E47" i="3"/>
  <c r="E48" i="3"/>
  <c r="E49" i="3"/>
  <c r="E50" i="3"/>
  <c r="E51" i="3"/>
  <c r="E52" i="3"/>
  <c r="E53" i="3"/>
  <c r="E54" i="3"/>
  <c r="E55" i="3"/>
  <c r="E56" i="3"/>
  <c r="E57" i="3"/>
  <c r="F3" i="3"/>
  <c r="F4" i="3"/>
  <c r="F5" i="3"/>
  <c r="F6" i="3"/>
  <c r="F7" i="3"/>
  <c r="F8" i="3"/>
  <c r="F9" i="3"/>
  <c r="F10" i="3"/>
  <c r="F11" i="3"/>
  <c r="F12" i="3"/>
  <c r="F13" i="3"/>
  <c r="F14" i="3"/>
  <c r="F15" i="3"/>
  <c r="F16" i="3"/>
  <c r="F17" i="3"/>
  <c r="F18" i="3"/>
  <c r="F19" i="3"/>
  <c r="F20" i="3"/>
  <c r="F21" i="3"/>
  <c r="F22" i="3"/>
  <c r="F23" i="3"/>
  <c r="F24" i="3"/>
  <c r="F25" i="3"/>
  <c r="F26" i="3"/>
  <c r="F27" i="3"/>
  <c r="F28" i="3"/>
  <c r="F29" i="3"/>
  <c r="F30" i="3"/>
  <c r="F31" i="3"/>
  <c r="F32" i="3"/>
  <c r="F33" i="3"/>
  <c r="F34" i="3"/>
  <c r="F35" i="3"/>
  <c r="F36" i="3"/>
  <c r="F37" i="3"/>
  <c r="F38" i="3"/>
  <c r="F39" i="3"/>
  <c r="F40" i="3"/>
  <c r="F41" i="3"/>
  <c r="F42" i="3"/>
  <c r="F43" i="3"/>
  <c r="F44" i="3"/>
  <c r="F45" i="3"/>
  <c r="F46" i="3"/>
  <c r="F47" i="3"/>
  <c r="F48" i="3"/>
  <c r="F49" i="3"/>
  <c r="F50" i="3"/>
  <c r="F51" i="3"/>
  <c r="F52" i="3"/>
  <c r="F53" i="3"/>
  <c r="F54" i="3"/>
  <c r="F55" i="3"/>
  <c r="F56" i="3"/>
  <c r="F57" i="3"/>
  <c r="H3" i="3"/>
  <c r="H4" i="3"/>
  <c r="H5" i="3"/>
  <c r="H6" i="3"/>
  <c r="H7" i="3"/>
  <c r="H8" i="3"/>
  <c r="H9" i="3"/>
  <c r="H10" i="3"/>
  <c r="H11" i="3"/>
  <c r="H12" i="3"/>
  <c r="H13" i="3"/>
  <c r="H14" i="3"/>
  <c r="H15" i="3"/>
  <c r="H16" i="3"/>
  <c r="H17" i="3"/>
  <c r="H18" i="3"/>
  <c r="H19" i="3"/>
  <c r="H20" i="3"/>
  <c r="H21" i="3"/>
  <c r="H22" i="3"/>
  <c r="H23" i="3"/>
  <c r="H24" i="3"/>
  <c r="H25" i="3"/>
  <c r="H26" i="3"/>
  <c r="H27" i="3"/>
  <c r="H28" i="3"/>
  <c r="H29" i="3"/>
  <c r="H30" i="3"/>
  <c r="H31" i="3"/>
  <c r="H32" i="3"/>
  <c r="H33" i="3"/>
  <c r="H34" i="3"/>
  <c r="H35" i="3"/>
  <c r="H36" i="3"/>
  <c r="H37" i="3"/>
  <c r="H38" i="3"/>
  <c r="H39" i="3"/>
  <c r="H40" i="3"/>
  <c r="H41" i="3"/>
  <c r="H42" i="3"/>
  <c r="H43" i="3"/>
  <c r="H44" i="3"/>
  <c r="H45" i="3"/>
  <c r="H46" i="3"/>
  <c r="H47" i="3"/>
  <c r="H48" i="3"/>
  <c r="H49" i="3"/>
  <c r="H50" i="3"/>
  <c r="H51" i="3"/>
  <c r="H52" i="3"/>
  <c r="H53" i="3"/>
  <c r="H54" i="3"/>
  <c r="H55" i="3"/>
  <c r="H56" i="3"/>
  <c r="H57" i="3"/>
  <c r="I3" i="3"/>
  <c r="I4" i="3"/>
  <c r="I5" i="3"/>
  <c r="I6" i="3"/>
  <c r="I7" i="3"/>
  <c r="I8" i="3"/>
  <c r="I9" i="3"/>
  <c r="I10" i="3"/>
  <c r="I11" i="3"/>
  <c r="I12" i="3"/>
  <c r="I13" i="3"/>
  <c r="I14" i="3"/>
  <c r="I15" i="3"/>
  <c r="I16" i="3"/>
  <c r="I17" i="3"/>
  <c r="I18" i="3"/>
  <c r="I19" i="3"/>
  <c r="I20" i="3"/>
  <c r="I21" i="3"/>
  <c r="I22" i="3"/>
  <c r="I23" i="3"/>
  <c r="I24" i="3"/>
  <c r="I25" i="3"/>
  <c r="I26" i="3"/>
  <c r="I27" i="3"/>
  <c r="I28" i="3"/>
  <c r="I29" i="3"/>
  <c r="I30" i="3"/>
  <c r="I31" i="3"/>
  <c r="I32" i="3"/>
  <c r="I33" i="3"/>
  <c r="I34" i="3"/>
  <c r="I35" i="3"/>
  <c r="I36" i="3"/>
  <c r="I37" i="3"/>
  <c r="I38" i="3"/>
  <c r="I39" i="3"/>
  <c r="I40" i="3"/>
  <c r="I41" i="3"/>
  <c r="I42" i="3"/>
  <c r="I43" i="3"/>
  <c r="I44" i="3"/>
  <c r="I45" i="3"/>
  <c r="I46" i="3"/>
  <c r="I47" i="3"/>
  <c r="I48" i="3"/>
  <c r="I49" i="3"/>
  <c r="I50" i="3"/>
  <c r="I51" i="3"/>
  <c r="I52" i="3"/>
  <c r="I53" i="3"/>
  <c r="I54" i="3"/>
  <c r="I55" i="3"/>
  <c r="I56" i="3"/>
  <c r="I57" i="3"/>
  <c r="M4" i="3"/>
  <c r="M3" i="3"/>
  <c r="M2" i="3"/>
  <c r="I2" i="3"/>
  <c r="H2" i="3"/>
  <c r="F2" i="3"/>
  <c r="E2" i="3"/>
  <c r="J39" i="4" l="1"/>
  <c r="I39" i="4"/>
  <c r="J38" i="4"/>
  <c r="I38" i="4"/>
  <c r="J36" i="4"/>
  <c r="I36" i="4"/>
  <c r="J35" i="4"/>
  <c r="I35" i="4"/>
  <c r="J34" i="4"/>
  <c r="I34" i="4"/>
  <c r="J33" i="4"/>
  <c r="I33" i="4"/>
  <c r="J32" i="4"/>
  <c r="I32" i="4"/>
  <c r="J31" i="4"/>
  <c r="I31" i="4"/>
  <c r="J29" i="4"/>
  <c r="I29" i="4"/>
  <c r="J28" i="4"/>
  <c r="I28" i="4"/>
  <c r="J27" i="4"/>
  <c r="I27" i="4"/>
  <c r="J26" i="4"/>
  <c r="I26" i="4"/>
  <c r="J25" i="4"/>
  <c r="I25" i="4"/>
  <c r="J23" i="4"/>
  <c r="I23" i="4"/>
  <c r="H23" i="4"/>
  <c r="J22" i="4"/>
  <c r="H22" i="4"/>
  <c r="I22" i="4"/>
  <c r="J21" i="4"/>
  <c r="I21" i="4"/>
  <c r="H21" i="4"/>
  <c r="J20" i="4"/>
  <c r="H20" i="4"/>
  <c r="I20" i="4"/>
  <c r="J18" i="4"/>
  <c r="I18" i="4"/>
  <c r="H18" i="4"/>
  <c r="J17" i="4"/>
  <c r="H17" i="4"/>
  <c r="I17" i="4"/>
  <c r="J16" i="4"/>
  <c r="I16" i="4"/>
  <c r="J15" i="4"/>
  <c r="I15" i="4"/>
  <c r="J14" i="4"/>
  <c r="I14" i="4"/>
  <c r="J13" i="4"/>
  <c r="I13" i="4"/>
  <c r="J11" i="4"/>
  <c r="I11" i="4"/>
  <c r="J10" i="4"/>
  <c r="I10" i="4"/>
  <c r="J9" i="4"/>
  <c r="I9" i="4"/>
  <c r="J7" i="4"/>
  <c r="I7" i="4"/>
  <c r="J6" i="4"/>
  <c r="I6" i="4"/>
  <c r="J5" i="4"/>
  <c r="I5" i="4"/>
  <c r="J41" i="4"/>
  <c r="C47" i="3"/>
  <c r="C43" i="3"/>
  <c r="C22" i="3"/>
  <c r="C3" i="3"/>
  <c r="B18" i="3"/>
  <c r="B20" i="3"/>
  <c r="B28" i="3"/>
  <c r="B35" i="3"/>
  <c r="B47" i="3"/>
  <c r="B55" i="3"/>
  <c r="B51" i="3"/>
  <c r="C57" i="3"/>
  <c r="B57" i="3"/>
  <c r="B56" i="3"/>
  <c r="C55" i="3"/>
  <c r="C54" i="3"/>
  <c r="B54" i="3"/>
  <c r="C53" i="3"/>
  <c r="B53" i="3"/>
  <c r="C52" i="3"/>
  <c r="B52" i="3"/>
  <c r="C51" i="3"/>
  <c r="C50" i="3"/>
  <c r="B50" i="3"/>
  <c r="C49" i="3"/>
  <c r="B49" i="3"/>
  <c r="C48" i="3"/>
  <c r="B48" i="3"/>
  <c r="C46" i="3"/>
  <c r="B46" i="3"/>
  <c r="C45" i="3"/>
  <c r="B45" i="3"/>
  <c r="C44" i="3"/>
  <c r="B44" i="3"/>
  <c r="B43" i="3"/>
  <c r="C42" i="3"/>
  <c r="B42" i="3"/>
  <c r="C41" i="3"/>
  <c r="B41" i="3"/>
  <c r="C40" i="3"/>
  <c r="B40" i="3"/>
  <c r="C39" i="3"/>
  <c r="B39" i="3"/>
  <c r="C38" i="3"/>
  <c r="B38" i="3"/>
  <c r="B37" i="3"/>
  <c r="C36" i="3"/>
  <c r="B36" i="3"/>
  <c r="C35" i="3"/>
  <c r="C34" i="3"/>
  <c r="B34" i="3"/>
  <c r="C33" i="3"/>
  <c r="B33" i="3"/>
  <c r="C32" i="3"/>
  <c r="B32" i="3"/>
  <c r="C31" i="3"/>
  <c r="B31" i="3"/>
  <c r="C30" i="3"/>
  <c r="B30" i="3"/>
  <c r="C29" i="3"/>
  <c r="B29" i="3"/>
  <c r="C28" i="3"/>
  <c r="C27" i="3"/>
  <c r="B27" i="3"/>
  <c r="C26" i="3"/>
  <c r="B26" i="3"/>
  <c r="C25" i="3"/>
  <c r="B25" i="3"/>
  <c r="C24" i="3"/>
  <c r="B24" i="3"/>
  <c r="C23" i="3"/>
  <c r="B23" i="3"/>
  <c r="B22" i="3"/>
  <c r="C21" i="3"/>
  <c r="B21" i="3"/>
  <c r="C20" i="3"/>
  <c r="C19" i="3"/>
  <c r="B19" i="3"/>
  <c r="C18" i="3"/>
  <c r="C17" i="3"/>
  <c r="B17" i="3"/>
  <c r="C16" i="3"/>
  <c r="B16" i="3"/>
  <c r="C15" i="3"/>
  <c r="B15" i="3"/>
  <c r="C14" i="3"/>
  <c r="B14" i="3"/>
  <c r="C13" i="3"/>
  <c r="B13" i="3"/>
  <c r="C12" i="3"/>
  <c r="B12" i="3"/>
  <c r="C11" i="3"/>
  <c r="B11" i="3"/>
  <c r="C10" i="3"/>
  <c r="B10" i="3"/>
  <c r="C9" i="3"/>
  <c r="B9" i="3"/>
  <c r="C8" i="3"/>
  <c r="B8" i="3"/>
  <c r="C7" i="3"/>
  <c r="B7" i="3"/>
  <c r="C6" i="3"/>
  <c r="B6" i="3"/>
  <c r="C5" i="3"/>
  <c r="B5" i="3"/>
  <c r="C4" i="3"/>
  <c r="B4" i="3"/>
  <c r="B3" i="3"/>
  <c r="C2" i="3"/>
  <c r="B2" i="3"/>
  <c r="F17" i="2"/>
  <c r="J42" i="4" l="1"/>
  <c r="J43" i="4" s="1"/>
  <c r="J44" i="4" s="1"/>
  <c r="I42" i="4"/>
  <c r="B2" i="2"/>
  <c r="B3" i="2" s="1"/>
  <c r="B4" i="2" s="1"/>
  <c r="B5" i="2" s="1"/>
  <c r="B6" i="2" s="1"/>
  <c r="B7" i="2" s="1"/>
  <c r="B8" i="2" s="1"/>
  <c r="B9" i="2" s="1"/>
  <c r="B10" i="2" s="1"/>
  <c r="B11" i="2" s="1"/>
  <c r="B12" i="2" s="1"/>
  <c r="B13" i="2" s="1"/>
  <c r="B14" i="2" s="1"/>
  <c r="B15" i="2" s="1"/>
  <c r="B16" i="2" s="1"/>
  <c r="B17" i="2" s="1"/>
  <c r="B18" i="2" s="1"/>
  <c r="B19" i="2" s="1"/>
  <c r="B20" i="2" s="1"/>
  <c r="B21" i="2" s="1"/>
  <c r="F21" i="2"/>
  <c r="G21" i="2" s="1"/>
  <c r="G20" i="2"/>
  <c r="F20" i="2"/>
  <c r="F19" i="2"/>
  <c r="G19" i="2" s="1"/>
  <c r="G18" i="2"/>
  <c r="F18" i="2"/>
  <c r="G17" i="2"/>
  <c r="G16" i="2"/>
  <c r="F16" i="2"/>
  <c r="F15" i="2"/>
  <c r="G15" i="2" s="1"/>
  <c r="G14" i="2"/>
  <c r="F14" i="2"/>
  <c r="F13" i="2"/>
  <c r="G13" i="2" s="1"/>
  <c r="G12" i="2"/>
  <c r="F12" i="2"/>
  <c r="F11" i="2"/>
  <c r="G11" i="2" s="1"/>
  <c r="G10" i="2"/>
  <c r="F10" i="2"/>
  <c r="F9" i="2"/>
  <c r="G9" i="2" s="1"/>
  <c r="G8" i="2"/>
  <c r="F8" i="2"/>
  <c r="F7" i="2"/>
  <c r="G7" i="2" s="1"/>
  <c r="G6" i="2"/>
  <c r="F6" i="2"/>
  <c r="F5" i="2"/>
  <c r="G5" i="2" s="1"/>
  <c r="G4" i="2"/>
  <c r="G3" i="2"/>
  <c r="F3" i="2"/>
  <c r="F2" i="2"/>
  <c r="G2" i="2" s="1"/>
  <c r="I44" i="4"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Benkarrouch, Mohamed-Madih</author>
  </authors>
  <commentList>
    <comment ref="E11" authorId="0" shapeId="0" xr:uid="{D3220CA0-6FE4-4ABC-AE5E-CF1BA8C79D4B}">
      <text>
        <r>
          <rPr>
            <b/>
            <sz val="9"/>
            <color indexed="81"/>
            <rFont val="Tahoma"/>
            <family val="2"/>
          </rPr>
          <t>Gracia Gingras:</t>
        </r>
        <r>
          <rPr>
            <sz val="9"/>
            <color indexed="81"/>
            <rFont val="Tahoma"/>
            <family val="2"/>
          </rPr>
          <t xml:space="preserve">
Case réservée au nombre de participants. Vous devez entrer dans la cellule le résultat que vous avez obtenu dans la case J7
 de la feuille de calcul Maintenance.</t>
        </r>
      </text>
    </comment>
    <comment ref="G40" authorId="0" shapeId="0" xr:uid="{69C5B794-E25D-4643-9B29-338BE00DA182}">
      <text>
        <r>
          <rPr>
            <b/>
            <sz val="9"/>
            <color indexed="81"/>
            <rFont val="Tahoma"/>
            <family val="2"/>
          </rPr>
          <t>gracia :</t>
        </r>
        <r>
          <rPr>
            <sz val="9"/>
            <color indexed="81"/>
            <rFont val="Tahoma"/>
            <family val="2"/>
          </rPr>
          <t xml:space="preserve">
Case réservée à la contribution du MEES - Pour les fins du problème laisser la case vide.
</t>
        </r>
      </text>
    </comment>
  </commentList>
</comments>
</file>

<file path=xl/sharedStrings.xml><?xml version="1.0" encoding="utf-8"?>
<sst xmlns="http://schemas.openxmlformats.org/spreadsheetml/2006/main" count="197" uniqueCount="169">
  <si>
    <t>Nom</t>
  </si>
  <si>
    <t>Prénom</t>
  </si>
  <si>
    <t>Majuscule</t>
  </si>
  <si>
    <t>Minuscule</t>
  </si>
  <si>
    <t xml:space="preserve">date de naissance </t>
  </si>
  <si>
    <t>Nom d'utilisateur</t>
  </si>
  <si>
    <t>Adresse courriel</t>
  </si>
  <si>
    <t>Opérateur</t>
  </si>
  <si>
    <t>DATE</t>
  </si>
  <si>
    <t>TYPE DE PANNE</t>
  </si>
  <si>
    <t>Augier</t>
  </si>
  <si>
    <t>MANŒUVRE</t>
  </si>
  <si>
    <t>Beaudry</t>
  </si>
  <si>
    <t>BRIS</t>
  </si>
  <si>
    <t>Blanchard</t>
  </si>
  <si>
    <t>Raymond</t>
  </si>
  <si>
    <t>Brunet</t>
  </si>
  <si>
    <t>Schneider</t>
  </si>
  <si>
    <t>Dieudonné</t>
  </si>
  <si>
    <t>Petit</t>
  </si>
  <si>
    <t>Ambrosio</t>
  </si>
  <si>
    <t>Tremblay</t>
  </si>
  <si>
    <t>Verdon</t>
  </si>
  <si>
    <t>Albert</t>
  </si>
  <si>
    <t>Smith</t>
  </si>
  <si>
    <t xml:space="preserve"> Kenny</t>
  </si>
  <si>
    <t>Gibbs</t>
  </si>
  <si>
    <t>Dubois</t>
  </si>
  <si>
    <t>Martini</t>
  </si>
  <si>
    <t>Laredo</t>
  </si>
  <si>
    <t>Akli</t>
  </si>
  <si>
    <t>Diouf</t>
  </si>
  <si>
    <t>SALAIRE</t>
  </si>
  <si>
    <t>Numéro d'employé</t>
  </si>
  <si>
    <t>Nom de l'employé</t>
  </si>
  <si>
    <t>ÉQUIPEMENT</t>
  </si>
  <si>
    <r>
      <t xml:space="preserve">Prénom Nom </t>
    </r>
    <r>
      <rPr>
        <b/>
        <sz val="8"/>
        <color theme="1"/>
        <rFont val="Calibri"/>
        <family val="2"/>
        <scheme val="minor"/>
      </rPr>
      <t>Remplissage automatique</t>
    </r>
  </si>
  <si>
    <t>DURÉE DE LA PANNE</t>
  </si>
  <si>
    <t>COÛTS DES PIÈCES</t>
  </si>
  <si>
    <t>COÛTS MOD</t>
  </si>
  <si>
    <t>COÛTS TOTAUX</t>
  </si>
  <si>
    <t>QUESTION 3 A</t>
  </si>
  <si>
    <t>QUESTION 3 C</t>
  </si>
  <si>
    <t>QUESTION 3 B.1</t>
  </si>
  <si>
    <t>QUESTION 3 B.2</t>
  </si>
  <si>
    <t>Nhi</t>
  </si>
  <si>
    <t>Nikita</t>
  </si>
  <si>
    <t>Courriel de l'employé</t>
  </si>
  <si>
    <t>Salaire de l'employé</t>
  </si>
  <si>
    <t>Budget du projet</t>
  </si>
  <si>
    <t>Nature de la dépense</t>
  </si>
  <si>
    <t>Description de la dépense</t>
  </si>
  <si>
    <t>Coût unitaire</t>
  </si>
  <si>
    <t>Unité</t>
  </si>
  <si>
    <t>Montant demandé avant taxes</t>
  </si>
  <si>
    <t>Taxes (100 %)</t>
  </si>
  <si>
    <t>Montant demandé</t>
  </si>
  <si>
    <t>Montant proposé</t>
  </si>
  <si>
    <t>Élaboration ou adaptation</t>
  </si>
  <si>
    <t xml:space="preserve">Honoraires professionnels pour l'élaboration de contenu de formation </t>
  </si>
  <si>
    <t xml:space="preserve">Honoraires professionnels pour l'adaptation de contenu de formation </t>
  </si>
  <si>
    <t>Salaire de base des experts</t>
  </si>
  <si>
    <t>Diffusion</t>
  </si>
  <si>
    <t>Honoraires professionnels du formateur</t>
  </si>
  <si>
    <t>Salaire de la personne affectée au soutien à la réussite</t>
  </si>
  <si>
    <r>
      <t xml:space="preserve">Salaire de base des participants </t>
    </r>
    <r>
      <rPr>
        <sz val="10"/>
        <color rgb="FFFF0000"/>
        <rFont val="Arial"/>
        <family val="2"/>
      </rPr>
      <t>(le nombre des participants doit être inscrit uniquement dans la case E)</t>
    </r>
  </si>
  <si>
    <t>Déplacement</t>
  </si>
  <si>
    <t>Déplacement des experts</t>
  </si>
  <si>
    <t>Déplacement du formateur</t>
  </si>
  <si>
    <t xml:space="preserve">Déplacement des participants </t>
  </si>
  <si>
    <t>Déplacement du chargé de projets</t>
  </si>
  <si>
    <t>Autres frais de déplacement (à préciser)</t>
  </si>
  <si>
    <t>Hébergement</t>
  </si>
  <si>
    <t>Hébergement des experts</t>
  </si>
  <si>
    <t>Hébergement du formateur</t>
  </si>
  <si>
    <t xml:space="preserve">Hébergement des participants </t>
  </si>
  <si>
    <t>Hébergement du chargé de projets</t>
  </si>
  <si>
    <t>Matériel didactique</t>
  </si>
  <si>
    <t>Révision linguistique</t>
  </si>
  <si>
    <t>Graphisme</t>
  </si>
  <si>
    <t>Frais d'infographie</t>
  </si>
  <si>
    <t>Frais d'impression</t>
  </si>
  <si>
    <t xml:space="preserve">Autres dépenses liées à la réalisation du projet </t>
  </si>
  <si>
    <t>Location de salles et de matériels audiovisuels</t>
  </si>
  <si>
    <t>Frais liés à la reconnaissance des acquis et des compétences</t>
  </si>
  <si>
    <t>Location d'équipements</t>
  </si>
  <si>
    <t>Honoraires professionnels d'un interprète pour la formation de personnes malentendantes</t>
  </si>
  <si>
    <t>Honoraires professionnels d’un accompagnateur pour la formation de personnes malentendantes</t>
  </si>
  <si>
    <t>Les frais encourus pour l’adaptation du matériel
pédagogique selon la nature du handicap</t>
  </si>
  <si>
    <t>Dépenses liées à l'administration du projet par le promoteur</t>
  </si>
  <si>
    <t>Salaire de base du chargé de projets</t>
  </si>
  <si>
    <t>Promotion</t>
  </si>
  <si>
    <r>
      <t xml:space="preserve">Contribution financière du Ministère de l'Éducation et de l'Enseignement supérieur </t>
    </r>
    <r>
      <rPr>
        <b/>
        <sz val="10"/>
        <color rgb="FFFF0000"/>
        <rFont val="Arial"/>
        <family val="2"/>
      </rPr>
      <t>(le montant doit être inscrit uniquement dans la case G)</t>
    </r>
  </si>
  <si>
    <t>Aucun montant ne doit être inscrit</t>
  </si>
  <si>
    <t>Remboursement (50 % des taxes admissibles)</t>
  </si>
  <si>
    <t>Total partiel</t>
  </si>
  <si>
    <t>Frais d'administration (maximum 10 % du montant versé excluant le remboursement des salaires et incluant la contribution du ministère de l'Éducation et de l'Enseignement supérieur)</t>
  </si>
  <si>
    <t>Total</t>
  </si>
  <si>
    <t>Instructions relatives au budget du projet</t>
  </si>
  <si>
    <r>
      <rPr>
        <b/>
        <sz val="12"/>
        <rFont val="Arial"/>
        <family val="2"/>
      </rPr>
      <t>1. Barèmes du programme</t>
    </r>
    <r>
      <rPr>
        <sz val="12"/>
        <rFont val="Arial"/>
        <family val="2"/>
      </rPr>
      <t xml:space="preserve"> </t>
    </r>
  </si>
  <si>
    <r>
      <rPr>
        <b/>
        <sz val="10"/>
        <color rgb="FF000000"/>
        <rFont val="Arial"/>
        <family val="2"/>
      </rPr>
      <t>Honoraires professionnels</t>
    </r>
    <r>
      <rPr>
        <sz val="10"/>
        <color rgb="FF000000"/>
        <rFont val="Arial"/>
        <family val="2"/>
      </rPr>
      <t>:  Selon la complexité des travaux à accomplir, le remboursement des dépenses pourrait atteindre 150 $ l’heure.</t>
    </r>
  </si>
  <si>
    <r>
      <rPr>
        <b/>
        <sz val="10"/>
        <rFont val="Arial"/>
        <family val="2"/>
      </rPr>
      <t xml:space="preserve">Salaire de base des participants : </t>
    </r>
    <r>
      <rPr>
        <sz val="10"/>
        <rFont val="Arial"/>
        <family val="2"/>
      </rPr>
      <t>Le salaire horaire est remboursé jusqu’à un maximum de 15 $ l’heure par participant et de 15 000 $ par participant.</t>
    </r>
  </si>
  <si>
    <r>
      <rPr>
        <b/>
        <sz val="10"/>
        <rFont val="Arial"/>
        <family val="2"/>
      </rPr>
      <t xml:space="preserve">Frais de déplacement et d’hébergement
</t>
    </r>
    <r>
      <rPr>
        <sz val="10"/>
        <rFont val="Arial"/>
        <family val="2"/>
      </rPr>
      <t>La distance à parcourir doit être de 100 km ou plus. Selon ce qui est le plus économique, le domicile ou le lieu de travail est
déterminé comme point de départ du déplacement (jusqu’à 8 000 km : 0,43 $/km, plus de 8 000 km : 0,375 $/km).</t>
    </r>
  </si>
  <si>
    <t>3. Instructions concernant les colonnes</t>
  </si>
  <si>
    <r>
      <t xml:space="preserve">Les dépenses admissibles sont présentées par catégorie : Élaboration ou adaptation, Diffusion, Déplacement, Hébergement, Matériel didactique, Autres dépenses liées à la réalisation du projet et Dépenses liées à l'administration du projet par le promoteur. Il est important de </t>
    </r>
    <r>
      <rPr>
        <b/>
        <sz val="10"/>
        <rFont val="Arial"/>
        <family val="2"/>
      </rPr>
      <t>ne pas changer l'appellation des postes budgétaires</t>
    </r>
    <r>
      <rPr>
        <sz val="10"/>
        <rFont val="Arial"/>
        <family val="2"/>
      </rPr>
      <t>.</t>
    </r>
  </si>
  <si>
    <t xml:space="preserve">Veuillez remplir seulement les lignes qui concernent les postes budgétaires visés par votre demande de subvention. </t>
  </si>
  <si>
    <t>Pour chaque catégorie de dépenses (taux horaire des formateurs et des participants, coût par participant pour le matériel didactique, coût par kilomètre pour les frais de déplacement, coût par jour pour les frais d'hébergement et la location de salle, etc.), inscrire le détail des calculs en utilisant les unités de mesure appropriées. Voici des exemples :</t>
  </si>
  <si>
    <t>Honoraires professionnels : 90 $/h x 16 h x 2 groupes</t>
  </si>
  <si>
    <t>Salaire de base des participants: 12,65 $/h x 16 h x 12 participants</t>
  </si>
  <si>
    <t>Déplacement du formateur: 0,43 $/km x 600 km x 2 déplacements</t>
  </si>
  <si>
    <r>
      <t xml:space="preserve">Le coût unitaire doit être inscrit en dollars ($). Il s’agit du premier facteur de la multiplication présentée dans la colonne </t>
    </r>
    <r>
      <rPr>
        <i/>
        <sz val="10"/>
        <rFont val="Arial"/>
        <family val="2"/>
      </rPr>
      <t>Description de la dépense</t>
    </r>
    <r>
      <rPr>
        <sz val="10"/>
        <rFont val="Arial"/>
        <family val="2"/>
      </rPr>
      <t xml:space="preserve"> (voir les exemples ci-dessus).</t>
    </r>
  </si>
  <si>
    <t>Inscrire les autres facteurs de la multiplication. Dans les cases laissées vides, inscrire le chiffre 1.</t>
  </si>
  <si>
    <r>
      <t>Les taxes sont calculées automatiquement pour les dépenses taxables. La portion remboursable des taxes, qui est de 50 %, est également calculée automatiquement. Elle se trouve à la ligne «Remboursement (50 % des taxes admissibles)»</t>
    </r>
    <r>
      <rPr>
        <i/>
        <sz val="10"/>
        <rFont val="Arial"/>
        <family val="2"/>
      </rPr>
      <t>.</t>
    </r>
  </si>
  <si>
    <t>Gina André</t>
  </si>
  <si>
    <t>Selen Dinh</t>
  </si>
  <si>
    <t>Emmanuel Dumont</t>
  </si>
  <si>
    <t>Faiza Félix Désir</t>
  </si>
  <si>
    <t>Aylin Feria Prudente</t>
  </si>
  <si>
    <t>Sonia Gagné</t>
  </si>
  <si>
    <t>Isabelle John</t>
  </si>
  <si>
    <t>Yasmine Marsan</t>
  </si>
  <si>
    <t>Dalila Mocombe</t>
  </si>
  <si>
    <t>Caroline Mohamed</t>
  </si>
  <si>
    <t>Roza Phareau</t>
  </si>
  <si>
    <t>Gabriela Pierre</t>
  </si>
  <si>
    <t>Javier Rodrigues</t>
  </si>
  <si>
    <t>Naoual St-Louis</t>
  </si>
  <si>
    <t>Olive Retamozo</t>
  </si>
  <si>
    <t>Amira Ayotte</t>
  </si>
  <si>
    <t>Margarette Castillo</t>
  </si>
  <si>
    <t>Khalid Charles</t>
  </si>
  <si>
    <t>Sylvie Cuevas</t>
  </si>
  <si>
    <t>Megan Dali</t>
  </si>
  <si>
    <t>Serge Dey</t>
  </si>
  <si>
    <t>Mélanie Ethier</t>
  </si>
  <si>
    <t>Mouna Guirand</t>
  </si>
  <si>
    <t>Daniella Gursoy</t>
  </si>
  <si>
    <t>Amira Leroy</t>
  </si>
  <si>
    <t>Vincent Oularbi</t>
  </si>
  <si>
    <t>Nannan Angeles</t>
  </si>
  <si>
    <t>Éricka Vinet</t>
  </si>
  <si>
    <t>Olfa Auclair</t>
  </si>
  <si>
    <t>Hadjer Baïtsa</t>
  </si>
  <si>
    <t>Julie Belaidi</t>
  </si>
  <si>
    <t>Katherine Bélanger</t>
  </si>
  <si>
    <t>Rébéka Benakli</t>
  </si>
  <si>
    <t>Cristina Benecchi</t>
  </si>
  <si>
    <t>Charlemagne Benitez</t>
  </si>
  <si>
    <t>Nhi Bikri</t>
  </si>
  <si>
    <t>Élisabeth Chabet</t>
  </si>
  <si>
    <t>Phito Dib</t>
  </si>
  <si>
    <t>Jessica Dominique</t>
  </si>
  <si>
    <t>Isabelle Fensab</t>
  </si>
  <si>
    <t>Miriam Fournier</t>
  </si>
  <si>
    <t>Marc Giguère</t>
  </si>
  <si>
    <t>Marckency Gotta</t>
  </si>
  <si>
    <t>Sara Grenier</t>
  </si>
  <si>
    <t>Natacha Hamaini</t>
  </si>
  <si>
    <t>Claudy Jean</t>
  </si>
  <si>
    <t>Paulo Cesar Kaci</t>
  </si>
  <si>
    <t>Mendry Kinsbergen</t>
  </si>
  <si>
    <t>Fredy KoBioh</t>
  </si>
  <si>
    <t>Marco Médeiros</t>
  </si>
  <si>
    <t>Emilio Maroub</t>
  </si>
  <si>
    <t>James André Medjad</t>
  </si>
  <si>
    <t>Juan Ramon Pierre</t>
  </si>
  <si>
    <t>Amar Rosales</t>
  </si>
  <si>
    <t>Nikita Simon</t>
  </si>
  <si>
    <t>Diane Tricolici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</si>
</sst>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44" formatCode="_ * #,##0.00_)\ &quot;$&quot;_ ;_ * \(#,##0.00\)\ &quot;$&quot;_ ;_ * &quot;-&quot;??_)\ &quot;$&quot;_ ;_ @_ "/>
    <numFmt numFmtId="43" formatCode="_ * #,##0.00_)_ ;_ * \(#,##0.00\)_ ;_ * &quot;-&quot;??_)_ ;_ @_ "/>
    <numFmt numFmtId="164" formatCode="_ * #,##0_)\ &quot;$&quot;_ ;_ * \(#,##0\)\ &quot;$&quot;_ ;_ * &quot;-&quot;??_)\ &quot;$&quot;_ ;_ @_ "/>
    <numFmt numFmtId="166" formatCode="_ * #,##0_)\ [$$-C0C]_ ;_ * \(#,##0\)\ [$$-C0C]_ ;_ * &quot;-&quot;??_)\ [$$-C0C]_ ;_ @_ "/>
    <numFmt numFmtId="170" formatCode="#,##0\ &quot;$&quot;"/>
  </numFmts>
  <fonts count="25" x14ac:knownFonts="1">
    <font>
      <sz val="11"/>
      <color theme="1"/>
      <name val="Calibri"/>
      <family val="2"/>
      <scheme val="minor"/>
    </font>
    <font>
      <sz val="11"/>
      <color theme="1"/>
      <name val="Calibri"/>
      <family val="2"/>
      <scheme val="minor"/>
    </font>
    <font>
      <b/>
      <sz val="11"/>
      <color theme="0"/>
      <name val="Calibri"/>
      <family val="2"/>
      <scheme val="minor"/>
    </font>
    <font>
      <b/>
      <sz val="11"/>
      <color theme="1"/>
      <name val="Calibri"/>
      <family val="2"/>
      <scheme val="minor"/>
    </font>
    <font>
      <sz val="11"/>
      <color theme="0"/>
      <name val="Calibri"/>
      <family val="2"/>
      <scheme val="minor"/>
    </font>
    <font>
      <b/>
      <sz val="12"/>
      <color theme="1"/>
      <name val="Calibri"/>
      <family val="2"/>
      <charset val="178"/>
      <scheme val="minor"/>
    </font>
    <font>
      <b/>
      <sz val="8"/>
      <color theme="1"/>
      <name val="Calibri"/>
      <family val="2"/>
      <scheme val="minor"/>
    </font>
    <font>
      <sz val="11"/>
      <name val="Calibri"/>
      <family val="2"/>
      <scheme val="minor"/>
    </font>
    <font>
      <b/>
      <sz val="14"/>
      <name val="Arial"/>
      <family val="2"/>
    </font>
    <font>
      <sz val="10"/>
      <name val="Arial"/>
      <family val="2"/>
    </font>
    <font>
      <b/>
      <sz val="10"/>
      <color theme="0"/>
      <name val="Arial"/>
      <family val="2"/>
    </font>
    <font>
      <b/>
      <sz val="10"/>
      <name val="Arial"/>
      <family val="2"/>
    </font>
    <font>
      <sz val="10"/>
      <color rgb="FFFF0000"/>
      <name val="Arial"/>
      <family val="2"/>
    </font>
    <font>
      <b/>
      <sz val="10"/>
      <color rgb="FFFF0000"/>
      <name val="Arial"/>
      <family val="2"/>
    </font>
    <font>
      <b/>
      <sz val="11"/>
      <name val="Arial"/>
      <family val="2"/>
    </font>
    <font>
      <b/>
      <sz val="11"/>
      <color theme="0"/>
      <name val="Arial"/>
      <family val="2"/>
    </font>
    <font>
      <sz val="10"/>
      <color theme="0"/>
      <name val="Arial"/>
      <family val="2"/>
    </font>
    <font>
      <b/>
      <sz val="9"/>
      <color indexed="81"/>
      <name val="Tahoma"/>
      <family val="2"/>
    </font>
    <font>
      <sz val="9"/>
      <color indexed="81"/>
      <name val="Tahoma"/>
      <family val="2"/>
    </font>
    <font>
      <sz val="12"/>
      <name val="Arial"/>
      <family val="2"/>
    </font>
    <font>
      <b/>
      <sz val="12"/>
      <name val="Arial"/>
      <family val="2"/>
    </font>
    <font>
      <sz val="10"/>
      <color rgb="FF000000"/>
      <name val="Arial"/>
      <family val="2"/>
    </font>
    <font>
      <b/>
      <sz val="10"/>
      <color rgb="FF000000"/>
      <name val="Arial"/>
      <family val="2"/>
    </font>
    <font>
      <b/>
      <i/>
      <sz val="10"/>
      <name val="Arial"/>
      <family val="2"/>
    </font>
    <font>
      <i/>
      <sz val="10"/>
      <name val="Arial"/>
      <family val="2"/>
    </font>
  </fonts>
  <fills count="8">
    <fill>
      <patternFill patternType="none"/>
    </fill>
    <fill>
      <patternFill patternType="gray125"/>
    </fill>
    <fill>
      <patternFill patternType="solid">
        <fgColor theme="1"/>
        <bgColor indexed="64"/>
      </patternFill>
    </fill>
    <fill>
      <patternFill patternType="solid">
        <fgColor theme="1"/>
        <bgColor theme="1"/>
      </patternFill>
    </fill>
    <fill>
      <patternFill patternType="solid">
        <fgColor rgb="FFFFFF00"/>
        <bgColor indexed="64"/>
      </patternFill>
    </fill>
    <fill>
      <patternFill patternType="solid">
        <fgColor theme="0"/>
        <bgColor indexed="64"/>
      </patternFill>
    </fill>
    <fill>
      <patternFill patternType="solid">
        <fgColor theme="0" tint="-0.14999847407452621"/>
        <bgColor indexed="64"/>
      </patternFill>
    </fill>
    <fill>
      <patternFill patternType="solid">
        <fgColor theme="0" tint="-0.14999847407452621"/>
        <bgColor indexed="31"/>
      </patternFill>
    </fill>
  </fills>
  <borders count="18">
    <border>
      <left/>
      <right/>
      <top/>
      <bottom/>
      <diagonal/>
    </border>
    <border>
      <left style="thin">
        <color theme="1"/>
      </left>
      <right/>
      <top style="thin">
        <color theme="1"/>
      </top>
      <bottom/>
      <diagonal/>
    </border>
    <border>
      <left/>
      <right/>
      <top style="thin">
        <color theme="1"/>
      </top>
      <bottom/>
      <diagonal/>
    </border>
    <border>
      <left/>
      <right style="thin">
        <color theme="1"/>
      </right>
      <top style="thin">
        <color theme="1"/>
      </top>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right style="thin">
        <color indexed="64"/>
      </right>
      <top style="thin">
        <color indexed="64"/>
      </top>
      <bottom style="thin">
        <color indexed="64"/>
      </bottom>
      <diagonal/>
    </border>
    <border>
      <left style="thin">
        <color indexed="64"/>
      </left>
      <right/>
      <top/>
      <bottom/>
      <diagonal/>
    </border>
    <border>
      <left/>
      <right style="thin">
        <color indexed="64"/>
      </right>
      <top/>
      <bottom/>
      <diagonal/>
    </border>
  </borders>
  <cellStyleXfs count="4">
    <xf numFmtId="0" fontId="0" fillId="0" borderId="0"/>
    <xf numFmtId="43" fontId="1" fillId="0" borderId="0" applyFont="0" applyFill="0" applyBorder="0" applyAlignment="0" applyProtection="0"/>
    <xf numFmtId="44" fontId="1" fillId="0" borderId="0" applyFont="0" applyFill="0" applyBorder="0" applyAlignment="0" applyProtection="0"/>
    <xf numFmtId="9" fontId="1" fillId="0" borderId="0" applyFont="0" applyFill="0" applyBorder="0" applyAlignment="0" applyProtection="0"/>
  </cellStyleXfs>
  <cellXfs count="113">
    <xf numFmtId="0" fontId="0" fillId="0" borderId="0" xfId="0"/>
    <xf numFmtId="0" fontId="3" fillId="0" borderId="0" xfId="0" applyFont="1"/>
    <xf numFmtId="0" fontId="3" fillId="0" borderId="0" xfId="0" applyFont="1" applyAlignment="1">
      <alignment wrapText="1"/>
    </xf>
    <xf numFmtId="0" fontId="5" fillId="0" borderId="0" xfId="0" applyFont="1" applyAlignment="1">
      <alignment horizontal="center" wrapText="1"/>
    </xf>
    <xf numFmtId="14" fontId="0" fillId="0" borderId="0" xfId="0" applyNumberFormat="1"/>
    <xf numFmtId="1" fontId="0" fillId="0" borderId="0" xfId="0" applyNumberFormat="1"/>
    <xf numFmtId="164" fontId="0" fillId="0" borderId="0" xfId="2" applyNumberFormat="1" applyFont="1"/>
    <xf numFmtId="0" fontId="2" fillId="2" borderId="0" xfId="0" applyFont="1" applyFill="1" applyAlignment="1">
      <alignment wrapText="1"/>
    </xf>
    <xf numFmtId="0" fontId="4" fillId="2" borderId="0" xfId="0" applyFont="1" applyFill="1"/>
    <xf numFmtId="0" fontId="2" fillId="3" borderId="1" xfId="0" applyFont="1" applyFill="1" applyBorder="1"/>
    <xf numFmtId="0" fontId="2" fillId="3" borderId="2" xfId="0" applyFont="1" applyFill="1" applyBorder="1"/>
    <xf numFmtId="0" fontId="2" fillId="3" borderId="2" xfId="0" applyFont="1" applyFill="1" applyBorder="1" applyAlignment="1">
      <alignment wrapText="1"/>
    </xf>
    <xf numFmtId="0" fontId="2" fillId="3" borderId="3" xfId="0" applyFont="1" applyFill="1" applyBorder="1"/>
    <xf numFmtId="0" fontId="0" fillId="4" borderId="0" xfId="0" applyFill="1"/>
    <xf numFmtId="0" fontId="0" fillId="5" borderId="0" xfId="0" applyFill="1"/>
    <xf numFmtId="0" fontId="9" fillId="0" borderId="0" xfId="0" applyFont="1" applyAlignment="1">
      <alignment wrapText="1"/>
    </xf>
    <xf numFmtId="0" fontId="10" fillId="2" borderId="4" xfId="0" applyFont="1" applyFill="1" applyBorder="1" applyAlignment="1">
      <alignment horizontal="center" vertical="center" wrapText="1"/>
    </xf>
    <xf numFmtId="0" fontId="11" fillId="7" borderId="5" xfId="0" applyFont="1" applyFill="1" applyBorder="1" applyAlignment="1" applyProtection="1">
      <alignment horizontal="left" vertical="center" wrapText="1"/>
      <protection locked="0"/>
    </xf>
    <xf numFmtId="0" fontId="9" fillId="6" borderId="6" xfId="0" applyFont="1" applyFill="1" applyBorder="1" applyAlignment="1">
      <alignment wrapText="1"/>
    </xf>
    <xf numFmtId="0" fontId="9" fillId="0" borderId="7" xfId="0" applyFont="1" applyBorder="1" applyAlignment="1" applyProtection="1">
      <alignment horizontal="left" vertical="center" wrapText="1"/>
      <protection locked="0"/>
    </xf>
    <xf numFmtId="0" fontId="9" fillId="0" borderId="7" xfId="0" applyFont="1" applyBorder="1" applyAlignment="1">
      <alignment horizontal="left" vertical="center" wrapText="1"/>
    </xf>
    <xf numFmtId="44" fontId="9" fillId="0" borderId="7" xfId="2" applyFont="1" applyFill="1" applyBorder="1" applyAlignment="1">
      <alignment horizontal="right" vertical="center" wrapText="1"/>
    </xf>
    <xf numFmtId="0" fontId="9" fillId="0" borderId="7" xfId="0" applyFont="1" applyBorder="1" applyAlignment="1">
      <alignment horizontal="right" vertical="center" wrapText="1"/>
    </xf>
    <xf numFmtId="164" fontId="9" fillId="0" borderId="8" xfId="2" applyNumberFormat="1" applyFont="1" applyFill="1" applyBorder="1" applyAlignment="1">
      <alignment horizontal="right" vertical="center" wrapText="1"/>
    </xf>
    <xf numFmtId="164" fontId="9" fillId="0" borderId="7" xfId="2" applyNumberFormat="1" applyFont="1" applyFill="1" applyBorder="1" applyAlignment="1">
      <alignment horizontal="right" vertical="center" wrapText="1"/>
    </xf>
    <xf numFmtId="164" fontId="9" fillId="0" borderId="8" xfId="2" applyNumberFormat="1" applyFont="1" applyBorder="1" applyAlignment="1">
      <alignment horizontal="right" vertical="center" wrapText="1"/>
    </xf>
    <xf numFmtId="44" fontId="9" fillId="0" borderId="0" xfId="0" applyNumberFormat="1" applyFont="1" applyAlignment="1">
      <alignment horizontal="center" vertical="center" wrapText="1"/>
    </xf>
    <xf numFmtId="0" fontId="9" fillId="0" borderId="8" xfId="0" applyFont="1" applyBorder="1" applyAlignment="1" applyProtection="1">
      <alignment horizontal="left" vertical="center" wrapText="1"/>
      <protection locked="0"/>
    </xf>
    <xf numFmtId="0" fontId="9" fillId="0" borderId="8" xfId="0" applyFont="1" applyBorder="1" applyAlignment="1">
      <alignment horizontal="right" vertical="center" wrapText="1"/>
    </xf>
    <xf numFmtId="164" fontId="9" fillId="6" borderId="7" xfId="2" applyNumberFormat="1" applyFont="1" applyFill="1" applyBorder="1" applyAlignment="1">
      <alignment horizontal="right" vertical="center" wrapText="1"/>
    </xf>
    <xf numFmtId="0" fontId="9" fillId="6" borderId="6" xfId="0" applyFont="1" applyFill="1" applyBorder="1" applyAlignment="1">
      <alignment horizontal="left" vertical="center" wrapText="1"/>
    </xf>
    <xf numFmtId="44" fontId="9" fillId="6" borderId="6" xfId="2" applyFont="1" applyFill="1" applyBorder="1" applyAlignment="1">
      <alignment horizontal="right" vertical="center" wrapText="1"/>
    </xf>
    <xf numFmtId="0" fontId="9" fillId="6" borderId="6" xfId="0" applyFont="1" applyFill="1" applyBorder="1" applyAlignment="1">
      <alignment horizontal="right" vertical="center" wrapText="1"/>
    </xf>
    <xf numFmtId="164" fontId="9" fillId="6" borderId="6" xfId="0" applyNumberFormat="1" applyFont="1" applyFill="1" applyBorder="1" applyAlignment="1">
      <alignment wrapText="1"/>
    </xf>
    <xf numFmtId="44" fontId="9" fillId="0" borderId="8" xfId="2" applyFont="1" applyFill="1" applyBorder="1" applyAlignment="1">
      <alignment horizontal="right" vertical="center" wrapText="1"/>
    </xf>
    <xf numFmtId="0" fontId="9" fillId="4" borderId="8" xfId="0" applyFont="1" applyFill="1" applyBorder="1" applyAlignment="1">
      <alignment horizontal="right" vertical="center" wrapText="1"/>
    </xf>
    <xf numFmtId="0" fontId="11" fillId="6" borderId="5" xfId="0" applyFont="1" applyFill="1" applyBorder="1" applyAlignment="1">
      <alignment horizontal="left" vertical="center" wrapText="1"/>
    </xf>
    <xf numFmtId="44" fontId="9" fillId="0" borderId="7" xfId="2" applyFont="1" applyBorder="1" applyAlignment="1">
      <alignment horizontal="right" vertical="center" wrapText="1"/>
    </xf>
    <xf numFmtId="0" fontId="11" fillId="6" borderId="5" xfId="0" applyFont="1" applyFill="1" applyBorder="1" applyAlignment="1" applyProtection="1">
      <alignment horizontal="left" vertical="center" wrapText="1"/>
      <protection locked="0"/>
    </xf>
    <xf numFmtId="0" fontId="9" fillId="0" borderId="8" xfId="0" applyFont="1" applyBorder="1" applyAlignment="1">
      <alignment horizontal="left" vertical="center" wrapText="1"/>
    </xf>
    <xf numFmtId="44" fontId="9" fillId="0" borderId="8" xfId="2" applyFont="1" applyBorder="1" applyAlignment="1">
      <alignment horizontal="right" vertical="center" wrapText="1"/>
    </xf>
    <xf numFmtId="0" fontId="9" fillId="0" borderId="4" xfId="0" applyFont="1" applyBorder="1" applyAlignment="1" applyProtection="1">
      <alignment horizontal="left" vertical="center" wrapText="1"/>
      <protection locked="0"/>
    </xf>
    <xf numFmtId="0" fontId="9" fillId="0" borderId="4" xfId="0" applyFont="1" applyBorder="1" applyAlignment="1">
      <alignment horizontal="left" vertical="center" wrapText="1"/>
    </xf>
    <xf numFmtId="44" fontId="9" fillId="0" borderId="4" xfId="2" applyFont="1" applyBorder="1" applyAlignment="1">
      <alignment horizontal="right" vertical="center" wrapText="1"/>
    </xf>
    <xf numFmtId="0" fontId="9" fillId="0" borderId="4" xfId="0" applyFont="1" applyBorder="1" applyAlignment="1">
      <alignment horizontal="right" vertical="center" wrapText="1"/>
    </xf>
    <xf numFmtId="0" fontId="11" fillId="6" borderId="8" xfId="0" applyFont="1" applyFill="1" applyBorder="1" applyAlignment="1" applyProtection="1">
      <alignment horizontal="left" vertical="center" wrapText="1"/>
      <protection locked="0"/>
    </xf>
    <xf numFmtId="0" fontId="9" fillId="6" borderId="8" xfId="0" applyFont="1" applyFill="1" applyBorder="1" applyAlignment="1">
      <alignment horizontal="left" vertical="center" wrapText="1"/>
    </xf>
    <xf numFmtId="44" fontId="9" fillId="6" borderId="8" xfId="2" applyFont="1" applyFill="1" applyBorder="1" applyAlignment="1">
      <alignment horizontal="right" vertical="center" wrapText="1"/>
    </xf>
    <xf numFmtId="0" fontId="9" fillId="6" borderId="8" xfId="0" applyFont="1" applyFill="1" applyBorder="1" applyAlignment="1">
      <alignment horizontal="right" vertical="center" wrapText="1"/>
    </xf>
    <xf numFmtId="164" fontId="11" fillId="4" borderId="7" xfId="2" applyNumberFormat="1" applyFont="1" applyFill="1" applyBorder="1" applyAlignment="1">
      <alignment horizontal="left" vertical="center" wrapText="1"/>
    </xf>
    <xf numFmtId="164" fontId="11" fillId="6" borderId="7" xfId="2" applyNumberFormat="1" applyFont="1" applyFill="1" applyBorder="1" applyAlignment="1">
      <alignment horizontal="left" vertical="center" wrapText="1"/>
    </xf>
    <xf numFmtId="0" fontId="11" fillId="0" borderId="8" xfId="0" applyFont="1" applyBorder="1" applyAlignment="1">
      <alignment horizontal="left" vertical="center" wrapText="1"/>
    </xf>
    <xf numFmtId="0" fontId="9" fillId="0" borderId="6" xfId="0" applyFont="1" applyBorder="1" applyAlignment="1">
      <alignment horizontal="left" vertical="center" wrapText="1"/>
    </xf>
    <xf numFmtId="44" fontId="9" fillId="0" borderId="6" xfId="2" applyFont="1" applyFill="1" applyBorder="1" applyAlignment="1">
      <alignment horizontal="right" vertical="center" wrapText="1"/>
    </xf>
    <xf numFmtId="0" fontId="9" fillId="0" borderId="6" xfId="0" applyFont="1" applyBorder="1" applyAlignment="1">
      <alignment horizontal="right" vertical="center" wrapText="1"/>
    </xf>
    <xf numFmtId="164" fontId="11" fillId="0" borderId="7" xfId="2" applyNumberFormat="1" applyFont="1" applyFill="1" applyBorder="1" applyAlignment="1">
      <alignment horizontal="right" vertical="center" wrapText="1"/>
    </xf>
    <xf numFmtId="0" fontId="14" fillId="6" borderId="8" xfId="0" applyFont="1" applyFill="1" applyBorder="1" applyAlignment="1">
      <alignment horizontal="left" vertical="center" wrapText="1"/>
    </xf>
    <xf numFmtId="0" fontId="11" fillId="6" borderId="6" xfId="0" applyFont="1" applyFill="1" applyBorder="1" applyAlignment="1">
      <alignment horizontal="left" vertical="center" wrapText="1"/>
    </xf>
    <xf numFmtId="44" fontId="11" fillId="6" borderId="6" xfId="2" applyFont="1" applyFill="1" applyBorder="1" applyAlignment="1">
      <alignment horizontal="right" vertical="center" wrapText="1"/>
    </xf>
    <xf numFmtId="0" fontId="11" fillId="6" borderId="6" xfId="0" applyFont="1" applyFill="1" applyBorder="1" applyAlignment="1">
      <alignment horizontal="right" vertical="center" wrapText="1"/>
    </xf>
    <xf numFmtId="164" fontId="14" fillId="6" borderId="8" xfId="2" applyNumberFormat="1" applyFont="1" applyFill="1" applyBorder="1" applyAlignment="1">
      <alignment horizontal="right" vertical="center" wrapText="1"/>
    </xf>
    <xf numFmtId="164" fontId="14" fillId="0" borderId="8" xfId="2" applyNumberFormat="1" applyFont="1" applyFill="1" applyBorder="1" applyAlignment="1">
      <alignment horizontal="right" vertical="center" wrapText="1"/>
    </xf>
    <xf numFmtId="0" fontId="15" fillId="2" borderId="8" xfId="0" applyFont="1" applyFill="1" applyBorder="1" applyAlignment="1">
      <alignment horizontal="left" vertical="center" wrapText="1"/>
    </xf>
    <xf numFmtId="0" fontId="16" fillId="2" borderId="6" xfId="0" applyFont="1" applyFill="1" applyBorder="1" applyAlignment="1">
      <alignment horizontal="left" vertical="center" wrapText="1"/>
    </xf>
    <xf numFmtId="44" fontId="16" fillId="2" borderId="6" xfId="2" applyFont="1" applyFill="1" applyBorder="1" applyAlignment="1">
      <alignment horizontal="right" vertical="center" wrapText="1"/>
    </xf>
    <xf numFmtId="0" fontId="16" fillId="2" borderId="6" xfId="0" applyFont="1" applyFill="1" applyBorder="1" applyAlignment="1">
      <alignment horizontal="right" vertical="center" wrapText="1"/>
    </xf>
    <xf numFmtId="164" fontId="16" fillId="2" borderId="6" xfId="0" applyNumberFormat="1" applyFont="1" applyFill="1" applyBorder="1" applyAlignment="1">
      <alignment horizontal="right" vertical="center" wrapText="1"/>
    </xf>
    <xf numFmtId="164" fontId="15" fillId="2" borderId="8" xfId="2" applyNumberFormat="1" applyFont="1" applyFill="1" applyBorder="1" applyAlignment="1">
      <alignment horizontal="right" vertical="center" wrapText="1"/>
    </xf>
    <xf numFmtId="9" fontId="9" fillId="0" borderId="0" xfId="3" applyFont="1" applyAlignment="1">
      <alignment wrapText="1"/>
    </xf>
    <xf numFmtId="44" fontId="9" fillId="0" borderId="0" xfId="0" applyNumberFormat="1" applyFont="1" applyAlignment="1">
      <alignment wrapText="1"/>
    </xf>
    <xf numFmtId="164" fontId="9" fillId="4" borderId="8" xfId="2" applyNumberFormat="1" applyFont="1" applyFill="1" applyBorder="1" applyAlignment="1">
      <alignment horizontal="right" vertical="center" wrapText="1"/>
    </xf>
    <xf numFmtId="164" fontId="9" fillId="4" borderId="7" xfId="2" applyNumberFormat="1" applyFont="1" applyFill="1" applyBorder="1" applyAlignment="1">
      <alignment horizontal="right" vertical="center" wrapText="1"/>
    </xf>
    <xf numFmtId="0" fontId="9" fillId="0" borderId="0" xfId="0" applyFont="1"/>
    <xf numFmtId="0" fontId="8" fillId="5" borderId="9" xfId="0" applyFont="1" applyFill="1" applyBorder="1" applyAlignment="1">
      <alignment horizontal="center" vertical="center" wrapText="1"/>
    </xf>
    <xf numFmtId="0" fontId="8" fillId="5" borderId="10" xfId="0" applyFont="1" applyFill="1" applyBorder="1" applyAlignment="1">
      <alignment horizontal="center" vertical="center" wrapText="1"/>
    </xf>
    <xf numFmtId="0" fontId="8" fillId="5" borderId="11" xfId="0" applyFont="1" applyFill="1" applyBorder="1" applyAlignment="1">
      <alignment horizontal="center" vertical="center" wrapText="1"/>
    </xf>
    <xf numFmtId="0" fontId="19" fillId="0" borderId="0" xfId="0" applyFont="1"/>
    <xf numFmtId="0" fontId="19" fillId="5" borderId="9" xfId="0" applyFont="1" applyFill="1" applyBorder="1" applyAlignment="1">
      <alignment wrapText="1"/>
    </xf>
    <xf numFmtId="0" fontId="9" fillId="5" borderId="10" xfId="0" applyFont="1" applyFill="1" applyBorder="1" applyAlignment="1">
      <alignment wrapText="1"/>
    </xf>
    <xf numFmtId="0" fontId="9" fillId="5" borderId="11" xfId="0" applyFont="1" applyFill="1" applyBorder="1" applyAlignment="1">
      <alignment wrapText="1"/>
    </xf>
    <xf numFmtId="0" fontId="9" fillId="0" borderId="0" xfId="0" applyFont="1" applyAlignment="1">
      <alignment vertical="center"/>
    </xf>
    <xf numFmtId="0" fontId="21" fillId="0" borderId="0" xfId="0" applyFont="1" applyAlignment="1">
      <alignment vertical="center"/>
    </xf>
    <xf numFmtId="0" fontId="20" fillId="5" borderId="9" xfId="0" applyFont="1" applyFill="1" applyBorder="1" applyAlignment="1">
      <alignment wrapText="1"/>
    </xf>
    <xf numFmtId="164" fontId="11" fillId="4" borderId="7" xfId="2" applyNumberFormat="1" applyFont="1" applyFill="1" applyBorder="1" applyAlignment="1">
      <alignment horizontal="right" vertical="center" wrapText="1"/>
    </xf>
    <xf numFmtId="49" fontId="0" fillId="0" borderId="0" xfId="0" applyNumberFormat="1"/>
    <xf numFmtId="49" fontId="0" fillId="4" borderId="0" xfId="0" applyNumberFormat="1" applyFill="1"/>
    <xf numFmtId="166" fontId="0" fillId="0" borderId="0" xfId="2" applyNumberFormat="1" applyFont="1"/>
    <xf numFmtId="0" fontId="8" fillId="6" borderId="0" xfId="0" applyFont="1" applyFill="1" applyAlignment="1">
      <alignment horizontal="center" vertical="center" wrapText="1"/>
    </xf>
    <xf numFmtId="0" fontId="9" fillId="5" borderId="16" xfId="0" applyFont="1" applyFill="1" applyBorder="1" applyAlignment="1">
      <alignment wrapText="1"/>
    </xf>
    <xf numFmtId="0" fontId="9" fillId="5" borderId="0" xfId="0" applyFont="1" applyFill="1" applyAlignment="1">
      <alignment wrapText="1"/>
    </xf>
    <xf numFmtId="0" fontId="9" fillId="5" borderId="17" xfId="0" applyFont="1" applyFill="1" applyBorder="1" applyAlignment="1">
      <alignment wrapText="1"/>
    </xf>
    <xf numFmtId="0" fontId="23" fillId="5" borderId="16" xfId="0" applyFont="1" applyFill="1" applyBorder="1" applyAlignment="1">
      <alignment wrapText="1"/>
    </xf>
    <xf numFmtId="0" fontId="9" fillId="5" borderId="12" xfId="0" applyFont="1" applyFill="1" applyBorder="1" applyAlignment="1">
      <alignment wrapText="1"/>
    </xf>
    <xf numFmtId="0" fontId="9" fillId="5" borderId="13" xfId="0" applyFont="1" applyFill="1" applyBorder="1" applyAlignment="1">
      <alignment wrapText="1"/>
    </xf>
    <xf numFmtId="0" fontId="9" fillId="5" borderId="14" xfId="0" applyFont="1" applyFill="1" applyBorder="1" applyAlignment="1">
      <alignment wrapText="1"/>
    </xf>
    <xf numFmtId="0" fontId="8" fillId="6" borderId="9" xfId="0" applyFont="1" applyFill="1" applyBorder="1" applyAlignment="1">
      <alignment horizontal="center" vertical="center" wrapText="1"/>
    </xf>
    <xf numFmtId="0" fontId="8" fillId="6" borderId="10" xfId="0" applyFont="1" applyFill="1" applyBorder="1" applyAlignment="1">
      <alignment horizontal="center" vertical="center" wrapText="1"/>
    </xf>
    <xf numFmtId="0" fontId="8" fillId="6" borderId="11" xfId="0" applyFont="1" applyFill="1" applyBorder="1" applyAlignment="1">
      <alignment horizontal="center" vertical="center" wrapText="1"/>
    </xf>
    <xf numFmtId="0" fontId="8" fillId="6" borderId="12" xfId="0" quotePrefix="1" applyFont="1" applyFill="1" applyBorder="1" applyAlignment="1">
      <alignment horizontal="center" vertical="center" wrapText="1"/>
    </xf>
    <xf numFmtId="0" fontId="8" fillId="6" borderId="13" xfId="0" applyFont="1" applyFill="1" applyBorder="1" applyAlignment="1">
      <alignment horizontal="center" vertical="center" wrapText="1"/>
    </xf>
    <xf numFmtId="0" fontId="8" fillId="6" borderId="14" xfId="0" applyFont="1" applyFill="1" applyBorder="1" applyAlignment="1">
      <alignment horizontal="center" vertical="center" wrapText="1"/>
    </xf>
    <xf numFmtId="0" fontId="19" fillId="6" borderId="5" xfId="0" applyFont="1" applyFill="1" applyBorder="1" applyAlignment="1">
      <alignment wrapText="1"/>
    </xf>
    <xf numFmtId="0" fontId="9" fillId="6" borderId="6" xfId="0" applyFont="1" applyFill="1" applyBorder="1" applyAlignment="1">
      <alignment wrapText="1"/>
    </xf>
    <xf numFmtId="0" fontId="9" fillId="6" borderId="15" xfId="0" applyFont="1" applyFill="1" applyBorder="1" applyAlignment="1">
      <alignment wrapText="1"/>
    </xf>
    <xf numFmtId="0" fontId="21" fillId="5" borderId="16" xfId="0" applyFont="1" applyFill="1" applyBorder="1" applyAlignment="1">
      <alignment wrapText="1"/>
    </xf>
    <xf numFmtId="0" fontId="9" fillId="5" borderId="16" xfId="0" applyFont="1" applyFill="1" applyBorder="1" applyAlignment="1">
      <alignment horizontal="left" vertical="center" wrapText="1"/>
    </xf>
    <xf numFmtId="0" fontId="9" fillId="5" borderId="0" xfId="0" applyFont="1" applyFill="1" applyAlignment="1">
      <alignment horizontal="left" vertical="center" wrapText="1"/>
    </xf>
    <xf numFmtId="0" fontId="9" fillId="5" borderId="17" xfId="0" applyFont="1" applyFill="1" applyBorder="1" applyAlignment="1">
      <alignment horizontal="left" vertical="center" wrapText="1"/>
    </xf>
    <xf numFmtId="0" fontId="20" fillId="6" borderId="5" xfId="0" applyFont="1" applyFill="1" applyBorder="1" applyAlignment="1">
      <alignment wrapText="1"/>
    </xf>
    <xf numFmtId="49" fontId="7" fillId="4" borderId="0" xfId="0" applyNumberFormat="1" applyFont="1" applyFill="1"/>
    <xf numFmtId="166" fontId="0" fillId="4" borderId="0" xfId="2" applyNumberFormat="1" applyFont="1" applyFill="1"/>
    <xf numFmtId="170" fontId="0" fillId="0" borderId="0" xfId="1" applyNumberFormat="1" applyFont="1"/>
    <xf numFmtId="1" fontId="0" fillId="4" borderId="0" xfId="0" applyNumberFormat="1" applyFill="1"/>
  </cellXfs>
  <cellStyles count="4">
    <cellStyle name="Milliers" xfId="1" builtinId="3"/>
    <cellStyle name="Monétaire" xfId="2" builtinId="4"/>
    <cellStyle name="Normal" xfId="0" builtinId="0"/>
    <cellStyle name="Pourcentage" xfId="3" builtinId="5"/>
  </cellStyles>
  <dxfs count="0"/>
  <tableStyles count="0" defaultTableStyle="TableStyleMedium2" defaultPivotStyle="PivotStyleLight16"/>
  <colors>
    <mruColors>
      <color rgb="FFD6009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11" Type="http://schemas.openxmlformats.org/officeDocument/2006/relationships/customXml" Target="../customXml/item3.xml"/><Relationship Id="rId5" Type="http://schemas.openxmlformats.org/officeDocument/2006/relationships/theme" Target="theme/theme1.xml"/><Relationship Id="rId10" Type="http://schemas.openxmlformats.org/officeDocument/2006/relationships/customXml" Target="../customXml/item2.xml"/><Relationship Id="rId4" Type="http://schemas.openxmlformats.org/officeDocument/2006/relationships/worksheet" Target="worksheets/sheet4.xml"/><Relationship Id="rId9" Type="http://schemas.openxmlformats.org/officeDocument/2006/relationships/customXml" Target="../customXml/item1.xml"/></Relationships>
</file>

<file path=xl/drawings/drawing1.xml><?xml version="1.0" encoding="utf-8"?>
<xdr:wsDr xmlns:xdr="http://schemas.openxmlformats.org/drawingml/2006/spreadsheetDrawing" xmlns:a="http://schemas.openxmlformats.org/drawingml/2006/main">
  <xdr:twoCellAnchor>
    <xdr:from>
      <xdr:col>2</xdr:col>
      <xdr:colOff>565150</xdr:colOff>
      <xdr:row>1</xdr:row>
      <xdr:rowOff>25399</xdr:rowOff>
    </xdr:from>
    <xdr:to>
      <xdr:col>13</xdr:col>
      <xdr:colOff>0</xdr:colOff>
      <xdr:row>4</xdr:row>
      <xdr:rowOff>107950</xdr:rowOff>
    </xdr:to>
    <xdr:sp macro="" textlink="">
      <xdr:nvSpPr>
        <xdr:cNvPr id="2" name="ZoneTexte 1">
          <a:extLst>
            <a:ext uri="{FF2B5EF4-FFF2-40B4-BE49-F238E27FC236}">
              <a16:creationId xmlns:a16="http://schemas.microsoft.com/office/drawing/2014/main" id="{24F39989-F28B-4469-9D5A-0419043F8AA7}"/>
            </a:ext>
          </a:extLst>
        </xdr:cNvPr>
        <xdr:cNvSpPr txBox="1"/>
      </xdr:nvSpPr>
      <xdr:spPr>
        <a:xfrm>
          <a:off x="2165350" y="253999"/>
          <a:ext cx="8235950" cy="73660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A" sz="2000"/>
            <a:t>POUR</a:t>
          </a:r>
          <a:r>
            <a:rPr lang="fr-CA" sz="2000" baseline="0"/>
            <a:t> CONSULTATION SEULEMENT NE PRENEZ RIEN DANS CE TEXTE POUR LA FEUILLE BUDGET DE FORMATION</a:t>
          </a:r>
          <a:endParaRPr lang="fr-CA" sz="20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37F3FB5-F053-4463-8F09-C267780E57F5}">
  <sheetPr>
    <tabColor rgb="FFD60093"/>
  </sheetPr>
  <dimension ref="A1:O57"/>
  <sheetViews>
    <sheetView workbookViewId="0">
      <selection activeCell="M4" sqref="M4"/>
    </sheetView>
  </sheetViews>
  <sheetFormatPr baseColWidth="10" defaultRowHeight="15" x14ac:dyDescent="0.2"/>
  <cols>
    <col min="4" max="4" width="22.33203125" customWidth="1"/>
    <col min="5" max="5" width="20.1640625" customWidth="1"/>
    <col min="6" max="6" width="15.83203125" customWidth="1"/>
    <col min="8" max="8" width="17" customWidth="1"/>
    <col min="9" max="9" width="39.1640625" customWidth="1"/>
    <col min="10" max="10" width="11.6640625" bestFit="1" customWidth="1"/>
    <col min="12" max="12" width="19.1640625" customWidth="1"/>
    <col min="13" max="13" width="11.5" bestFit="1" customWidth="1"/>
  </cols>
  <sheetData>
    <row r="1" spans="1:15" ht="41" x14ac:dyDescent="0.2">
      <c r="A1" s="2" t="s">
        <v>33</v>
      </c>
      <c r="B1" s="1" t="s">
        <v>0</v>
      </c>
      <c r="C1" s="1" t="s">
        <v>1</v>
      </c>
      <c r="D1" s="2" t="s">
        <v>36</v>
      </c>
      <c r="E1" s="1" t="s">
        <v>2</v>
      </c>
      <c r="F1" s="1" t="s">
        <v>3</v>
      </c>
      <c r="G1" s="3" t="s">
        <v>4</v>
      </c>
      <c r="H1" s="2" t="s">
        <v>5</v>
      </c>
      <c r="I1" s="2" t="s">
        <v>6</v>
      </c>
      <c r="J1" s="2" t="s">
        <v>32</v>
      </c>
      <c r="L1" s="7" t="s">
        <v>33</v>
      </c>
      <c r="M1" s="8">
        <v>117</v>
      </c>
      <c r="N1" s="8"/>
      <c r="O1" s="8"/>
    </row>
    <row r="2" spans="1:15" x14ac:dyDescent="0.2">
      <c r="A2" s="5">
        <v>101</v>
      </c>
      <c r="B2" s="84" t="str">
        <f>"André"</f>
        <v>André</v>
      </c>
      <c r="C2" s="84" t="str">
        <f>"Gina"</f>
        <v>Gina</v>
      </c>
      <c r="D2" s="85" t="s">
        <v>113</v>
      </c>
      <c r="E2" s="85" t="str">
        <f>UPPER(D2)</f>
        <v>GINA ANDRÉ</v>
      </c>
      <c r="F2" s="85" t="str">
        <f>LOWER(D2)</f>
        <v>gina andré</v>
      </c>
      <c r="G2" s="4">
        <v>22586</v>
      </c>
      <c r="H2" s="85" t="str">
        <f>PROPER(CONCATENATE(+RIGHT(C2,2),+LEFT(B2,2),+LEFT(G2,2)))</f>
        <v>Naan22</v>
      </c>
      <c r="I2" s="85" t="str">
        <f>LOWER(CONCATENATE(C2,".",B2,"@entreprise.com"))</f>
        <v>gina.andré@entreprise.com</v>
      </c>
      <c r="J2" s="86">
        <v>72000</v>
      </c>
      <c r="L2" s="14" t="s">
        <v>34</v>
      </c>
      <c r="M2" s="109" t="str">
        <f>VLOOKUP(M1,A2:J57,2,FALSE)</f>
        <v>Castillo</v>
      </c>
      <c r="N2" s="14"/>
      <c r="O2" s="14"/>
    </row>
    <row r="3" spans="1:15" x14ac:dyDescent="0.2">
      <c r="A3" s="5">
        <v>102</v>
      </c>
      <c r="B3" s="84" t="str">
        <f>"Dinh"</f>
        <v>Dinh</v>
      </c>
      <c r="C3" s="84" t="str">
        <f>"Selen"</f>
        <v>Selen</v>
      </c>
      <c r="D3" s="85" t="s">
        <v>114</v>
      </c>
      <c r="E3" s="85" t="str">
        <f t="shared" ref="E3:E57" si="0">UPPER(D3)</f>
        <v>SELEN DINH</v>
      </c>
      <c r="F3" s="85" t="str">
        <f t="shared" ref="F3:F57" si="1">LOWER(D3)</f>
        <v>selen dinh</v>
      </c>
      <c r="G3" s="4">
        <v>26681</v>
      </c>
      <c r="H3" s="85" t="str">
        <f t="shared" ref="H3:H57" si="2">PROPER(CONCATENATE(+RIGHT(C3,2),+LEFT(B3,2),+LEFT(G3,2)))</f>
        <v>Endi26</v>
      </c>
      <c r="I3" s="85" t="str">
        <f t="shared" ref="I3:I57" si="3">LOWER(CONCATENATE(C3,".",B3,"@entreprise.com"))</f>
        <v>selen.dinh@entreprise.com</v>
      </c>
      <c r="J3" s="86">
        <v>72000</v>
      </c>
      <c r="L3" s="14" t="s">
        <v>47</v>
      </c>
      <c r="M3" s="85" t="str">
        <f>VLOOKUP(M1,A3:J58,9,FALSE)</f>
        <v>margarette.castillo@entreprise.com</v>
      </c>
      <c r="N3" s="14"/>
      <c r="O3" s="14"/>
    </row>
    <row r="4" spans="1:15" x14ac:dyDescent="0.2">
      <c r="A4" s="5">
        <v>103</v>
      </c>
      <c r="B4" s="84" t="str">
        <f>"Dumont"</f>
        <v>Dumont</v>
      </c>
      <c r="C4" s="84" t="str">
        <f>"Emmanuel"</f>
        <v>Emmanuel</v>
      </c>
      <c r="D4" s="85" t="s">
        <v>115</v>
      </c>
      <c r="E4" s="85" t="str">
        <f t="shared" si="0"/>
        <v>EMMANUEL DUMONT</v>
      </c>
      <c r="F4" s="85" t="str">
        <f t="shared" si="1"/>
        <v>emmanuel dumont</v>
      </c>
      <c r="G4" s="4">
        <v>22886</v>
      </c>
      <c r="H4" s="85" t="str">
        <f t="shared" si="2"/>
        <v>Eldu22</v>
      </c>
      <c r="I4" s="85" t="str">
        <f t="shared" si="3"/>
        <v>emmanuel.dumont@entreprise.com</v>
      </c>
      <c r="J4" s="86">
        <v>72000</v>
      </c>
      <c r="L4" s="14" t="s">
        <v>48</v>
      </c>
      <c r="M4" s="110">
        <f>VLOOKUP(M1,A4:J59,10,FALSE)</f>
        <v>72000</v>
      </c>
      <c r="N4" s="14"/>
      <c r="O4" s="14"/>
    </row>
    <row r="5" spans="1:15" x14ac:dyDescent="0.2">
      <c r="A5" s="5">
        <v>104</v>
      </c>
      <c r="B5" s="84" t="str">
        <f>"Félix Désir"</f>
        <v>Félix Désir</v>
      </c>
      <c r="C5" s="84" t="str">
        <f>"Faiza"</f>
        <v>Faiza</v>
      </c>
      <c r="D5" s="85" t="s">
        <v>116</v>
      </c>
      <c r="E5" s="85" t="str">
        <f t="shared" si="0"/>
        <v>FAIZA FÉLIX DÉSIR</v>
      </c>
      <c r="F5" s="85" t="str">
        <f t="shared" si="1"/>
        <v>faiza félix désir</v>
      </c>
      <c r="G5" s="4">
        <v>26981</v>
      </c>
      <c r="H5" s="85" t="str">
        <f t="shared" si="2"/>
        <v>Zafé26</v>
      </c>
      <c r="I5" s="85" t="str">
        <f t="shared" si="3"/>
        <v>faiza.félix désir@entreprise.com</v>
      </c>
      <c r="J5" s="86">
        <v>72000</v>
      </c>
    </row>
    <row r="6" spans="1:15" x14ac:dyDescent="0.2">
      <c r="A6" s="5">
        <v>105</v>
      </c>
      <c r="B6" s="84" t="str">
        <f>"Feria Prudente"</f>
        <v>Feria Prudente</v>
      </c>
      <c r="C6" s="84" t="str">
        <f>"Aylin"</f>
        <v>Aylin</v>
      </c>
      <c r="D6" s="85" t="s">
        <v>117</v>
      </c>
      <c r="E6" s="85" t="str">
        <f t="shared" si="0"/>
        <v>AYLIN FERIA PRUDENTE</v>
      </c>
      <c r="F6" s="85" t="str">
        <f t="shared" si="1"/>
        <v>aylin feria prudente</v>
      </c>
      <c r="G6" s="4">
        <v>23186</v>
      </c>
      <c r="H6" s="85" t="str">
        <f t="shared" si="2"/>
        <v>Infe23</v>
      </c>
      <c r="I6" s="85" t="str">
        <f t="shared" si="3"/>
        <v>aylin.feria prudente@entreprise.com</v>
      </c>
      <c r="J6" s="86">
        <v>72000</v>
      </c>
    </row>
    <row r="7" spans="1:15" x14ac:dyDescent="0.2">
      <c r="A7" s="5">
        <v>106</v>
      </c>
      <c r="B7" s="84" t="str">
        <f>"Gagné"</f>
        <v>Gagné</v>
      </c>
      <c r="C7" s="84" t="str">
        <f>"Sonia"</f>
        <v>Sonia</v>
      </c>
      <c r="D7" s="85" t="s">
        <v>118</v>
      </c>
      <c r="E7" s="85" t="str">
        <f t="shared" si="0"/>
        <v>SONIA GAGNÉ</v>
      </c>
      <c r="F7" s="85" t="str">
        <f t="shared" si="1"/>
        <v>sonia gagné</v>
      </c>
      <c r="G7" s="4">
        <v>27281</v>
      </c>
      <c r="H7" s="85" t="str">
        <f t="shared" si="2"/>
        <v>Iaga27</v>
      </c>
      <c r="I7" s="85" t="str">
        <f t="shared" si="3"/>
        <v>sonia.gagné@entreprise.com</v>
      </c>
      <c r="J7" s="86">
        <v>72000</v>
      </c>
    </row>
    <row r="8" spans="1:15" x14ac:dyDescent="0.2">
      <c r="A8" s="5">
        <v>107</v>
      </c>
      <c r="B8" s="84" t="str">
        <f>"John"</f>
        <v>John</v>
      </c>
      <c r="C8" s="84" t="str">
        <f>"Isabelle"</f>
        <v>Isabelle</v>
      </c>
      <c r="D8" s="85" t="s">
        <v>119</v>
      </c>
      <c r="E8" s="85" t="str">
        <f t="shared" si="0"/>
        <v>ISABELLE JOHN</v>
      </c>
      <c r="F8" s="85" t="str">
        <f t="shared" si="1"/>
        <v>isabelle john</v>
      </c>
      <c r="G8" s="4">
        <v>23486</v>
      </c>
      <c r="H8" s="85" t="str">
        <f t="shared" si="2"/>
        <v>Lejo23</v>
      </c>
      <c r="I8" s="85" t="str">
        <f t="shared" si="3"/>
        <v>isabelle.john@entreprise.com</v>
      </c>
      <c r="J8" s="86">
        <v>72000</v>
      </c>
    </row>
    <row r="9" spans="1:15" x14ac:dyDescent="0.2">
      <c r="A9" s="5">
        <v>108</v>
      </c>
      <c r="B9" s="84" t="str">
        <f>"Marsan"</f>
        <v>Marsan</v>
      </c>
      <c r="C9" s="84" t="str">
        <f>"Yasmine"</f>
        <v>Yasmine</v>
      </c>
      <c r="D9" s="85" t="s">
        <v>120</v>
      </c>
      <c r="E9" s="85" t="str">
        <f t="shared" si="0"/>
        <v>YASMINE MARSAN</v>
      </c>
      <c r="F9" s="85" t="str">
        <f t="shared" si="1"/>
        <v>yasmine marsan</v>
      </c>
      <c r="G9" s="4">
        <v>27581</v>
      </c>
      <c r="H9" s="85" t="str">
        <f t="shared" si="2"/>
        <v>Nema27</v>
      </c>
      <c r="I9" s="85" t="str">
        <f t="shared" si="3"/>
        <v>yasmine.marsan@entreprise.com</v>
      </c>
      <c r="J9" s="86">
        <v>72000</v>
      </c>
    </row>
    <row r="10" spans="1:15" x14ac:dyDescent="0.2">
      <c r="A10" s="5">
        <v>109</v>
      </c>
      <c r="B10" s="84" t="str">
        <f>"Mocombe"</f>
        <v>Mocombe</v>
      </c>
      <c r="C10" s="84" t="str">
        <f>"Dalila"</f>
        <v>Dalila</v>
      </c>
      <c r="D10" s="85" t="s">
        <v>121</v>
      </c>
      <c r="E10" s="85" t="str">
        <f t="shared" si="0"/>
        <v>DALILA MOCOMBE</v>
      </c>
      <c r="F10" s="85" t="str">
        <f t="shared" si="1"/>
        <v>dalila mocombe</v>
      </c>
      <c r="G10" s="4">
        <v>23786</v>
      </c>
      <c r="H10" s="85" t="str">
        <f t="shared" si="2"/>
        <v>Lamo23</v>
      </c>
      <c r="I10" s="85" t="str">
        <f t="shared" si="3"/>
        <v>dalila.mocombe@entreprise.com</v>
      </c>
      <c r="J10" s="86">
        <v>72000</v>
      </c>
    </row>
    <row r="11" spans="1:15" x14ac:dyDescent="0.2">
      <c r="A11" s="5">
        <v>110</v>
      </c>
      <c r="B11" s="84" t="str">
        <f>"Mohamed "</f>
        <v xml:space="preserve">Mohamed </v>
      </c>
      <c r="C11" s="84" t="str">
        <f>"Caroline"</f>
        <v>Caroline</v>
      </c>
      <c r="D11" s="85" t="s">
        <v>122</v>
      </c>
      <c r="E11" s="85" t="str">
        <f t="shared" si="0"/>
        <v>CAROLINE MOHAMED</v>
      </c>
      <c r="F11" s="85" t="str">
        <f t="shared" si="1"/>
        <v>caroline mohamed</v>
      </c>
      <c r="G11" s="4">
        <v>27881</v>
      </c>
      <c r="H11" s="85" t="str">
        <f t="shared" si="2"/>
        <v>Nemo27</v>
      </c>
      <c r="I11" s="85" t="str">
        <f t="shared" si="3"/>
        <v>caroline.mohamed @entreprise.com</v>
      </c>
      <c r="J11" s="86">
        <v>72000</v>
      </c>
    </row>
    <row r="12" spans="1:15" x14ac:dyDescent="0.2">
      <c r="A12" s="5">
        <v>111</v>
      </c>
      <c r="B12" s="84" t="str">
        <f>"Phareau"</f>
        <v>Phareau</v>
      </c>
      <c r="C12" s="84" t="str">
        <f>"Roza"</f>
        <v>Roza</v>
      </c>
      <c r="D12" s="85" t="s">
        <v>123</v>
      </c>
      <c r="E12" s="85" t="str">
        <f t="shared" si="0"/>
        <v>ROZA PHAREAU</v>
      </c>
      <c r="F12" s="85" t="str">
        <f t="shared" si="1"/>
        <v>roza phareau</v>
      </c>
      <c r="G12" s="4">
        <v>24086</v>
      </c>
      <c r="H12" s="85" t="str">
        <f t="shared" si="2"/>
        <v>Zaph24</v>
      </c>
      <c r="I12" s="85" t="str">
        <f t="shared" si="3"/>
        <v>roza.phareau@entreprise.com</v>
      </c>
      <c r="J12" s="86">
        <v>72000</v>
      </c>
    </row>
    <row r="13" spans="1:15" x14ac:dyDescent="0.2">
      <c r="A13" s="5">
        <v>112</v>
      </c>
      <c r="B13" s="84" t="str">
        <f>"Pierre"</f>
        <v>Pierre</v>
      </c>
      <c r="C13" s="84" t="str">
        <f>"Gabriela"</f>
        <v>Gabriela</v>
      </c>
      <c r="D13" s="85" t="s">
        <v>124</v>
      </c>
      <c r="E13" s="85" t="str">
        <f t="shared" si="0"/>
        <v>GABRIELA PIERRE</v>
      </c>
      <c r="F13" s="85" t="str">
        <f t="shared" si="1"/>
        <v>gabriela pierre</v>
      </c>
      <c r="G13" s="4">
        <v>28181</v>
      </c>
      <c r="H13" s="85" t="str">
        <f t="shared" si="2"/>
        <v>Lapi28</v>
      </c>
      <c r="I13" s="85" t="str">
        <f t="shared" si="3"/>
        <v>gabriela.pierre@entreprise.com</v>
      </c>
      <c r="J13" s="86">
        <v>72000</v>
      </c>
    </row>
    <row r="14" spans="1:15" x14ac:dyDescent="0.2">
      <c r="A14" s="5">
        <v>113</v>
      </c>
      <c r="B14" s="84" t="str">
        <f>"Rodrigues"</f>
        <v>Rodrigues</v>
      </c>
      <c r="C14" s="84" t="str">
        <f>"Javier"</f>
        <v>Javier</v>
      </c>
      <c r="D14" s="85" t="s">
        <v>125</v>
      </c>
      <c r="E14" s="85" t="str">
        <f t="shared" si="0"/>
        <v>JAVIER RODRIGUES</v>
      </c>
      <c r="F14" s="85" t="str">
        <f t="shared" si="1"/>
        <v>javier rodrigues</v>
      </c>
      <c r="G14" s="4">
        <v>24386</v>
      </c>
      <c r="H14" s="85" t="str">
        <f t="shared" si="2"/>
        <v>Erro24</v>
      </c>
      <c r="I14" s="85" t="str">
        <f t="shared" si="3"/>
        <v>javier.rodrigues@entreprise.com</v>
      </c>
      <c r="J14" s="86">
        <v>72000</v>
      </c>
    </row>
    <row r="15" spans="1:15" x14ac:dyDescent="0.2">
      <c r="A15" s="5">
        <v>114</v>
      </c>
      <c r="B15" s="84" t="str">
        <f>"St-Louis"</f>
        <v>St-Louis</v>
      </c>
      <c r="C15" s="84" t="str">
        <f>"Naoual"</f>
        <v>Naoual</v>
      </c>
      <c r="D15" s="85" t="s">
        <v>126</v>
      </c>
      <c r="E15" s="85" t="str">
        <f t="shared" si="0"/>
        <v>NAOUAL ST-LOUIS</v>
      </c>
      <c r="F15" s="85" t="str">
        <f t="shared" si="1"/>
        <v>naoual st-louis</v>
      </c>
      <c r="G15" s="4">
        <v>28481</v>
      </c>
      <c r="H15" s="85" t="str">
        <f t="shared" si="2"/>
        <v>Alst28</v>
      </c>
      <c r="I15" s="85" t="str">
        <f t="shared" si="3"/>
        <v>naoual.st-louis@entreprise.com</v>
      </c>
      <c r="J15" s="86">
        <v>72000</v>
      </c>
    </row>
    <row r="16" spans="1:15" x14ac:dyDescent="0.2">
      <c r="A16" s="5">
        <v>115</v>
      </c>
      <c r="B16" s="84" t="str">
        <f>"Retamozo"</f>
        <v>Retamozo</v>
      </c>
      <c r="C16" s="84" t="str">
        <f>"Olive"</f>
        <v>Olive</v>
      </c>
      <c r="D16" s="85" t="s">
        <v>127</v>
      </c>
      <c r="E16" s="85" t="str">
        <f t="shared" si="0"/>
        <v>OLIVE RETAMOZO</v>
      </c>
      <c r="F16" s="85" t="str">
        <f t="shared" si="1"/>
        <v>olive retamozo</v>
      </c>
      <c r="G16" s="4">
        <v>24886</v>
      </c>
      <c r="H16" s="85" t="str">
        <f t="shared" si="2"/>
        <v>Vere24</v>
      </c>
      <c r="I16" s="85" t="str">
        <f t="shared" si="3"/>
        <v>olive.retamozo@entreprise.com</v>
      </c>
      <c r="J16" s="86">
        <v>72000</v>
      </c>
    </row>
    <row r="17" spans="1:10" x14ac:dyDescent="0.2">
      <c r="A17" s="5">
        <v>116</v>
      </c>
      <c r="B17" s="84" t="str">
        <f>"Ayotte"</f>
        <v>Ayotte</v>
      </c>
      <c r="C17" s="84" t="str">
        <f>"Amira"</f>
        <v>Amira</v>
      </c>
      <c r="D17" s="85" t="s">
        <v>128</v>
      </c>
      <c r="E17" s="85" t="str">
        <f t="shared" si="0"/>
        <v>AMIRA AYOTTE</v>
      </c>
      <c r="F17" s="85" t="str">
        <f t="shared" si="1"/>
        <v>amira ayotte</v>
      </c>
      <c r="G17" s="4">
        <v>28981</v>
      </c>
      <c r="H17" s="85" t="str">
        <f t="shared" si="2"/>
        <v>Raay28</v>
      </c>
      <c r="I17" s="85" t="str">
        <f t="shared" si="3"/>
        <v>amira.ayotte@entreprise.com</v>
      </c>
      <c r="J17" s="86">
        <v>72000</v>
      </c>
    </row>
    <row r="18" spans="1:10" x14ac:dyDescent="0.2">
      <c r="A18" s="5">
        <v>117</v>
      </c>
      <c r="B18" s="84" t="str">
        <f>"Castillo"</f>
        <v>Castillo</v>
      </c>
      <c r="C18" s="84" t="str">
        <f>"Margarette"</f>
        <v>Margarette</v>
      </c>
      <c r="D18" s="85" t="s">
        <v>129</v>
      </c>
      <c r="E18" s="85" t="str">
        <f t="shared" si="0"/>
        <v>MARGARETTE CASTILLO</v>
      </c>
      <c r="F18" s="85" t="str">
        <f t="shared" si="1"/>
        <v>margarette castillo</v>
      </c>
      <c r="G18" s="4">
        <v>25386</v>
      </c>
      <c r="H18" s="85" t="str">
        <f t="shared" si="2"/>
        <v>Teca25</v>
      </c>
      <c r="I18" s="85" t="str">
        <f t="shared" si="3"/>
        <v>margarette.castillo@entreprise.com</v>
      </c>
      <c r="J18" s="86">
        <v>72000</v>
      </c>
    </row>
    <row r="19" spans="1:10" x14ac:dyDescent="0.2">
      <c r="A19" s="5">
        <v>118</v>
      </c>
      <c r="B19" s="84" t="str">
        <f>"Charles"</f>
        <v>Charles</v>
      </c>
      <c r="C19" s="84" t="str">
        <f>"Khalid"</f>
        <v>Khalid</v>
      </c>
      <c r="D19" s="85" t="s">
        <v>130</v>
      </c>
      <c r="E19" s="85" t="str">
        <f t="shared" si="0"/>
        <v>KHALID CHARLES</v>
      </c>
      <c r="F19" s="85" t="str">
        <f t="shared" si="1"/>
        <v>khalid charles</v>
      </c>
      <c r="G19" s="4">
        <v>29481</v>
      </c>
      <c r="H19" s="85" t="str">
        <f t="shared" si="2"/>
        <v>Idch29</v>
      </c>
      <c r="I19" s="85" t="str">
        <f t="shared" si="3"/>
        <v>khalid.charles@entreprise.com</v>
      </c>
      <c r="J19" s="86">
        <v>72000</v>
      </c>
    </row>
    <row r="20" spans="1:10" x14ac:dyDescent="0.2">
      <c r="A20" s="5">
        <v>119</v>
      </c>
      <c r="B20" s="84" t="str">
        <f>"Cuevas"</f>
        <v>Cuevas</v>
      </c>
      <c r="C20" s="84" t="str">
        <f>"Sylvie"</f>
        <v>Sylvie</v>
      </c>
      <c r="D20" s="85" t="s">
        <v>131</v>
      </c>
      <c r="E20" s="85" t="str">
        <f t="shared" si="0"/>
        <v>SYLVIE CUEVAS</v>
      </c>
      <c r="F20" s="85" t="str">
        <f t="shared" si="1"/>
        <v>sylvie cuevas</v>
      </c>
      <c r="G20" s="4">
        <v>25886</v>
      </c>
      <c r="H20" s="85" t="str">
        <f t="shared" si="2"/>
        <v>Iecu25</v>
      </c>
      <c r="I20" s="85" t="str">
        <f t="shared" si="3"/>
        <v>sylvie.cuevas@entreprise.com</v>
      </c>
      <c r="J20" s="86">
        <v>72000</v>
      </c>
    </row>
    <row r="21" spans="1:10" x14ac:dyDescent="0.2">
      <c r="A21" s="5">
        <v>120</v>
      </c>
      <c r="B21" s="84" t="str">
        <f>"Dali"</f>
        <v>Dali</v>
      </c>
      <c r="C21" s="84" t="str">
        <f>"Megan"</f>
        <v>Megan</v>
      </c>
      <c r="D21" s="85" t="s">
        <v>132</v>
      </c>
      <c r="E21" s="85" t="str">
        <f t="shared" si="0"/>
        <v>MEGAN DALI</v>
      </c>
      <c r="F21" s="85" t="str">
        <f t="shared" si="1"/>
        <v>megan dali</v>
      </c>
      <c r="G21" s="4">
        <v>29981</v>
      </c>
      <c r="H21" s="85" t="str">
        <f t="shared" si="2"/>
        <v>Anda29</v>
      </c>
      <c r="I21" s="85" t="str">
        <f t="shared" si="3"/>
        <v>megan.dali@entreprise.com</v>
      </c>
      <c r="J21" s="86">
        <v>72000</v>
      </c>
    </row>
    <row r="22" spans="1:10" x14ac:dyDescent="0.2">
      <c r="A22" s="5">
        <v>121</v>
      </c>
      <c r="B22" s="84" t="str">
        <f>"Dey"</f>
        <v>Dey</v>
      </c>
      <c r="C22" s="84" t="str">
        <f>"Serge"</f>
        <v>Serge</v>
      </c>
      <c r="D22" s="85" t="s">
        <v>133</v>
      </c>
      <c r="E22" s="85" t="str">
        <f t="shared" si="0"/>
        <v>SERGE DEY</v>
      </c>
      <c r="F22" s="85" t="str">
        <f t="shared" si="1"/>
        <v>serge dey</v>
      </c>
      <c r="G22" s="4">
        <v>26386</v>
      </c>
      <c r="H22" s="85" t="str">
        <f t="shared" si="2"/>
        <v>Gede26</v>
      </c>
      <c r="I22" s="85" t="str">
        <f t="shared" si="3"/>
        <v>serge.dey@entreprise.com</v>
      </c>
      <c r="J22" s="86">
        <v>72000</v>
      </c>
    </row>
    <row r="23" spans="1:10" x14ac:dyDescent="0.2">
      <c r="A23" s="5">
        <v>122</v>
      </c>
      <c r="B23" s="84" t="str">
        <f>"Ethier"</f>
        <v>Ethier</v>
      </c>
      <c r="C23" s="84" t="str">
        <f>"Mélanie"</f>
        <v>Mélanie</v>
      </c>
      <c r="D23" s="85" t="s">
        <v>134</v>
      </c>
      <c r="E23" s="85" t="str">
        <f t="shared" si="0"/>
        <v>MÉLANIE ETHIER</v>
      </c>
      <c r="F23" s="85" t="str">
        <f t="shared" si="1"/>
        <v>mélanie ethier</v>
      </c>
      <c r="G23" s="4">
        <v>30481</v>
      </c>
      <c r="H23" s="85" t="str">
        <f t="shared" si="2"/>
        <v>Ieet30</v>
      </c>
      <c r="I23" s="85" t="str">
        <f t="shared" si="3"/>
        <v>mélanie.ethier@entreprise.com</v>
      </c>
      <c r="J23" s="86">
        <v>72000</v>
      </c>
    </row>
    <row r="24" spans="1:10" x14ac:dyDescent="0.2">
      <c r="A24" s="5">
        <v>123</v>
      </c>
      <c r="B24" s="84" t="str">
        <f>"Guirand"</f>
        <v>Guirand</v>
      </c>
      <c r="C24" s="84" t="str">
        <f>"Mouna"</f>
        <v>Mouna</v>
      </c>
      <c r="D24" s="85" t="s">
        <v>135</v>
      </c>
      <c r="E24" s="85" t="str">
        <f t="shared" si="0"/>
        <v>MOUNA GUIRAND</v>
      </c>
      <c r="F24" s="85" t="str">
        <f t="shared" si="1"/>
        <v>mouna guirand</v>
      </c>
      <c r="G24" s="4">
        <v>26886</v>
      </c>
      <c r="H24" s="85" t="str">
        <f t="shared" si="2"/>
        <v>Nagu26</v>
      </c>
      <c r="I24" s="85" t="str">
        <f t="shared" si="3"/>
        <v>mouna.guirand@entreprise.com</v>
      </c>
      <c r="J24" s="86">
        <v>72000</v>
      </c>
    </row>
    <row r="25" spans="1:10" x14ac:dyDescent="0.2">
      <c r="A25" s="5">
        <v>124</v>
      </c>
      <c r="B25" s="84" t="str">
        <f>"Gursoy"</f>
        <v>Gursoy</v>
      </c>
      <c r="C25" s="84" t="str">
        <f>"Daniella"</f>
        <v>Daniella</v>
      </c>
      <c r="D25" s="85" t="s">
        <v>136</v>
      </c>
      <c r="E25" s="85" t="str">
        <f t="shared" si="0"/>
        <v>DANIELLA GURSOY</v>
      </c>
      <c r="F25" s="85" t="str">
        <f t="shared" si="1"/>
        <v>daniella gursoy</v>
      </c>
      <c r="G25" s="4">
        <v>30981</v>
      </c>
      <c r="H25" s="85" t="str">
        <f t="shared" si="2"/>
        <v>Lagu30</v>
      </c>
      <c r="I25" s="85" t="str">
        <f t="shared" si="3"/>
        <v>daniella.gursoy@entreprise.com</v>
      </c>
      <c r="J25" s="86">
        <v>72000</v>
      </c>
    </row>
    <row r="26" spans="1:10" x14ac:dyDescent="0.2">
      <c r="A26" s="5">
        <v>125</v>
      </c>
      <c r="B26" s="84" t="str">
        <f>"Leroy"</f>
        <v>Leroy</v>
      </c>
      <c r="C26" s="84" t="str">
        <f>"Amira"</f>
        <v>Amira</v>
      </c>
      <c r="D26" s="85" t="s">
        <v>137</v>
      </c>
      <c r="E26" s="85" t="str">
        <f t="shared" si="0"/>
        <v>AMIRA LEROY</v>
      </c>
      <c r="F26" s="85" t="str">
        <f t="shared" si="1"/>
        <v>amira leroy</v>
      </c>
      <c r="G26" s="4">
        <v>27386</v>
      </c>
      <c r="H26" s="85" t="str">
        <f t="shared" si="2"/>
        <v>Rale27</v>
      </c>
      <c r="I26" s="85" t="str">
        <f t="shared" si="3"/>
        <v>amira.leroy@entreprise.com</v>
      </c>
      <c r="J26" s="86">
        <v>72000</v>
      </c>
    </row>
    <row r="27" spans="1:10" x14ac:dyDescent="0.2">
      <c r="A27" s="5">
        <v>126</v>
      </c>
      <c r="B27" s="84" t="str">
        <f>"Oularbi"</f>
        <v>Oularbi</v>
      </c>
      <c r="C27" s="84" t="str">
        <f>"Vincent"</f>
        <v>Vincent</v>
      </c>
      <c r="D27" s="85" t="s">
        <v>138</v>
      </c>
      <c r="E27" s="85" t="str">
        <f t="shared" si="0"/>
        <v>VINCENT OULARBI</v>
      </c>
      <c r="F27" s="85" t="str">
        <f t="shared" si="1"/>
        <v>vincent oularbi</v>
      </c>
      <c r="G27" s="4">
        <v>31481</v>
      </c>
      <c r="H27" s="85" t="str">
        <f t="shared" si="2"/>
        <v>Ntou31</v>
      </c>
      <c r="I27" s="85" t="str">
        <f t="shared" si="3"/>
        <v>vincent.oularbi@entreprise.com</v>
      </c>
      <c r="J27" s="86">
        <v>72000</v>
      </c>
    </row>
    <row r="28" spans="1:10" x14ac:dyDescent="0.2">
      <c r="A28" s="5">
        <v>127</v>
      </c>
      <c r="B28" s="84" t="str">
        <f>"Angeles"</f>
        <v>Angeles</v>
      </c>
      <c r="C28" s="84" t="str">
        <f>"Nannan"</f>
        <v>Nannan</v>
      </c>
      <c r="D28" s="85" t="s">
        <v>139</v>
      </c>
      <c r="E28" s="85" t="str">
        <f t="shared" si="0"/>
        <v>NANNAN ANGELES</v>
      </c>
      <c r="F28" s="85" t="str">
        <f t="shared" si="1"/>
        <v>nannan angeles</v>
      </c>
      <c r="G28" s="4">
        <v>27886</v>
      </c>
      <c r="H28" s="85" t="str">
        <f t="shared" si="2"/>
        <v>Anan27</v>
      </c>
      <c r="I28" s="85" t="str">
        <f t="shared" si="3"/>
        <v>nannan.angeles@entreprise.com</v>
      </c>
      <c r="J28" s="86">
        <v>72000</v>
      </c>
    </row>
    <row r="29" spans="1:10" x14ac:dyDescent="0.2">
      <c r="A29" s="5">
        <v>128</v>
      </c>
      <c r="B29" s="84" t="str">
        <f>"Vinet"</f>
        <v>Vinet</v>
      </c>
      <c r="C29" s="84" t="str">
        <f>"Éricka"</f>
        <v>Éricka</v>
      </c>
      <c r="D29" s="85" t="s">
        <v>140</v>
      </c>
      <c r="E29" s="85" t="str">
        <f t="shared" si="0"/>
        <v>ÉRICKA VINET</v>
      </c>
      <c r="F29" s="85" t="str">
        <f t="shared" si="1"/>
        <v>éricka vinet</v>
      </c>
      <c r="G29" s="4">
        <v>31981</v>
      </c>
      <c r="H29" s="85" t="str">
        <f t="shared" si="2"/>
        <v>Kavi31</v>
      </c>
      <c r="I29" s="85" t="str">
        <f t="shared" si="3"/>
        <v>éricka.vinet@entreprise.com</v>
      </c>
      <c r="J29" s="86">
        <v>72000</v>
      </c>
    </row>
    <row r="30" spans="1:10" x14ac:dyDescent="0.2">
      <c r="A30" s="5">
        <v>129</v>
      </c>
      <c r="B30" s="84" t="str">
        <f>"Auclair"</f>
        <v>Auclair</v>
      </c>
      <c r="C30" s="84" t="str">
        <f>"Olfa"</f>
        <v>Olfa</v>
      </c>
      <c r="D30" s="85" t="s">
        <v>141</v>
      </c>
      <c r="E30" s="85" t="str">
        <f t="shared" si="0"/>
        <v>OLFA AUCLAIR</v>
      </c>
      <c r="F30" s="85" t="str">
        <f t="shared" si="1"/>
        <v>olfa auclair</v>
      </c>
      <c r="G30" s="4">
        <v>28386</v>
      </c>
      <c r="H30" s="85" t="str">
        <f t="shared" si="2"/>
        <v>Faau28</v>
      </c>
      <c r="I30" s="85" t="str">
        <f t="shared" si="3"/>
        <v>olfa.auclair@entreprise.com</v>
      </c>
      <c r="J30" s="86">
        <v>72000</v>
      </c>
    </row>
    <row r="31" spans="1:10" x14ac:dyDescent="0.2">
      <c r="A31" s="5">
        <v>130</v>
      </c>
      <c r="B31" s="84" t="str">
        <f>"Baïtsa"</f>
        <v>Baïtsa</v>
      </c>
      <c r="C31" s="84" t="str">
        <f>"Hadjer"</f>
        <v>Hadjer</v>
      </c>
      <c r="D31" s="85" t="s">
        <v>142</v>
      </c>
      <c r="E31" s="85" t="str">
        <f t="shared" si="0"/>
        <v>HADJER BAÏTSA</v>
      </c>
      <c r="F31" s="85" t="str">
        <f t="shared" si="1"/>
        <v>hadjer baïtsa</v>
      </c>
      <c r="G31" s="4">
        <v>32481</v>
      </c>
      <c r="H31" s="85" t="str">
        <f t="shared" si="2"/>
        <v>Erba32</v>
      </c>
      <c r="I31" s="85" t="str">
        <f t="shared" si="3"/>
        <v>hadjer.baïtsa@entreprise.com</v>
      </c>
      <c r="J31" s="86">
        <v>72000</v>
      </c>
    </row>
    <row r="32" spans="1:10" x14ac:dyDescent="0.2">
      <c r="A32" s="5">
        <v>131</v>
      </c>
      <c r="B32" s="84" t="str">
        <f>"Belaidi"</f>
        <v>Belaidi</v>
      </c>
      <c r="C32" s="84" t="str">
        <f>"Julie"</f>
        <v>Julie</v>
      </c>
      <c r="D32" s="85" t="s">
        <v>143</v>
      </c>
      <c r="E32" s="85" t="str">
        <f t="shared" si="0"/>
        <v>JULIE BELAIDI</v>
      </c>
      <c r="F32" s="85" t="str">
        <f t="shared" si="1"/>
        <v>julie belaidi</v>
      </c>
      <c r="G32" s="4">
        <v>28886</v>
      </c>
      <c r="H32" s="85" t="str">
        <f t="shared" si="2"/>
        <v>Iebe28</v>
      </c>
      <c r="I32" s="85" t="str">
        <f t="shared" si="3"/>
        <v>julie.belaidi@entreprise.com</v>
      </c>
      <c r="J32" s="86">
        <v>72000</v>
      </c>
    </row>
    <row r="33" spans="1:10" x14ac:dyDescent="0.2">
      <c r="A33" s="5">
        <v>132</v>
      </c>
      <c r="B33" s="84" t="str">
        <f>"Bélanger"</f>
        <v>Bélanger</v>
      </c>
      <c r="C33" s="84" t="str">
        <f>"Katherine"</f>
        <v>Katherine</v>
      </c>
      <c r="D33" s="85" t="s">
        <v>144</v>
      </c>
      <c r="E33" s="85" t="str">
        <f t="shared" si="0"/>
        <v>KATHERINE BÉLANGER</v>
      </c>
      <c r="F33" s="85" t="str">
        <f t="shared" si="1"/>
        <v>katherine bélanger</v>
      </c>
      <c r="G33" s="4">
        <v>32981</v>
      </c>
      <c r="H33" s="85" t="str">
        <f t="shared" si="2"/>
        <v>Nebé32</v>
      </c>
      <c r="I33" s="85" t="str">
        <f t="shared" si="3"/>
        <v>katherine.bélanger@entreprise.com</v>
      </c>
      <c r="J33" s="86">
        <v>72000</v>
      </c>
    </row>
    <row r="34" spans="1:10" x14ac:dyDescent="0.2">
      <c r="A34" s="5">
        <v>133</v>
      </c>
      <c r="B34" s="84" t="str">
        <f>"Benakli"</f>
        <v>Benakli</v>
      </c>
      <c r="C34" s="84" t="str">
        <f>"Rébéka"</f>
        <v>Rébéka</v>
      </c>
      <c r="D34" s="85" t="s">
        <v>145</v>
      </c>
      <c r="E34" s="85" t="str">
        <f t="shared" si="0"/>
        <v>RÉBÉKA BENAKLI</v>
      </c>
      <c r="F34" s="85" t="str">
        <f t="shared" si="1"/>
        <v>rébéka benakli</v>
      </c>
      <c r="G34" s="4">
        <v>29386</v>
      </c>
      <c r="H34" s="85" t="str">
        <f t="shared" si="2"/>
        <v>Kabe29</v>
      </c>
      <c r="I34" s="85" t="str">
        <f t="shared" si="3"/>
        <v>rébéka.benakli@entreprise.com</v>
      </c>
      <c r="J34" s="86">
        <v>72000</v>
      </c>
    </row>
    <row r="35" spans="1:10" x14ac:dyDescent="0.2">
      <c r="A35" s="5">
        <v>134</v>
      </c>
      <c r="B35" s="84" t="str">
        <f>"Benecchi"</f>
        <v>Benecchi</v>
      </c>
      <c r="C35" s="84" t="str">
        <f>"Cristina"</f>
        <v>Cristina</v>
      </c>
      <c r="D35" s="85" t="s">
        <v>146</v>
      </c>
      <c r="E35" s="85" t="str">
        <f t="shared" si="0"/>
        <v>CRISTINA BENECCHI</v>
      </c>
      <c r="F35" s="85" t="str">
        <f t="shared" si="1"/>
        <v>cristina benecchi</v>
      </c>
      <c r="G35" s="4">
        <v>33481</v>
      </c>
      <c r="H35" s="85" t="str">
        <f t="shared" si="2"/>
        <v>Nabe33</v>
      </c>
      <c r="I35" s="85" t="str">
        <f t="shared" si="3"/>
        <v>cristina.benecchi@entreprise.com</v>
      </c>
      <c r="J35" s="86">
        <v>72000</v>
      </c>
    </row>
    <row r="36" spans="1:10" x14ac:dyDescent="0.2">
      <c r="A36" s="5">
        <v>135</v>
      </c>
      <c r="B36" s="84" t="str">
        <f>"Benitez"</f>
        <v>Benitez</v>
      </c>
      <c r="C36" s="84" t="str">
        <f>"Charlemagne"</f>
        <v>Charlemagne</v>
      </c>
      <c r="D36" s="85" t="s">
        <v>147</v>
      </c>
      <c r="E36" s="85" t="str">
        <f t="shared" si="0"/>
        <v>CHARLEMAGNE BENITEZ</v>
      </c>
      <c r="F36" s="85" t="str">
        <f t="shared" si="1"/>
        <v>charlemagne benitez</v>
      </c>
      <c r="G36" s="4">
        <v>29886</v>
      </c>
      <c r="H36" s="85" t="str">
        <f t="shared" si="2"/>
        <v>Nebe29</v>
      </c>
      <c r="I36" s="85" t="str">
        <f t="shared" si="3"/>
        <v>charlemagne.benitez@entreprise.com</v>
      </c>
      <c r="J36" s="86">
        <v>72000</v>
      </c>
    </row>
    <row r="37" spans="1:10" x14ac:dyDescent="0.2">
      <c r="A37" s="5">
        <v>136</v>
      </c>
      <c r="B37" s="84" t="str">
        <f>"Bikri"</f>
        <v>Bikri</v>
      </c>
      <c r="C37" s="84" t="s">
        <v>45</v>
      </c>
      <c r="D37" s="85" t="s">
        <v>148</v>
      </c>
      <c r="E37" s="85" t="str">
        <f t="shared" si="0"/>
        <v>NHI BIKRI</v>
      </c>
      <c r="F37" s="85" t="str">
        <f t="shared" si="1"/>
        <v>nhi bikri</v>
      </c>
      <c r="G37" s="4">
        <v>33981</v>
      </c>
      <c r="H37" s="85" t="str">
        <f t="shared" si="2"/>
        <v>Hibi33</v>
      </c>
      <c r="I37" s="85" t="str">
        <f t="shared" si="3"/>
        <v>nhi.bikri@entreprise.com</v>
      </c>
      <c r="J37" s="86">
        <v>72000</v>
      </c>
    </row>
    <row r="38" spans="1:10" x14ac:dyDescent="0.2">
      <c r="A38" s="5">
        <v>137</v>
      </c>
      <c r="B38" s="84" t="str">
        <f>"Chabet"</f>
        <v>Chabet</v>
      </c>
      <c r="C38" s="84" t="str">
        <f>"Élisabeth"</f>
        <v>Élisabeth</v>
      </c>
      <c r="D38" s="85" t="s">
        <v>149</v>
      </c>
      <c r="E38" s="85" t="str">
        <f t="shared" si="0"/>
        <v>ÉLISABETH CHABET</v>
      </c>
      <c r="F38" s="85" t="str">
        <f t="shared" si="1"/>
        <v>élisabeth chabet</v>
      </c>
      <c r="G38" s="4">
        <v>30386</v>
      </c>
      <c r="H38" s="85" t="str">
        <f t="shared" si="2"/>
        <v>Thch30</v>
      </c>
      <c r="I38" s="85" t="str">
        <f t="shared" si="3"/>
        <v>élisabeth.chabet@entreprise.com</v>
      </c>
      <c r="J38" s="86">
        <v>72000</v>
      </c>
    </row>
    <row r="39" spans="1:10" x14ac:dyDescent="0.2">
      <c r="A39" s="5">
        <v>138</v>
      </c>
      <c r="B39" s="84" t="str">
        <f>"Dib"</f>
        <v>Dib</v>
      </c>
      <c r="C39" s="84" t="str">
        <f>"Phito"</f>
        <v>Phito</v>
      </c>
      <c r="D39" s="85" t="s">
        <v>150</v>
      </c>
      <c r="E39" s="85" t="str">
        <f t="shared" si="0"/>
        <v>PHITO DIB</v>
      </c>
      <c r="F39" s="85" t="str">
        <f t="shared" si="1"/>
        <v>phito dib</v>
      </c>
      <c r="G39" s="4">
        <v>34481</v>
      </c>
      <c r="H39" s="85" t="str">
        <f t="shared" si="2"/>
        <v>Todi34</v>
      </c>
      <c r="I39" s="85" t="str">
        <f t="shared" si="3"/>
        <v>phito.dib@entreprise.com</v>
      </c>
      <c r="J39" s="86">
        <v>72000</v>
      </c>
    </row>
    <row r="40" spans="1:10" x14ac:dyDescent="0.2">
      <c r="A40" s="5">
        <v>139</v>
      </c>
      <c r="B40" s="84" t="str">
        <f>"Dominique"</f>
        <v>Dominique</v>
      </c>
      <c r="C40" s="84" t="str">
        <f>"Jessica"</f>
        <v>Jessica</v>
      </c>
      <c r="D40" s="85" t="s">
        <v>151</v>
      </c>
      <c r="E40" s="85" t="str">
        <f t="shared" si="0"/>
        <v>JESSICA DOMINIQUE</v>
      </c>
      <c r="F40" s="85" t="str">
        <f t="shared" si="1"/>
        <v>jessica dominique</v>
      </c>
      <c r="G40" s="4">
        <v>30886</v>
      </c>
      <c r="H40" s="85" t="str">
        <f t="shared" si="2"/>
        <v>Cado30</v>
      </c>
      <c r="I40" s="85" t="str">
        <f t="shared" si="3"/>
        <v>jessica.dominique@entreprise.com</v>
      </c>
      <c r="J40" s="86">
        <v>72000</v>
      </c>
    </row>
    <row r="41" spans="1:10" x14ac:dyDescent="0.2">
      <c r="A41" s="5">
        <v>140</v>
      </c>
      <c r="B41" s="84" t="str">
        <f>"Fensab"</f>
        <v>Fensab</v>
      </c>
      <c r="C41" s="84" t="str">
        <f>"Isabelle"</f>
        <v>Isabelle</v>
      </c>
      <c r="D41" s="85" t="s">
        <v>152</v>
      </c>
      <c r="E41" s="85" t="str">
        <f t="shared" si="0"/>
        <v>ISABELLE FENSAB</v>
      </c>
      <c r="F41" s="85" t="str">
        <f t="shared" si="1"/>
        <v>isabelle fensab</v>
      </c>
      <c r="G41" s="4">
        <v>34981</v>
      </c>
      <c r="H41" s="85" t="str">
        <f t="shared" si="2"/>
        <v>Lefe34</v>
      </c>
      <c r="I41" s="85" t="str">
        <f t="shared" si="3"/>
        <v>isabelle.fensab@entreprise.com</v>
      </c>
      <c r="J41" s="86">
        <v>72000</v>
      </c>
    </row>
    <row r="42" spans="1:10" x14ac:dyDescent="0.2">
      <c r="A42" s="5">
        <v>141</v>
      </c>
      <c r="B42" s="84" t="str">
        <f>"Fournier"</f>
        <v>Fournier</v>
      </c>
      <c r="C42" s="84" t="str">
        <f>"Miriam"</f>
        <v>Miriam</v>
      </c>
      <c r="D42" s="85" t="s">
        <v>153</v>
      </c>
      <c r="E42" s="85" t="str">
        <f t="shared" si="0"/>
        <v>MIRIAM FOURNIER</v>
      </c>
      <c r="F42" s="85" t="str">
        <f t="shared" si="1"/>
        <v>miriam fournier</v>
      </c>
      <c r="G42" s="4">
        <v>31386</v>
      </c>
      <c r="H42" s="85" t="str">
        <f t="shared" si="2"/>
        <v>Amfo31</v>
      </c>
      <c r="I42" s="85" t="str">
        <f t="shared" si="3"/>
        <v>miriam.fournier@entreprise.com</v>
      </c>
      <c r="J42" s="86">
        <v>72000</v>
      </c>
    </row>
    <row r="43" spans="1:10" x14ac:dyDescent="0.2">
      <c r="A43" s="5">
        <v>142</v>
      </c>
      <c r="B43" s="84" t="str">
        <f>"Giguère"</f>
        <v>Giguère</v>
      </c>
      <c r="C43" s="84" t="str">
        <f>"Marc"</f>
        <v>Marc</v>
      </c>
      <c r="D43" s="85" t="s">
        <v>154</v>
      </c>
      <c r="E43" s="85" t="str">
        <f t="shared" si="0"/>
        <v>MARC GIGUÈRE</v>
      </c>
      <c r="F43" s="85" t="str">
        <f t="shared" si="1"/>
        <v>marc giguère</v>
      </c>
      <c r="G43" s="4">
        <v>35481</v>
      </c>
      <c r="H43" s="85" t="str">
        <f t="shared" si="2"/>
        <v>Rcgi35</v>
      </c>
      <c r="I43" s="85" t="str">
        <f t="shared" si="3"/>
        <v>marc.giguère@entreprise.com</v>
      </c>
      <c r="J43" s="86">
        <v>72000</v>
      </c>
    </row>
    <row r="44" spans="1:10" x14ac:dyDescent="0.2">
      <c r="A44" s="5">
        <v>143</v>
      </c>
      <c r="B44" s="84" t="str">
        <f>"Gotta"</f>
        <v>Gotta</v>
      </c>
      <c r="C44" s="84" t="str">
        <f>"Marckency"</f>
        <v>Marckency</v>
      </c>
      <c r="D44" s="85" t="s">
        <v>155</v>
      </c>
      <c r="E44" s="85" t="str">
        <f t="shared" si="0"/>
        <v>MARCKENCY GOTTA</v>
      </c>
      <c r="F44" s="85" t="str">
        <f t="shared" si="1"/>
        <v>marckency gotta</v>
      </c>
      <c r="G44" s="4">
        <v>31886</v>
      </c>
      <c r="H44" s="85" t="str">
        <f t="shared" si="2"/>
        <v>Cygo31</v>
      </c>
      <c r="I44" s="85" t="str">
        <f t="shared" si="3"/>
        <v>marckency.gotta@entreprise.com</v>
      </c>
      <c r="J44" s="86">
        <v>72000</v>
      </c>
    </row>
    <row r="45" spans="1:10" x14ac:dyDescent="0.2">
      <c r="A45" s="5">
        <v>144</v>
      </c>
      <c r="B45" s="84" t="str">
        <f>"Grenier"</f>
        <v>Grenier</v>
      </c>
      <c r="C45" s="84" t="str">
        <f>"Sara"</f>
        <v>Sara</v>
      </c>
      <c r="D45" s="85" t="s">
        <v>156</v>
      </c>
      <c r="E45" s="85" t="str">
        <f t="shared" si="0"/>
        <v>SARA GRENIER</v>
      </c>
      <c r="F45" s="85" t="str">
        <f t="shared" si="1"/>
        <v>sara grenier</v>
      </c>
      <c r="G45" s="4">
        <v>35981</v>
      </c>
      <c r="H45" s="85" t="str">
        <f t="shared" si="2"/>
        <v>Ragr35</v>
      </c>
      <c r="I45" s="85" t="str">
        <f t="shared" si="3"/>
        <v>sara.grenier@entreprise.com</v>
      </c>
      <c r="J45" s="86">
        <v>72000</v>
      </c>
    </row>
    <row r="46" spans="1:10" x14ac:dyDescent="0.2">
      <c r="A46" s="5">
        <v>145</v>
      </c>
      <c r="B46" s="84" t="str">
        <f>"Hamaini"</f>
        <v>Hamaini</v>
      </c>
      <c r="C46" s="84" t="str">
        <f>"Natacha"</f>
        <v>Natacha</v>
      </c>
      <c r="D46" s="85" t="s">
        <v>157</v>
      </c>
      <c r="E46" s="85" t="str">
        <f t="shared" si="0"/>
        <v>NATACHA HAMAINI</v>
      </c>
      <c r="F46" s="85" t="str">
        <f t="shared" si="1"/>
        <v>natacha hamaini</v>
      </c>
      <c r="G46" s="4">
        <v>32386</v>
      </c>
      <c r="H46" s="85" t="str">
        <f t="shared" si="2"/>
        <v>Haha32</v>
      </c>
      <c r="I46" s="85" t="str">
        <f t="shared" si="3"/>
        <v>natacha.hamaini@entreprise.com</v>
      </c>
      <c r="J46" s="86">
        <v>72000</v>
      </c>
    </row>
    <row r="47" spans="1:10" x14ac:dyDescent="0.2">
      <c r="A47" s="5">
        <v>146</v>
      </c>
      <c r="B47" s="84" t="str">
        <f>"Jean"</f>
        <v>Jean</v>
      </c>
      <c r="C47" s="84" t="str">
        <f>"Claudy"</f>
        <v>Claudy</v>
      </c>
      <c r="D47" s="85" t="s">
        <v>158</v>
      </c>
      <c r="E47" s="85" t="str">
        <f t="shared" si="0"/>
        <v>CLAUDY JEAN</v>
      </c>
      <c r="F47" s="85" t="str">
        <f t="shared" si="1"/>
        <v>claudy jean</v>
      </c>
      <c r="G47" s="4">
        <v>36481</v>
      </c>
      <c r="H47" s="85" t="str">
        <f t="shared" si="2"/>
        <v>Dyje36</v>
      </c>
      <c r="I47" s="85" t="str">
        <f t="shared" si="3"/>
        <v>claudy.jean@entreprise.com</v>
      </c>
      <c r="J47" s="86">
        <v>72000</v>
      </c>
    </row>
    <row r="48" spans="1:10" x14ac:dyDescent="0.2">
      <c r="A48" s="5">
        <v>147</v>
      </c>
      <c r="B48" s="84" t="str">
        <f>"Kaci"</f>
        <v>Kaci</v>
      </c>
      <c r="C48" s="84" t="str">
        <f>"Paulo Cesar"</f>
        <v>Paulo Cesar</v>
      </c>
      <c r="D48" s="85" t="s">
        <v>159</v>
      </c>
      <c r="E48" s="85" t="str">
        <f t="shared" si="0"/>
        <v>PAULO CESAR KACI</v>
      </c>
      <c r="F48" s="85" t="str">
        <f t="shared" si="1"/>
        <v>paulo cesar kaci</v>
      </c>
      <c r="G48" s="4">
        <v>32886</v>
      </c>
      <c r="H48" s="85" t="str">
        <f t="shared" si="2"/>
        <v>Arka32</v>
      </c>
      <c r="I48" s="85" t="str">
        <f t="shared" si="3"/>
        <v>paulo cesar.kaci@entreprise.com</v>
      </c>
      <c r="J48" s="86">
        <v>72000</v>
      </c>
    </row>
    <row r="49" spans="1:10" x14ac:dyDescent="0.2">
      <c r="A49" s="5">
        <v>148</v>
      </c>
      <c r="B49" s="84" t="str">
        <f>"Kinsbergen"</f>
        <v>Kinsbergen</v>
      </c>
      <c r="C49" s="84" t="str">
        <f>"Mendry"</f>
        <v>Mendry</v>
      </c>
      <c r="D49" s="85" t="s">
        <v>160</v>
      </c>
      <c r="E49" s="85" t="str">
        <f t="shared" si="0"/>
        <v>MENDRY KINSBERGEN</v>
      </c>
      <c r="F49" s="85" t="str">
        <f t="shared" si="1"/>
        <v>mendry kinsbergen</v>
      </c>
      <c r="G49" s="4">
        <v>36981</v>
      </c>
      <c r="H49" s="85" t="str">
        <f t="shared" si="2"/>
        <v>Ryki36</v>
      </c>
      <c r="I49" s="85" t="str">
        <f t="shared" si="3"/>
        <v>mendry.kinsbergen@entreprise.com</v>
      </c>
      <c r="J49" s="86">
        <v>72000</v>
      </c>
    </row>
    <row r="50" spans="1:10" x14ac:dyDescent="0.2">
      <c r="A50" s="5">
        <v>149</v>
      </c>
      <c r="B50" s="84" t="str">
        <f>"KoBioh"</f>
        <v>KoBioh</v>
      </c>
      <c r="C50" s="84" t="str">
        <f>"Fredy"</f>
        <v>Fredy</v>
      </c>
      <c r="D50" s="85" t="s">
        <v>161</v>
      </c>
      <c r="E50" s="85" t="str">
        <f t="shared" si="0"/>
        <v>FREDY KOBIOH</v>
      </c>
      <c r="F50" s="85" t="str">
        <f t="shared" si="1"/>
        <v>fredy kobioh</v>
      </c>
      <c r="G50" s="4">
        <v>33386</v>
      </c>
      <c r="H50" s="85" t="str">
        <f t="shared" si="2"/>
        <v>Dyko33</v>
      </c>
      <c r="I50" s="85" t="str">
        <f t="shared" si="3"/>
        <v>fredy.kobioh@entreprise.com</v>
      </c>
      <c r="J50" s="86">
        <v>72000</v>
      </c>
    </row>
    <row r="51" spans="1:10" x14ac:dyDescent="0.2">
      <c r="A51" s="5">
        <v>150</v>
      </c>
      <c r="B51" s="84" t="str">
        <f>"Médeiros"</f>
        <v>Médeiros</v>
      </c>
      <c r="C51" s="84" t="str">
        <f>"Marco"</f>
        <v>Marco</v>
      </c>
      <c r="D51" s="85" t="s">
        <v>162</v>
      </c>
      <c r="E51" s="85" t="str">
        <f t="shared" si="0"/>
        <v>MARCO MÉDEIROS</v>
      </c>
      <c r="F51" s="85" t="str">
        <f t="shared" si="1"/>
        <v>marco médeiros</v>
      </c>
      <c r="G51" s="4">
        <v>37481</v>
      </c>
      <c r="H51" s="85" t="str">
        <f t="shared" si="2"/>
        <v>Comé37</v>
      </c>
      <c r="I51" s="85" t="str">
        <f t="shared" si="3"/>
        <v>marco.médeiros@entreprise.com</v>
      </c>
      <c r="J51" s="86">
        <v>72000</v>
      </c>
    </row>
    <row r="52" spans="1:10" x14ac:dyDescent="0.2">
      <c r="A52" s="5">
        <v>151</v>
      </c>
      <c r="B52" s="84" t="str">
        <f>"Maroub"</f>
        <v>Maroub</v>
      </c>
      <c r="C52" s="84" t="str">
        <f>"Emilio"</f>
        <v>Emilio</v>
      </c>
      <c r="D52" s="85" t="s">
        <v>163</v>
      </c>
      <c r="E52" s="85" t="str">
        <f t="shared" si="0"/>
        <v>EMILIO MAROUB</v>
      </c>
      <c r="F52" s="85" t="str">
        <f t="shared" si="1"/>
        <v>emilio maroub</v>
      </c>
      <c r="G52" s="4">
        <v>33886</v>
      </c>
      <c r="H52" s="85" t="str">
        <f t="shared" si="2"/>
        <v>Ioma33</v>
      </c>
      <c r="I52" s="85" t="str">
        <f t="shared" si="3"/>
        <v>emilio.maroub@entreprise.com</v>
      </c>
      <c r="J52" s="86">
        <v>72000</v>
      </c>
    </row>
    <row r="53" spans="1:10" x14ac:dyDescent="0.2">
      <c r="A53" s="5">
        <v>152</v>
      </c>
      <c r="B53" s="84" t="str">
        <f>"Medjad"</f>
        <v>Medjad</v>
      </c>
      <c r="C53" s="84" t="str">
        <f>"James André"</f>
        <v>James André</v>
      </c>
      <c r="D53" s="85" t="s">
        <v>164</v>
      </c>
      <c r="E53" s="85" t="str">
        <f t="shared" si="0"/>
        <v>JAMES ANDRÉ MEDJAD</v>
      </c>
      <c r="F53" s="85" t="str">
        <f t="shared" si="1"/>
        <v>james andré medjad</v>
      </c>
      <c r="G53" s="4">
        <v>37981</v>
      </c>
      <c r="H53" s="85" t="str">
        <f t="shared" si="2"/>
        <v>Réme37</v>
      </c>
      <c r="I53" s="85" t="str">
        <f t="shared" si="3"/>
        <v>james andré.medjad@entreprise.com</v>
      </c>
      <c r="J53" s="86">
        <v>72000</v>
      </c>
    </row>
    <row r="54" spans="1:10" x14ac:dyDescent="0.2">
      <c r="A54" s="5">
        <v>153</v>
      </c>
      <c r="B54" s="84" t="str">
        <f>"Pierre"</f>
        <v>Pierre</v>
      </c>
      <c r="C54" s="84" t="str">
        <f>"Juan Ramon"</f>
        <v>Juan Ramon</v>
      </c>
      <c r="D54" s="85" t="s">
        <v>165</v>
      </c>
      <c r="E54" s="85" t="str">
        <f t="shared" si="0"/>
        <v>JUAN RAMON PIERRE</v>
      </c>
      <c r="F54" s="85" t="str">
        <f t="shared" si="1"/>
        <v>juan ramon pierre</v>
      </c>
      <c r="G54" s="4">
        <v>34386</v>
      </c>
      <c r="H54" s="85" t="str">
        <f t="shared" si="2"/>
        <v>Onpi34</v>
      </c>
      <c r="I54" s="85" t="str">
        <f t="shared" si="3"/>
        <v>juan ramon.pierre@entreprise.com</v>
      </c>
      <c r="J54" s="86">
        <v>72000</v>
      </c>
    </row>
    <row r="55" spans="1:10" x14ac:dyDescent="0.2">
      <c r="A55" s="5">
        <v>154</v>
      </c>
      <c r="B55" s="84" t="str">
        <f>"Rosales"</f>
        <v>Rosales</v>
      </c>
      <c r="C55" s="84" t="str">
        <f>"Amar"</f>
        <v>Amar</v>
      </c>
      <c r="D55" s="85" t="s">
        <v>166</v>
      </c>
      <c r="E55" s="85" t="str">
        <f t="shared" si="0"/>
        <v>AMAR ROSALES</v>
      </c>
      <c r="F55" s="85" t="str">
        <f t="shared" si="1"/>
        <v>amar rosales</v>
      </c>
      <c r="G55" s="4">
        <v>38481</v>
      </c>
      <c r="H55" s="85" t="str">
        <f t="shared" si="2"/>
        <v>Arro38</v>
      </c>
      <c r="I55" s="85" t="str">
        <f t="shared" si="3"/>
        <v>amar.rosales@entreprise.com</v>
      </c>
      <c r="J55" s="86">
        <v>72000</v>
      </c>
    </row>
    <row r="56" spans="1:10" x14ac:dyDescent="0.2">
      <c r="A56" s="5">
        <v>155</v>
      </c>
      <c r="B56" s="84" t="str">
        <f>"Simon"</f>
        <v>Simon</v>
      </c>
      <c r="C56" s="84" t="s">
        <v>46</v>
      </c>
      <c r="D56" s="85" t="s">
        <v>167</v>
      </c>
      <c r="E56" s="85" t="str">
        <f t="shared" si="0"/>
        <v>NIKITA SIMON</v>
      </c>
      <c r="F56" s="85" t="str">
        <f t="shared" si="1"/>
        <v>nikita simon</v>
      </c>
      <c r="G56" s="4">
        <v>34886</v>
      </c>
      <c r="H56" s="85" t="str">
        <f t="shared" si="2"/>
        <v>Tasi34</v>
      </c>
      <c r="I56" s="85" t="str">
        <f t="shared" si="3"/>
        <v>nikita.simon@entreprise.com</v>
      </c>
      <c r="J56" s="86">
        <v>72000</v>
      </c>
    </row>
    <row r="57" spans="1:10" x14ac:dyDescent="0.2">
      <c r="A57" s="5">
        <v>156</v>
      </c>
      <c r="B57" s="84" t="str">
        <f>"Tricolici"</f>
        <v>Tricolici</v>
      </c>
      <c r="C57" s="84" t="str">
        <f>"Diane"</f>
        <v>Diane</v>
      </c>
      <c r="D57" s="85" t="s">
        <v>168</v>
      </c>
      <c r="E57" s="85" t="str">
        <f t="shared" si="0"/>
        <v>DIANE TRICOLICI</v>
      </c>
      <c r="F57" s="85" t="str">
        <f t="shared" si="1"/>
        <v>diane tricolici</v>
      </c>
      <c r="G57" s="4">
        <v>38981</v>
      </c>
      <c r="H57" s="85" t="str">
        <f t="shared" si="2"/>
        <v>Netr38</v>
      </c>
      <c r="I57" s="85" t="str">
        <f t="shared" si="3"/>
        <v>diane.tricolici@entreprise.com</v>
      </c>
      <c r="J57" s="86">
        <v>72000</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68E162D-7521-4994-A708-402645226463}">
  <sheetPr>
    <tabColor theme="9" tint="0.39997558519241921"/>
  </sheetPr>
  <dimension ref="A1:L21"/>
  <sheetViews>
    <sheetView tabSelected="1" workbookViewId="0">
      <selection activeCell="J2" sqref="J2"/>
    </sheetView>
  </sheetViews>
  <sheetFormatPr baseColWidth="10" defaultRowHeight="15" x14ac:dyDescent="0.2"/>
  <cols>
    <col min="3" max="3" width="18.83203125" customWidth="1"/>
    <col min="5" max="5" width="15.6640625" customWidth="1"/>
    <col min="6" max="7" width="13" bestFit="1" customWidth="1"/>
    <col min="9" max="9" width="16.5" customWidth="1"/>
    <col min="10" max="10" width="17" customWidth="1"/>
    <col min="11" max="11" width="15.1640625" customWidth="1"/>
    <col min="12" max="12" width="14.5" bestFit="1" customWidth="1"/>
  </cols>
  <sheetData>
    <row r="1" spans="1:12" ht="32" x14ac:dyDescent="0.2">
      <c r="A1" s="9" t="s">
        <v>7</v>
      </c>
      <c r="B1" s="10" t="s">
        <v>8</v>
      </c>
      <c r="C1" s="10" t="s">
        <v>9</v>
      </c>
      <c r="D1" s="11" t="s">
        <v>37</v>
      </c>
      <c r="E1" s="10" t="s">
        <v>38</v>
      </c>
      <c r="F1" s="10" t="s">
        <v>39</v>
      </c>
      <c r="G1" s="12" t="s">
        <v>40</v>
      </c>
      <c r="I1" s="12" t="s">
        <v>41</v>
      </c>
      <c r="J1" s="12" t="s">
        <v>43</v>
      </c>
      <c r="K1" s="12" t="s">
        <v>42</v>
      </c>
      <c r="L1" s="6"/>
    </row>
    <row r="2" spans="1:12" x14ac:dyDescent="0.2">
      <c r="A2" s="84" t="s">
        <v>10</v>
      </c>
      <c r="B2" s="4">
        <f>DATE(2020,2,1)</f>
        <v>43862</v>
      </c>
      <c r="C2" s="84" t="s">
        <v>11</v>
      </c>
      <c r="D2" s="5">
        <v>20</v>
      </c>
      <c r="E2" s="111">
        <v>12000</v>
      </c>
      <c r="F2" s="111">
        <f>D2*1000</f>
        <v>20000</v>
      </c>
      <c r="G2" s="111">
        <f>E2+F2</f>
        <v>32000</v>
      </c>
      <c r="I2" s="13"/>
      <c r="J2" s="112">
        <f>SUMIF(I2:I21,"Formation Méthode",G2:G21)</f>
        <v>0</v>
      </c>
      <c r="K2" s="112">
        <f>_xlfn.ISOWEEKNUM(B13)</f>
        <v>29</v>
      </c>
    </row>
    <row r="3" spans="1:12" x14ac:dyDescent="0.2">
      <c r="A3" s="84" t="s">
        <v>12</v>
      </c>
      <c r="B3" s="4">
        <f>B2+15</f>
        <v>43877</v>
      </c>
      <c r="C3" s="84" t="s">
        <v>13</v>
      </c>
      <c r="D3" s="5">
        <v>67</v>
      </c>
      <c r="E3" s="111">
        <v>4500</v>
      </c>
      <c r="F3" s="111">
        <f t="shared" ref="F3:F21" si="0">D3*1000</f>
        <v>67000</v>
      </c>
      <c r="G3" s="111">
        <f t="shared" ref="G3:G21" si="1">E3+F3</f>
        <v>71500</v>
      </c>
      <c r="I3" s="13"/>
      <c r="K3" s="1"/>
    </row>
    <row r="4" spans="1:12" x14ac:dyDescent="0.2">
      <c r="A4" s="84" t="s">
        <v>14</v>
      </c>
      <c r="B4" s="4">
        <f t="shared" ref="B4:B21" si="2">B3+15</f>
        <v>43892</v>
      </c>
      <c r="C4" s="84" t="s">
        <v>11</v>
      </c>
      <c r="D4" s="5">
        <v>180</v>
      </c>
      <c r="E4" s="111">
        <v>2000</v>
      </c>
      <c r="F4" s="111">
        <v>4000</v>
      </c>
      <c r="G4" s="111">
        <f t="shared" si="1"/>
        <v>6000</v>
      </c>
      <c r="I4" s="13"/>
    </row>
    <row r="5" spans="1:12" x14ac:dyDescent="0.2">
      <c r="A5" s="84" t="s">
        <v>15</v>
      </c>
      <c r="B5" s="4">
        <f t="shared" si="2"/>
        <v>43907</v>
      </c>
      <c r="C5" s="84" t="s">
        <v>11</v>
      </c>
      <c r="D5" s="5">
        <v>55</v>
      </c>
      <c r="E5" s="111">
        <v>5000</v>
      </c>
      <c r="F5" s="111">
        <f t="shared" si="0"/>
        <v>55000</v>
      </c>
      <c r="G5" s="111">
        <f t="shared" si="1"/>
        <v>60000</v>
      </c>
      <c r="I5" s="13"/>
    </row>
    <row r="6" spans="1:12" x14ac:dyDescent="0.2">
      <c r="A6" s="84" t="s">
        <v>16</v>
      </c>
      <c r="B6" s="4">
        <f t="shared" si="2"/>
        <v>43922</v>
      </c>
      <c r="C6" s="84" t="s">
        <v>13</v>
      </c>
      <c r="D6" s="5">
        <v>22</v>
      </c>
      <c r="E6" s="111">
        <v>1000</v>
      </c>
      <c r="F6" s="111">
        <f t="shared" si="0"/>
        <v>22000</v>
      </c>
      <c r="G6" s="111">
        <f t="shared" si="1"/>
        <v>23000</v>
      </c>
      <c r="I6" s="13"/>
      <c r="J6" s="12" t="s">
        <v>44</v>
      </c>
    </row>
    <row r="7" spans="1:12" x14ac:dyDescent="0.2">
      <c r="A7" s="84" t="s">
        <v>17</v>
      </c>
      <c r="B7" s="4">
        <f t="shared" si="2"/>
        <v>43937</v>
      </c>
      <c r="C7" s="84" t="s">
        <v>13</v>
      </c>
      <c r="D7" s="5">
        <v>25</v>
      </c>
      <c r="E7" s="111">
        <v>1500</v>
      </c>
      <c r="F7" s="111">
        <f t="shared" si="0"/>
        <v>25000</v>
      </c>
      <c r="G7" s="111">
        <f t="shared" si="1"/>
        <v>26500</v>
      </c>
      <c r="I7" s="13"/>
      <c r="J7" s="112">
        <f>COUNTIF(I2:I21,"Formation Méthode")</f>
        <v>0</v>
      </c>
    </row>
    <row r="8" spans="1:12" x14ac:dyDescent="0.2">
      <c r="A8" s="84" t="s">
        <v>18</v>
      </c>
      <c r="B8" s="4">
        <f t="shared" si="2"/>
        <v>43952</v>
      </c>
      <c r="C8" s="84" t="s">
        <v>13</v>
      </c>
      <c r="D8" s="5">
        <v>76</v>
      </c>
      <c r="E8" s="111">
        <v>4700</v>
      </c>
      <c r="F8" s="111">
        <f t="shared" si="0"/>
        <v>76000</v>
      </c>
      <c r="G8" s="111">
        <f t="shared" si="1"/>
        <v>80700</v>
      </c>
      <c r="I8" s="13"/>
    </row>
    <row r="9" spans="1:12" x14ac:dyDescent="0.2">
      <c r="A9" s="84" t="s">
        <v>19</v>
      </c>
      <c r="B9" s="4">
        <f t="shared" si="2"/>
        <v>43967</v>
      </c>
      <c r="C9" s="84" t="s">
        <v>11</v>
      </c>
      <c r="D9" s="5">
        <v>87</v>
      </c>
      <c r="E9" s="111">
        <v>11000</v>
      </c>
      <c r="F9" s="111">
        <f t="shared" si="0"/>
        <v>87000</v>
      </c>
      <c r="G9" s="111">
        <f t="shared" si="1"/>
        <v>98000</v>
      </c>
      <c r="I9" s="13"/>
    </row>
    <row r="10" spans="1:12" x14ac:dyDescent="0.2">
      <c r="A10" s="84" t="s">
        <v>20</v>
      </c>
      <c r="B10" s="4">
        <f t="shared" si="2"/>
        <v>43982</v>
      </c>
      <c r="C10" s="84" t="s">
        <v>11</v>
      </c>
      <c r="D10" s="5">
        <v>90</v>
      </c>
      <c r="E10" s="111">
        <v>2500</v>
      </c>
      <c r="F10" s="111">
        <f t="shared" si="0"/>
        <v>90000</v>
      </c>
      <c r="G10" s="111">
        <f t="shared" si="1"/>
        <v>92500</v>
      </c>
      <c r="I10" s="13"/>
    </row>
    <row r="11" spans="1:12" x14ac:dyDescent="0.2">
      <c r="A11" s="84" t="s">
        <v>21</v>
      </c>
      <c r="B11" s="4">
        <f t="shared" si="2"/>
        <v>43997</v>
      </c>
      <c r="C11" s="84" t="s">
        <v>13</v>
      </c>
      <c r="D11" s="5">
        <v>100</v>
      </c>
      <c r="E11" s="111">
        <v>23000</v>
      </c>
      <c r="F11" s="111">
        <f t="shared" si="0"/>
        <v>100000</v>
      </c>
      <c r="G11" s="111">
        <f t="shared" si="1"/>
        <v>123000</v>
      </c>
      <c r="I11" s="13"/>
    </row>
    <row r="12" spans="1:12" x14ac:dyDescent="0.2">
      <c r="A12" s="84" t="s">
        <v>22</v>
      </c>
      <c r="B12" s="4">
        <f t="shared" si="2"/>
        <v>44012</v>
      </c>
      <c r="C12" s="84" t="s">
        <v>11</v>
      </c>
      <c r="D12" s="5">
        <v>80</v>
      </c>
      <c r="E12" s="111">
        <v>1500</v>
      </c>
      <c r="F12" s="111">
        <f t="shared" si="0"/>
        <v>80000</v>
      </c>
      <c r="G12" s="111">
        <f t="shared" si="1"/>
        <v>81500</v>
      </c>
      <c r="I12" s="13"/>
    </row>
    <row r="13" spans="1:12" x14ac:dyDescent="0.2">
      <c r="A13" s="84" t="s">
        <v>23</v>
      </c>
      <c r="B13" s="4">
        <f t="shared" si="2"/>
        <v>44027</v>
      </c>
      <c r="C13" s="84" t="s">
        <v>11</v>
      </c>
      <c r="D13" s="5">
        <v>56</v>
      </c>
      <c r="E13" s="111">
        <v>7600</v>
      </c>
      <c r="F13" s="111">
        <f t="shared" si="0"/>
        <v>56000</v>
      </c>
      <c r="G13" s="111">
        <f t="shared" si="1"/>
        <v>63600</v>
      </c>
      <c r="I13" s="13"/>
    </row>
    <row r="14" spans="1:12" x14ac:dyDescent="0.2">
      <c r="A14" s="84" t="s">
        <v>24</v>
      </c>
      <c r="B14" s="4">
        <f t="shared" si="2"/>
        <v>44042</v>
      </c>
      <c r="C14" s="84" t="s">
        <v>13</v>
      </c>
      <c r="D14" s="5">
        <v>33</v>
      </c>
      <c r="E14" s="111">
        <v>5500</v>
      </c>
      <c r="F14" s="111">
        <f t="shared" si="0"/>
        <v>33000</v>
      </c>
      <c r="G14" s="111">
        <f t="shared" si="1"/>
        <v>38500</v>
      </c>
      <c r="I14" s="13"/>
    </row>
    <row r="15" spans="1:12" x14ac:dyDescent="0.2">
      <c r="A15" s="84" t="s">
        <v>25</v>
      </c>
      <c r="B15" s="4">
        <f t="shared" si="2"/>
        <v>44057</v>
      </c>
      <c r="C15" s="84" t="s">
        <v>35</v>
      </c>
      <c r="D15" s="5">
        <v>120</v>
      </c>
      <c r="E15" s="111">
        <v>24000</v>
      </c>
      <c r="F15" s="111">
        <f t="shared" si="0"/>
        <v>120000</v>
      </c>
      <c r="G15" s="111">
        <f t="shared" si="1"/>
        <v>144000</v>
      </c>
      <c r="I15" s="13"/>
    </row>
    <row r="16" spans="1:12" x14ac:dyDescent="0.2">
      <c r="A16" s="84" t="s">
        <v>26</v>
      </c>
      <c r="B16" s="4">
        <f t="shared" si="2"/>
        <v>44072</v>
      </c>
      <c r="C16" s="84" t="s">
        <v>35</v>
      </c>
      <c r="D16" s="5">
        <v>127</v>
      </c>
      <c r="E16" s="111">
        <v>35900</v>
      </c>
      <c r="F16" s="111">
        <f t="shared" si="0"/>
        <v>127000</v>
      </c>
      <c r="G16" s="111">
        <f t="shared" si="1"/>
        <v>162900</v>
      </c>
      <c r="I16" s="13"/>
    </row>
    <row r="17" spans="1:9" x14ac:dyDescent="0.2">
      <c r="A17" s="84" t="s">
        <v>27</v>
      </c>
      <c r="B17" s="4">
        <f t="shared" si="2"/>
        <v>44087</v>
      </c>
      <c r="C17" s="84" t="s">
        <v>35</v>
      </c>
      <c r="D17" s="5">
        <v>45</v>
      </c>
      <c r="E17" s="111">
        <v>34000</v>
      </c>
      <c r="F17" s="111">
        <f t="shared" si="0"/>
        <v>45000</v>
      </c>
      <c r="G17" s="111">
        <f t="shared" si="1"/>
        <v>79000</v>
      </c>
      <c r="I17" s="13"/>
    </row>
    <row r="18" spans="1:9" x14ac:dyDescent="0.2">
      <c r="A18" s="84" t="s">
        <v>28</v>
      </c>
      <c r="B18" s="4">
        <f t="shared" si="2"/>
        <v>44102</v>
      </c>
      <c r="C18" s="84" t="s">
        <v>13</v>
      </c>
      <c r="D18" s="5">
        <v>63</v>
      </c>
      <c r="E18" s="111">
        <v>1600</v>
      </c>
      <c r="F18" s="111">
        <f t="shared" si="0"/>
        <v>63000</v>
      </c>
      <c r="G18" s="111">
        <f t="shared" si="1"/>
        <v>64600</v>
      </c>
      <c r="I18" s="13"/>
    </row>
    <row r="19" spans="1:9" x14ac:dyDescent="0.2">
      <c r="A19" s="84" t="s">
        <v>29</v>
      </c>
      <c r="B19" s="4">
        <f t="shared" si="2"/>
        <v>44117</v>
      </c>
      <c r="C19" s="84" t="s">
        <v>13</v>
      </c>
      <c r="D19" s="5">
        <v>78</v>
      </c>
      <c r="E19" s="111">
        <v>3800</v>
      </c>
      <c r="F19" s="111">
        <f t="shared" si="0"/>
        <v>78000</v>
      </c>
      <c r="G19" s="111">
        <f t="shared" si="1"/>
        <v>81800</v>
      </c>
      <c r="I19" s="13"/>
    </row>
    <row r="20" spans="1:9" x14ac:dyDescent="0.2">
      <c r="A20" s="84" t="s">
        <v>30</v>
      </c>
      <c r="B20" s="4">
        <f t="shared" si="2"/>
        <v>44132</v>
      </c>
      <c r="C20" s="84" t="s">
        <v>35</v>
      </c>
      <c r="D20" s="5">
        <v>150</v>
      </c>
      <c r="E20" s="111">
        <v>4200</v>
      </c>
      <c r="F20" s="111">
        <f t="shared" si="0"/>
        <v>150000</v>
      </c>
      <c r="G20" s="111">
        <f t="shared" si="1"/>
        <v>154200</v>
      </c>
      <c r="I20" s="13"/>
    </row>
    <row r="21" spans="1:9" x14ac:dyDescent="0.2">
      <c r="A21" s="84" t="s">
        <v>31</v>
      </c>
      <c r="B21" s="4">
        <f t="shared" si="2"/>
        <v>44147</v>
      </c>
      <c r="C21" s="84" t="s">
        <v>11</v>
      </c>
      <c r="D21" s="5">
        <v>38</v>
      </c>
      <c r="E21" s="111">
        <v>6700</v>
      </c>
      <c r="F21" s="111">
        <f t="shared" si="0"/>
        <v>38000</v>
      </c>
      <c r="G21" s="111">
        <f t="shared" si="1"/>
        <v>44700</v>
      </c>
      <c r="I21" s="13"/>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8939C14-2598-48B7-B9E9-5FE95F8F88DB}">
  <sheetPr>
    <tabColor rgb="FF0070C0"/>
  </sheetPr>
  <dimension ref="A1:K46"/>
  <sheetViews>
    <sheetView workbookViewId="0">
      <selection activeCell="G40" sqref="G40"/>
    </sheetView>
  </sheetViews>
  <sheetFormatPr baseColWidth="10" defaultColWidth="11.5" defaultRowHeight="13" x14ac:dyDescent="0.15"/>
  <cols>
    <col min="1" max="1" width="50.5" style="15" customWidth="1"/>
    <col min="2" max="2" width="30.83203125" style="15" customWidth="1"/>
    <col min="3" max="3" width="14.33203125" style="15" customWidth="1"/>
    <col min="4" max="4" width="7.83203125" style="15" customWidth="1"/>
    <col min="5" max="5" width="7.6640625" style="15" customWidth="1"/>
    <col min="6" max="6" width="7.5" style="15" customWidth="1"/>
    <col min="7" max="7" width="18.6640625" style="15" customWidth="1"/>
    <col min="8" max="8" width="13.5" style="15" bestFit="1" customWidth="1"/>
    <col min="9" max="9" width="13.5" style="15" customWidth="1"/>
    <col min="10" max="10" width="11.33203125" style="15" hidden="1" customWidth="1"/>
    <col min="11" max="12" width="11.5" style="15"/>
    <col min="13" max="13" width="18" style="15" bestFit="1" customWidth="1"/>
    <col min="14" max="16384" width="11.5" style="15"/>
  </cols>
  <sheetData>
    <row r="1" spans="1:11" ht="21" customHeight="1" x14ac:dyDescent="0.15">
      <c r="A1" s="87" t="s">
        <v>49</v>
      </c>
      <c r="B1" s="87"/>
      <c r="C1" s="87"/>
      <c r="D1" s="87"/>
      <c r="E1" s="87"/>
      <c r="F1" s="87"/>
      <c r="G1" s="87"/>
      <c r="H1" s="87"/>
      <c r="I1" s="87"/>
      <c r="J1" s="87"/>
    </row>
    <row r="3" spans="1:11" ht="28" x14ac:dyDescent="0.15">
      <c r="A3" s="16" t="s">
        <v>50</v>
      </c>
      <c r="B3" s="16" t="s">
        <v>51</v>
      </c>
      <c r="C3" s="16" t="s">
        <v>52</v>
      </c>
      <c r="D3" s="16" t="s">
        <v>53</v>
      </c>
      <c r="E3" s="16" t="s">
        <v>53</v>
      </c>
      <c r="F3" s="16" t="s">
        <v>53</v>
      </c>
      <c r="G3" s="16" t="s">
        <v>54</v>
      </c>
      <c r="H3" s="16" t="s">
        <v>55</v>
      </c>
      <c r="I3" s="16" t="s">
        <v>56</v>
      </c>
      <c r="J3" s="16" t="s">
        <v>57</v>
      </c>
    </row>
    <row r="4" spans="1:11" ht="14" x14ac:dyDescent="0.15">
      <c r="A4" s="17" t="s">
        <v>58</v>
      </c>
      <c r="B4" s="18"/>
      <c r="C4" s="18"/>
      <c r="D4" s="18"/>
      <c r="E4" s="18"/>
      <c r="F4" s="18"/>
      <c r="G4" s="18"/>
      <c r="H4" s="18"/>
      <c r="I4" s="18"/>
      <c r="J4" s="18"/>
    </row>
    <row r="5" spans="1:11" ht="25" customHeight="1" x14ac:dyDescent="0.15">
      <c r="A5" s="19" t="s">
        <v>59</v>
      </c>
      <c r="B5" s="20"/>
      <c r="C5" s="21">
        <v>100</v>
      </c>
      <c r="D5" s="22">
        <v>2</v>
      </c>
      <c r="E5" s="22">
        <v>2</v>
      </c>
      <c r="F5" s="22">
        <v>2</v>
      </c>
      <c r="G5" s="70"/>
      <c r="H5" s="71"/>
      <c r="I5" s="25">
        <f>G5</f>
        <v>0</v>
      </c>
      <c r="J5" s="24">
        <f>+C5*D5*E5*F5</f>
        <v>800</v>
      </c>
      <c r="K5" s="26"/>
    </row>
    <row r="6" spans="1:11" ht="25" customHeight="1" x14ac:dyDescent="0.15">
      <c r="A6" s="27" t="s">
        <v>60</v>
      </c>
      <c r="B6" s="20"/>
      <c r="C6" s="21">
        <v>100</v>
      </c>
      <c r="D6" s="28">
        <v>1</v>
      </c>
      <c r="E6" s="28">
        <v>1</v>
      </c>
      <c r="F6" s="28">
        <v>1</v>
      </c>
      <c r="G6" s="70"/>
      <c r="H6" s="71"/>
      <c r="I6" s="25">
        <f>G6</f>
        <v>0</v>
      </c>
      <c r="J6" s="24">
        <f>+C6*D6*E6*F6</f>
        <v>100</v>
      </c>
      <c r="K6" s="26"/>
    </row>
    <row r="7" spans="1:11" ht="25" customHeight="1" x14ac:dyDescent="0.15">
      <c r="A7" s="27" t="s">
        <v>61</v>
      </c>
      <c r="B7" s="20"/>
      <c r="C7" s="21">
        <v>150</v>
      </c>
      <c r="D7" s="28">
        <v>1</v>
      </c>
      <c r="E7" s="28">
        <v>1</v>
      </c>
      <c r="F7" s="28">
        <v>1</v>
      </c>
      <c r="G7" s="70"/>
      <c r="H7" s="29"/>
      <c r="I7" s="25">
        <f>G7</f>
        <v>0</v>
      </c>
      <c r="J7" s="24">
        <f>+C7*D7*E7*F7</f>
        <v>150</v>
      </c>
      <c r="K7" s="26"/>
    </row>
    <row r="8" spans="1:11" ht="14" x14ac:dyDescent="0.15">
      <c r="A8" s="17" t="s">
        <v>62</v>
      </c>
      <c r="B8" s="30"/>
      <c r="C8" s="31"/>
      <c r="D8" s="32"/>
      <c r="E8" s="32"/>
      <c r="F8" s="32"/>
      <c r="G8" s="33"/>
      <c r="H8" s="33"/>
      <c r="I8" s="33"/>
      <c r="J8" s="33"/>
      <c r="K8" s="26"/>
    </row>
    <row r="9" spans="1:11" ht="25" customHeight="1" x14ac:dyDescent="0.15">
      <c r="A9" s="27" t="s">
        <v>63</v>
      </c>
      <c r="B9" s="20"/>
      <c r="C9" s="21">
        <v>100</v>
      </c>
      <c r="D9" s="22">
        <v>2</v>
      </c>
      <c r="E9" s="22">
        <v>2</v>
      </c>
      <c r="F9" s="22">
        <v>2</v>
      </c>
      <c r="G9" s="71"/>
      <c r="H9" s="71"/>
      <c r="I9" s="25">
        <f>G9</f>
        <v>0</v>
      </c>
      <c r="J9" s="24">
        <f t="shared" ref="J9:J10" si="0">+C9*D9*E9*F9</f>
        <v>800</v>
      </c>
      <c r="K9" s="26"/>
    </row>
    <row r="10" spans="1:11" ht="25" customHeight="1" x14ac:dyDescent="0.15">
      <c r="A10" s="27" t="s">
        <v>64</v>
      </c>
      <c r="B10" s="20"/>
      <c r="C10" s="21"/>
      <c r="D10" s="28"/>
      <c r="E10" s="28"/>
      <c r="F10" s="28"/>
      <c r="G10" s="71"/>
      <c r="H10" s="29"/>
      <c r="I10" s="25">
        <f>G10</f>
        <v>0</v>
      </c>
      <c r="J10" s="24">
        <f t="shared" si="0"/>
        <v>0</v>
      </c>
      <c r="K10" s="26"/>
    </row>
    <row r="11" spans="1:11" ht="25" customHeight="1" x14ac:dyDescent="0.15">
      <c r="A11" s="27" t="s">
        <v>65</v>
      </c>
      <c r="B11" s="20"/>
      <c r="C11" s="34">
        <v>15</v>
      </c>
      <c r="D11" s="28">
        <v>2</v>
      </c>
      <c r="E11" s="35"/>
      <c r="F11" s="28">
        <v>15</v>
      </c>
      <c r="G11" s="70"/>
      <c r="H11" s="29"/>
      <c r="I11" s="70">
        <f>G11</f>
        <v>0</v>
      </c>
      <c r="J11" s="23">
        <f>IF(C11*D11*E11*F11&lt;15000*E11,C11*D11*E11*F11,15000*E11)</f>
        <v>0</v>
      </c>
      <c r="K11" s="26"/>
    </row>
    <row r="12" spans="1:11" ht="14" x14ac:dyDescent="0.15">
      <c r="A12" s="36" t="s">
        <v>66</v>
      </c>
      <c r="B12" s="30"/>
      <c r="C12" s="31"/>
      <c r="D12" s="32"/>
      <c r="E12" s="32"/>
      <c r="F12" s="32"/>
      <c r="G12" s="33"/>
      <c r="H12" s="33"/>
      <c r="I12" s="33"/>
      <c r="J12" s="33"/>
      <c r="K12" s="26"/>
    </row>
    <row r="13" spans="1:11" ht="25" customHeight="1" x14ac:dyDescent="0.15">
      <c r="A13" s="27" t="s">
        <v>67</v>
      </c>
      <c r="B13" s="20"/>
      <c r="C13" s="34">
        <v>4.2999999999999997E-2</v>
      </c>
      <c r="D13" s="22">
        <v>200</v>
      </c>
      <c r="E13" s="22">
        <v>1</v>
      </c>
      <c r="F13" s="22">
        <v>1</v>
      </c>
      <c r="G13" s="71"/>
      <c r="H13" s="29"/>
      <c r="I13" s="25">
        <f t="shared" ref="I13:I39" si="1">G13</f>
        <v>0</v>
      </c>
      <c r="J13" s="24">
        <f t="shared" ref="J13:J18" si="2">+C13*D13*E13*F13</f>
        <v>8.6</v>
      </c>
      <c r="K13" s="26"/>
    </row>
    <row r="14" spans="1:11" ht="25" customHeight="1" x14ac:dyDescent="0.15">
      <c r="A14" s="19" t="s">
        <v>68</v>
      </c>
      <c r="B14" s="20"/>
      <c r="C14" s="34">
        <v>4.2999999999999997E-2</v>
      </c>
      <c r="D14" s="22">
        <v>200</v>
      </c>
      <c r="E14" s="22">
        <v>2</v>
      </c>
      <c r="F14" s="22">
        <v>2</v>
      </c>
      <c r="G14" s="71"/>
      <c r="H14" s="29"/>
      <c r="I14" s="25">
        <f t="shared" si="1"/>
        <v>0</v>
      </c>
      <c r="J14" s="24">
        <f t="shared" si="2"/>
        <v>34.4</v>
      </c>
      <c r="K14" s="26"/>
    </row>
    <row r="15" spans="1:11" ht="25" customHeight="1" x14ac:dyDescent="0.15">
      <c r="A15" s="27" t="s">
        <v>69</v>
      </c>
      <c r="B15" s="20"/>
      <c r="C15" s="34">
        <v>4.2999999999999997E-2</v>
      </c>
      <c r="D15" s="22">
        <v>200</v>
      </c>
      <c r="E15" s="22">
        <v>2</v>
      </c>
      <c r="F15" s="22">
        <v>2</v>
      </c>
      <c r="G15" s="71"/>
      <c r="H15" s="29"/>
      <c r="I15" s="25">
        <f t="shared" si="1"/>
        <v>0</v>
      </c>
      <c r="J15" s="24">
        <f t="shared" si="2"/>
        <v>34.4</v>
      </c>
      <c r="K15" s="26"/>
    </row>
    <row r="16" spans="1:11" ht="25" customHeight="1" x14ac:dyDescent="0.15">
      <c r="A16" s="27" t="s">
        <v>70</v>
      </c>
      <c r="B16" s="20"/>
      <c r="C16" s="34"/>
      <c r="D16" s="22"/>
      <c r="E16" s="22"/>
      <c r="F16" s="22"/>
      <c r="G16" s="71"/>
      <c r="H16" s="29"/>
      <c r="I16" s="25">
        <f t="shared" si="1"/>
        <v>0</v>
      </c>
      <c r="J16" s="24">
        <f t="shared" si="2"/>
        <v>0</v>
      </c>
      <c r="K16" s="26"/>
    </row>
    <row r="17" spans="1:11" ht="25" customHeight="1" x14ac:dyDescent="0.15">
      <c r="A17" s="27" t="s">
        <v>71</v>
      </c>
      <c r="B17" s="20"/>
      <c r="C17" s="37"/>
      <c r="D17" s="28"/>
      <c r="E17" s="22"/>
      <c r="F17" s="22"/>
      <c r="G17" s="71"/>
      <c r="H17" s="24">
        <f>0.14975*(C17*D17*E17*F17)</f>
        <v>0</v>
      </c>
      <c r="I17" s="25">
        <f t="shared" si="1"/>
        <v>0</v>
      </c>
      <c r="J17" s="24">
        <f t="shared" si="2"/>
        <v>0</v>
      </c>
      <c r="K17" s="26"/>
    </row>
    <row r="18" spans="1:11" ht="25" customHeight="1" x14ac:dyDescent="0.15">
      <c r="A18" s="27" t="s">
        <v>71</v>
      </c>
      <c r="B18" s="20"/>
      <c r="C18" s="37"/>
      <c r="D18" s="28"/>
      <c r="E18" s="22"/>
      <c r="F18" s="22"/>
      <c r="G18" s="71"/>
      <c r="H18" s="24">
        <f>0.14975*(C18*D18*E18*F18)</f>
        <v>0</v>
      </c>
      <c r="I18" s="25">
        <f t="shared" si="1"/>
        <v>0</v>
      </c>
      <c r="J18" s="24">
        <f t="shared" si="2"/>
        <v>0</v>
      </c>
      <c r="K18" s="26"/>
    </row>
    <row r="19" spans="1:11" ht="14" x14ac:dyDescent="0.15">
      <c r="A19" s="36" t="s">
        <v>72</v>
      </c>
      <c r="B19" s="30"/>
      <c r="C19" s="31"/>
      <c r="D19" s="32"/>
      <c r="E19" s="32"/>
      <c r="F19" s="32"/>
      <c r="G19" s="33"/>
      <c r="H19" s="33"/>
      <c r="I19" s="33"/>
      <c r="J19" s="33"/>
      <c r="K19" s="26"/>
    </row>
    <row r="20" spans="1:11" ht="25" customHeight="1" x14ac:dyDescent="0.15">
      <c r="A20" s="19" t="s">
        <v>73</v>
      </c>
      <c r="B20" s="20"/>
      <c r="C20" s="37"/>
      <c r="D20" s="22"/>
      <c r="E20" s="22"/>
      <c r="F20" s="22"/>
      <c r="G20" s="71"/>
      <c r="H20" s="24">
        <f>0.14975*(C20*D20*E20*F20)</f>
        <v>0</v>
      </c>
      <c r="I20" s="25">
        <f t="shared" si="1"/>
        <v>0</v>
      </c>
      <c r="J20" s="24">
        <f t="shared" ref="J20:J23" si="3">+C20*D20*E20*F20</f>
        <v>0</v>
      </c>
      <c r="K20" s="26"/>
    </row>
    <row r="21" spans="1:11" ht="25" customHeight="1" x14ac:dyDescent="0.15">
      <c r="A21" s="27" t="s">
        <v>74</v>
      </c>
      <c r="B21" s="20"/>
      <c r="C21" s="37"/>
      <c r="D21" s="22"/>
      <c r="E21" s="22"/>
      <c r="F21" s="22"/>
      <c r="G21" s="71"/>
      <c r="H21" s="24">
        <f>0.14975*(C21*D21*E21*F21)</f>
        <v>0</v>
      </c>
      <c r="I21" s="25">
        <f t="shared" si="1"/>
        <v>0</v>
      </c>
      <c r="J21" s="24">
        <f t="shared" si="3"/>
        <v>0</v>
      </c>
      <c r="K21" s="26"/>
    </row>
    <row r="22" spans="1:11" ht="25" customHeight="1" x14ac:dyDescent="0.15">
      <c r="A22" s="27" t="s">
        <v>75</v>
      </c>
      <c r="B22" s="20"/>
      <c r="C22" s="37"/>
      <c r="D22" s="22"/>
      <c r="E22" s="22"/>
      <c r="F22" s="22"/>
      <c r="G22" s="71"/>
      <c r="H22" s="24">
        <f>0.14975*(C22*D22*E22*F22)</f>
        <v>0</v>
      </c>
      <c r="I22" s="25">
        <f t="shared" si="1"/>
        <v>0</v>
      </c>
      <c r="J22" s="24">
        <f t="shared" si="3"/>
        <v>0</v>
      </c>
      <c r="K22" s="26"/>
    </row>
    <row r="23" spans="1:11" ht="25" customHeight="1" x14ac:dyDescent="0.15">
      <c r="A23" s="27" t="s">
        <v>76</v>
      </c>
      <c r="B23" s="20"/>
      <c r="C23" s="37"/>
      <c r="D23" s="22"/>
      <c r="E23" s="22"/>
      <c r="F23" s="22"/>
      <c r="G23" s="71"/>
      <c r="H23" s="24">
        <f>0.14975*(C23*D23*E23*F23)</f>
        <v>0</v>
      </c>
      <c r="I23" s="25">
        <f t="shared" si="1"/>
        <v>0</v>
      </c>
      <c r="J23" s="24">
        <f t="shared" si="3"/>
        <v>0</v>
      </c>
      <c r="K23" s="26"/>
    </row>
    <row r="24" spans="1:11" ht="14" x14ac:dyDescent="0.15">
      <c r="A24" s="38" t="s">
        <v>77</v>
      </c>
      <c r="B24" s="30"/>
      <c r="C24" s="31"/>
      <c r="D24" s="32"/>
      <c r="E24" s="32"/>
      <c r="F24" s="32"/>
      <c r="G24" s="33"/>
      <c r="H24" s="33"/>
      <c r="I24" s="33"/>
      <c r="J24" s="33"/>
      <c r="K24" s="26"/>
    </row>
    <row r="25" spans="1:11" ht="25" customHeight="1" x14ac:dyDescent="0.15">
      <c r="A25" s="19" t="s">
        <v>77</v>
      </c>
      <c r="B25" s="20"/>
      <c r="C25" s="37">
        <v>10000</v>
      </c>
      <c r="D25" s="22">
        <v>1</v>
      </c>
      <c r="E25" s="22">
        <v>1</v>
      </c>
      <c r="F25" s="22">
        <v>1</v>
      </c>
      <c r="G25" s="71"/>
      <c r="H25" s="71"/>
      <c r="I25" s="25">
        <f t="shared" si="1"/>
        <v>0</v>
      </c>
      <c r="J25" s="24">
        <f t="shared" ref="J25:J29" si="4">+C25*D25*E25*F25</f>
        <v>10000</v>
      </c>
      <c r="K25" s="26"/>
    </row>
    <row r="26" spans="1:11" ht="25" customHeight="1" x14ac:dyDescent="0.15">
      <c r="A26" s="27" t="s">
        <v>78</v>
      </c>
      <c r="B26" s="39"/>
      <c r="C26" s="40"/>
      <c r="D26" s="28"/>
      <c r="E26" s="28"/>
      <c r="F26" s="28"/>
      <c r="G26" s="71"/>
      <c r="H26" s="71"/>
      <c r="I26" s="25">
        <f t="shared" si="1"/>
        <v>0</v>
      </c>
      <c r="J26" s="24">
        <f t="shared" si="4"/>
        <v>0</v>
      </c>
      <c r="K26" s="26"/>
    </row>
    <row r="27" spans="1:11" ht="25" customHeight="1" x14ac:dyDescent="0.15">
      <c r="A27" s="27" t="s">
        <v>79</v>
      </c>
      <c r="B27" s="39"/>
      <c r="C27" s="40">
        <v>1000</v>
      </c>
      <c r="D27" s="22">
        <v>1</v>
      </c>
      <c r="E27" s="22">
        <v>1</v>
      </c>
      <c r="F27" s="22">
        <v>1</v>
      </c>
      <c r="G27" s="71"/>
      <c r="H27" s="71"/>
      <c r="I27" s="25">
        <f t="shared" si="1"/>
        <v>0</v>
      </c>
      <c r="J27" s="24">
        <f t="shared" si="4"/>
        <v>1000</v>
      </c>
      <c r="K27" s="26"/>
    </row>
    <row r="28" spans="1:11" ht="25" customHeight="1" x14ac:dyDescent="0.15">
      <c r="A28" s="27" t="s">
        <v>80</v>
      </c>
      <c r="B28" s="39"/>
      <c r="C28" s="40"/>
      <c r="D28" s="28"/>
      <c r="E28" s="28"/>
      <c r="F28" s="28"/>
      <c r="G28" s="71"/>
      <c r="H28" s="71"/>
      <c r="I28" s="25">
        <f t="shared" si="1"/>
        <v>0</v>
      </c>
      <c r="J28" s="24">
        <f t="shared" si="4"/>
        <v>0</v>
      </c>
      <c r="K28" s="26"/>
    </row>
    <row r="29" spans="1:11" ht="25" customHeight="1" x14ac:dyDescent="0.15">
      <c r="A29" s="27" t="s">
        <v>81</v>
      </c>
      <c r="B29" s="39"/>
      <c r="C29" s="40">
        <v>300</v>
      </c>
      <c r="D29" s="22">
        <v>1</v>
      </c>
      <c r="E29" s="22">
        <v>1</v>
      </c>
      <c r="F29" s="22">
        <v>1</v>
      </c>
      <c r="G29" s="71"/>
      <c r="H29" s="71"/>
      <c r="I29" s="25">
        <f t="shared" si="1"/>
        <v>0</v>
      </c>
      <c r="J29" s="24">
        <f t="shared" si="4"/>
        <v>300</v>
      </c>
      <c r="K29" s="26"/>
    </row>
    <row r="30" spans="1:11" ht="14" x14ac:dyDescent="0.15">
      <c r="A30" s="17" t="s">
        <v>82</v>
      </c>
      <c r="B30" s="30"/>
      <c r="C30" s="31"/>
      <c r="D30" s="32"/>
      <c r="E30" s="32"/>
      <c r="F30" s="32"/>
      <c r="G30" s="33"/>
      <c r="H30" s="33"/>
      <c r="I30" s="33"/>
      <c r="J30" s="33"/>
      <c r="K30" s="26"/>
    </row>
    <row r="31" spans="1:11" ht="25" customHeight="1" x14ac:dyDescent="0.15">
      <c r="A31" s="19" t="s">
        <v>83</v>
      </c>
      <c r="B31" s="20"/>
      <c r="C31" s="37">
        <v>1000</v>
      </c>
      <c r="D31" s="22">
        <v>2</v>
      </c>
      <c r="E31" s="22">
        <v>2</v>
      </c>
      <c r="F31" s="22">
        <v>2</v>
      </c>
      <c r="G31" s="71"/>
      <c r="H31" s="71"/>
      <c r="I31" s="25">
        <f t="shared" si="1"/>
        <v>0</v>
      </c>
      <c r="J31" s="24">
        <f t="shared" ref="J31:J36" si="5">+C31*D31*E31*F31</f>
        <v>8000</v>
      </c>
      <c r="K31" s="26"/>
    </row>
    <row r="32" spans="1:11" ht="25" customHeight="1" x14ac:dyDescent="0.15">
      <c r="A32" s="27" t="s">
        <v>84</v>
      </c>
      <c r="B32" s="39"/>
      <c r="C32" s="40"/>
      <c r="D32" s="28"/>
      <c r="E32" s="28"/>
      <c r="F32" s="28"/>
      <c r="G32" s="71"/>
      <c r="H32" s="71"/>
      <c r="I32" s="25">
        <f t="shared" si="1"/>
        <v>0</v>
      </c>
      <c r="J32" s="24">
        <f t="shared" si="5"/>
        <v>0</v>
      </c>
      <c r="K32" s="26"/>
    </row>
    <row r="33" spans="1:11" ht="25" customHeight="1" x14ac:dyDescent="0.15">
      <c r="A33" s="41" t="s">
        <v>85</v>
      </c>
      <c r="B33" s="42"/>
      <c r="C33" s="43">
        <v>3000</v>
      </c>
      <c r="D33" s="22">
        <v>2</v>
      </c>
      <c r="E33" s="22">
        <v>2</v>
      </c>
      <c r="F33" s="22">
        <v>2</v>
      </c>
      <c r="G33" s="71"/>
      <c r="H33" s="71"/>
      <c r="I33" s="25">
        <f t="shared" si="1"/>
        <v>0</v>
      </c>
      <c r="J33" s="24">
        <f t="shared" si="5"/>
        <v>24000</v>
      </c>
      <c r="K33" s="26"/>
    </row>
    <row r="34" spans="1:11" ht="25" customHeight="1" x14ac:dyDescent="0.15">
      <c r="A34" s="41" t="s">
        <v>86</v>
      </c>
      <c r="B34" s="42"/>
      <c r="C34" s="43"/>
      <c r="D34" s="44"/>
      <c r="E34" s="44"/>
      <c r="F34" s="44"/>
      <c r="G34" s="71"/>
      <c r="H34" s="71"/>
      <c r="I34" s="25">
        <f t="shared" si="1"/>
        <v>0</v>
      </c>
      <c r="J34" s="24">
        <f t="shared" si="5"/>
        <v>0</v>
      </c>
      <c r="K34" s="26"/>
    </row>
    <row r="35" spans="1:11" ht="25" customHeight="1" x14ac:dyDescent="0.15">
      <c r="A35" s="41" t="s">
        <v>87</v>
      </c>
      <c r="B35" s="42"/>
      <c r="C35" s="43"/>
      <c r="D35" s="44"/>
      <c r="E35" s="44"/>
      <c r="F35" s="44"/>
      <c r="G35" s="71"/>
      <c r="H35" s="71"/>
      <c r="I35" s="25">
        <f t="shared" si="1"/>
        <v>0</v>
      </c>
      <c r="J35" s="24">
        <f t="shared" si="5"/>
        <v>0</v>
      </c>
      <c r="K35" s="26"/>
    </row>
    <row r="36" spans="1:11" ht="25" customHeight="1" x14ac:dyDescent="0.15">
      <c r="A36" s="41" t="s">
        <v>88</v>
      </c>
      <c r="B36" s="42"/>
      <c r="C36" s="43"/>
      <c r="D36" s="44"/>
      <c r="E36" s="44"/>
      <c r="F36" s="44"/>
      <c r="G36" s="71"/>
      <c r="H36" s="71"/>
      <c r="I36" s="25">
        <f t="shared" si="1"/>
        <v>0</v>
      </c>
      <c r="J36" s="24">
        <f t="shared" si="5"/>
        <v>0</v>
      </c>
      <c r="K36" s="26"/>
    </row>
    <row r="37" spans="1:11" ht="28" x14ac:dyDescent="0.15">
      <c r="A37" s="17" t="s">
        <v>89</v>
      </c>
      <c r="B37" s="30"/>
      <c r="C37" s="31"/>
      <c r="D37" s="32"/>
      <c r="E37" s="32"/>
      <c r="F37" s="32"/>
      <c r="G37" s="33"/>
      <c r="H37" s="33"/>
      <c r="I37" s="33"/>
      <c r="J37" s="33"/>
      <c r="K37" s="26"/>
    </row>
    <row r="38" spans="1:11" ht="25" customHeight="1" x14ac:dyDescent="0.15">
      <c r="A38" s="19" t="s">
        <v>90</v>
      </c>
      <c r="B38" s="20"/>
      <c r="C38" s="37">
        <v>8000</v>
      </c>
      <c r="D38" s="22">
        <v>1</v>
      </c>
      <c r="E38" s="22">
        <v>1</v>
      </c>
      <c r="F38" s="22">
        <v>1</v>
      </c>
      <c r="G38" s="71"/>
      <c r="H38" s="29"/>
      <c r="I38" s="25">
        <f t="shared" si="1"/>
        <v>0</v>
      </c>
      <c r="J38" s="24">
        <f>+C38*D38*E38*F38</f>
        <v>8000</v>
      </c>
      <c r="K38" s="26"/>
    </row>
    <row r="39" spans="1:11" ht="25" customHeight="1" x14ac:dyDescent="0.15">
      <c r="A39" s="27" t="s">
        <v>91</v>
      </c>
      <c r="B39" s="39"/>
      <c r="C39" s="40"/>
      <c r="D39" s="28"/>
      <c r="E39" s="28"/>
      <c r="F39" s="28"/>
      <c r="G39" s="23"/>
      <c r="H39" s="71"/>
      <c r="I39" s="25">
        <f t="shared" si="1"/>
        <v>0</v>
      </c>
      <c r="J39" s="24">
        <f>+C39*D39*E39*F39</f>
        <v>0</v>
      </c>
      <c r="K39" s="26"/>
    </row>
    <row r="40" spans="1:11" ht="56" x14ac:dyDescent="0.15">
      <c r="A40" s="45" t="s">
        <v>92</v>
      </c>
      <c r="B40" s="46"/>
      <c r="C40" s="47"/>
      <c r="D40" s="48"/>
      <c r="E40" s="48"/>
      <c r="F40" s="48"/>
      <c r="G40" s="49"/>
      <c r="H40" s="29"/>
      <c r="I40" s="50" t="s">
        <v>93</v>
      </c>
      <c r="J40" s="50" t="s">
        <v>93</v>
      </c>
      <c r="K40" s="26"/>
    </row>
    <row r="41" spans="1:11" ht="25" customHeight="1" x14ac:dyDescent="0.15">
      <c r="A41" s="51" t="s">
        <v>94</v>
      </c>
      <c r="B41" s="52"/>
      <c r="C41" s="53"/>
      <c r="D41" s="54"/>
      <c r="E41" s="54"/>
      <c r="F41" s="54"/>
      <c r="G41" s="24"/>
      <c r="H41" s="24"/>
      <c r="I41" s="83"/>
      <c r="J41" s="55">
        <f>0.5*SUM(H5:H39)</f>
        <v>0</v>
      </c>
      <c r="K41" s="26"/>
    </row>
    <row r="42" spans="1:11" ht="25" customHeight="1" x14ac:dyDescent="0.15">
      <c r="A42" s="56" t="s">
        <v>95</v>
      </c>
      <c r="B42" s="57"/>
      <c r="C42" s="58"/>
      <c r="D42" s="59"/>
      <c r="E42" s="59"/>
      <c r="F42" s="59"/>
      <c r="G42" s="29"/>
      <c r="H42" s="29"/>
      <c r="I42" s="60">
        <f>SUM(I5:I41)</f>
        <v>0</v>
      </c>
      <c r="J42" s="61">
        <f>SUM(J5:J41)</f>
        <v>53227.4</v>
      </c>
      <c r="K42" s="26"/>
    </row>
    <row r="43" spans="1:11" ht="56" x14ac:dyDescent="0.15">
      <c r="A43" s="39" t="s">
        <v>96</v>
      </c>
      <c r="B43" s="52"/>
      <c r="C43" s="53"/>
      <c r="D43" s="54"/>
      <c r="E43" s="54"/>
      <c r="F43" s="54"/>
      <c r="G43" s="23"/>
      <c r="H43" s="24"/>
      <c r="I43" s="70"/>
      <c r="J43" s="23">
        <f>(J42+G40-J11)*0.1</f>
        <v>5322.7400000000007</v>
      </c>
      <c r="K43" s="26"/>
    </row>
    <row r="44" spans="1:11" ht="25" customHeight="1" x14ac:dyDescent="0.15">
      <c r="A44" s="62" t="s">
        <v>97</v>
      </c>
      <c r="B44" s="63"/>
      <c r="C44" s="64"/>
      <c r="D44" s="65"/>
      <c r="E44" s="65"/>
      <c r="F44" s="65"/>
      <c r="G44" s="66"/>
      <c r="H44" s="66"/>
      <c r="I44" s="67">
        <f>I42+I43</f>
        <v>0</v>
      </c>
      <c r="J44" s="67">
        <f>J42+J43</f>
        <v>58550.14</v>
      </c>
      <c r="K44" s="26"/>
    </row>
    <row r="45" spans="1:11" x14ac:dyDescent="0.15">
      <c r="I45" s="68"/>
    </row>
    <row r="46" spans="1:11" x14ac:dyDescent="0.15">
      <c r="H46" s="69"/>
    </row>
  </sheetData>
  <mergeCells count="1">
    <mergeCell ref="A1:J1"/>
  </mergeCells>
  <dataValidations count="5">
    <dataValidation type="decimal" allowBlank="1" showInputMessage="1" showErrorMessage="1" errorTitle="Information" error="Le maximum est de 15 $/h par participant." sqref="C11" xr:uid="{34A3D9D1-A112-467B-A20A-7B299EBEB301}">
      <formula1>1</formula1>
      <formula2>15</formula2>
    </dataValidation>
    <dataValidation type="decimal" operator="greaterThanOrEqual" allowBlank="1" showInputMessage="1" showErrorMessage="1" error="Le minimum est de 200 km." sqref="D13:D16" xr:uid="{8441F5B9-9C56-427D-BE8E-E9E68C9658E7}">
      <formula1>200</formula1>
    </dataValidation>
    <dataValidation type="decimal" allowBlank="1" showInputMessage="1" showErrorMessage="1" errorTitle="Information" error="Le maximum est de 150 $/h." sqref="C10" xr:uid="{7C9D7E07-2FEE-4CEA-AC37-6841FEF4B219}">
      <formula1>1</formula1>
      <formula2>150</formula2>
    </dataValidation>
    <dataValidation type="decimal" allowBlank="1" showInputMessage="1" showErrorMessage="1" errorTitle="Information" error="Le maximum est de 0,43 $/Km." sqref="C13:C16" xr:uid="{3E7AD579-E527-41F4-934E-5AE3FA81A641}">
      <formula1>0</formula1>
      <formula2>0.465</formula2>
    </dataValidation>
    <dataValidation type="decimal" allowBlank="1" showInputMessage="1" showErrorMessage="1" errorTitle="Information" error="Le barème maximal est de 150 $/h." sqref="C5:C7 C9" xr:uid="{787BDCF2-F695-4D42-ADBD-D73EA8B3DA4C}">
      <formula1>1</formula1>
      <formula2>150</formula2>
    </dataValidation>
  </dataValidations>
  <pageMargins left="0.7" right="0.7" top="0.75" bottom="0.75" header="0.3" footer="0.3"/>
  <legacy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579BE34-E82C-4E37-8E97-DB767FF37ACD}">
  <dimension ref="A1:N32"/>
  <sheetViews>
    <sheetView workbookViewId="0">
      <selection sqref="A1:XFD1048576"/>
    </sheetView>
  </sheetViews>
  <sheetFormatPr baseColWidth="10" defaultColWidth="11.5" defaultRowHeight="13" x14ac:dyDescent="0.15"/>
  <cols>
    <col min="1" max="16384" width="11.5" style="72"/>
  </cols>
  <sheetData>
    <row r="1" spans="1:14" ht="18" x14ac:dyDescent="0.15">
      <c r="A1" s="95" t="s">
        <v>98</v>
      </c>
      <c r="B1" s="96"/>
      <c r="C1" s="96"/>
      <c r="D1" s="96"/>
      <c r="E1" s="96"/>
      <c r="F1" s="96"/>
      <c r="G1" s="96"/>
      <c r="H1" s="96"/>
      <c r="I1" s="96"/>
      <c r="J1" s="96"/>
      <c r="K1" s="97"/>
    </row>
    <row r="2" spans="1:14" ht="18" x14ac:dyDescent="0.15">
      <c r="A2" s="98"/>
      <c r="B2" s="99"/>
      <c r="C2" s="99"/>
      <c r="D2" s="99"/>
      <c r="E2" s="99"/>
      <c r="F2" s="99"/>
      <c r="G2" s="99"/>
      <c r="H2" s="99"/>
      <c r="I2" s="99"/>
      <c r="J2" s="99"/>
      <c r="K2" s="100"/>
    </row>
    <row r="3" spans="1:14" ht="18" x14ac:dyDescent="0.15">
      <c r="A3" s="73"/>
      <c r="B3" s="74"/>
      <c r="C3" s="74"/>
      <c r="D3" s="74"/>
      <c r="E3" s="74"/>
      <c r="F3" s="74"/>
      <c r="G3" s="74"/>
      <c r="H3" s="74"/>
      <c r="I3" s="74"/>
      <c r="J3" s="74"/>
      <c r="K3" s="75"/>
    </row>
    <row r="4" spans="1:14" s="76" customFormat="1" ht="16" x14ac:dyDescent="0.2">
      <c r="A4" s="101" t="s">
        <v>99</v>
      </c>
      <c r="B4" s="102"/>
      <c r="C4" s="102"/>
      <c r="D4" s="102"/>
      <c r="E4" s="102"/>
      <c r="F4" s="102"/>
      <c r="G4" s="102"/>
      <c r="H4" s="102"/>
      <c r="I4" s="102"/>
      <c r="J4" s="102"/>
      <c r="K4" s="103"/>
    </row>
    <row r="5" spans="1:14" s="76" customFormat="1" ht="16" x14ac:dyDescent="0.2">
      <c r="A5" s="77"/>
      <c r="B5" s="78"/>
      <c r="C5" s="78"/>
      <c r="D5" s="78"/>
      <c r="E5" s="78"/>
      <c r="F5" s="78"/>
      <c r="G5" s="78"/>
      <c r="H5" s="78"/>
      <c r="I5" s="78"/>
      <c r="J5" s="78"/>
      <c r="K5" s="79"/>
    </row>
    <row r="6" spans="1:14" x14ac:dyDescent="0.15">
      <c r="A6" s="104" t="s">
        <v>100</v>
      </c>
      <c r="B6" s="89"/>
      <c r="C6" s="89"/>
      <c r="D6" s="89"/>
      <c r="E6" s="89"/>
      <c r="F6" s="89"/>
      <c r="G6" s="89"/>
      <c r="H6" s="89"/>
      <c r="I6" s="89"/>
      <c r="J6" s="89"/>
      <c r="K6" s="90"/>
    </row>
    <row r="7" spans="1:14" ht="24" customHeight="1" x14ac:dyDescent="0.15">
      <c r="A7" s="105" t="s">
        <v>101</v>
      </c>
      <c r="B7" s="106"/>
      <c r="C7" s="106"/>
      <c r="D7" s="106"/>
      <c r="E7" s="106"/>
      <c r="F7" s="106"/>
      <c r="G7" s="106"/>
      <c r="H7" s="106"/>
      <c r="I7" s="106"/>
      <c r="J7" s="106"/>
      <c r="K7" s="107"/>
    </row>
    <row r="8" spans="1:14" ht="43.5" customHeight="1" x14ac:dyDescent="0.15">
      <c r="A8" s="88" t="s">
        <v>102</v>
      </c>
      <c r="B8" s="89"/>
      <c r="C8" s="89"/>
      <c r="D8" s="89"/>
      <c r="E8" s="89"/>
      <c r="F8" s="89"/>
      <c r="G8" s="89"/>
      <c r="H8" s="89"/>
      <c r="I8" s="89"/>
      <c r="J8" s="89"/>
      <c r="K8" s="90"/>
    </row>
    <row r="9" spans="1:14" ht="14.25" customHeight="1" x14ac:dyDescent="0.15">
      <c r="A9" s="88"/>
      <c r="B9" s="89"/>
      <c r="C9" s="89"/>
      <c r="D9" s="89"/>
      <c r="E9" s="89"/>
      <c r="F9" s="89"/>
      <c r="G9" s="89"/>
      <c r="H9" s="89"/>
      <c r="I9" s="89"/>
      <c r="J9" s="89"/>
      <c r="K9" s="90"/>
    </row>
    <row r="10" spans="1:14" ht="15" customHeight="1" x14ac:dyDescent="0.15">
      <c r="A10" s="92"/>
      <c r="B10" s="93"/>
      <c r="C10" s="93"/>
      <c r="D10" s="93"/>
      <c r="E10" s="93"/>
      <c r="F10" s="93"/>
      <c r="G10" s="93"/>
      <c r="H10" s="93"/>
      <c r="I10" s="93"/>
      <c r="J10" s="93"/>
      <c r="K10" s="94"/>
      <c r="N10" s="80"/>
    </row>
    <row r="11" spans="1:14" s="76" customFormat="1" ht="16" x14ac:dyDescent="0.2">
      <c r="A11" s="108" t="s">
        <v>103</v>
      </c>
      <c r="B11" s="102"/>
      <c r="C11" s="102"/>
      <c r="D11" s="102"/>
      <c r="E11" s="102"/>
      <c r="F11" s="102"/>
      <c r="G11" s="102"/>
      <c r="H11" s="102"/>
      <c r="I11" s="102"/>
      <c r="J11" s="102"/>
      <c r="K11" s="103"/>
      <c r="N11" s="81"/>
    </row>
    <row r="12" spans="1:14" s="76" customFormat="1" ht="16" x14ac:dyDescent="0.2">
      <c r="A12" s="82"/>
      <c r="B12" s="78"/>
      <c r="C12" s="78"/>
      <c r="D12" s="78"/>
      <c r="E12" s="78"/>
      <c r="F12" s="78"/>
      <c r="G12" s="78"/>
      <c r="H12" s="78"/>
      <c r="I12" s="78"/>
      <c r="J12" s="78"/>
      <c r="K12" s="79"/>
      <c r="N12" s="81"/>
    </row>
    <row r="13" spans="1:14" x14ac:dyDescent="0.15">
      <c r="A13" s="91" t="s">
        <v>50</v>
      </c>
      <c r="B13" s="89"/>
      <c r="C13" s="89"/>
      <c r="D13" s="89"/>
      <c r="E13" s="89"/>
      <c r="F13" s="89"/>
      <c r="G13" s="89"/>
      <c r="H13" s="89"/>
      <c r="I13" s="89"/>
      <c r="J13" s="89"/>
      <c r="K13" s="90"/>
    </row>
    <row r="14" spans="1:14" ht="38.25" customHeight="1" x14ac:dyDescent="0.15">
      <c r="A14" s="105" t="s">
        <v>104</v>
      </c>
      <c r="B14" s="106"/>
      <c r="C14" s="106"/>
      <c r="D14" s="106"/>
      <c r="E14" s="106"/>
      <c r="F14" s="106"/>
      <c r="G14" s="106"/>
      <c r="H14" s="106"/>
      <c r="I14" s="106"/>
      <c r="J14" s="106"/>
      <c r="K14" s="107"/>
    </row>
    <row r="15" spans="1:14" ht="15" customHeight="1" x14ac:dyDescent="0.15">
      <c r="A15" s="88" t="s">
        <v>105</v>
      </c>
      <c r="B15" s="89"/>
      <c r="C15" s="89"/>
      <c r="D15" s="89"/>
      <c r="E15" s="89"/>
      <c r="F15" s="89"/>
      <c r="G15" s="89"/>
      <c r="H15" s="89"/>
      <c r="I15" s="89"/>
      <c r="J15" s="89"/>
      <c r="K15" s="90"/>
    </row>
    <row r="16" spans="1:14" x14ac:dyDescent="0.15">
      <c r="A16" s="88"/>
      <c r="B16" s="89"/>
      <c r="C16" s="89"/>
      <c r="D16" s="89"/>
      <c r="E16" s="89"/>
      <c r="F16" s="89"/>
      <c r="G16" s="89"/>
      <c r="H16" s="89"/>
      <c r="I16" s="89"/>
      <c r="J16" s="89"/>
      <c r="K16" s="90"/>
    </row>
    <row r="17" spans="1:11" x14ac:dyDescent="0.15">
      <c r="A17" s="91" t="s">
        <v>51</v>
      </c>
      <c r="B17" s="89"/>
      <c r="C17" s="89"/>
      <c r="D17" s="89"/>
      <c r="E17" s="89"/>
      <c r="F17" s="89"/>
      <c r="G17" s="89"/>
      <c r="H17" s="89"/>
      <c r="I17" s="89"/>
      <c r="J17" s="89"/>
      <c r="K17" s="90"/>
    </row>
    <row r="18" spans="1:11" ht="39" customHeight="1" x14ac:dyDescent="0.15">
      <c r="A18" s="88" t="s">
        <v>106</v>
      </c>
      <c r="B18" s="89"/>
      <c r="C18" s="89"/>
      <c r="D18" s="89"/>
      <c r="E18" s="89"/>
      <c r="F18" s="89"/>
      <c r="G18" s="89"/>
      <c r="H18" s="89"/>
      <c r="I18" s="89"/>
      <c r="J18" s="89"/>
      <c r="K18" s="90"/>
    </row>
    <row r="19" spans="1:11" x14ac:dyDescent="0.15">
      <c r="A19" s="88"/>
      <c r="B19" s="89"/>
      <c r="C19" s="89"/>
      <c r="D19" s="89"/>
      <c r="E19" s="89"/>
      <c r="F19" s="89"/>
      <c r="G19" s="89"/>
      <c r="H19" s="89"/>
      <c r="I19" s="89"/>
      <c r="J19" s="89"/>
      <c r="K19" s="90"/>
    </row>
    <row r="20" spans="1:11" x14ac:dyDescent="0.15">
      <c r="A20" s="88" t="s">
        <v>107</v>
      </c>
      <c r="B20" s="89"/>
      <c r="C20" s="89"/>
      <c r="D20" s="89"/>
      <c r="E20" s="89"/>
      <c r="F20" s="89"/>
      <c r="G20" s="89"/>
      <c r="H20" s="89"/>
      <c r="I20" s="89"/>
      <c r="J20" s="89"/>
      <c r="K20" s="90"/>
    </row>
    <row r="21" spans="1:11" x14ac:dyDescent="0.15">
      <c r="A21" s="88" t="s">
        <v>108</v>
      </c>
      <c r="B21" s="89"/>
      <c r="C21" s="89"/>
      <c r="D21" s="89"/>
      <c r="E21" s="89"/>
      <c r="F21" s="89"/>
      <c r="G21" s="89"/>
      <c r="H21" s="89"/>
      <c r="I21" s="89"/>
      <c r="J21" s="89"/>
      <c r="K21" s="90"/>
    </row>
    <row r="22" spans="1:11" x14ac:dyDescent="0.15">
      <c r="A22" s="88" t="s">
        <v>109</v>
      </c>
      <c r="B22" s="89"/>
      <c r="C22" s="89"/>
      <c r="D22" s="89"/>
      <c r="E22" s="89"/>
      <c r="F22" s="89"/>
      <c r="G22" s="89"/>
      <c r="H22" s="89"/>
      <c r="I22" s="89"/>
      <c r="J22" s="89"/>
      <c r="K22" s="90"/>
    </row>
    <row r="23" spans="1:11" x14ac:dyDescent="0.15">
      <c r="A23" s="88"/>
      <c r="B23" s="89"/>
      <c r="C23" s="89"/>
      <c r="D23" s="89"/>
      <c r="E23" s="89"/>
      <c r="F23" s="89"/>
      <c r="G23" s="89"/>
      <c r="H23" s="89"/>
      <c r="I23" s="89"/>
      <c r="J23" s="89"/>
      <c r="K23" s="90"/>
    </row>
    <row r="24" spans="1:11" x14ac:dyDescent="0.15">
      <c r="A24" s="91" t="s">
        <v>52</v>
      </c>
      <c r="B24" s="89"/>
      <c r="C24" s="89"/>
      <c r="D24" s="89"/>
      <c r="E24" s="89"/>
      <c r="F24" s="89"/>
      <c r="G24" s="89"/>
      <c r="H24" s="89"/>
      <c r="I24" s="89"/>
      <c r="J24" s="89"/>
      <c r="K24" s="90"/>
    </row>
    <row r="25" spans="1:11" ht="27.75" customHeight="1" x14ac:dyDescent="0.15">
      <c r="A25" s="88" t="s">
        <v>110</v>
      </c>
      <c r="B25" s="89"/>
      <c r="C25" s="89"/>
      <c r="D25" s="89"/>
      <c r="E25" s="89"/>
      <c r="F25" s="89"/>
      <c r="G25" s="89"/>
      <c r="H25" s="89"/>
      <c r="I25" s="89"/>
      <c r="J25" s="89"/>
      <c r="K25" s="90"/>
    </row>
    <row r="26" spans="1:11" x14ac:dyDescent="0.15">
      <c r="A26" s="88"/>
      <c r="B26" s="89"/>
      <c r="C26" s="89"/>
      <c r="D26" s="89"/>
      <c r="E26" s="89"/>
      <c r="F26" s="89"/>
      <c r="G26" s="89"/>
      <c r="H26" s="89"/>
      <c r="I26" s="89"/>
      <c r="J26" s="89"/>
      <c r="K26" s="90"/>
    </row>
    <row r="27" spans="1:11" x14ac:dyDescent="0.15">
      <c r="A27" s="91" t="s">
        <v>53</v>
      </c>
      <c r="B27" s="89"/>
      <c r="C27" s="89"/>
      <c r="D27" s="89"/>
      <c r="E27" s="89"/>
      <c r="F27" s="89"/>
      <c r="G27" s="89"/>
      <c r="H27" s="89"/>
      <c r="I27" s="89"/>
      <c r="J27" s="89"/>
      <c r="K27" s="90"/>
    </row>
    <row r="28" spans="1:11" x14ac:dyDescent="0.15">
      <c r="A28" s="88" t="s">
        <v>111</v>
      </c>
      <c r="B28" s="89"/>
      <c r="C28" s="89"/>
      <c r="D28" s="89"/>
      <c r="E28" s="89"/>
      <c r="F28" s="89"/>
      <c r="G28" s="89"/>
      <c r="H28" s="89"/>
      <c r="I28" s="89"/>
      <c r="J28" s="89"/>
      <c r="K28" s="90"/>
    </row>
    <row r="29" spans="1:11" x14ac:dyDescent="0.15">
      <c r="A29" s="88"/>
      <c r="B29" s="89"/>
      <c r="C29" s="89"/>
      <c r="D29" s="89"/>
      <c r="E29" s="89"/>
      <c r="F29" s="89"/>
      <c r="G29" s="89"/>
      <c r="H29" s="89"/>
      <c r="I29" s="89"/>
      <c r="J29" s="89"/>
      <c r="K29" s="90"/>
    </row>
    <row r="30" spans="1:11" x14ac:dyDescent="0.15">
      <c r="A30" s="91" t="s">
        <v>55</v>
      </c>
      <c r="B30" s="89"/>
      <c r="C30" s="89"/>
      <c r="D30" s="89"/>
      <c r="E30" s="89"/>
      <c r="F30" s="89"/>
      <c r="G30" s="89"/>
      <c r="H30" s="89"/>
      <c r="I30" s="89"/>
      <c r="J30" s="89"/>
      <c r="K30" s="90"/>
    </row>
    <row r="31" spans="1:11" ht="25.5" customHeight="1" x14ac:dyDescent="0.15">
      <c r="A31" s="88" t="s">
        <v>112</v>
      </c>
      <c r="B31" s="89"/>
      <c r="C31" s="89"/>
      <c r="D31" s="89"/>
      <c r="E31" s="89"/>
      <c r="F31" s="89"/>
      <c r="G31" s="89"/>
      <c r="H31" s="89"/>
      <c r="I31" s="89"/>
      <c r="J31" s="89"/>
      <c r="K31" s="90"/>
    </row>
    <row r="32" spans="1:11" x14ac:dyDescent="0.15">
      <c r="A32" s="92"/>
      <c r="B32" s="93"/>
      <c r="C32" s="93"/>
      <c r="D32" s="93"/>
      <c r="E32" s="93"/>
      <c r="F32" s="93"/>
      <c r="G32" s="93"/>
      <c r="H32" s="93"/>
      <c r="I32" s="93"/>
      <c r="J32" s="93"/>
      <c r="K32" s="94"/>
    </row>
  </sheetData>
  <mergeCells count="29">
    <mergeCell ref="A15:K15"/>
    <mergeCell ref="A1:K1"/>
    <mergeCell ref="A2:K2"/>
    <mergeCell ref="A4:K4"/>
    <mergeCell ref="A6:K6"/>
    <mergeCell ref="A7:K7"/>
    <mergeCell ref="A8:K8"/>
    <mergeCell ref="A9:K9"/>
    <mergeCell ref="A10:K10"/>
    <mergeCell ref="A11:K11"/>
    <mergeCell ref="A13:K13"/>
    <mergeCell ref="A14:K14"/>
    <mergeCell ref="A27:K27"/>
    <mergeCell ref="A16:K16"/>
    <mergeCell ref="A17:K17"/>
    <mergeCell ref="A18:K18"/>
    <mergeCell ref="A19:K19"/>
    <mergeCell ref="A20:K20"/>
    <mergeCell ref="A21:K21"/>
    <mergeCell ref="A22:K22"/>
    <mergeCell ref="A23:K23"/>
    <mergeCell ref="A24:K24"/>
    <mergeCell ref="A25:K25"/>
    <mergeCell ref="A26:K26"/>
    <mergeCell ref="A28:K28"/>
    <mergeCell ref="A29:K29"/>
    <mergeCell ref="A30:K30"/>
    <mergeCell ref="A31:K31"/>
    <mergeCell ref="A32:K32"/>
  </mergeCells>
  <pageMargins left="0.7" right="0.7" top="0.75" bottom="0.75" header="0.3" footer="0.3"/>
  <drawing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Invited_Teachers xmlns="8e74f54b-8093-4bfa-8be9-21d613890a51" xsi:nil="true"/>
    <Invited_Students xmlns="8e74f54b-8093-4bfa-8be9-21d613890a51" xsi:nil="true"/>
    <IsNotebookLocked xmlns="8e74f54b-8093-4bfa-8be9-21d613890a51" xsi:nil="true"/>
    <Has_Teacher_Only_SectionGroup xmlns="8e74f54b-8093-4bfa-8be9-21d613890a51" xsi:nil="true"/>
    <FolderType xmlns="8e74f54b-8093-4bfa-8be9-21d613890a51" xsi:nil="true"/>
    <Is_Collaboration_Space_Locked xmlns="8e74f54b-8093-4bfa-8be9-21d613890a51" xsi:nil="true"/>
    <Self_Registration_Enabled xmlns="8e74f54b-8093-4bfa-8be9-21d613890a51" xsi:nil="true"/>
    <Teachers xmlns="8e74f54b-8093-4bfa-8be9-21d613890a51">
      <UserInfo>
        <DisplayName/>
        <AccountId xsi:nil="true"/>
        <AccountType/>
      </UserInfo>
    </Teachers>
    <CultureName xmlns="8e74f54b-8093-4bfa-8be9-21d613890a51" xsi:nil="true"/>
    <TeamsChannelId xmlns="8e74f54b-8093-4bfa-8be9-21d613890a51" xsi:nil="true"/>
    <Templates xmlns="8e74f54b-8093-4bfa-8be9-21d613890a51" xsi:nil="true"/>
    <NotebookType xmlns="8e74f54b-8093-4bfa-8be9-21d613890a51" xsi:nil="true"/>
    <Student_Groups xmlns="8e74f54b-8093-4bfa-8be9-21d613890a51">
      <UserInfo>
        <DisplayName/>
        <AccountId xsi:nil="true"/>
        <AccountType/>
      </UserInfo>
    </Student_Groups>
    <AppVersion xmlns="8e74f54b-8093-4bfa-8be9-21d613890a51" xsi:nil="true"/>
    <LMS_Mappings xmlns="8e74f54b-8093-4bfa-8be9-21d613890a51" xsi:nil="true"/>
    <DefaultSectionNames xmlns="8e74f54b-8093-4bfa-8be9-21d613890a51" xsi:nil="true"/>
    <Math_Settings xmlns="8e74f54b-8093-4bfa-8be9-21d613890a51" xsi:nil="true"/>
    <Owner xmlns="8e74f54b-8093-4bfa-8be9-21d613890a51">
      <UserInfo>
        <DisplayName/>
        <AccountId xsi:nil="true"/>
        <AccountType/>
      </UserInfo>
    </Owner>
    <Students xmlns="8e74f54b-8093-4bfa-8be9-21d613890a51">
      <UserInfo>
        <DisplayName/>
        <AccountId xsi:nil="true"/>
        <AccountType/>
      </UserInfo>
    </Students>
    <Distribution_Groups xmlns="8e74f54b-8093-4bfa-8be9-21d613890a51" xsi:nil="true"/>
  </documentManagement>
</p:properties>
</file>

<file path=customXml/item2.xml><?xml version="1.0" encoding="utf-8"?>
<ct:contentTypeSchema xmlns:ct="http://schemas.microsoft.com/office/2006/metadata/contentType" xmlns:ma="http://schemas.microsoft.com/office/2006/metadata/properties/metaAttributes" ct:_="" ma:_="" ma:contentTypeName="Document" ma:contentTypeID="0x0101004E46F76A85B6FD42AF96AAEF567CE532" ma:contentTypeVersion="33" ma:contentTypeDescription="Crée un document." ma:contentTypeScope="" ma:versionID="337f84982cb3dc03add59434454b7672">
  <xsd:schema xmlns:xsd="http://www.w3.org/2001/XMLSchema" xmlns:xs="http://www.w3.org/2001/XMLSchema" xmlns:p="http://schemas.microsoft.com/office/2006/metadata/properties" xmlns:ns3="bf79604f-7481-470b-b368-b659d49973c2" xmlns:ns4="8e74f54b-8093-4bfa-8be9-21d613890a51" targetNamespace="http://schemas.microsoft.com/office/2006/metadata/properties" ma:root="true" ma:fieldsID="93ac20388c7edf632ff8e427fdfdd80c" ns3:_="" ns4:_="">
    <xsd:import namespace="bf79604f-7481-470b-b368-b659d49973c2"/>
    <xsd:import namespace="8e74f54b-8093-4bfa-8be9-21d613890a51"/>
    <xsd:element name="properties">
      <xsd:complexType>
        <xsd:sequence>
          <xsd:element name="documentManagement">
            <xsd:complexType>
              <xsd:all>
                <xsd:element ref="ns3:SharedWithUsers" minOccurs="0"/>
                <xsd:element ref="ns3:SharedWithDetails" minOccurs="0"/>
                <xsd:element ref="ns3:SharingHintHash" minOccurs="0"/>
                <xsd:element ref="ns4:MediaServiceMetadata" minOccurs="0"/>
                <xsd:element ref="ns4:MediaServiceFastMetadata" minOccurs="0"/>
                <xsd:element ref="ns4:NotebookType" minOccurs="0"/>
                <xsd:element ref="ns4:FolderType" minOccurs="0"/>
                <xsd:element ref="ns4:CultureName" minOccurs="0"/>
                <xsd:element ref="ns4:AppVersion" minOccurs="0"/>
                <xsd:element ref="ns4:TeamsChannelId" minOccurs="0"/>
                <xsd:element ref="ns4:Owner" minOccurs="0"/>
                <xsd:element ref="ns4:Math_Settings" minOccurs="0"/>
                <xsd:element ref="ns4:DefaultSectionNames" minOccurs="0"/>
                <xsd:element ref="ns4:Templates" minOccurs="0"/>
                <xsd:element ref="ns4:Teachers" minOccurs="0"/>
                <xsd:element ref="ns4:Students" minOccurs="0"/>
                <xsd:element ref="ns4:Student_Groups" minOccurs="0"/>
                <xsd:element ref="ns4:Distribution_Groups" minOccurs="0"/>
                <xsd:element ref="ns4:LMS_Mappings" minOccurs="0"/>
                <xsd:element ref="ns4:Invited_Teachers" minOccurs="0"/>
                <xsd:element ref="ns4:Invited_Students" minOccurs="0"/>
                <xsd:element ref="ns4:Self_Registration_Enabled" minOccurs="0"/>
                <xsd:element ref="ns4:Has_Teacher_Only_SectionGroup" minOccurs="0"/>
                <xsd:element ref="ns4:Is_Collaboration_Space_Locked" minOccurs="0"/>
                <xsd:element ref="ns4:IsNotebookLocked" minOccurs="0"/>
                <xsd:element ref="ns4:MediaServiceDateTaken" minOccurs="0"/>
                <xsd:element ref="ns4:MediaServiceAutoKeyPoints" minOccurs="0"/>
                <xsd:element ref="ns4:MediaServiceKeyPoints" minOccurs="0"/>
                <xsd:element ref="ns4:MediaServiceAutoTags" minOccurs="0"/>
                <xsd:element ref="ns4:MediaServiceGenerationTime" minOccurs="0"/>
                <xsd:element ref="ns4:MediaServiceEventHashCode" minOccurs="0"/>
                <xsd:element ref="ns4:MediaServiceLocation" minOccurs="0"/>
                <xsd:element ref="ns4:MediaServiceOCR"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bf79604f-7481-470b-b368-b659d49973c2" elementFormDefault="qualified">
    <xsd:import namespace="http://schemas.microsoft.com/office/2006/documentManagement/types"/>
    <xsd:import namespace="http://schemas.microsoft.com/office/infopath/2007/PartnerControls"/>
    <xsd:element name="SharedWithUsers" ma:index="8" nillable="true" ma:displayName="Partagé avec" ma:description=""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9" nillable="true" ma:displayName="Partagé avec détails" ma:description="" ma:internalName="SharedWithDetails" ma:readOnly="true">
      <xsd:simpleType>
        <xsd:restriction base="dms:Note">
          <xsd:maxLength value="255"/>
        </xsd:restriction>
      </xsd:simpleType>
    </xsd:element>
    <xsd:element name="SharingHintHash" ma:index="10" nillable="true" ma:displayName="Partage du hachage d’indicateur" ma:description="" ma:hidden="true" ma:internalName="SharingHintHash"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8e74f54b-8093-4bfa-8be9-21d613890a51" elementFormDefault="qualified">
    <xsd:import namespace="http://schemas.microsoft.com/office/2006/documentManagement/types"/>
    <xsd:import namespace="http://schemas.microsoft.com/office/infopath/2007/PartnerControls"/>
    <xsd:element name="MediaServiceMetadata" ma:index="11" nillable="true" ma:displayName="MediaServiceMetadata" ma:description="" ma:hidden="true" ma:internalName="MediaServiceMetadata" ma:readOnly="true">
      <xsd:simpleType>
        <xsd:restriction base="dms:Note"/>
      </xsd:simpleType>
    </xsd:element>
    <xsd:element name="MediaServiceFastMetadata" ma:index="12" nillable="true" ma:displayName="MediaServiceFastMetadata" ma:description="" ma:hidden="true" ma:internalName="MediaServiceFastMetadata" ma:readOnly="true">
      <xsd:simpleType>
        <xsd:restriction base="dms:Note"/>
      </xsd:simpleType>
    </xsd:element>
    <xsd:element name="NotebookType" ma:index="13" nillable="true" ma:displayName="Notebook Type" ma:internalName="NotebookType">
      <xsd:simpleType>
        <xsd:restriction base="dms:Text"/>
      </xsd:simpleType>
    </xsd:element>
    <xsd:element name="FolderType" ma:index="14" nillable="true" ma:displayName="Folder Type" ma:internalName="FolderType">
      <xsd:simpleType>
        <xsd:restriction base="dms:Text"/>
      </xsd:simpleType>
    </xsd:element>
    <xsd:element name="CultureName" ma:index="15" nillable="true" ma:displayName="Culture Name" ma:internalName="CultureName">
      <xsd:simpleType>
        <xsd:restriction base="dms:Text"/>
      </xsd:simpleType>
    </xsd:element>
    <xsd:element name="AppVersion" ma:index="16" nillable="true" ma:displayName="App Version" ma:internalName="AppVersion">
      <xsd:simpleType>
        <xsd:restriction base="dms:Text"/>
      </xsd:simpleType>
    </xsd:element>
    <xsd:element name="TeamsChannelId" ma:index="17" nillable="true" ma:displayName="Teams Channel Id" ma:internalName="TeamsChannelId">
      <xsd:simpleType>
        <xsd:restriction base="dms:Text"/>
      </xsd:simpleType>
    </xsd:element>
    <xsd:element name="Owner" ma:index="18" nillable="true" ma:displayName="Owner" ma:internalName="Owner">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Math_Settings" ma:index="19" nillable="true" ma:displayName="Math Settings" ma:internalName="Math_Settings">
      <xsd:simpleType>
        <xsd:restriction base="dms:Text"/>
      </xsd:simpleType>
    </xsd:element>
    <xsd:element name="DefaultSectionNames" ma:index="20" nillable="true" ma:displayName="Default Section Names" ma:internalName="DefaultSectionNames">
      <xsd:simpleType>
        <xsd:restriction base="dms:Note">
          <xsd:maxLength value="255"/>
        </xsd:restriction>
      </xsd:simpleType>
    </xsd:element>
    <xsd:element name="Templates" ma:index="21" nillable="true" ma:displayName="Templates" ma:internalName="Templates">
      <xsd:simpleType>
        <xsd:restriction base="dms:Note">
          <xsd:maxLength value="255"/>
        </xsd:restriction>
      </xsd:simpleType>
    </xsd:element>
    <xsd:element name="Teachers" ma:index="22" nillable="true" ma:displayName="Teachers" ma:internalName="Teachers">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tudents" ma:index="23" nillable="true" ma:displayName="Students" ma:internalName="Students">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tudent_Groups" ma:index="24" nillable="true" ma:displayName="Student Groups" ma:internalName="Student_Groups">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Distribution_Groups" ma:index="25" nillable="true" ma:displayName="Distribution Groups" ma:internalName="Distribution_Groups">
      <xsd:simpleType>
        <xsd:restriction base="dms:Note">
          <xsd:maxLength value="255"/>
        </xsd:restriction>
      </xsd:simpleType>
    </xsd:element>
    <xsd:element name="LMS_Mappings" ma:index="26" nillable="true" ma:displayName="LMS Mappings" ma:internalName="LMS_Mappings">
      <xsd:simpleType>
        <xsd:restriction base="dms:Note">
          <xsd:maxLength value="255"/>
        </xsd:restriction>
      </xsd:simpleType>
    </xsd:element>
    <xsd:element name="Invited_Teachers" ma:index="27" nillable="true" ma:displayName="Invited Teachers" ma:internalName="Invited_Teachers">
      <xsd:simpleType>
        <xsd:restriction base="dms:Note">
          <xsd:maxLength value="255"/>
        </xsd:restriction>
      </xsd:simpleType>
    </xsd:element>
    <xsd:element name="Invited_Students" ma:index="28" nillable="true" ma:displayName="Invited Students" ma:internalName="Invited_Students">
      <xsd:simpleType>
        <xsd:restriction base="dms:Note">
          <xsd:maxLength value="255"/>
        </xsd:restriction>
      </xsd:simpleType>
    </xsd:element>
    <xsd:element name="Self_Registration_Enabled" ma:index="29" nillable="true" ma:displayName="Self Registration Enabled" ma:internalName="Self_Registration_Enabled">
      <xsd:simpleType>
        <xsd:restriction base="dms:Boolean"/>
      </xsd:simpleType>
    </xsd:element>
    <xsd:element name="Has_Teacher_Only_SectionGroup" ma:index="30" nillable="true" ma:displayName="Has Teacher Only SectionGroup" ma:internalName="Has_Teacher_Only_SectionGroup">
      <xsd:simpleType>
        <xsd:restriction base="dms:Boolean"/>
      </xsd:simpleType>
    </xsd:element>
    <xsd:element name="Is_Collaboration_Space_Locked" ma:index="31" nillable="true" ma:displayName="Is Collaboration Space Locked" ma:internalName="Is_Collaboration_Space_Locked">
      <xsd:simpleType>
        <xsd:restriction base="dms:Boolean"/>
      </xsd:simpleType>
    </xsd:element>
    <xsd:element name="IsNotebookLocked" ma:index="32" nillable="true" ma:displayName="Is Notebook Locked" ma:internalName="IsNotebookLocked">
      <xsd:simpleType>
        <xsd:restriction base="dms:Boolean"/>
      </xsd:simpleType>
    </xsd:element>
    <xsd:element name="MediaServiceDateTaken" ma:index="33" nillable="true" ma:displayName="MediaServiceDateTaken" ma:hidden="true" ma:internalName="MediaServiceDateTaken" ma:readOnly="true">
      <xsd:simpleType>
        <xsd:restriction base="dms:Text"/>
      </xsd:simpleType>
    </xsd:element>
    <xsd:element name="MediaServiceAutoKeyPoints" ma:index="34" nillable="true" ma:displayName="MediaServiceAutoKeyPoints" ma:hidden="true" ma:internalName="MediaServiceAutoKeyPoints" ma:readOnly="true">
      <xsd:simpleType>
        <xsd:restriction base="dms:Note"/>
      </xsd:simpleType>
    </xsd:element>
    <xsd:element name="MediaServiceKeyPoints" ma:index="35" nillable="true" ma:displayName="KeyPoints" ma:internalName="MediaServiceKeyPoints" ma:readOnly="true">
      <xsd:simpleType>
        <xsd:restriction base="dms:Note">
          <xsd:maxLength value="255"/>
        </xsd:restriction>
      </xsd:simpleType>
    </xsd:element>
    <xsd:element name="MediaServiceAutoTags" ma:index="36" nillable="true" ma:displayName="Tags" ma:internalName="MediaServiceAutoTags" ma:readOnly="true">
      <xsd:simpleType>
        <xsd:restriction base="dms:Text"/>
      </xsd:simpleType>
    </xsd:element>
    <xsd:element name="MediaServiceGenerationTime" ma:index="37" nillable="true" ma:displayName="MediaServiceGenerationTime" ma:hidden="true" ma:internalName="MediaServiceGenerationTime" ma:readOnly="true">
      <xsd:simpleType>
        <xsd:restriction base="dms:Text"/>
      </xsd:simpleType>
    </xsd:element>
    <xsd:element name="MediaServiceEventHashCode" ma:index="38" nillable="true" ma:displayName="MediaServiceEventHashCode" ma:hidden="true" ma:internalName="MediaServiceEventHashCode" ma:readOnly="true">
      <xsd:simpleType>
        <xsd:restriction base="dms:Text"/>
      </xsd:simpleType>
    </xsd:element>
    <xsd:element name="MediaServiceLocation" ma:index="39" nillable="true" ma:displayName="Location" ma:internalName="MediaServiceLocation" ma:readOnly="true">
      <xsd:simpleType>
        <xsd:restriction base="dms:Text"/>
      </xsd:simpleType>
    </xsd:element>
    <xsd:element name="MediaServiceOCR" ma:index="40" nillable="true" ma:displayName="Extracted Text" ma:internalName="MediaServiceOCR"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572F6B2A-3770-4C1E-904E-EDD44856231F}">
  <ds:schemaRefs>
    <ds:schemaRef ds:uri="http://purl.org/dc/dcmitype/"/>
    <ds:schemaRef ds:uri="http://www.w3.org/XML/1998/namespace"/>
    <ds:schemaRef ds:uri="8e74f54b-8093-4bfa-8be9-21d613890a51"/>
    <ds:schemaRef ds:uri="http://schemas.microsoft.com/office/2006/documentManagement/types"/>
    <ds:schemaRef ds:uri="http://purl.org/dc/elements/1.1/"/>
    <ds:schemaRef ds:uri="http://purl.org/dc/terms/"/>
    <ds:schemaRef ds:uri="http://schemas.microsoft.com/office/infopath/2007/PartnerControls"/>
    <ds:schemaRef ds:uri="http://schemas.openxmlformats.org/package/2006/metadata/core-properties"/>
    <ds:schemaRef ds:uri="bf79604f-7481-470b-b368-b659d49973c2"/>
    <ds:schemaRef ds:uri="http://schemas.microsoft.com/office/2006/metadata/properties"/>
  </ds:schemaRefs>
</ds:datastoreItem>
</file>

<file path=customXml/itemProps2.xml><?xml version="1.0" encoding="utf-8"?>
<ds:datastoreItem xmlns:ds="http://schemas.openxmlformats.org/officeDocument/2006/customXml" ds:itemID="{8E1F075C-84D1-46C8-B875-ED09FA747DFC}">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bf79604f-7481-470b-b368-b659d49973c2"/>
    <ds:schemaRef ds:uri="8e74f54b-8093-4bfa-8be9-21d613890a51"/>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F3811AC9-9D73-4204-B55B-987CD42379FA}">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4</vt:i4>
      </vt:variant>
    </vt:vector>
  </HeadingPairs>
  <TitlesOfParts>
    <vt:vector size="4" baseType="lpstr">
      <vt:lpstr>Employés</vt:lpstr>
      <vt:lpstr>Maintenance</vt:lpstr>
      <vt:lpstr>Budget de formation</vt:lpstr>
      <vt:lpstr>Directives gouvernementales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Gracia</dc:creator>
  <cp:lastModifiedBy>Microsoft Office User</cp:lastModifiedBy>
  <dcterms:created xsi:type="dcterms:W3CDTF">2020-11-25T19:43:37Z</dcterms:created>
  <dcterms:modified xsi:type="dcterms:W3CDTF">2021-03-20T15:03:30Z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0x0101004E46F76A85B6FD42AF96AAEF567CE532</vt:lpwstr>
  </property>
</Properties>
</file>