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89C2A3EC-C2C3-4848-A2A0-521E53290D8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3" sheetId="7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5" i="7" l="1"/>
  <c r="U6" i="7"/>
  <c r="U7" i="7"/>
  <c r="U8" i="7"/>
  <c r="U9" i="7"/>
  <c r="U10" i="7"/>
  <c r="U11" i="7"/>
  <c r="U12" i="7"/>
  <c r="U13" i="7"/>
  <c r="U14" i="7"/>
  <c r="U15" i="7"/>
  <c r="U16" i="7"/>
  <c r="U17" i="7"/>
  <c r="U18" i="7"/>
  <c r="U19" i="7"/>
  <c r="U20" i="7"/>
  <c r="U4" i="7"/>
  <c r="M4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A23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4" i="7"/>
  <c r="Q20" i="7"/>
  <c r="R20" i="7" s="1"/>
  <c r="P20" i="7"/>
  <c r="Q15" i="7"/>
  <c r="R15" i="7" s="1"/>
  <c r="P15" i="7"/>
  <c r="Q7" i="7"/>
  <c r="R7" i="7" s="1"/>
  <c r="P7" i="7"/>
  <c r="Q14" i="7"/>
  <c r="R14" i="7" s="1"/>
  <c r="P14" i="7"/>
  <c r="Q19" i="7"/>
  <c r="R19" i="7" s="1"/>
  <c r="P19" i="7"/>
  <c r="Q13" i="7"/>
  <c r="R13" i="7" s="1"/>
  <c r="P13" i="7"/>
  <c r="Q6" i="7"/>
  <c r="R6" i="7" s="1"/>
  <c r="P6" i="7"/>
  <c r="Q5" i="7"/>
  <c r="R5" i="7" s="1"/>
  <c r="P5" i="7"/>
  <c r="Q12" i="7"/>
  <c r="R12" i="7" s="1"/>
  <c r="P12" i="7"/>
  <c r="Q11" i="7"/>
  <c r="R11" i="7" s="1"/>
  <c r="P11" i="7"/>
  <c r="Q18" i="7"/>
  <c r="R18" i="7" s="1"/>
  <c r="P18" i="7"/>
  <c r="Q10" i="7"/>
  <c r="R10" i="7" s="1"/>
  <c r="P10" i="7"/>
  <c r="Q9" i="7"/>
  <c r="R9" i="7" s="1"/>
  <c r="P9" i="7"/>
  <c r="Q8" i="7"/>
  <c r="R8" i="7" s="1"/>
  <c r="P8" i="7"/>
  <c r="Q4" i="7"/>
  <c r="R4" i="7" s="1"/>
  <c r="P4" i="7"/>
  <c r="Q17" i="7"/>
  <c r="R17" i="7" s="1"/>
  <c r="P17" i="7"/>
  <c r="Q16" i="7"/>
  <c r="R16" i="7" s="1"/>
  <c r="P16" i="7"/>
  <c r="S4" i="7" l="1"/>
  <c r="S10" i="7"/>
  <c r="S16" i="7"/>
  <c r="S20" i="7"/>
  <c r="S14" i="7"/>
  <c r="S8" i="7"/>
  <c r="S19" i="7"/>
  <c r="S13" i="7"/>
  <c r="S7" i="7"/>
  <c r="S18" i="7"/>
  <c r="S12" i="7"/>
  <c r="S6" i="7"/>
  <c r="S17" i="7"/>
  <c r="S11" i="7"/>
  <c r="S5" i="7"/>
  <c r="S15" i="7"/>
  <c r="S9" i="7"/>
  <c r="A3" i="2"/>
  <c r="P21" i="7" s="1"/>
  <c r="P23" i="7" l="1"/>
  <c r="Q23" i="7"/>
  <c r="U23" i="7" s="1"/>
  <c r="Q22" i="7"/>
  <c r="U22" i="7" s="1"/>
  <c r="P22" i="7"/>
  <c r="Q21" i="7"/>
  <c r="U21" i="7" s="1"/>
  <c r="A5" i="2"/>
  <c r="S21" i="7" l="1"/>
  <c r="S22" i="7"/>
  <c r="R23" i="7"/>
  <c r="S23" i="7"/>
  <c r="R22" i="7"/>
  <c r="R21" i="7"/>
</calcChain>
</file>

<file path=xl/sharedStrings.xml><?xml version="1.0" encoding="utf-8"?>
<sst xmlns="http://schemas.openxmlformats.org/spreadsheetml/2006/main" count="47" uniqueCount="25">
  <si>
    <t>Date/Heure de fin</t>
  </si>
  <si>
    <t xml:space="preserve">Date/Heure de début </t>
  </si>
  <si>
    <t>Prénom</t>
  </si>
  <si>
    <t>Nom</t>
  </si>
  <si>
    <t>Jours, Heures, Minutes</t>
  </si>
  <si>
    <t>HEURES (en décimale)</t>
  </si>
  <si>
    <t>24:00</t>
  </si>
  <si>
    <t>Sexe</t>
  </si>
  <si>
    <t>Colonne1</t>
  </si>
  <si>
    <t>FEMME</t>
  </si>
  <si>
    <t>HOMME</t>
  </si>
  <si>
    <t>Etat de la mesure</t>
  </si>
  <si>
    <t>Etat</t>
  </si>
  <si>
    <t>Terminée</t>
  </si>
  <si>
    <t>N° dossier</t>
  </si>
  <si>
    <t xml:space="preserve">Identifiant </t>
  </si>
  <si>
    <t>Fonctions</t>
  </si>
  <si>
    <t>SERVICES</t>
  </si>
  <si>
    <t>Cumul de la période</t>
  </si>
  <si>
    <t>Totaux des Cumuls</t>
  </si>
  <si>
    <t>En cours</t>
  </si>
  <si>
    <t>Colonne2</t>
  </si>
  <si>
    <t>Colonne3</t>
  </si>
  <si>
    <t>Colonne4</t>
  </si>
  <si>
    <t>Etat de la mesure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</si>
</sst>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dd/mm/yyyy\ &quot;à&quot;\ hh:mm"/>
    <numFmt numFmtId="165" formatCode="h:mm;@"/>
    <numFmt numFmtId="166" formatCode="hh:mm\ &quot;Heure(s)&quot;"/>
    <numFmt numFmtId="167" formatCode="[h]:mm:&quot; Heure(s)&quot;"/>
  </numFmts>
  <fonts count="4" x14ac:knownFonts="1">
    <font>
      <sz val="11"/>
      <color theme="1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DC4E9"/>
        <bgColor indexed="64"/>
      </patternFill>
    </fill>
    <fill>
      <patternFill patternType="lightUp">
        <fgColor theme="0" tint="-0.499984740745262"/>
        <bgColor indexed="65"/>
      </patternFill>
    </fill>
    <fill>
      <patternFill patternType="lightUp">
        <fgColor theme="0" tint="-0.499984740745262"/>
        <bgColor rgb="FF0DC4E9"/>
      </patternFill>
    </fill>
    <fill>
      <patternFill patternType="solid">
        <fgColor theme="3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/>
    <xf numFmtId="164" fontId="0" fillId="0" borderId="0" xfId="0" applyNumberFormat="1"/>
    <xf numFmtId="49" fontId="0" fillId="0" borderId="0" xfId="0" applyNumberFormat="1"/>
    <xf numFmtId="165" fontId="0" fillId="0" borderId="0" xfId="0" applyNumberFormat="1"/>
    <xf numFmtId="0" fontId="0" fillId="0" borderId="0" xfId="0" applyNumberFormat="1"/>
    <xf numFmtId="0" fontId="0" fillId="0" borderId="0" xfId="0" applyFill="1" applyBorder="1" applyProtection="1">
      <protection locked="0"/>
    </xf>
    <xf numFmtId="164" fontId="0" fillId="0" borderId="0" xfId="0" applyNumberFormat="1" applyFill="1" applyBorder="1" applyProtection="1">
      <protection locked="0"/>
    </xf>
    <xf numFmtId="0" fontId="0" fillId="0" borderId="0" xfId="0" applyFill="1" applyBorder="1" applyAlignment="1" applyProtection="1">
      <alignment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Fill="1" applyBorder="1" applyAlignment="1" applyProtection="1">
      <alignment horizontal="center" vertical="center"/>
      <protection locked="0"/>
    </xf>
    <xf numFmtId="164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vertical="top" wrapText="1"/>
      <protection locked="0"/>
    </xf>
    <xf numFmtId="0" fontId="0" fillId="0" borderId="0" xfId="0" applyFill="1" applyBorder="1" applyAlignment="1" applyProtection="1">
      <alignment vertical="top"/>
      <protection locked="0"/>
    </xf>
    <xf numFmtId="0" fontId="0" fillId="0" borderId="0" xfId="0" applyFill="1" applyBorder="1" applyAlignment="1" applyProtection="1">
      <alignment wrapText="1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top"/>
    </xf>
    <xf numFmtId="2" fontId="0" fillId="0" borderId="0" xfId="0" applyNumberFormat="1" applyFill="1" applyBorder="1" applyAlignment="1" applyProtection="1">
      <alignment wrapText="1"/>
    </xf>
    <xf numFmtId="166" fontId="0" fillId="0" borderId="0" xfId="0" applyNumberFormat="1" applyFill="1" applyBorder="1" applyAlignment="1" applyProtection="1">
      <alignment wrapText="1"/>
    </xf>
    <xf numFmtId="164" fontId="0" fillId="0" borderId="0" xfId="0" applyNumberFormat="1" applyFont="1" applyFill="1" applyBorder="1" applyAlignment="1" applyProtection="1">
      <alignment horizontal="center" vertical="center" wrapText="1"/>
    </xf>
    <xf numFmtId="2" fontId="0" fillId="0" borderId="0" xfId="0" applyNumberFormat="1" applyFont="1" applyFill="1" applyBorder="1" applyAlignment="1" applyProtection="1">
      <alignment horizontal="center" vertical="center" wrapText="1"/>
    </xf>
    <xf numFmtId="167" fontId="0" fillId="0" borderId="0" xfId="0" applyNumberFormat="1" applyFont="1" applyFill="1" applyBorder="1" applyAlignment="1" applyProtection="1">
      <alignment horizontal="center" vertical="center" wrapText="1"/>
    </xf>
    <xf numFmtId="166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  <protection locked="0"/>
    </xf>
    <xf numFmtId="164" fontId="0" fillId="2" borderId="1" xfId="0" applyNumberFormat="1" applyFill="1" applyBorder="1" applyAlignment="1" applyProtection="1">
      <alignment horizontal="center" vertical="center" wrapText="1"/>
      <protection locked="0"/>
    </xf>
    <xf numFmtId="164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Border="1" applyAlignment="1" applyProtection="1">
      <alignment vertical="center" wrapText="1"/>
    </xf>
    <xf numFmtId="0" fontId="0" fillId="0" borderId="1" xfId="0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0" fontId="1" fillId="6" borderId="1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 applyProtection="1">
      <alignment horizontal="center" vertical="center" wrapText="1"/>
      <protection locked="0"/>
    </xf>
    <xf numFmtId="0" fontId="0" fillId="4" borderId="1" xfId="0" applyFont="1" applyFill="1" applyBorder="1" applyAlignment="1" applyProtection="1">
      <alignment horizontal="center" vertical="center" wrapText="1"/>
      <protection locked="0"/>
    </xf>
    <xf numFmtId="2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167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 wrapText="1"/>
    </xf>
    <xf numFmtId="2" fontId="2" fillId="0" borderId="0" xfId="0" applyNumberFormat="1" applyFont="1" applyFill="1" applyBorder="1" applyAlignment="1" applyProtection="1">
      <alignment horizontal="center" vertical="center" wrapText="1"/>
    </xf>
    <xf numFmtId="167" fontId="2" fillId="0" borderId="0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30"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ill>
        <patternFill patternType="lightUp">
          <fgColor theme="0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</font>
      <fill>
        <patternFill>
          <bgColor rgb="FF92D050"/>
        </patternFill>
      </fill>
    </dxf>
    <dxf>
      <fill>
        <patternFill patternType="lightUp">
          <fgColor theme="0" tint="-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h]:mm:&quot; Heure(s)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[h]:mm:&quot; Heure(s)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\ &quot;à&quot;\ hh:mm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dd/mm/yyyy\ &quot;à&quot;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64" formatCode="dd/mm/yyyy\ &quot;à&quot;\ hh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border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  <protection locked="0" hidden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2" defaultPivotStyle="PivotStyleLight16">
    <tableStyle name="Style de tableau 1" pivot="0" count="1" xr9:uid="{00000000-0011-0000-FFFF-FFFF00000000}">
      <tableStyleElement type="wholeTable" dxfId="29"/>
    </tableStyle>
    <tableStyle name="Style de tableau 2" pivot="0" count="0" xr9:uid="{00000000-0011-0000-FFFF-FFFF01000000}"/>
  </tableStyles>
  <colors>
    <mruColors>
      <color rgb="FF47FBA5"/>
      <color rgb="FFF74BDE"/>
      <color rgb="FF0DC4E9"/>
      <color rgb="FFFABF8F"/>
      <color rgb="FFFF99CC"/>
      <color rgb="FFA31AA6"/>
      <color rgb="FFFF9966"/>
      <color rgb="FF4E6AF4"/>
      <color rgb="FFFF9933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streinte" displayName="TAstreinte" ref="A3:S23" totalsRowShown="0" headerRowDxfId="28" dataDxfId="26" headerRowBorderDxfId="27">
  <autoFilter ref="A3:S23" xr:uid="{00000000-0009-0000-0100-000005000000}"/>
  <sortState xmlns:xlrd2="http://schemas.microsoft.com/office/spreadsheetml/2017/richdata2" ref="A6:AG1002">
    <sortCondition ref="J5:J1002"/>
  </sortState>
  <tableColumns count="19">
    <tableColumn id="1" xr3:uid="{00000000-0010-0000-0000-000001000000}" name="N° dossier" dataDxfId="25">
      <calculatedColumnFormula>IF(B4="","",ROW(A3) )</calculatedColumnFormula>
    </tableColumn>
    <tableColumn id="2" xr3:uid="{00000000-0010-0000-0000-000002000000}" name="Identifiant " dataDxfId="24"/>
    <tableColumn id="3" xr3:uid="{00000000-0010-0000-0000-000003000000}" name="Sexe" dataDxfId="23"/>
    <tableColumn id="4" xr3:uid="{00000000-0010-0000-0000-000004000000}" name="Nom" dataDxfId="22"/>
    <tableColumn id="5" xr3:uid="{00000000-0010-0000-0000-000005000000}" name="Prénom" dataDxfId="21"/>
    <tableColumn id="10" xr3:uid="{21552F7D-B564-4498-9E7C-2526409EFED8}" name="Colonne3" dataDxfId="20"/>
    <tableColumn id="11" xr3:uid="{2EF45B1D-65AA-4787-B1F0-4CB54ED5D71A}" name="Colonne4" dataDxfId="19"/>
    <tableColumn id="7" xr3:uid="{CB461E6B-A410-4D69-8A3D-28031C0E649C}" name="Colonne2" dataDxfId="18"/>
    <tableColumn id="6" xr3:uid="{F13E0513-E18D-4AC1-98EC-89CF017F98E8}" name="Colonne1" dataDxfId="17"/>
    <tableColumn id="8" xr3:uid="{00000000-0010-0000-0000-000008000000}" name="SERVICES" dataDxfId="16"/>
    <tableColumn id="9" xr3:uid="{00000000-0010-0000-0000-000009000000}" name="Fonctions" dataDxfId="15"/>
    <tableColumn id="14" xr3:uid="{00000000-0010-0000-0000-00000E000000}" name="Etat de la mesure" dataDxfId="14"/>
    <tableColumn id="12" xr3:uid="{65B62DEA-74D4-4EE7-85FE-86F1B91BC742}" name="Etat de la mesure bis" dataDxfId="0">
      <calculatedColumnFormula>IF(TAstreinte[[#This Row],[Etat de la mesure]]="","",TAstreinte[[#This Row],[Identifiant ]]&amp;"-"&amp;TAstreinte[[#This Row],[Etat de la mesure]])</calculatedColumnFormula>
    </tableColumn>
    <tableColumn id="15" xr3:uid="{00000000-0010-0000-0000-00000F000000}" name="Date/Heure de début " dataDxfId="13"/>
    <tableColumn id="16" xr3:uid="{00000000-0010-0000-0000-000010000000}" name="Date/Heure de fin" dataDxfId="12"/>
    <tableColumn id="17" xr3:uid="{00000000-0010-0000-0000-000011000000}" name="Jours, Heures, Minutes" dataDxfId="11">
      <calculatedColumnFormula>IF($N4="","",IF(O4="",(INT(Feuil2!$A$3-N4)&amp;" jour(s)"&amp;", "&amp;HOUR((Feuil2!$A$3-N4)-INT(Feuil2!$A$3-N4))&amp;" h"&amp;" et "&amp;MINUTE((Feuil2!$A$3-N4)-INT(Feuil2!$A$3-N4))&amp;" min"),IF(O4&lt;="",(INT(O4-N4)&amp;" jour(s)"&amp;", "&amp;HOUR((O4-N4)-INT(O4-N4))&amp;" h"&amp;" et "&amp;MINUTE((O4-N4)-INT(O4-N4))&amp;" min"))))</calculatedColumnFormula>
    </tableColumn>
    <tableColumn id="18" xr3:uid="{00000000-0010-0000-0000-000012000000}" name="HEURES (en décimale)" dataDxfId="10">
      <calculatedColumnFormula>IF(N4="","",IF(O4="",Feuil2!$A$3-N4,O4-N4)*24)</calculatedColumnFormula>
    </tableColumn>
    <tableColumn id="19" xr3:uid="{00000000-0010-0000-0000-000013000000}" name="Cumul de la période" dataDxfId="9">
      <calculatedColumnFormula>IF(Q4="","",Q4/24)</calculatedColumnFormula>
    </tableColumn>
    <tableColumn id="20" xr3:uid="{00000000-0010-0000-0000-000014000000}" name="Totaux des Cumuls" dataDxfId="8">
      <calculatedColumnFormula>SUMIFS($Q$4:$Q4,$B$4:$B4,$B4)/24</calculatedColumnFormula>
    </tableColumn>
  </tableColumns>
  <tableStyleInfo name="Style de tableau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1000000}" name="Tableau2" displayName="Tableau2" ref="D1:D4" totalsRowShown="0">
  <autoFilter ref="D1:D4" xr:uid="{00000000-0009-0000-0100-000009000000}"/>
  <tableColumns count="1">
    <tableColumn id="1" xr3:uid="{00000000-0010-0000-0100-000001000000}" name="Sex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7000000}" name="Tableau11" displayName="Tableau11" ref="H1:H3" totalsRowShown="0">
  <autoFilter ref="H1:H3" xr:uid="{00000000-0009-0000-0100-000002000000}"/>
  <tableColumns count="1">
    <tableColumn id="1" xr3:uid="{00000000-0010-0000-0700-000001000000}" name="Eta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3:V50"/>
  <sheetViews>
    <sheetView tabSelected="1" zoomScale="80" zoomScaleNormal="80" workbookViewId="0"/>
  </sheetViews>
  <sheetFormatPr baseColWidth="10" defaultColWidth="11.44140625" defaultRowHeight="14.4" x14ac:dyDescent="0.3"/>
  <cols>
    <col min="1" max="1" width="12.44140625" style="20" customWidth="1"/>
    <col min="2" max="2" width="25.33203125" style="8" customWidth="1"/>
    <col min="3" max="3" width="8.5546875" style="6" customWidth="1"/>
    <col min="4" max="4" width="27.5546875" style="6" customWidth="1"/>
    <col min="5" max="9" width="23.5546875" style="6" customWidth="1"/>
    <col min="10" max="10" width="19.44140625" style="6" customWidth="1"/>
    <col min="11" max="11" width="14.44140625" style="21" customWidth="1"/>
    <col min="12" max="13" width="21.88671875" style="6" customWidth="1"/>
    <col min="14" max="14" width="23.88671875" style="6" customWidth="1"/>
    <col min="15" max="15" width="21.33203125" style="7" customWidth="1"/>
    <col min="16" max="16" width="22.44140625" style="7" customWidth="1"/>
    <col min="17" max="17" width="19.109375" style="8" customWidth="1"/>
    <col min="18" max="18" width="23.33203125" style="24" customWidth="1"/>
    <col min="19" max="19" width="22.5546875" style="25" customWidth="1"/>
    <col min="20" max="20" width="11.44140625" style="6"/>
    <col min="21" max="21" width="14.88671875" style="6" bestFit="1" customWidth="1"/>
    <col min="22" max="16384" width="11.44140625" style="6"/>
  </cols>
  <sheetData>
    <row r="3" spans="1:22" s="9" customFormat="1" x14ac:dyDescent="0.3">
      <c r="A3" s="37" t="s">
        <v>14</v>
      </c>
      <c r="B3" s="35" t="s">
        <v>15</v>
      </c>
      <c r="C3" s="34" t="s">
        <v>7</v>
      </c>
      <c r="D3" s="30" t="s">
        <v>3</v>
      </c>
      <c r="E3" s="30" t="s">
        <v>2</v>
      </c>
      <c r="F3" s="30" t="s">
        <v>22</v>
      </c>
      <c r="G3" s="30" t="s">
        <v>23</v>
      </c>
      <c r="H3" s="30" t="s">
        <v>21</v>
      </c>
      <c r="I3" s="30" t="s">
        <v>8</v>
      </c>
      <c r="J3" s="30" t="s">
        <v>17</v>
      </c>
      <c r="K3" s="30" t="s">
        <v>16</v>
      </c>
      <c r="L3" s="36" t="s">
        <v>11</v>
      </c>
      <c r="M3" s="36" t="s">
        <v>24</v>
      </c>
      <c r="N3" s="31" t="s">
        <v>1</v>
      </c>
      <c r="O3" s="32" t="s">
        <v>0</v>
      </c>
      <c r="P3" s="38" t="s">
        <v>4</v>
      </c>
      <c r="Q3" s="39" t="s">
        <v>5</v>
      </c>
      <c r="R3" s="40" t="s">
        <v>18</v>
      </c>
      <c r="S3" s="40" t="s">
        <v>19</v>
      </c>
    </row>
    <row r="4" spans="1:22" s="10" customFormat="1" ht="18.75" customHeight="1" x14ac:dyDescent="0.3">
      <c r="A4" s="33">
        <f>IF(B4="","",ROW(A3) )</f>
        <v>3</v>
      </c>
      <c r="B4" s="11">
        <v>302486104</v>
      </c>
      <c r="C4" s="9" t="s">
        <v>10</v>
      </c>
      <c r="D4" s="9"/>
      <c r="E4" s="12"/>
      <c r="F4" s="12"/>
      <c r="G4" s="12"/>
      <c r="H4" s="12"/>
      <c r="I4" s="12"/>
      <c r="J4" s="9"/>
      <c r="K4" s="9"/>
      <c r="L4" s="9"/>
      <c r="M4" s="9" t="str">
        <f>IF(TAstreinte[[#This Row],[Etat de la mesure]]="","",TAstreinte[[#This Row],[Identifiant ]]&amp;"-"&amp;TAstreinte[[#This Row],[Etat de la mesure]])</f>
        <v/>
      </c>
      <c r="N4" s="13">
        <v>44676.479166666664</v>
      </c>
      <c r="O4" s="14">
        <v>44677.4375</v>
      </c>
      <c r="P4" s="26" t="str">
        <f>IF($N4="","",IF(O4="",(INT(Feuil2!$A$3-N4)&amp;" jour(s)"&amp;", "&amp;HOUR((Feuil2!$A$3-N4)-INT(Feuil2!$A$3-N4))&amp;" h"&amp;" et "&amp;MINUTE((Feuil2!$A$3-N4)-INT(Feuil2!$A$3-N4))&amp;" min"),IF(O4&lt;="",(INT(O4-N4)&amp;" jour(s)"&amp;", "&amp;HOUR((O4-N4)-INT(O4-N4))&amp;" h"&amp;" et "&amp;MINUTE((O4-N4)-INT(O4-N4))&amp;" min"))))</f>
        <v>0 jour(s), 23 h et 0 min</v>
      </c>
      <c r="Q4" s="27">
        <f>IF(N4="","",IF(O4="",Feuil2!$A$3-N4,O4-N4)*24)</f>
        <v>23.000000000058208</v>
      </c>
      <c r="R4" s="28">
        <f t="shared" ref="R4:R23" si="0">IF(Q4="","",Q4/24)</f>
        <v>0.95833333333575865</v>
      </c>
      <c r="S4" s="28">
        <f>SUMIFS($Q$4:$Q4,$B$4:$B4,$B4)/24</f>
        <v>0.95833333333575865</v>
      </c>
      <c r="U4" s="28">
        <f ca="1">IFERROR(IF(ROW()-4+1&lt;=MATCH($B4&amp;"-Terminée",$L$4:$L$23,0),SUMIFS($Q$4:$Q4,$B$4:$B4,$B4)/24,SUMIFS(OFFSET($Q$4,MATCH($B4&amp;"-Terminée",$L$4:$L$23,0),0,ROW()-MATCH($B4&amp;"-Terminée",$L$4:$L$23,0)-3),OFFSET($B$4,MATCH($B4&amp;"-Terminée",$L$4:$L$23,0),0,ROW()-MATCH($B4&amp;"-Terminée",$L$4:$L$23,0)-3),$B4)/24),SUMIFS($Q$4:$Q4,$B$4:$B4,$B4)/24)</f>
        <v>0.95833333333575865</v>
      </c>
    </row>
    <row r="5" spans="1:22" x14ac:dyDescent="0.3">
      <c r="A5" s="33">
        <f t="shared" ref="A5:A22" si="1">IF(B5="","",ROW(A4) )</f>
        <v>4</v>
      </c>
      <c r="B5" s="11">
        <v>302680687</v>
      </c>
      <c r="C5" s="9" t="s">
        <v>9</v>
      </c>
      <c r="D5" s="9"/>
      <c r="E5" s="12"/>
      <c r="F5" s="12"/>
      <c r="G5" s="12"/>
      <c r="H5" s="12"/>
      <c r="I5" s="12"/>
      <c r="J5" s="9"/>
      <c r="K5" s="9"/>
      <c r="L5" s="9"/>
      <c r="M5" s="9" t="str">
        <f>IF(TAstreinte[[#This Row],[Etat de la mesure]]="","",TAstreinte[[#This Row],[Identifiant ]]&amp;"-"&amp;TAstreinte[[#This Row],[Etat de la mesure]])</f>
        <v/>
      </c>
      <c r="N5" s="13">
        <v>44687.552083333336</v>
      </c>
      <c r="O5" s="14">
        <v>44688.826388888891</v>
      </c>
      <c r="P5" s="26" t="str">
        <f>IF($N5="","",IF(O5="",(INT(Feuil2!$A$3-N5)&amp;" jour(s)"&amp;", "&amp;HOUR((Feuil2!$A$3-N5)-INT(Feuil2!$A$3-N5))&amp;" h"&amp;" et "&amp;MINUTE((Feuil2!$A$3-N5)-INT(Feuil2!$A$3-N5))&amp;" min"),IF(O5&lt;="",(INT(O5-N5)&amp;" jour(s)"&amp;", "&amp;HOUR((O5-N5)-INT(O5-N5))&amp;" h"&amp;" et "&amp;MINUTE((O5-N5)-INT(O5-N5))&amp;" min"))))</f>
        <v>1 jour(s), 6 h et 35 min</v>
      </c>
      <c r="Q5" s="27">
        <f>IF(N5="","",IF(O5="",Feuil2!$A$3-N5,O5-N5)*24)</f>
        <v>30.583333333313931</v>
      </c>
      <c r="R5" s="28">
        <f t="shared" si="0"/>
        <v>1.2743055555547471</v>
      </c>
      <c r="S5" s="28">
        <f>SUMIFS($Q$4:$Q5,$B$4:$B5,$B5)/24</f>
        <v>1.2743055555547471</v>
      </c>
      <c r="U5" s="28">
        <f ca="1">IFERROR(IF(ROW()-4+1&lt;=MATCH($B5&amp;"-Terminée",$L$4:$L$23,0),SUMIFS($Q$4:$Q5,$B$4:$B5,$B5)/24,SUMIFS(OFFSET($Q$4,MATCH($B5&amp;"-Terminée",$L$4:$L$23,0),0,ROW()-MATCH($B5&amp;"-Terminée",$L$4:$L$23,0)-3),OFFSET($B$4,MATCH($B5&amp;"-Terminée",$L$4:$L$23,0),0,ROW()-MATCH($B5&amp;"-Terminée",$L$4:$L$23,0)-3),$B5)/24),SUMIFS($Q$4:$Q5,$B$4:$B5,$B5)/24)</f>
        <v>1.2743055555547471</v>
      </c>
      <c r="V5" s="10"/>
    </row>
    <row r="6" spans="1:22" x14ac:dyDescent="0.3">
      <c r="A6" s="33">
        <f t="shared" si="1"/>
        <v>5</v>
      </c>
      <c r="B6" s="11">
        <v>400132525</v>
      </c>
      <c r="C6" s="9" t="s">
        <v>10</v>
      </c>
      <c r="D6" s="9"/>
      <c r="E6" s="12"/>
      <c r="F6" s="12"/>
      <c r="G6" s="12"/>
      <c r="H6" s="12"/>
      <c r="I6" s="12"/>
      <c r="J6" s="9"/>
      <c r="K6" s="9"/>
      <c r="L6" s="9"/>
      <c r="M6" s="9" t="str">
        <f>IF(TAstreinte[[#This Row],[Etat de la mesure]]="","",TAstreinte[[#This Row],[Identifiant ]]&amp;"-"&amp;TAstreinte[[#This Row],[Etat de la mesure]])</f>
        <v/>
      </c>
      <c r="N6" s="13">
        <v>44691.875</v>
      </c>
      <c r="O6" s="14">
        <v>44694.479166666664</v>
      </c>
      <c r="P6" s="26" t="str">
        <f>IF($N6="","",IF(O6="",(INT(Feuil2!$A$3-N6)&amp;" jour(s)"&amp;", "&amp;HOUR((Feuil2!$A$3-N6)-INT(Feuil2!$A$3-N6))&amp;" h"&amp;" et "&amp;MINUTE((Feuil2!$A$3-N6)-INT(Feuil2!$A$3-N6))&amp;" min"),IF(O6&lt;="",(INT(O6-N6)&amp;" jour(s)"&amp;", "&amp;HOUR((O6-N6)-INT(O6-N6))&amp;" h"&amp;" et "&amp;MINUTE((O6-N6)-INT(O6-N6))&amp;" min"))))</f>
        <v>2 jour(s), 14 h et 30 min</v>
      </c>
      <c r="Q6" s="27">
        <f>IF(N6="","",IF(O6="",Feuil2!$A$3-N6,O6-N6)*24)</f>
        <v>62.499999999941792</v>
      </c>
      <c r="R6" s="28">
        <f t="shared" si="0"/>
        <v>2.6041666666642413</v>
      </c>
      <c r="S6" s="28">
        <f>SUMIFS($Q$4:$Q6,$B$4:$B6,$B6)/24</f>
        <v>2.6041666666642413</v>
      </c>
      <c r="U6" s="28">
        <f ca="1">IFERROR(IF(ROW()-4+1&lt;=MATCH($B6&amp;"-Terminée",$L$4:$L$23,0),SUMIFS($Q$4:$Q6,$B$4:$B6,$B6)/24,SUMIFS(OFFSET($Q$4,MATCH($B6&amp;"-Terminée",$L$4:$L$23,0),0,ROW()-MATCH($B6&amp;"-Terminée",$L$4:$L$23,0)-3),OFFSET($B$4,MATCH($B6&amp;"-Terminée",$L$4:$L$23,0),0,ROW()-MATCH($B6&amp;"-Terminée",$L$4:$L$23,0)-3),$B6)/24),SUMIFS($Q$4:$Q6,$B$4:$B6,$B6)/24)</f>
        <v>2.6041666666642413</v>
      </c>
      <c r="V6" s="10"/>
    </row>
    <row r="7" spans="1:22" x14ac:dyDescent="0.3">
      <c r="A7" s="33">
        <f t="shared" si="1"/>
        <v>6</v>
      </c>
      <c r="B7" s="11">
        <v>400132525</v>
      </c>
      <c r="C7" s="9" t="s">
        <v>10</v>
      </c>
      <c r="D7" s="9"/>
      <c r="E7" s="12"/>
      <c r="F7" s="12"/>
      <c r="G7" s="12"/>
      <c r="H7" s="12"/>
      <c r="I7" s="12"/>
      <c r="J7" s="9"/>
      <c r="K7" s="9"/>
      <c r="L7" s="9"/>
      <c r="M7" s="9" t="str">
        <f>IF(TAstreinte[[#This Row],[Etat de la mesure]]="","",TAstreinte[[#This Row],[Identifiant ]]&amp;"-"&amp;TAstreinte[[#This Row],[Etat de la mesure]])</f>
        <v/>
      </c>
      <c r="N7" s="13">
        <v>44698.708333333336</v>
      </c>
      <c r="O7" s="14">
        <v>44699.458333333336</v>
      </c>
      <c r="P7" s="26" t="str">
        <f>IF($N7="","",IF(O7="",(INT(Feuil2!$A$3-N7)&amp;" jour(s)"&amp;", "&amp;HOUR((Feuil2!$A$3-N7)-INT(Feuil2!$A$3-N7))&amp;" h"&amp;" et "&amp;MINUTE((Feuil2!$A$3-N7)-INT(Feuil2!$A$3-N7))&amp;" min"),IF(O7&lt;="",(INT(O7-N7)&amp;" jour(s)"&amp;", "&amp;HOUR((O7-N7)-INT(O7-N7))&amp;" h"&amp;" et "&amp;MINUTE((O7-N7)-INT(O7-N7))&amp;" min"))))</f>
        <v>0 jour(s), 18 h et 0 min</v>
      </c>
      <c r="Q7" s="27">
        <f>IF(N7="","",IF(O7="",Feuil2!$A$3-N7,O7-N7)*24)</f>
        <v>18</v>
      </c>
      <c r="R7" s="28">
        <f t="shared" si="0"/>
        <v>0.75</v>
      </c>
      <c r="S7" s="28">
        <f>SUMIFS($Q$4:$Q7,$B$4:$B7,$B7)/24</f>
        <v>3.3541666666642413</v>
      </c>
      <c r="U7" s="28">
        <f ca="1">IFERROR(IF(ROW()-4+1&lt;=MATCH($B7&amp;"-Terminée",$L$4:$L$23,0),SUMIFS($Q$4:$Q7,$B$4:$B7,$B7)/24,SUMIFS(OFFSET($Q$4,MATCH($B7&amp;"-Terminée",$L$4:$L$23,0),0,ROW()-MATCH($B7&amp;"-Terminée",$L$4:$L$23,0)-3),OFFSET($B$4,MATCH($B7&amp;"-Terminée",$L$4:$L$23,0),0,ROW()-MATCH($B7&amp;"-Terminée",$L$4:$L$23,0)-3),$B7)/24),SUMIFS($Q$4:$Q7,$B$4:$B7,$B7)/24)</f>
        <v>3.3541666666642413</v>
      </c>
      <c r="V7" s="10"/>
    </row>
    <row r="8" spans="1:22" x14ac:dyDescent="0.3">
      <c r="A8" s="33">
        <f t="shared" si="1"/>
        <v>7</v>
      </c>
      <c r="B8" s="11">
        <v>302121090</v>
      </c>
      <c r="C8" s="9" t="s">
        <v>10</v>
      </c>
      <c r="D8" s="9"/>
      <c r="E8" s="12"/>
      <c r="F8" s="12"/>
      <c r="G8" s="12"/>
      <c r="H8" s="12"/>
      <c r="I8" s="12"/>
      <c r="J8" s="9"/>
      <c r="K8" s="9"/>
      <c r="L8" s="9"/>
      <c r="M8" s="9" t="str">
        <f>IF(TAstreinte[[#This Row],[Etat de la mesure]]="","",TAstreinte[[#This Row],[Identifiant ]]&amp;"-"&amp;TAstreinte[[#This Row],[Etat de la mesure]])</f>
        <v/>
      </c>
      <c r="N8" s="13">
        <v>44674.458333333336</v>
      </c>
      <c r="O8" s="14">
        <v>44675.479166666664</v>
      </c>
      <c r="P8" s="26" t="str">
        <f>IF($N8="","",IF(O8="",(INT(Feuil2!$A$3-N8)&amp;" jour(s)"&amp;", "&amp;HOUR((Feuil2!$A$3-N8)-INT(Feuil2!$A$3-N8))&amp;" h"&amp;" et "&amp;MINUTE((Feuil2!$A$3-N8)-INT(Feuil2!$A$3-N8))&amp;" min"),IF(O8&lt;="",(INT(O8-N8)&amp;" jour(s)"&amp;", "&amp;HOUR((O8-N8)-INT(O8-N8))&amp;" h"&amp;" et "&amp;MINUTE((O8-N8)-INT(O8-N8))&amp;" min"))))</f>
        <v>1 jour(s), 0 h et 30 min</v>
      </c>
      <c r="Q8" s="27">
        <f>IF(N8="","",IF(O8="",Feuil2!$A$3-N8,O8-N8)*24)</f>
        <v>24.499999999883585</v>
      </c>
      <c r="R8" s="28">
        <f t="shared" si="0"/>
        <v>1.0208333333284827</v>
      </c>
      <c r="S8" s="28">
        <f>SUMIFS($Q$4:$Q8,$B$4:$B8,$B8)/24</f>
        <v>1.0208333333284827</v>
      </c>
      <c r="U8" s="28">
        <f ca="1">IFERROR(IF(ROW()-4+1&lt;=MATCH($B8&amp;"-Terminée",$L$4:$L$23,0),SUMIFS($Q$4:$Q8,$B$4:$B8,$B8)/24,SUMIFS(OFFSET($Q$4,MATCH($B8&amp;"-Terminée",$L$4:$L$23,0),0,ROW()-MATCH($B8&amp;"-Terminée",$L$4:$L$23,0)-3),OFFSET($B$4,MATCH($B8&amp;"-Terminée",$L$4:$L$23,0),0,ROW()-MATCH($B8&amp;"-Terminée",$L$4:$L$23,0)-3),$B8)/24),SUMIFS($Q$4:$Q8,$B$4:$B8,$B8)/24)</f>
        <v>1.0208333333284827</v>
      </c>
      <c r="V8" s="10"/>
    </row>
    <row r="9" spans="1:22" x14ac:dyDescent="0.3">
      <c r="A9" s="33">
        <f t="shared" si="1"/>
        <v>8</v>
      </c>
      <c r="B9" s="11">
        <v>400103656</v>
      </c>
      <c r="C9" s="9" t="s">
        <v>9</v>
      </c>
      <c r="D9" s="9"/>
      <c r="E9" s="12"/>
      <c r="F9" s="12"/>
      <c r="G9" s="12"/>
      <c r="H9" s="12"/>
      <c r="I9" s="12"/>
      <c r="J9" s="9"/>
      <c r="K9" s="9"/>
      <c r="L9" s="9"/>
      <c r="M9" s="9" t="str">
        <f>IF(TAstreinte[[#This Row],[Etat de la mesure]]="","",TAstreinte[[#This Row],[Identifiant ]]&amp;"-"&amp;TAstreinte[[#This Row],[Etat de la mesure]])</f>
        <v/>
      </c>
      <c r="N9" s="13">
        <v>44676.791666666664</v>
      </c>
      <c r="O9" s="14">
        <v>44677.451388888891</v>
      </c>
      <c r="P9" s="26" t="str">
        <f>IF($N9="","",IF(O9="",(INT(Feuil2!$A$3-N9)&amp;" jour(s)"&amp;", "&amp;HOUR((Feuil2!$A$3-N9)-INT(Feuil2!$A$3-N9))&amp;" h"&amp;" et "&amp;MINUTE((Feuil2!$A$3-N9)-INT(Feuil2!$A$3-N9))&amp;" min"),IF(O9&lt;="",(INT(O9-N9)&amp;" jour(s)"&amp;", "&amp;HOUR((O9-N9)-INT(O9-N9))&amp;" h"&amp;" et "&amp;MINUTE((O9-N9)-INT(O9-N9))&amp;" min"))))</f>
        <v>0 jour(s), 15 h et 50 min</v>
      </c>
      <c r="Q9" s="27">
        <f>IF(N9="","",IF(O9="",Feuil2!$A$3-N9,O9-N9)*24)</f>
        <v>15.833333333430346</v>
      </c>
      <c r="R9" s="28">
        <f t="shared" si="0"/>
        <v>0.65972222222626442</v>
      </c>
      <c r="S9" s="28">
        <f>SUMIFS($Q$4:$Q9,$B$4:$B9,$B9)/24</f>
        <v>0.65972222222626442</v>
      </c>
      <c r="U9" s="28">
        <f ca="1">IFERROR(IF(ROW()-4+1&lt;=MATCH($B9&amp;"-Terminée",$L$4:$L$23,0),SUMIFS($Q$4:$Q9,$B$4:$B9,$B9)/24,SUMIFS(OFFSET($Q$4,MATCH($B9&amp;"-Terminée",$L$4:$L$23,0),0,ROW()-MATCH($B9&amp;"-Terminée",$L$4:$L$23,0)-3),OFFSET($B$4,MATCH($B9&amp;"-Terminée",$L$4:$L$23,0),0,ROW()-MATCH($B9&amp;"-Terminée",$L$4:$L$23,0)-3),$B9)/24),SUMIFS($Q$4:$Q9,$B$4:$B9,$B9)/24)</f>
        <v>0.65972222222626442</v>
      </c>
      <c r="V9" s="10"/>
    </row>
    <row r="10" spans="1:22" x14ac:dyDescent="0.3">
      <c r="A10" s="33">
        <f t="shared" si="1"/>
        <v>9</v>
      </c>
      <c r="B10" s="11">
        <v>400103656</v>
      </c>
      <c r="C10" s="9" t="s">
        <v>9</v>
      </c>
      <c r="D10" s="9"/>
      <c r="E10" s="12"/>
      <c r="F10" s="12"/>
      <c r="G10" s="12"/>
      <c r="H10" s="12"/>
      <c r="I10" s="12"/>
      <c r="J10" s="9"/>
      <c r="K10" s="9"/>
      <c r="L10" s="9" t="s">
        <v>13</v>
      </c>
      <c r="M10" s="9" t="str">
        <f>IF(TAstreinte[[#This Row],[Etat de la mesure]]="","",TAstreinte[[#This Row],[Identifiant ]]&amp;"-"&amp;TAstreinte[[#This Row],[Etat de la mesure]])</f>
        <v>400103656-Terminée</v>
      </c>
      <c r="N10" s="13">
        <v>44677.572916666664</v>
      </c>
      <c r="O10" s="14">
        <v>44683.604166666664</v>
      </c>
      <c r="P10" s="26" t="str">
        <f>IF($N10="","",IF(O10="",(INT(Feuil2!$A$3-N10)&amp;" jour(s)"&amp;", "&amp;HOUR((Feuil2!$A$3-N10)-INT(Feuil2!$A$3-N10))&amp;" h"&amp;" et "&amp;MINUTE((Feuil2!$A$3-N10)-INT(Feuil2!$A$3-N10))&amp;" min"),IF(O10&lt;="",(INT(O10-N10)&amp;" jour(s)"&amp;", "&amp;HOUR((O10-N10)-INT(O10-N10))&amp;" h"&amp;" et "&amp;MINUTE((O10-N10)-INT(O10-N10))&amp;" min"))))</f>
        <v>6 jour(s), 0 h et 45 min</v>
      </c>
      <c r="Q10" s="27">
        <f>IF(N10="","",IF(O10="",Feuil2!$A$3-N10,O10-N10)*24)</f>
        <v>144.75</v>
      </c>
      <c r="R10" s="28">
        <f t="shared" si="0"/>
        <v>6.03125</v>
      </c>
      <c r="S10" s="28">
        <f>SUMIFS($Q$4:$Q10,$B$4:$B10,$B10)/24</f>
        <v>6.6909722222262644</v>
      </c>
      <c r="U10" s="28">
        <f ca="1">IFERROR(IF(ROW()-4+1&lt;=MATCH($B10&amp;"-Terminée",$L$4:$L$23,0),SUMIFS($Q$4:$Q10,$B$4:$B10,$B10)/24,SUMIFS(OFFSET($Q$4,MATCH($B10&amp;"-Terminée",$L$4:$L$23,0),0,ROW()-MATCH($B10&amp;"-Terminée",$L$4:$L$23,0)-3),OFFSET($B$4,MATCH($B10&amp;"-Terminée",$L$4:$L$23,0),0,ROW()-MATCH($B10&amp;"-Terminée",$L$4:$L$23,0)-3),$B10)/24),SUMIFS($Q$4:$Q10,$B$4:$B10,$B10)/24)</f>
        <v>6.6909722222262644</v>
      </c>
      <c r="V10" s="10"/>
    </row>
    <row r="11" spans="1:22" x14ac:dyDescent="0.3">
      <c r="A11" s="33">
        <f t="shared" si="1"/>
        <v>10</v>
      </c>
      <c r="B11" s="11">
        <v>102055259</v>
      </c>
      <c r="C11" s="9" t="s">
        <v>10</v>
      </c>
      <c r="D11" s="9"/>
      <c r="E11" s="12"/>
      <c r="F11" s="12"/>
      <c r="G11" s="12"/>
      <c r="H11" s="12"/>
      <c r="I11" s="12"/>
      <c r="J11" s="9"/>
      <c r="K11" s="9"/>
      <c r="L11" s="9"/>
      <c r="M11" s="9" t="str">
        <f>IF(TAstreinte[[#This Row],[Etat de la mesure]]="","",TAstreinte[[#This Row],[Identifiant ]]&amp;"-"&amp;TAstreinte[[#This Row],[Etat de la mesure]])</f>
        <v/>
      </c>
      <c r="N11" s="13">
        <v>44682.618055555555</v>
      </c>
      <c r="O11" s="14">
        <v>44683.479166666664</v>
      </c>
      <c r="P11" s="26" t="str">
        <f>IF($N11="","",IF(O11="",(INT(Feuil2!$A$3-N11)&amp;" jour(s)"&amp;", "&amp;HOUR((Feuil2!$A$3-N11)-INT(Feuil2!$A$3-N11))&amp;" h"&amp;" et "&amp;MINUTE((Feuil2!$A$3-N11)-INT(Feuil2!$A$3-N11))&amp;" min"),IF(O11&lt;="",(INT(O11-N11)&amp;" jour(s)"&amp;", "&amp;HOUR((O11-N11)-INT(O11-N11))&amp;" h"&amp;" et "&amp;MINUTE((O11-N11)-INT(O11-N11))&amp;" min"))))</f>
        <v>0 jour(s), 20 h et 40 min</v>
      </c>
      <c r="Q11" s="27">
        <f>IF(N11="","",IF(O11="",Feuil2!$A$3-N11,O11-N11)*24)</f>
        <v>20.666666666627862</v>
      </c>
      <c r="R11" s="28">
        <f t="shared" si="0"/>
        <v>0.86111111110949423</v>
      </c>
      <c r="S11" s="28">
        <f>SUMIFS($Q$4:$Q11,$B$4:$B11,$B11)/24</f>
        <v>0.86111111110949423</v>
      </c>
      <c r="U11" s="28">
        <f ca="1">IFERROR(IF(ROW()-4+1&lt;=MATCH($B11&amp;"-Terminée",$L$4:$L$23,0),SUMIFS($Q$4:$Q11,$B$4:$B11,$B11)/24,SUMIFS(OFFSET($Q$4,MATCH($B11&amp;"-Terminée",$L$4:$L$23,0),0,ROW()-MATCH($B11&amp;"-Terminée",$L$4:$L$23,0)-3),OFFSET($B$4,MATCH($B11&amp;"-Terminée",$L$4:$L$23,0),0,ROW()-MATCH($B11&amp;"-Terminée",$L$4:$L$23,0)-3),$B11)/24),SUMIFS($Q$4:$Q11,$B$4:$B11,$B11)/24)</f>
        <v>0.86111111110949423</v>
      </c>
      <c r="V11" s="10"/>
    </row>
    <row r="12" spans="1:22" x14ac:dyDescent="0.3">
      <c r="A12" s="33">
        <f t="shared" si="1"/>
        <v>11</v>
      </c>
      <c r="B12" s="11">
        <v>102055259</v>
      </c>
      <c r="C12" s="9" t="s">
        <v>10</v>
      </c>
      <c r="D12" s="9"/>
      <c r="E12" s="12"/>
      <c r="F12" s="12"/>
      <c r="G12" s="12"/>
      <c r="H12" s="12"/>
      <c r="I12" s="12"/>
      <c r="J12" s="9"/>
      <c r="K12" s="9"/>
      <c r="L12" s="9"/>
      <c r="M12" s="9" t="str">
        <f>IF(TAstreinte[[#This Row],[Etat de la mesure]]="","",TAstreinte[[#This Row],[Identifiant ]]&amp;"-"&amp;TAstreinte[[#This Row],[Etat de la mesure]])</f>
        <v/>
      </c>
      <c r="N12" s="13">
        <v>44683.520833333336</v>
      </c>
      <c r="O12" s="14">
        <v>44684.4375</v>
      </c>
      <c r="P12" s="26" t="str">
        <f>IF($N12="","",IF(O12="",(INT(Feuil2!$A$3-N12)&amp;" jour(s)"&amp;", "&amp;HOUR((Feuil2!$A$3-N12)-INT(Feuil2!$A$3-N12))&amp;" h"&amp;" et "&amp;MINUTE((Feuil2!$A$3-N12)-INT(Feuil2!$A$3-N12))&amp;" min"),IF(O12&lt;="",(INT(O12-N12)&amp;" jour(s)"&amp;", "&amp;HOUR((O12-N12)-INT(O12-N12))&amp;" h"&amp;" et "&amp;MINUTE((O12-N12)-INT(O12-N12))&amp;" min"))))</f>
        <v>0 jour(s), 22 h et 0 min</v>
      </c>
      <c r="Q12" s="27">
        <f>IF(N12="","",IF(O12="",Feuil2!$A$3-N12,O12-N12)*24)</f>
        <v>21.999999999941792</v>
      </c>
      <c r="R12" s="28">
        <f t="shared" si="0"/>
        <v>0.91666666666424135</v>
      </c>
      <c r="S12" s="28">
        <f>SUMIFS($Q$4:$Q12,$B$4:$B12,$B12)/24</f>
        <v>1.7777777777737356</v>
      </c>
      <c r="U12" s="28">
        <f ca="1">IFERROR(IF(ROW()-4+1&lt;=MATCH($B12&amp;"-Terminée",$L$4:$L$23,0),SUMIFS($Q$4:$Q12,$B$4:$B12,$B12)/24,SUMIFS(OFFSET($Q$4,MATCH($B12&amp;"-Terminée",$L$4:$L$23,0),0,ROW()-MATCH($B12&amp;"-Terminée",$L$4:$L$23,0)-3),OFFSET($B$4,MATCH($B12&amp;"-Terminée",$L$4:$L$23,0),0,ROW()-MATCH($B12&amp;"-Terminée",$L$4:$L$23,0)-3),$B12)/24),SUMIFS($Q$4:$Q12,$B$4:$B12,$B12)/24)</f>
        <v>1.7777777777737356</v>
      </c>
      <c r="V12" s="10"/>
    </row>
    <row r="13" spans="1:22" x14ac:dyDescent="0.3">
      <c r="A13" s="33">
        <f t="shared" si="1"/>
        <v>12</v>
      </c>
      <c r="B13" s="11">
        <v>400103656</v>
      </c>
      <c r="C13" s="9" t="s">
        <v>9</v>
      </c>
      <c r="D13" s="9"/>
      <c r="E13" s="12"/>
      <c r="F13" s="12"/>
      <c r="G13" s="12"/>
      <c r="H13" s="12"/>
      <c r="I13" s="12"/>
      <c r="J13" s="9"/>
      <c r="K13" s="9"/>
      <c r="L13" s="9"/>
      <c r="M13" s="9" t="str">
        <f>IF(TAstreinte[[#This Row],[Etat de la mesure]]="","",TAstreinte[[#This Row],[Identifiant ]]&amp;"-"&amp;TAstreinte[[#This Row],[Etat de la mesure]])</f>
        <v/>
      </c>
      <c r="N13" s="13">
        <v>44692.583333333336</v>
      </c>
      <c r="O13" s="14">
        <v>44693.5</v>
      </c>
      <c r="P13" s="26" t="str">
        <f>IF($N13="","",IF(O13="",(INT(Feuil2!$A$3-N13)&amp;" jour(s)"&amp;", "&amp;HOUR((Feuil2!$A$3-N13)-INT(Feuil2!$A$3-N13))&amp;" h"&amp;" et "&amp;MINUTE((Feuil2!$A$3-N13)-INT(Feuil2!$A$3-N13))&amp;" min"),IF(O13&lt;="",(INT(O13-N13)&amp;" jour(s)"&amp;", "&amp;HOUR((O13-N13)-INT(O13-N13))&amp;" h"&amp;" et "&amp;MINUTE((O13-N13)-INT(O13-N13))&amp;" min"))))</f>
        <v>0 jour(s), 22 h et 0 min</v>
      </c>
      <c r="Q13" s="27">
        <f>IF(N13="","",IF(O13="",Feuil2!$A$3-N13,O13-N13)*24)</f>
        <v>21.999999999941792</v>
      </c>
      <c r="R13" s="28">
        <f t="shared" si="0"/>
        <v>0.91666666666424135</v>
      </c>
      <c r="S13" s="28">
        <f>SUMIFS($Q$4:$Q13,$B$4:$B13,$B13)/24</f>
        <v>7.6076388888905058</v>
      </c>
      <c r="U13" s="28">
        <f ca="1">IFERROR(IF(ROW()-4+1&lt;=MATCH($B13&amp;"-Terminée",$L$4:$L$23,0),SUMIFS($Q$4:$Q13,$B$4:$B13,$B13)/24,SUMIFS(OFFSET($Q$4,MATCH($B13&amp;"-Terminée",$L$4:$L$23,0),0,ROW()-MATCH($B13&amp;"-Terminée",$L$4:$L$23,0)-3),OFFSET($B$4,MATCH($B13&amp;"-Terminée",$L$4:$L$23,0),0,ROW()-MATCH($B13&amp;"-Terminée",$L$4:$L$23,0)-3),$B13)/24),SUMIFS($Q$4:$Q13,$B$4:$B13,$B13)/24)</f>
        <v>7.6076388888905058</v>
      </c>
      <c r="V13" s="10"/>
    </row>
    <row r="14" spans="1:22" x14ac:dyDescent="0.3">
      <c r="A14" s="33">
        <f t="shared" si="1"/>
        <v>13</v>
      </c>
      <c r="B14" s="11">
        <v>400133214</v>
      </c>
      <c r="C14" s="9" t="s">
        <v>10</v>
      </c>
      <c r="D14" s="9"/>
      <c r="E14" s="12"/>
      <c r="F14" s="12"/>
      <c r="G14" s="12"/>
      <c r="H14" s="12"/>
      <c r="I14" s="12"/>
      <c r="J14" s="9"/>
      <c r="K14" s="9"/>
      <c r="L14" s="9"/>
      <c r="M14" s="9" t="str">
        <f>IF(TAstreinte[[#This Row],[Etat de la mesure]]="","",TAstreinte[[#This Row],[Identifiant ]]&amp;"-"&amp;TAstreinte[[#This Row],[Etat de la mesure]])</f>
        <v/>
      </c>
      <c r="N14" s="13">
        <v>44697.5625</v>
      </c>
      <c r="O14" s="14">
        <v>44699.458333333336</v>
      </c>
      <c r="P14" s="26" t="str">
        <f>IF($N14="","",IF(O14="",(INT(Feuil2!$A$3-N14)&amp;" jour(s)"&amp;", "&amp;HOUR((Feuil2!$A$3-N14)-INT(Feuil2!$A$3-N14))&amp;" h"&amp;" et "&amp;MINUTE((Feuil2!$A$3-N14)-INT(Feuil2!$A$3-N14))&amp;" min"),IF(O14&lt;="",(INT(O14-N14)&amp;" jour(s)"&amp;", "&amp;HOUR((O14-N14)-INT(O14-N14))&amp;" h"&amp;" et "&amp;MINUTE((O14-N14)-INT(O14-N14))&amp;" min"))))</f>
        <v>1 jour(s), 21 h et 30 min</v>
      </c>
      <c r="Q14" s="27">
        <f>IF(N14="","",IF(O14="",Feuil2!$A$3-N14,O14-N14)*24)</f>
        <v>45.500000000058208</v>
      </c>
      <c r="R14" s="28">
        <f t="shared" si="0"/>
        <v>1.8958333333357587</v>
      </c>
      <c r="S14" s="28">
        <f>SUMIFS($Q$4:$Q14,$B$4:$B14,$B14)/24</f>
        <v>1.8958333333357587</v>
      </c>
      <c r="U14" s="28">
        <f ca="1">IFERROR(IF(ROW()-4+1&lt;=MATCH($B14&amp;"-Terminée",$L$4:$L$23,0),SUMIFS($Q$4:$Q14,$B$4:$B14,$B14)/24,SUMIFS(OFFSET($Q$4,MATCH($B14&amp;"-Terminée",$L$4:$L$23,0),0,ROW()-MATCH($B14&amp;"-Terminée",$L$4:$L$23,0)-3),OFFSET($B$4,MATCH($B14&amp;"-Terminée",$L$4:$L$23,0),0,ROW()-MATCH($B14&amp;"-Terminée",$L$4:$L$23,0)-3),$B14)/24),SUMIFS($Q$4:$Q14,$B$4:$B14,$B14)/24)</f>
        <v>1.8958333333357587</v>
      </c>
      <c r="V14" s="10"/>
    </row>
    <row r="15" spans="1:22" x14ac:dyDescent="0.3">
      <c r="A15" s="33">
        <f t="shared" si="1"/>
        <v>14</v>
      </c>
      <c r="B15" s="11">
        <v>400133214</v>
      </c>
      <c r="C15" s="9" t="s">
        <v>10</v>
      </c>
      <c r="D15" s="9"/>
      <c r="E15" s="12"/>
      <c r="F15" s="12"/>
      <c r="G15" s="12"/>
      <c r="H15" s="12"/>
      <c r="I15" s="12"/>
      <c r="J15" s="9"/>
      <c r="K15" s="9"/>
      <c r="L15" s="9"/>
      <c r="M15" s="9" t="str">
        <f>IF(TAstreinte[[#This Row],[Etat de la mesure]]="","",TAstreinte[[#This Row],[Identifiant ]]&amp;"-"&amp;TAstreinte[[#This Row],[Etat de la mesure]])</f>
        <v/>
      </c>
      <c r="N15" s="13">
        <v>44699.520833333336</v>
      </c>
      <c r="O15" s="14">
        <v>44700.791666666664</v>
      </c>
      <c r="P15" s="26" t="str">
        <f>IF($N15="","",IF(O15="",(INT(Feuil2!$A$3-N15)&amp;" jour(s)"&amp;", "&amp;HOUR((Feuil2!$A$3-N15)-INT(Feuil2!$A$3-N15))&amp;" h"&amp;" et "&amp;MINUTE((Feuil2!$A$3-N15)-INT(Feuil2!$A$3-N15))&amp;" min"),IF(O15&lt;="",(INT(O15-N15)&amp;" jour(s)"&amp;", "&amp;HOUR((O15-N15)-INT(O15-N15))&amp;" h"&amp;" et "&amp;MINUTE((O15-N15)-INT(O15-N15))&amp;" min"))))</f>
        <v>1 jour(s), 6 h et 30 min</v>
      </c>
      <c r="Q15" s="27">
        <f>IF(N15="","",IF(O15="",Feuil2!$A$3-N15,O15-N15)*24)</f>
        <v>30.499999999883585</v>
      </c>
      <c r="R15" s="28">
        <f t="shared" si="0"/>
        <v>1.2708333333284827</v>
      </c>
      <c r="S15" s="28">
        <f>SUMIFS($Q$4:$Q15,$B$4:$B15,$B15)/24</f>
        <v>3.1666666666642413</v>
      </c>
      <c r="U15" s="28">
        <f ca="1">IFERROR(IF(ROW()-4+1&lt;=MATCH($B15&amp;"-Terminée",$L$4:$L$23,0),SUMIFS($Q$4:$Q15,$B$4:$B15,$B15)/24,SUMIFS(OFFSET($Q$4,MATCH($B15&amp;"-Terminée",$L$4:$L$23,0),0,ROW()-MATCH($B15&amp;"-Terminée",$L$4:$L$23,0)-3),OFFSET($B$4,MATCH($B15&amp;"-Terminée",$L$4:$L$23,0),0,ROW()-MATCH($B15&amp;"-Terminée",$L$4:$L$23,0)-3),$B15)/24),SUMIFS($Q$4:$Q15,$B$4:$B15,$B15)/24)</f>
        <v>3.1666666666642413</v>
      </c>
      <c r="V15" s="10"/>
    </row>
    <row r="16" spans="1:22" x14ac:dyDescent="0.3">
      <c r="A16" s="33">
        <f t="shared" si="1"/>
        <v>15</v>
      </c>
      <c r="B16" s="11">
        <v>300002079</v>
      </c>
      <c r="C16" s="9" t="s">
        <v>10</v>
      </c>
      <c r="D16" s="9"/>
      <c r="E16" s="12"/>
      <c r="F16" s="12"/>
      <c r="G16" s="12"/>
      <c r="H16" s="12"/>
      <c r="I16" s="12"/>
      <c r="J16" s="9"/>
      <c r="K16" s="9"/>
      <c r="L16" s="9"/>
      <c r="M16" s="9" t="str">
        <f>IF(TAstreinte[[#This Row],[Etat de la mesure]]="","",TAstreinte[[#This Row],[Identifiant ]]&amp;"-"&amp;TAstreinte[[#This Row],[Etat de la mesure]])</f>
        <v/>
      </c>
      <c r="N16" s="13">
        <v>44670</v>
      </c>
      <c r="O16" s="14">
        <v>44670.666666666664</v>
      </c>
      <c r="P16" s="26" t="str">
        <f>IF($N16="","",IF(O16="",(INT(Feuil2!$A$3-N16)&amp;" jour(s)"&amp;", "&amp;HOUR((Feuil2!$A$3-N16)-INT(Feuil2!$A$3-N16))&amp;" h"&amp;" et "&amp;MINUTE((Feuil2!$A$3-N16)-INT(Feuil2!$A$3-N16))&amp;" min"),IF(O16&lt;="",(INT(O16-N16)&amp;" jour(s)"&amp;", "&amp;HOUR((O16-N16)-INT(O16-N16))&amp;" h"&amp;" et "&amp;MINUTE((O16-N16)-INT(O16-N16))&amp;" min"))))</f>
        <v>0 jour(s), 16 h et 0 min</v>
      </c>
      <c r="Q16" s="27">
        <f>IF(N16="","",IF(O16="",Feuil2!$A$3-N16,O16-N16)*24)</f>
        <v>15.999999999941792</v>
      </c>
      <c r="R16" s="28">
        <f t="shared" si="0"/>
        <v>0.66666666666424135</v>
      </c>
      <c r="S16" s="28">
        <f>SUMIFS($Q$4:$Q16,$B$4:$B16,$B16)/24</f>
        <v>0.66666666666424135</v>
      </c>
      <c r="U16" s="28">
        <f ca="1">IFERROR(IF(ROW()-4+1&lt;=MATCH($B16&amp;"-Terminée",$L$4:$L$23,0),SUMIFS($Q$4:$Q16,$B$4:$B16,$B16)/24,SUMIFS(OFFSET($Q$4,MATCH($B16&amp;"-Terminée",$L$4:$L$23,0),0,ROW()-MATCH($B16&amp;"-Terminée",$L$4:$L$23,0)-3),OFFSET($B$4,MATCH($B16&amp;"-Terminée",$L$4:$L$23,0),0,ROW()-MATCH($B16&amp;"-Terminée",$L$4:$L$23,0)-3),$B16)/24),SUMIFS($Q$4:$Q16,$B$4:$B16,$B16)/24)</f>
        <v>0.66666666666424135</v>
      </c>
      <c r="V16" s="10"/>
    </row>
    <row r="17" spans="1:22" x14ac:dyDescent="0.3">
      <c r="A17" s="33">
        <f t="shared" si="1"/>
        <v>16</v>
      </c>
      <c r="B17" s="11">
        <v>300002079</v>
      </c>
      <c r="C17" s="9" t="s">
        <v>10</v>
      </c>
      <c r="D17" s="9"/>
      <c r="E17" s="12"/>
      <c r="F17" s="12"/>
      <c r="G17" s="12"/>
      <c r="H17" s="12"/>
      <c r="I17" s="12"/>
      <c r="J17" s="9"/>
      <c r="K17" s="9"/>
      <c r="L17" s="9"/>
      <c r="M17" s="9" t="str">
        <f>IF(TAstreinte[[#This Row],[Etat de la mesure]]="","",TAstreinte[[#This Row],[Identifiant ]]&amp;"-"&amp;TAstreinte[[#This Row],[Etat de la mesure]])</f>
        <v/>
      </c>
      <c r="N17" s="13">
        <v>44670.6875</v>
      </c>
      <c r="O17" s="14">
        <v>44672.458333333336</v>
      </c>
      <c r="P17" s="26" t="str">
        <f>IF($N17="","",IF(O17="",(INT(Feuil2!$A$3-N17)&amp;" jour(s)"&amp;", "&amp;HOUR((Feuil2!$A$3-N17)-INT(Feuil2!$A$3-N17))&amp;" h"&amp;" et "&amp;MINUTE((Feuil2!$A$3-N17)-INT(Feuil2!$A$3-N17))&amp;" min"),IF(O17&lt;="",(INT(O17-N17)&amp;" jour(s)"&amp;", "&amp;HOUR((O17-N17)-INT(O17-N17))&amp;" h"&amp;" et "&amp;MINUTE((O17-N17)-INT(O17-N17))&amp;" min"))))</f>
        <v>1 jour(s), 18 h et 30 min</v>
      </c>
      <c r="Q17" s="27">
        <f>IF(N17="","",IF(O17="",Feuil2!$A$3-N17,O17-N17)*24)</f>
        <v>42.500000000058208</v>
      </c>
      <c r="R17" s="28">
        <f t="shared" si="0"/>
        <v>1.7708333333357587</v>
      </c>
      <c r="S17" s="28">
        <f>SUMIFS($Q$4:$Q17,$B$4:$B17,$B17)/24</f>
        <v>2.4375</v>
      </c>
      <c r="U17" s="28">
        <f ca="1">IFERROR(IF(ROW()-4+1&lt;=MATCH($B17&amp;"-Terminée",$L$4:$L$23,0),SUMIFS($Q$4:$Q17,$B$4:$B17,$B17)/24,SUMIFS(OFFSET($Q$4,MATCH($B17&amp;"-Terminée",$L$4:$L$23,0),0,ROW()-MATCH($B17&amp;"-Terminée",$L$4:$L$23,0)-3),OFFSET($B$4,MATCH($B17&amp;"-Terminée",$L$4:$L$23,0),0,ROW()-MATCH($B17&amp;"-Terminée",$L$4:$L$23,0)-3),$B17)/24),SUMIFS($Q$4:$Q17,$B$4:$B17,$B17)/24)</f>
        <v>2.4375</v>
      </c>
      <c r="V17" s="10"/>
    </row>
    <row r="18" spans="1:22" x14ac:dyDescent="0.3">
      <c r="A18" s="33">
        <f t="shared" si="1"/>
        <v>17</v>
      </c>
      <c r="B18" s="11">
        <v>400100103</v>
      </c>
      <c r="C18" s="9" t="s">
        <v>10</v>
      </c>
      <c r="D18" s="9"/>
      <c r="E18" s="12"/>
      <c r="F18" s="12"/>
      <c r="G18" s="12"/>
      <c r="H18" s="12"/>
      <c r="I18" s="12"/>
      <c r="J18" s="9"/>
      <c r="K18" s="9"/>
      <c r="L18" s="9"/>
      <c r="M18" s="9" t="str">
        <f>IF(TAstreinte[[#This Row],[Etat de la mesure]]="","",TAstreinte[[#This Row],[Identifiant ]]&amp;"-"&amp;TAstreinte[[#This Row],[Etat de la mesure]])</f>
        <v/>
      </c>
      <c r="N18" s="13">
        <v>44678.5</v>
      </c>
      <c r="O18" s="14">
        <v>44680.458333333336</v>
      </c>
      <c r="P18" s="26" t="str">
        <f>IF($N18="","",IF(O18="",(INT(Feuil2!$A$3-N18)&amp;" jour(s)"&amp;", "&amp;HOUR((Feuil2!$A$3-N18)-INT(Feuil2!$A$3-N18))&amp;" h"&amp;" et "&amp;MINUTE((Feuil2!$A$3-N18)-INT(Feuil2!$A$3-N18))&amp;" min"),IF(O18&lt;="",(INT(O18-N18)&amp;" jour(s)"&amp;", "&amp;HOUR((O18-N18)-INT(O18-N18))&amp;" h"&amp;" et "&amp;MINUTE((O18-N18)-INT(O18-N18))&amp;" min"))))</f>
        <v>1 jour(s), 23 h et 0 min</v>
      </c>
      <c r="Q18" s="27">
        <f>IF(N18="","",IF(O18="",Feuil2!$A$3-N18,O18-N18)*24)</f>
        <v>47.000000000058208</v>
      </c>
      <c r="R18" s="28">
        <f t="shared" si="0"/>
        <v>1.9583333333357587</v>
      </c>
      <c r="S18" s="28">
        <f>SUMIFS($Q$4:$Q18,$B$4:$B18,$B18)/24</f>
        <v>1.9583333333357587</v>
      </c>
      <c r="U18" s="28">
        <f ca="1">IFERROR(IF(ROW()-4+1&lt;=MATCH($B18&amp;"-Terminée",$L$4:$L$23,0),SUMIFS($Q$4:$Q18,$B$4:$B18,$B18)/24,SUMIFS(OFFSET($Q$4,MATCH($B18&amp;"-Terminée",$L$4:$L$23,0),0,ROW()-MATCH($B18&amp;"-Terminée",$L$4:$L$23,0)-3),OFFSET($B$4,MATCH($B18&amp;"-Terminée",$L$4:$L$23,0),0,ROW()-MATCH($B18&amp;"-Terminée",$L$4:$L$23,0)-3),$B18)/24),SUMIFS($Q$4:$Q18,$B$4:$B18,$B18)/24)</f>
        <v>1.9583333333357587</v>
      </c>
      <c r="V18" s="10"/>
    </row>
    <row r="19" spans="1:22" x14ac:dyDescent="0.3">
      <c r="A19" s="33">
        <f t="shared" si="1"/>
        <v>18</v>
      </c>
      <c r="B19" s="11">
        <v>102055259</v>
      </c>
      <c r="C19" s="9" t="s">
        <v>10</v>
      </c>
      <c r="D19" s="9"/>
      <c r="E19" s="12"/>
      <c r="F19" s="12"/>
      <c r="G19" s="12"/>
      <c r="H19" s="12"/>
      <c r="I19" s="12"/>
      <c r="J19" s="9"/>
      <c r="K19" s="9"/>
      <c r="L19" s="9"/>
      <c r="M19" s="9" t="str">
        <f>IF(TAstreinte[[#This Row],[Etat de la mesure]]="","",TAstreinte[[#This Row],[Identifiant ]]&amp;"-"&amp;TAstreinte[[#This Row],[Etat de la mesure]])</f>
        <v/>
      </c>
      <c r="N19" s="13">
        <v>44692.6875</v>
      </c>
      <c r="O19" s="14">
        <v>44697.416666666664</v>
      </c>
      <c r="P19" s="26" t="str">
        <f>IF($N19="","",IF(O19="",(INT(Feuil2!$A$3-N19)&amp;" jour(s)"&amp;", "&amp;HOUR((Feuil2!$A$3-N19)-INT(Feuil2!$A$3-N19))&amp;" h"&amp;" et "&amp;MINUTE((Feuil2!$A$3-N19)-INT(Feuil2!$A$3-N19))&amp;" min"),IF(O19&lt;="",(INT(O19-N19)&amp;" jour(s)"&amp;", "&amp;HOUR((O19-N19)-INT(O19-N19))&amp;" h"&amp;" et "&amp;MINUTE((O19-N19)-INT(O19-N19))&amp;" min"))))</f>
        <v>4 jour(s), 17 h et 30 min</v>
      </c>
      <c r="Q19" s="27">
        <f>IF(N19="","",IF(O19="",Feuil2!$A$3-N19,O19-N19)*24)</f>
        <v>113.49999999994179</v>
      </c>
      <c r="R19" s="28">
        <f t="shared" si="0"/>
        <v>4.7291666666642413</v>
      </c>
      <c r="S19" s="28">
        <f>SUMIFS($Q$4:$Q19,$B$4:$B19,$B19)/24</f>
        <v>6.5069444444379769</v>
      </c>
      <c r="U19" s="28">
        <f ca="1">IFERROR(IF(ROW()-4+1&lt;=MATCH($B19&amp;"-Terminée",$L$4:$L$23,0),SUMIFS($Q$4:$Q19,$B$4:$B19,$B19)/24,SUMIFS(OFFSET($Q$4,MATCH($B19&amp;"-Terminée",$L$4:$L$23,0),0,ROW()-MATCH($B19&amp;"-Terminée",$L$4:$L$23,0)-3),OFFSET($B$4,MATCH($B19&amp;"-Terminée",$L$4:$L$23,0),0,ROW()-MATCH($B19&amp;"-Terminée",$L$4:$L$23,0)-3),$B19)/24),SUMIFS($Q$4:$Q19,$B$4:$B19,$B19)/24)</f>
        <v>6.5069444444379769</v>
      </c>
      <c r="V19" s="10"/>
    </row>
    <row r="20" spans="1:22" x14ac:dyDescent="0.3">
      <c r="A20" s="33">
        <f t="shared" si="1"/>
        <v>19</v>
      </c>
      <c r="B20" s="11">
        <v>400100103</v>
      </c>
      <c r="C20" s="9" t="s">
        <v>10</v>
      </c>
      <c r="D20" s="9"/>
      <c r="E20" s="12"/>
      <c r="F20" s="12"/>
      <c r="G20" s="12"/>
      <c r="H20" s="12"/>
      <c r="I20" s="12"/>
      <c r="J20" s="9"/>
      <c r="K20" s="9"/>
      <c r="L20" s="9"/>
      <c r="M20" s="9" t="str">
        <f>IF(TAstreinte[[#This Row],[Etat de la mesure]]="","",TAstreinte[[#This Row],[Identifiant ]]&amp;"-"&amp;TAstreinte[[#This Row],[Etat de la mesure]])</f>
        <v/>
      </c>
      <c r="N20" s="13">
        <v>44702.875</v>
      </c>
      <c r="O20" s="14">
        <v>44703.395833333336</v>
      </c>
      <c r="P20" s="26" t="str">
        <f>IF($N20="","",IF(O20="",(INT(Feuil2!$A$3-N20)&amp;" jour(s)"&amp;", "&amp;HOUR((Feuil2!$A$3-N20)-INT(Feuil2!$A$3-N20))&amp;" h"&amp;" et "&amp;MINUTE((Feuil2!$A$3-N20)-INT(Feuil2!$A$3-N20))&amp;" min"),IF(O20&lt;="",(INT(O20-N20)&amp;" jour(s)"&amp;", "&amp;HOUR((O20-N20)-INT(O20-N20))&amp;" h"&amp;" et "&amp;MINUTE((O20-N20)-INT(O20-N20))&amp;" min"))))</f>
        <v>0 jour(s), 12 h et 30 min</v>
      </c>
      <c r="Q20" s="27">
        <f>IF(N20="","",IF(O20="",Feuil2!$A$3-N20,O20-N20)*24)</f>
        <v>12.500000000058208</v>
      </c>
      <c r="R20" s="28">
        <f t="shared" si="0"/>
        <v>0.52083333333575865</v>
      </c>
      <c r="S20" s="28">
        <f>SUMIFS($Q$4:$Q20,$B$4:$B20,$B20)/24</f>
        <v>2.4791666666715173</v>
      </c>
      <c r="U20" s="28">
        <f ca="1">IFERROR(IF(ROW()-4+1&lt;=MATCH($B20&amp;"-Terminée",$L$4:$L$23,0),SUMIFS($Q$4:$Q20,$B$4:$B20,$B20)/24,SUMIFS(OFFSET($Q$4,MATCH($B20&amp;"-Terminée",$L$4:$L$23,0),0,ROW()-MATCH($B20&amp;"-Terminée",$L$4:$L$23,0)-3),OFFSET($B$4,MATCH($B20&amp;"-Terminée",$L$4:$L$23,0),0,ROW()-MATCH($B20&amp;"-Terminée",$L$4:$L$23,0)-3),$B20)/24),SUMIFS($Q$4:$Q20,$B$4:$B20,$B20)/24)</f>
        <v>2.4791666666715173</v>
      </c>
      <c r="V20" s="10"/>
    </row>
    <row r="21" spans="1:22" x14ac:dyDescent="0.3">
      <c r="A21" s="33">
        <f t="shared" si="1"/>
        <v>20</v>
      </c>
      <c r="B21" s="11">
        <v>400175103</v>
      </c>
      <c r="C21" s="9" t="s">
        <v>10</v>
      </c>
      <c r="D21" s="9"/>
      <c r="E21" s="12"/>
      <c r="F21" s="12"/>
      <c r="G21" s="12"/>
      <c r="H21" s="12"/>
      <c r="I21" s="12"/>
      <c r="J21" s="9"/>
      <c r="K21" s="9"/>
      <c r="L21" s="9"/>
      <c r="M21" s="9" t="str">
        <f>IF(TAstreinte[[#This Row],[Etat de la mesure]]="","",TAstreinte[[#This Row],[Identifiant ]]&amp;"-"&amp;TAstreinte[[#This Row],[Etat de la mesure]])</f>
        <v/>
      </c>
      <c r="N21" s="13">
        <v>44703.597222222219</v>
      </c>
      <c r="O21" s="14"/>
      <c r="P21" s="26" t="str">
        <f ca="1">IF($N21="","",IF(O21="",(INT(Feuil2!$A$3-N21)&amp;" jour(s)"&amp;", "&amp;HOUR((Feuil2!$A$3-N21)-INT(Feuil2!$A$3-N21))&amp;" h"&amp;" et "&amp;MINUTE((Feuil2!$A$3-N21)-INT(Feuil2!$A$3-N21))&amp;" min"),IF(O21&lt;="",(INT(O21-N21)&amp;" jour(s)"&amp;", "&amp;HOUR((O21-N21)-INT(O21-N21))&amp;" h"&amp;" et "&amp;MINUTE((O21-N21)-INT(O21-N21))&amp;" min"))))</f>
        <v>2 jour(s), 8 h et 58 min</v>
      </c>
      <c r="Q21" s="27">
        <f ca="1">IF(N21="","",IF(O21="",Feuil2!$A$3-N21,O21-N21)*24)</f>
        <v>56.975236111145932</v>
      </c>
      <c r="R21" s="28">
        <f t="shared" ca="1" si="0"/>
        <v>2.3739681712977472</v>
      </c>
      <c r="S21" s="28">
        <f ca="1">SUMIFS($Q$4:$Q21,$B$4:$B21,$B21)/24</f>
        <v>2.3739681712977472</v>
      </c>
      <c r="U21" s="28">
        <f ca="1">IFERROR(IF(ROW()-4+1&lt;=MATCH($B21&amp;"-Terminée",$L$4:$L$23,0),SUMIFS($Q$4:$Q21,$B$4:$B21,$B21)/24,SUMIFS(OFFSET($Q$4,MATCH($B21&amp;"-Terminée",$L$4:$L$23,0),0,ROW()-MATCH($B21&amp;"-Terminée",$L$4:$L$23,0)-3),OFFSET($B$4,MATCH($B21&amp;"-Terminée",$L$4:$L$23,0),0,ROW()-MATCH($B21&amp;"-Terminée",$L$4:$L$23,0)-3),$B21)/24),SUMIFS($Q$4:$Q21,$B$4:$B21,$B21)/24)</f>
        <v>2.3739681712977472</v>
      </c>
      <c r="V21" s="10"/>
    </row>
    <row r="22" spans="1:22" x14ac:dyDescent="0.3">
      <c r="A22" s="33">
        <f t="shared" si="1"/>
        <v>21</v>
      </c>
      <c r="B22" s="11">
        <v>400103656</v>
      </c>
      <c r="C22" s="9" t="s">
        <v>9</v>
      </c>
      <c r="D22" s="9"/>
      <c r="E22" s="12"/>
      <c r="F22" s="12"/>
      <c r="G22" s="12"/>
      <c r="H22" s="12"/>
      <c r="I22" s="12"/>
      <c r="J22" s="9"/>
      <c r="K22" s="9"/>
      <c r="L22" s="9"/>
      <c r="M22" s="9" t="str">
        <f>IF(TAstreinte[[#This Row],[Etat de la mesure]]="","",TAstreinte[[#This Row],[Identifiant ]]&amp;"-"&amp;TAstreinte[[#This Row],[Etat de la mesure]])</f>
        <v/>
      </c>
      <c r="N22" s="13">
        <v>44704.506944444445</v>
      </c>
      <c r="O22" s="41"/>
      <c r="P22" s="42" t="str">
        <f ca="1">IF($N22="","",IF(O22="",(INT(Feuil2!$A$3-N22)&amp;" jour(s)"&amp;", "&amp;HOUR((Feuil2!$A$3-N22)-INT(Feuil2!$A$3-N22))&amp;" h"&amp;" et "&amp;MINUTE((Feuil2!$A$3-N22)-INT(Feuil2!$A$3-N22))&amp;" min"),IF(O22&lt;="",(INT(O22-N22)&amp;" jour(s)"&amp;", "&amp;HOUR((O22-N22)-INT(O22-N22))&amp;" h"&amp;" et "&amp;MINUTE((O22-N22)-INT(O22-N22))&amp;" min"))))</f>
        <v>1 jour(s), 11 h et 8 min</v>
      </c>
      <c r="Q22" s="43">
        <f ca="1">IF(N22="","",IF(O22="",Feuil2!$A$3-N22,O22-N22)*24)</f>
        <v>35.141902777715586</v>
      </c>
      <c r="R22" s="44">
        <f t="shared" ca="1" si="0"/>
        <v>1.4642459490714828</v>
      </c>
      <c r="S22" s="28">
        <f ca="1">SUMIFS($Q$4:$Q23,$B$4:$B23,$B22)/24</f>
        <v>9.0718848379619885</v>
      </c>
      <c r="U22" s="28">
        <f ca="1">IFERROR(IF(ROW()-4+1&lt;=MATCH($B22&amp;"-Terminée",$L$4:$L$23,0),SUMIFS($Q$4:$Q22,$B$4:$B22,$B22)/24,SUMIFS(OFFSET($Q$4,MATCH($B22&amp;"-Terminée",$L$4:$L$23,0),0,ROW()-MATCH($B22&amp;"-Terminée",$L$4:$L$23,0)-3),OFFSET($B$4,MATCH($B22&amp;"-Terminée",$L$4:$L$23,0),0,ROW()-MATCH($B22&amp;"-Terminée",$L$4:$L$23,0)-3),$B22)/24),SUMIFS($Q$4:$Q22,$B$4:$B22,$B22)/24)</f>
        <v>9.0718848379619885</v>
      </c>
      <c r="V22" s="10"/>
    </row>
    <row r="23" spans="1:22" x14ac:dyDescent="0.3">
      <c r="A23" s="33">
        <f>IF(B23="","",ROW(A22) )</f>
        <v>22</v>
      </c>
      <c r="B23" s="11">
        <v>409853214</v>
      </c>
      <c r="C23" s="9" t="s">
        <v>10</v>
      </c>
      <c r="D23" s="9"/>
      <c r="E23" s="12"/>
      <c r="F23" s="12"/>
      <c r="G23" s="12"/>
      <c r="H23" s="12"/>
      <c r="I23" s="12"/>
      <c r="J23" s="9"/>
      <c r="K23" s="9"/>
      <c r="L23" s="9"/>
      <c r="M23" s="9" t="str">
        <f>IF(TAstreinte[[#This Row],[Etat de la mesure]]="","",TAstreinte[[#This Row],[Identifiant ]]&amp;"-"&amp;TAstreinte[[#This Row],[Etat de la mesure]])</f>
        <v/>
      </c>
      <c r="N23" s="13">
        <v>44705.520833333336</v>
      </c>
      <c r="O23" s="41"/>
      <c r="P23" s="42" t="str">
        <f ca="1">IF($N23="","",IF(O23="",(INT(Feuil2!$A$3-N23)&amp;" jour(s)"&amp;", "&amp;HOUR((Feuil2!$A$3-N23)-INT(Feuil2!$A$3-N23))&amp;" h"&amp;" et "&amp;MINUTE((Feuil2!$A$3-N23)-INT(Feuil2!$A$3-N23))&amp;" min"),IF(O23&lt;="",(INT(O23-N23)&amp;" jour(s)"&amp;", "&amp;HOUR((O23-N23)-INT(O23-N23))&amp;" h"&amp;" et "&amp;MINUTE((O23-N23)-INT(O23-N23))&amp;" min"))))</f>
        <v>0 jour(s), 10 h et 48 min</v>
      </c>
      <c r="Q23" s="43">
        <f ca="1">IF(N23="","",IF(O23="",Feuil2!$A$3-N23,O23-N23)*24)</f>
        <v>10.808569444343448</v>
      </c>
      <c r="R23" s="44">
        <f t="shared" ca="1" si="0"/>
        <v>0.45035706018097699</v>
      </c>
      <c r="S23" s="44">
        <f ca="1">SUMIFS($Q$4:$Q23,$B$4:$B23,$B23)/24</f>
        <v>0.45035706018097699</v>
      </c>
      <c r="U23" s="28">
        <f ca="1">IFERROR(IF(ROW()-4+1&lt;=MATCH($B23&amp;"-Terminée",$L$4:$L$23,0),SUMIFS($Q$4:$Q23,$B$4:$B23,$B23)/24,SUMIFS(OFFSET($Q$4,MATCH($B23&amp;"-Terminée",$L$4:$L$23,0),0,ROW()-MATCH($B23&amp;"-Terminée",$L$4:$L$23,0)-3),OFFSET($B$4,MATCH($B23&amp;"-Terminée",$L$4:$L$23,0),0,ROW()-MATCH($B23&amp;"-Terminée",$L$4:$L$23,0)-3),$B23)/24),SUMIFS($Q$4:$Q23,$B$4:$B23,$B23)/24)</f>
        <v>0.45035706018097699</v>
      </c>
      <c r="V23" s="10"/>
    </row>
    <row r="24" spans="1:22" x14ac:dyDescent="0.3">
      <c r="B24" s="11"/>
      <c r="C24" s="9"/>
      <c r="D24" s="9"/>
      <c r="E24" s="9"/>
      <c r="F24" s="9"/>
      <c r="G24" s="9"/>
      <c r="H24" s="9"/>
      <c r="I24" s="9"/>
      <c r="J24" s="9"/>
      <c r="K24" s="22"/>
      <c r="L24" s="9"/>
      <c r="M24" s="9"/>
      <c r="N24" s="9"/>
      <c r="O24" s="13"/>
      <c r="P24" s="14"/>
      <c r="Q24" s="15"/>
      <c r="R24" s="26"/>
      <c r="S24" s="27"/>
    </row>
    <row r="25" spans="1:22" x14ac:dyDescent="0.3">
      <c r="B25" s="11"/>
      <c r="C25" s="9"/>
      <c r="D25" s="9"/>
      <c r="E25" s="9"/>
      <c r="F25" s="9"/>
      <c r="G25" s="9"/>
      <c r="H25" s="9"/>
      <c r="I25" s="9"/>
      <c r="J25" s="9"/>
      <c r="K25" s="22"/>
      <c r="L25" s="9"/>
      <c r="M25" s="9"/>
      <c r="N25" s="9"/>
      <c r="O25" s="13"/>
      <c r="P25" s="14"/>
      <c r="Q25" s="15"/>
      <c r="R25" s="26"/>
      <c r="S25" s="27"/>
    </row>
    <row r="26" spans="1:22" x14ac:dyDescent="0.3">
      <c r="B26" s="11"/>
      <c r="C26" s="9"/>
      <c r="D26" s="9"/>
      <c r="E26" s="9"/>
      <c r="F26" s="9"/>
      <c r="G26" s="9"/>
      <c r="H26" s="9"/>
      <c r="I26" s="9"/>
      <c r="J26" s="9"/>
      <c r="K26" s="22"/>
      <c r="L26" s="9"/>
      <c r="M26" s="9"/>
      <c r="N26" s="9"/>
      <c r="O26" s="13"/>
      <c r="P26" s="14"/>
      <c r="Q26" s="15"/>
      <c r="R26" s="26"/>
      <c r="S26" s="27"/>
    </row>
    <row r="27" spans="1:22" x14ac:dyDescent="0.3">
      <c r="B27" s="11"/>
      <c r="C27" s="9"/>
      <c r="D27" s="9"/>
      <c r="E27" s="9"/>
      <c r="F27" s="9"/>
      <c r="G27" s="9"/>
      <c r="H27" s="9"/>
      <c r="I27" s="9"/>
      <c r="J27" s="9"/>
      <c r="K27" s="22"/>
      <c r="L27" s="9"/>
      <c r="M27" s="9"/>
      <c r="N27" s="9"/>
      <c r="O27" s="13"/>
      <c r="P27" s="14"/>
      <c r="Q27" s="15"/>
      <c r="R27" s="26"/>
      <c r="S27" s="27"/>
    </row>
    <row r="28" spans="1:22" x14ac:dyDescent="0.3">
      <c r="B28" s="11"/>
      <c r="C28" s="9"/>
      <c r="D28" s="9"/>
      <c r="E28" s="9"/>
      <c r="F28" s="9"/>
      <c r="G28" s="9"/>
      <c r="H28" s="9"/>
      <c r="I28" s="9"/>
      <c r="J28" s="9"/>
      <c r="K28" s="22"/>
      <c r="L28" s="9"/>
      <c r="M28" s="9"/>
      <c r="N28" s="9"/>
      <c r="O28" s="13"/>
      <c r="P28" s="14"/>
      <c r="Q28" s="15"/>
      <c r="R28" s="26"/>
      <c r="S28" s="27"/>
    </row>
    <row r="29" spans="1:22" x14ac:dyDescent="0.3">
      <c r="B29" s="11"/>
      <c r="C29" s="9"/>
      <c r="D29" s="9"/>
      <c r="E29" s="9"/>
      <c r="F29" s="9"/>
      <c r="G29" s="9"/>
      <c r="H29" s="9"/>
      <c r="I29" s="9"/>
      <c r="J29" s="9"/>
      <c r="K29" s="22"/>
      <c r="L29" s="9"/>
      <c r="M29" s="9"/>
      <c r="N29" s="9"/>
      <c r="O29" s="13"/>
      <c r="P29" s="14"/>
      <c r="Q29" s="15"/>
      <c r="R29" s="26"/>
      <c r="S29" s="27"/>
    </row>
    <row r="30" spans="1:22" x14ac:dyDescent="0.3">
      <c r="B30" s="11"/>
      <c r="C30" s="9"/>
      <c r="D30" s="9"/>
      <c r="E30" s="9"/>
      <c r="F30" s="9"/>
      <c r="G30" s="9"/>
      <c r="H30" s="9"/>
      <c r="I30" s="9"/>
      <c r="J30" s="9"/>
      <c r="K30" s="22"/>
      <c r="L30" s="9"/>
      <c r="M30" s="9"/>
      <c r="N30" s="9"/>
      <c r="O30" s="13"/>
      <c r="P30" s="14"/>
      <c r="Q30" s="15"/>
      <c r="R30" s="26"/>
      <c r="S30" s="27"/>
    </row>
    <row r="31" spans="1:22" x14ac:dyDescent="0.3">
      <c r="B31" s="11"/>
      <c r="C31" s="9"/>
      <c r="D31" s="9"/>
      <c r="E31" s="9"/>
      <c r="F31" s="9"/>
      <c r="G31" s="9"/>
      <c r="H31" s="9"/>
      <c r="I31" s="9"/>
      <c r="J31" s="9"/>
      <c r="K31" s="22"/>
      <c r="L31" s="9"/>
      <c r="M31" s="9"/>
      <c r="N31" s="9"/>
      <c r="O31" s="13"/>
      <c r="P31" s="14"/>
      <c r="Q31" s="15"/>
      <c r="R31" s="26"/>
      <c r="S31" s="27"/>
    </row>
    <row r="32" spans="1:22" x14ac:dyDescent="0.3">
      <c r="B32" s="11"/>
      <c r="C32" s="9"/>
      <c r="D32" s="9"/>
      <c r="E32" s="9"/>
      <c r="F32" s="9"/>
      <c r="G32" s="9"/>
      <c r="H32" s="9"/>
      <c r="I32" s="9"/>
      <c r="J32" s="9"/>
      <c r="K32" s="22"/>
      <c r="L32" s="9"/>
      <c r="M32" s="9"/>
      <c r="N32" s="9"/>
      <c r="O32" s="13"/>
      <c r="P32" s="14"/>
      <c r="Q32" s="15"/>
      <c r="R32" s="26"/>
      <c r="S32" s="27"/>
    </row>
    <row r="33" spans="2:19" x14ac:dyDescent="0.3">
      <c r="B33" s="11"/>
      <c r="C33" s="9"/>
      <c r="D33" s="9"/>
      <c r="E33" s="9"/>
      <c r="F33" s="9"/>
      <c r="G33" s="9"/>
      <c r="H33" s="9"/>
      <c r="I33" s="9"/>
      <c r="J33" s="9"/>
      <c r="K33" s="22"/>
      <c r="L33" s="9"/>
      <c r="M33" s="9"/>
      <c r="N33" s="9"/>
      <c r="O33" s="13"/>
      <c r="P33" s="14"/>
      <c r="Q33" s="15"/>
      <c r="R33" s="26"/>
      <c r="S33" s="29"/>
    </row>
    <row r="34" spans="2:19" x14ac:dyDescent="0.3">
      <c r="B34" s="11"/>
      <c r="C34" s="9"/>
      <c r="D34" s="9"/>
      <c r="E34" s="9"/>
      <c r="F34" s="9"/>
      <c r="G34" s="9"/>
      <c r="H34" s="9"/>
      <c r="I34" s="9"/>
      <c r="J34" s="9"/>
      <c r="K34" s="22"/>
      <c r="L34" s="9"/>
      <c r="M34" s="9"/>
      <c r="N34" s="9"/>
      <c r="O34" s="13"/>
      <c r="P34" s="14"/>
      <c r="Q34" s="16"/>
      <c r="R34" s="26"/>
      <c r="S34" s="29"/>
    </row>
    <row r="35" spans="2:19" x14ac:dyDescent="0.3">
      <c r="B35" s="11"/>
      <c r="C35" s="9"/>
      <c r="D35" s="9"/>
      <c r="E35" s="9"/>
      <c r="F35" s="9"/>
      <c r="G35" s="9"/>
      <c r="H35" s="9"/>
      <c r="I35" s="9"/>
      <c r="J35" s="9"/>
      <c r="K35" s="22"/>
      <c r="L35" s="9"/>
      <c r="M35" s="9"/>
      <c r="N35" s="9"/>
      <c r="O35" s="13"/>
      <c r="P35" s="14"/>
      <c r="Q35" s="17"/>
      <c r="R35" s="26"/>
      <c r="S35" s="29"/>
    </row>
    <row r="36" spans="2:19" x14ac:dyDescent="0.3">
      <c r="B36" s="11"/>
      <c r="C36" s="9"/>
      <c r="D36" s="9"/>
      <c r="E36" s="9"/>
      <c r="F36" s="9"/>
      <c r="G36" s="9"/>
      <c r="H36" s="9"/>
      <c r="I36" s="9"/>
      <c r="J36" s="9"/>
      <c r="K36" s="22"/>
      <c r="L36" s="9"/>
      <c r="M36" s="9"/>
      <c r="N36" s="9"/>
      <c r="O36" s="13"/>
      <c r="P36" s="14"/>
      <c r="Q36" s="17"/>
      <c r="R36" s="27"/>
      <c r="S36" s="29"/>
    </row>
    <row r="37" spans="2:19" x14ac:dyDescent="0.3">
      <c r="B37" s="11"/>
      <c r="C37" s="9"/>
      <c r="D37" s="9"/>
      <c r="E37" s="9"/>
      <c r="F37" s="9"/>
      <c r="G37" s="9"/>
      <c r="H37" s="9"/>
      <c r="I37" s="9"/>
      <c r="J37" s="9"/>
      <c r="K37" s="22"/>
      <c r="L37" s="9"/>
      <c r="M37" s="9"/>
      <c r="N37" s="9"/>
      <c r="O37" s="13"/>
      <c r="P37" s="14"/>
      <c r="Q37" s="17"/>
      <c r="R37" s="27"/>
      <c r="S37" s="29"/>
    </row>
    <row r="38" spans="2:19" x14ac:dyDescent="0.3">
      <c r="B38" s="11"/>
      <c r="C38" s="9"/>
      <c r="D38" s="9"/>
      <c r="E38" s="9"/>
      <c r="F38" s="9"/>
      <c r="G38" s="9"/>
      <c r="H38" s="9"/>
      <c r="I38" s="9"/>
      <c r="J38" s="9"/>
      <c r="K38" s="22"/>
      <c r="L38" s="9"/>
      <c r="M38" s="9"/>
      <c r="N38" s="9"/>
      <c r="O38" s="13"/>
      <c r="P38" s="14"/>
      <c r="Q38" s="17"/>
      <c r="R38" s="27"/>
      <c r="S38" s="29"/>
    </row>
    <row r="39" spans="2:19" x14ac:dyDescent="0.3">
      <c r="B39" s="11"/>
      <c r="C39" s="9"/>
      <c r="D39" s="9"/>
      <c r="E39" s="9"/>
      <c r="F39" s="9"/>
      <c r="G39" s="9"/>
      <c r="H39" s="9"/>
      <c r="I39" s="9"/>
      <c r="J39" s="9"/>
      <c r="K39" s="22"/>
      <c r="L39" s="9"/>
      <c r="M39" s="9"/>
      <c r="N39" s="9"/>
      <c r="O39" s="13"/>
      <c r="P39" s="14"/>
      <c r="Q39" s="17"/>
      <c r="R39" s="27"/>
      <c r="S39" s="29"/>
    </row>
    <row r="40" spans="2:19" x14ac:dyDescent="0.3">
      <c r="B40" s="11"/>
      <c r="C40" s="9"/>
      <c r="D40" s="9"/>
      <c r="E40" s="9"/>
      <c r="F40" s="9"/>
      <c r="G40" s="9"/>
      <c r="H40" s="9"/>
      <c r="I40" s="9"/>
      <c r="J40" s="9"/>
      <c r="K40" s="22"/>
      <c r="L40" s="9"/>
      <c r="M40" s="9"/>
      <c r="N40" s="9"/>
      <c r="O40" s="13"/>
      <c r="P40" s="14"/>
      <c r="Q40" s="17"/>
      <c r="R40" s="27"/>
      <c r="S40" s="29"/>
    </row>
    <row r="41" spans="2:19" x14ac:dyDescent="0.3">
      <c r="B41" s="11"/>
      <c r="C41" s="9"/>
      <c r="D41" s="9"/>
      <c r="E41" s="9"/>
      <c r="F41" s="9"/>
      <c r="G41" s="9"/>
      <c r="H41" s="9"/>
      <c r="I41" s="9"/>
      <c r="J41" s="9"/>
      <c r="K41" s="22"/>
      <c r="L41" s="9"/>
      <c r="M41" s="9"/>
      <c r="N41" s="9"/>
      <c r="O41" s="13"/>
      <c r="P41" s="14"/>
      <c r="Q41" s="17"/>
      <c r="R41" s="27"/>
      <c r="S41" s="29"/>
    </row>
    <row r="42" spans="2:19" x14ac:dyDescent="0.3">
      <c r="B42" s="11"/>
      <c r="C42" s="9"/>
      <c r="D42" s="9"/>
      <c r="E42" s="9"/>
      <c r="F42" s="9"/>
      <c r="G42" s="9"/>
      <c r="H42" s="9"/>
      <c r="I42" s="9"/>
      <c r="J42" s="9"/>
      <c r="K42" s="22"/>
      <c r="L42" s="9"/>
      <c r="M42" s="9"/>
      <c r="N42" s="9"/>
      <c r="O42" s="13"/>
      <c r="P42" s="14"/>
      <c r="Q42" s="17"/>
      <c r="R42" s="27"/>
      <c r="S42" s="29"/>
    </row>
    <row r="43" spans="2:19" x14ac:dyDescent="0.3">
      <c r="B43" s="11"/>
      <c r="C43" s="9"/>
      <c r="D43" s="9"/>
      <c r="E43" s="9"/>
      <c r="F43" s="9"/>
      <c r="G43" s="9"/>
      <c r="H43" s="9"/>
      <c r="I43" s="9"/>
      <c r="J43" s="9"/>
      <c r="K43" s="22"/>
      <c r="L43" s="9"/>
      <c r="M43" s="9"/>
      <c r="N43" s="9"/>
      <c r="O43" s="13"/>
      <c r="P43" s="14"/>
      <c r="Q43" s="17"/>
      <c r="R43" s="27"/>
      <c r="S43" s="29"/>
    </row>
    <row r="44" spans="2:19" x14ac:dyDescent="0.3">
      <c r="B44" s="18"/>
      <c r="C44" s="19"/>
      <c r="D44" s="19"/>
      <c r="L44" s="9"/>
      <c r="M44" s="9"/>
      <c r="N44" s="9"/>
      <c r="O44" s="13"/>
      <c r="P44" s="14"/>
      <c r="Q44" s="17"/>
      <c r="R44" s="27"/>
      <c r="S44" s="29"/>
    </row>
    <row r="45" spans="2:19" x14ac:dyDescent="0.3">
      <c r="B45" s="18"/>
      <c r="C45" s="19"/>
      <c r="D45" s="19"/>
      <c r="E45" s="19"/>
      <c r="F45" s="19"/>
      <c r="G45" s="19"/>
      <c r="H45" s="19"/>
      <c r="I45" s="19"/>
      <c r="J45" s="19"/>
      <c r="K45" s="23"/>
      <c r="L45" s="9"/>
      <c r="M45" s="9"/>
      <c r="N45" s="9"/>
      <c r="O45" s="13"/>
      <c r="P45" s="14"/>
      <c r="Q45" s="17"/>
      <c r="R45" s="27"/>
      <c r="S45" s="29"/>
    </row>
    <row r="46" spans="2:19" x14ac:dyDescent="0.3">
      <c r="B46" s="18"/>
      <c r="C46" s="19"/>
      <c r="D46" s="19"/>
      <c r="L46" s="9"/>
      <c r="M46" s="9"/>
      <c r="N46" s="9"/>
      <c r="O46" s="13"/>
      <c r="P46" s="14"/>
      <c r="Q46" s="17"/>
      <c r="R46" s="27"/>
      <c r="S46" s="29"/>
    </row>
    <row r="47" spans="2:19" x14ac:dyDescent="0.3">
      <c r="B47" s="18"/>
      <c r="C47" s="19"/>
      <c r="D47" s="19"/>
      <c r="L47" s="9"/>
      <c r="M47" s="9"/>
      <c r="N47" s="9"/>
      <c r="O47" s="13"/>
      <c r="P47" s="14"/>
      <c r="Q47" s="17"/>
      <c r="R47" s="27"/>
      <c r="S47" s="29"/>
    </row>
    <row r="48" spans="2:19" x14ac:dyDescent="0.3">
      <c r="B48" s="18"/>
      <c r="C48" s="19"/>
      <c r="D48" s="19"/>
      <c r="E48" s="19"/>
      <c r="F48" s="19"/>
      <c r="G48" s="19"/>
      <c r="H48" s="19"/>
      <c r="I48" s="19"/>
    </row>
    <row r="49" spans="2:4" x14ac:dyDescent="0.3">
      <c r="B49" s="18"/>
      <c r="C49" s="19"/>
      <c r="D49" s="19"/>
    </row>
    <row r="50" spans="2:4" x14ac:dyDescent="0.3">
      <c r="B50" s="18"/>
      <c r="C50" s="19"/>
      <c r="D50" s="19"/>
    </row>
  </sheetData>
  <phoneticPr fontId="3" type="noConversion"/>
  <conditionalFormatting sqref="A4:A1002 P4:S1002">
    <cfRule type="expression" dxfId="7" priority="12">
      <formula>$B4&lt;&gt;""</formula>
    </cfRule>
  </conditionalFormatting>
  <conditionalFormatting sqref="B1:B1048576">
    <cfRule type="duplicateValues" dxfId="6" priority="11"/>
  </conditionalFormatting>
  <conditionalFormatting sqref="A4:S1002">
    <cfRule type="expression" dxfId="5" priority="10">
      <formula>$O4=""</formula>
    </cfRule>
    <cfRule type="expression" dxfId="4" priority="13">
      <formula>$B4&lt;&gt;""</formula>
    </cfRule>
  </conditionalFormatting>
  <conditionalFormatting sqref="U4:U23">
    <cfRule type="expression" dxfId="3" priority="2">
      <formula>$B4&lt;&gt;""</formula>
    </cfRule>
  </conditionalFormatting>
  <conditionalFormatting sqref="U4:U23">
    <cfRule type="expression" dxfId="2" priority="1">
      <formula>$O4=""</formula>
    </cfRule>
    <cfRule type="expression" dxfId="1" priority="3">
      <formula>$B4&lt;&gt;""</formula>
    </cfRule>
  </conditionalFormatting>
  <dataValidations count="1">
    <dataValidation type="custom" showErrorMessage="1" errorTitle="ATTENTION" error="Vous devez saisir le N° d'indentifiant patient (IPP) dans la colonne B" promptTitle="IMPORTANT" prompt="Veuillez saisir un N° IPP dans la colonne B" sqref="D4:J1004" xr:uid="{00000000-0002-0000-0000-000000000000}">
      <formula1>$B4&lt;&gt;""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Feuil2!$H$2:$H$3</xm:f>
          </x14:formula1>
          <xm:sqref>L4:L23</xm:sqref>
        </x14:dataValidation>
        <x14:dataValidation type="list" allowBlank="1" showInputMessage="1" showErrorMessage="1" errorTitle="ATTENTION" error="Vous devez choisir une réponse dans le menu déroulant …." promptTitle="Information" prompt="Choisir votre réponse dans le menu déroulant …." xr:uid="{00000000-0002-0000-0000-000002000000}">
          <x14:formula1>
            <xm:f>Feuil2!$D$2:$D$3</xm:f>
          </x14:formula1>
          <xm:sqref>C4:C23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H9"/>
  <sheetViews>
    <sheetView workbookViewId="0">
      <selection activeCell="D14" sqref="D14"/>
    </sheetView>
  </sheetViews>
  <sheetFormatPr baseColWidth="10" defaultColWidth="9.109375" defaultRowHeight="14.4" x14ac:dyDescent="0.3"/>
  <cols>
    <col min="1" max="1" width="22.5546875" style="4" customWidth="1"/>
    <col min="2" max="3" width="9.109375" style="1"/>
    <col min="4" max="4" width="11.5546875" style="1" customWidth="1"/>
    <col min="5" max="16384" width="9.109375" style="1"/>
  </cols>
  <sheetData>
    <row r="1" spans="1:8" x14ac:dyDescent="0.3">
      <c r="A1" s="3" t="s">
        <v>6</v>
      </c>
      <c r="D1" s="1" t="s">
        <v>7</v>
      </c>
      <c r="H1" s="1" t="s">
        <v>12</v>
      </c>
    </row>
    <row r="2" spans="1:8" x14ac:dyDescent="0.3">
      <c r="D2" s="1" t="s">
        <v>9</v>
      </c>
      <c r="H2" s="1" t="s">
        <v>13</v>
      </c>
    </row>
    <row r="3" spans="1:8" x14ac:dyDescent="0.3">
      <c r="A3" s="2">
        <f ca="1">NOW()</f>
        <v>44705.971190393517</v>
      </c>
      <c r="D3" s="1" t="s">
        <v>10</v>
      </c>
      <c r="H3" s="1" t="s">
        <v>20</v>
      </c>
    </row>
    <row r="5" spans="1:8" x14ac:dyDescent="0.3">
      <c r="A5" s="2">
        <f ca="1">A3-15</f>
        <v>44690.971190393517</v>
      </c>
    </row>
    <row r="6" spans="1:8" x14ac:dyDescent="0.3">
      <c r="A6" s="5"/>
    </row>
    <row r="7" spans="1:8" x14ac:dyDescent="0.3">
      <c r="A7" s="5"/>
    </row>
    <row r="8" spans="1:8" x14ac:dyDescent="0.3">
      <c r="A8" s="5"/>
    </row>
    <row r="9" spans="1:8" x14ac:dyDescent="0.3">
      <c r="A9" s="5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Bordier Martin</dc:creator>
  <cp:lastModifiedBy>Bordier Martin</cp:lastModifiedBy>
  <cp:lastPrinted>2022-03-25T13:31:51Z</cp:lastPrinted>
  <dcterms:created xsi:type="dcterms:W3CDTF">2022-03-22T11:46:08Z</dcterms:created>
  <dcterms:modified xsi:type="dcterms:W3CDTF">2022-05-24T21:19:06Z</dcterms:modified>
</cp:coreProperties>
</file>