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ompta\Downloads\"/>
    </mc:Choice>
  </mc:AlternateContent>
  <xr:revisionPtr revIDLastSave="0" documentId="13_ncr:1_{BC545728-B11B-4915-AEB4-6A4E216D864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" sheetId="31" r:id="rId1"/>
    <sheet name="Relevé annuel" sheetId="27" r:id="rId2"/>
    <sheet name="Synthèse annuelle" sheetId="29" r:id="rId3"/>
    <sheet name="Index" sheetId="30" r:id="rId4"/>
  </sheets>
  <externalReferences>
    <externalReference r:id="rId5"/>
  </externalReferences>
  <definedNames>
    <definedName name="_xlnm._FilterDatabase" localSheetId="3" hidden="1">Index!$K$1:$O$37</definedName>
    <definedName name="Abs">#REF!</definedName>
    <definedName name="An" localSheetId="3">Index!$B$1</definedName>
    <definedName name="Fériés" localSheetId="3">Index!$B$3:$D$15</definedName>
    <definedName name="Fériés" localSheetId="2">Index!$B$3:$D$15</definedName>
    <definedName name="Fériés">#REF!</definedName>
    <definedName name="Hmois">#REF!</definedName>
    <definedName name="Horaires" localSheetId="3">Index!$Q$1:$R$6</definedName>
    <definedName name="Horaires">#REF!</definedName>
    <definedName name="_xlnm.Print_Titles" localSheetId="1">'Relevé annuel'!$A:$A,'Relevé annuel'!$1:$5</definedName>
    <definedName name="Mois" localSheetId="3">Index!$G$2:$I$13</definedName>
    <definedName name="Mois" localSheetId="2">Index!$G$2:$H$13</definedName>
    <definedName name="MOYENNE">[1]FEVRIER!$A$3</definedName>
    <definedName name="Regroupement">Index!$M$1:$O$37</definedName>
    <definedName name="Services">Index!$K$1:$O$37</definedName>
    <definedName name="TAbs">#REF!</definedName>
    <definedName name="_xlnm.Print_Area" localSheetId="1">'Relevé annuel'!$A$1:$M$61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31" l="1"/>
  <c r="D8" i="29" l="1"/>
  <c r="E8" i="29"/>
  <c r="F8" i="29"/>
  <c r="G8" i="29"/>
  <c r="H8" i="29"/>
  <c r="I8" i="29"/>
  <c r="J8" i="29"/>
  <c r="K8" i="29"/>
  <c r="L8" i="29"/>
  <c r="M8" i="29"/>
  <c r="N8" i="29"/>
  <c r="O8" i="29"/>
  <c r="D9" i="29"/>
  <c r="E9" i="29"/>
  <c r="F9" i="29"/>
  <c r="G9" i="29"/>
  <c r="H9" i="29"/>
  <c r="I9" i="29"/>
  <c r="J9" i="29"/>
  <c r="K9" i="29"/>
  <c r="L9" i="29"/>
  <c r="M9" i="29"/>
  <c r="N9" i="29"/>
  <c r="O9" i="29"/>
  <c r="D10" i="29"/>
  <c r="E10" i="29"/>
  <c r="F10" i="29"/>
  <c r="G10" i="29"/>
  <c r="H10" i="29"/>
  <c r="I10" i="29"/>
  <c r="J10" i="29"/>
  <c r="K10" i="29"/>
  <c r="L10" i="29"/>
  <c r="M10" i="29"/>
  <c r="N10" i="29"/>
  <c r="O10" i="29"/>
  <c r="D11" i="29"/>
  <c r="E11" i="29"/>
  <c r="F11" i="29"/>
  <c r="G11" i="29"/>
  <c r="H11" i="29"/>
  <c r="I11" i="29"/>
  <c r="J11" i="29"/>
  <c r="K11" i="29"/>
  <c r="L11" i="29"/>
  <c r="M11" i="29"/>
  <c r="N11" i="29"/>
  <c r="O11" i="29"/>
  <c r="D12" i="29"/>
  <c r="E12" i="29"/>
  <c r="F12" i="29"/>
  <c r="G12" i="29"/>
  <c r="H12" i="29"/>
  <c r="I12" i="29"/>
  <c r="J12" i="29"/>
  <c r="K12" i="29"/>
  <c r="L12" i="29"/>
  <c r="M12" i="29"/>
  <c r="N12" i="29"/>
  <c r="O12" i="29"/>
  <c r="D13" i="29"/>
  <c r="E13" i="29"/>
  <c r="F13" i="29"/>
  <c r="G13" i="29"/>
  <c r="H13" i="29"/>
  <c r="I13" i="29"/>
  <c r="J13" i="29"/>
  <c r="K13" i="29"/>
  <c r="L13" i="29"/>
  <c r="M13" i="29"/>
  <c r="N13" i="29"/>
  <c r="O13" i="29"/>
  <c r="D14" i="29"/>
  <c r="E14" i="29"/>
  <c r="F14" i="29"/>
  <c r="G14" i="29"/>
  <c r="H14" i="29"/>
  <c r="I14" i="29"/>
  <c r="J14" i="29"/>
  <c r="K14" i="29"/>
  <c r="L14" i="29"/>
  <c r="M14" i="29"/>
  <c r="N14" i="29"/>
  <c r="O14" i="29"/>
  <c r="O7" i="29"/>
  <c r="N7" i="29"/>
  <c r="M7" i="29"/>
  <c r="L7" i="29"/>
  <c r="K7" i="29"/>
  <c r="J7" i="29"/>
  <c r="I7" i="29"/>
  <c r="H7" i="29"/>
  <c r="G7" i="29"/>
  <c r="F7" i="29"/>
  <c r="E7" i="29"/>
  <c r="D7" i="29"/>
  <c r="B1" i="30" l="1"/>
  <c r="A2" i="29"/>
  <c r="D6" i="31" l="1"/>
  <c r="C38" i="29"/>
  <c r="C33" i="29"/>
  <c r="C32" i="29"/>
  <c r="C31" i="29"/>
  <c r="C30" i="29"/>
  <c r="C29" i="29"/>
  <c r="C28" i="29"/>
  <c r="C27" i="29"/>
  <c r="C26" i="29"/>
  <c r="C25" i="29"/>
  <c r="C24" i="29"/>
  <c r="C23" i="29"/>
  <c r="C22" i="29"/>
  <c r="C21" i="29"/>
  <c r="C20" i="29"/>
  <c r="C19" i="29"/>
  <c r="C18" i="29"/>
  <c r="C17" i="29"/>
  <c r="C16" i="29"/>
  <c r="C15" i="29"/>
  <c r="C14" i="29"/>
  <c r="C13" i="29"/>
  <c r="C12" i="29"/>
  <c r="C11" i="29"/>
  <c r="C10" i="29"/>
  <c r="C9" i="29"/>
  <c r="C8" i="29"/>
  <c r="C7" i="29"/>
  <c r="M45" i="29" l="1"/>
  <c r="M49" i="29"/>
  <c r="M53" i="29"/>
  <c r="M57" i="29"/>
  <c r="L43" i="29"/>
  <c r="L47" i="29"/>
  <c r="L55" i="29"/>
  <c r="K45" i="29"/>
  <c r="K53" i="29"/>
  <c r="J51" i="29"/>
  <c r="I45" i="29"/>
  <c r="I53" i="29"/>
  <c r="H51" i="29"/>
  <c r="O43" i="29"/>
  <c r="O47" i="29"/>
  <c r="O51" i="29"/>
  <c r="O55" i="29"/>
  <c r="N45" i="29"/>
  <c r="N49" i="29"/>
  <c r="N53" i="29"/>
  <c r="N57" i="29"/>
  <c r="M43" i="29"/>
  <c r="M47" i="29"/>
  <c r="M51" i="29"/>
  <c r="M55" i="29"/>
  <c r="L51" i="29"/>
  <c r="K49" i="29"/>
  <c r="K57" i="29"/>
  <c r="J43" i="29"/>
  <c r="J47" i="29"/>
  <c r="J55" i="29"/>
  <c r="I49" i="29"/>
  <c r="I57" i="29"/>
  <c r="H43" i="29"/>
  <c r="H47" i="29"/>
  <c r="H55" i="29"/>
  <c r="D55" i="29" a="1"/>
  <c r="D55" i="29" s="1"/>
  <c r="E45" i="29"/>
  <c r="F51" i="29"/>
  <c r="G57" i="29"/>
  <c r="G49" i="29"/>
  <c r="J57" i="29"/>
  <c r="D53" i="29" a="1"/>
  <c r="D53" i="29" s="1"/>
  <c r="D45" i="29" a="1"/>
  <c r="D45" i="29" s="1"/>
  <c r="E51" i="29"/>
  <c r="E43" i="29"/>
  <c r="F57" i="29"/>
  <c r="F49" i="29"/>
  <c r="G55" i="29"/>
  <c r="G47" i="29"/>
  <c r="H57" i="29"/>
  <c r="I47" i="29"/>
  <c r="J53" i="29"/>
  <c r="K43" i="29"/>
  <c r="L49" i="29"/>
  <c r="D51" i="29" a="1"/>
  <c r="D51" i="29" s="1"/>
  <c r="D43" i="29" a="1"/>
  <c r="D43" i="29" s="1"/>
  <c r="E57" i="29"/>
  <c r="E49" i="29"/>
  <c r="F55" i="29"/>
  <c r="F47" i="29"/>
  <c r="G53" i="29"/>
  <c r="G45" i="29"/>
  <c r="H53" i="29"/>
  <c r="I43" i="29"/>
  <c r="J49" i="29"/>
  <c r="K55" i="29"/>
  <c r="L45" i="29"/>
  <c r="D57" i="29" a="1"/>
  <c r="D57" i="29" s="1"/>
  <c r="D49" i="29" a="1"/>
  <c r="D49" i="29" s="1"/>
  <c r="E55" i="29"/>
  <c r="E47" i="29"/>
  <c r="F53" i="29"/>
  <c r="F45" i="29"/>
  <c r="G51" i="29"/>
  <c r="G43" i="29"/>
  <c r="H49" i="29"/>
  <c r="I55" i="29"/>
  <c r="J45" i="29"/>
  <c r="K51" i="29"/>
  <c r="L57" i="29"/>
  <c r="D47" i="29" a="1"/>
  <c r="D47" i="29" s="1"/>
  <c r="E53" i="29"/>
  <c r="F43" i="29"/>
  <c r="H45" i="29"/>
  <c r="I51" i="29"/>
  <c r="K47" i="29"/>
  <c r="L53" i="29"/>
  <c r="D58" i="29" a="1"/>
  <c r="D58" i="29" s="1"/>
  <c r="D54" i="29" a="1"/>
  <c r="D54" i="29" s="1"/>
  <c r="D50" i="29" a="1"/>
  <c r="D50" i="29" s="1"/>
  <c r="D46" i="29" a="1"/>
  <c r="D46" i="29" s="1"/>
  <c r="D42" i="29" a="1"/>
  <c r="D42" i="29" s="1"/>
  <c r="E56" i="29"/>
  <c r="E52" i="29"/>
  <c r="E48" i="29"/>
  <c r="E44" i="29"/>
  <c r="F58" i="29"/>
  <c r="F54" i="29"/>
  <c r="F50" i="29"/>
  <c r="F46" i="29"/>
  <c r="F42" i="29"/>
  <c r="G56" i="29"/>
  <c r="G52" i="29"/>
  <c r="G48" i="29"/>
  <c r="G44" i="29"/>
  <c r="H58" i="29"/>
  <c r="H54" i="29"/>
  <c r="H50" i="29"/>
  <c r="H46" i="29"/>
  <c r="H42" i="29"/>
  <c r="I56" i="29"/>
  <c r="I52" i="29"/>
  <c r="I48" i="29"/>
  <c r="I44" i="29"/>
  <c r="J58" i="29"/>
  <c r="J54" i="29"/>
  <c r="J50" i="29"/>
  <c r="J46" i="29"/>
  <c r="J42" i="29"/>
  <c r="K56" i="29"/>
  <c r="K52" i="29"/>
  <c r="K48" i="29"/>
  <c r="K44" i="29"/>
  <c r="L58" i="29"/>
  <c r="L54" i="29"/>
  <c r="L50" i="29"/>
  <c r="L46" i="29"/>
  <c r="L42" i="29"/>
  <c r="M56" i="29"/>
  <c r="M52" i="29"/>
  <c r="M48" i="29"/>
  <c r="M44" i="29"/>
  <c r="N58" i="29"/>
  <c r="N54" i="29"/>
  <c r="N50" i="29"/>
  <c r="N46" i="29"/>
  <c r="N42" i="29"/>
  <c r="O56" i="29"/>
  <c r="O52" i="29"/>
  <c r="O48" i="29"/>
  <c r="O44" i="29"/>
  <c r="D56" i="29" a="1"/>
  <c r="D56" i="29" s="1"/>
  <c r="D52" i="29" a="1"/>
  <c r="D52" i="29" s="1"/>
  <c r="D48" i="29" a="1"/>
  <c r="D48" i="29" s="1"/>
  <c r="D44" i="29" a="1"/>
  <c r="D44" i="29" s="1"/>
  <c r="E58" i="29"/>
  <c r="E54" i="29"/>
  <c r="E50" i="29"/>
  <c r="E46" i="29"/>
  <c r="E42" i="29"/>
  <c r="F56" i="29"/>
  <c r="F52" i="29"/>
  <c r="F48" i="29"/>
  <c r="F44" i="29"/>
  <c r="G58" i="29"/>
  <c r="G54" i="29"/>
  <c r="G50" i="29"/>
  <c r="G46" i="29"/>
  <c r="G42" i="29"/>
  <c r="H56" i="29"/>
  <c r="H52" i="29"/>
  <c r="H48" i="29"/>
  <c r="H44" i="29"/>
  <c r="I58" i="29"/>
  <c r="I54" i="29"/>
  <c r="I50" i="29"/>
  <c r="I46" i="29"/>
  <c r="I42" i="29"/>
  <c r="J56" i="29"/>
  <c r="J52" i="29"/>
  <c r="J48" i="29"/>
  <c r="J44" i="29"/>
  <c r="K58" i="29"/>
  <c r="K54" i="29"/>
  <c r="K50" i="29"/>
  <c r="K46" i="29"/>
  <c r="K42" i="29"/>
  <c r="L56" i="29"/>
  <c r="L52" i="29"/>
  <c r="L48" i="29"/>
  <c r="L44" i="29"/>
  <c r="M58" i="29"/>
  <c r="M54" i="29"/>
  <c r="M50" i="29"/>
  <c r="M46" i="29"/>
  <c r="M42" i="29"/>
  <c r="N56" i="29"/>
  <c r="N52" i="29"/>
  <c r="N48" i="29"/>
  <c r="N44" i="29"/>
  <c r="O58" i="29"/>
  <c r="O54" i="29"/>
  <c r="O50" i="29"/>
  <c r="O46" i="29"/>
  <c r="O42" i="29"/>
  <c r="N55" i="29"/>
  <c r="N51" i="29"/>
  <c r="N47" i="29"/>
  <c r="N43" i="29"/>
  <c r="O57" i="29"/>
  <c r="O53" i="29"/>
  <c r="O49" i="29"/>
  <c r="O45" i="29"/>
  <c r="M4" i="27"/>
  <c r="O71" i="29" s="1"/>
  <c r="J4" i="27"/>
  <c r="L71" i="29" s="1"/>
  <c r="F4" i="27"/>
  <c r="H71" i="29" s="1"/>
  <c r="E4" i="27"/>
  <c r="G71" i="29" s="1"/>
  <c r="L4" i="27"/>
  <c r="N71" i="29" s="1"/>
  <c r="H4" i="27"/>
  <c r="J71" i="29" s="1"/>
  <c r="D4" i="27"/>
  <c r="F71" i="29" s="1"/>
  <c r="I4" i="27"/>
  <c r="K71" i="29" s="1"/>
  <c r="K4" i="27"/>
  <c r="M71" i="29" s="1"/>
  <c r="G4" i="27"/>
  <c r="I71" i="29" s="1"/>
  <c r="C4" i="27"/>
  <c r="E71" i="29" s="1"/>
  <c r="B11" i="30"/>
  <c r="B3" i="30"/>
  <c r="B14" i="30"/>
  <c r="B34" i="29"/>
  <c r="B33" i="29"/>
  <c r="B32" i="29"/>
  <c r="B31" i="29"/>
  <c r="B30" i="29"/>
  <c r="B29" i="29"/>
  <c r="C58" i="29"/>
  <c r="B58" i="29"/>
  <c r="B28" i="29"/>
  <c r="C57" i="29"/>
  <c r="B57" i="29"/>
  <c r="B27" i="29"/>
  <c r="C56" i="29"/>
  <c r="B56" i="29"/>
  <c r="B26" i="29"/>
  <c r="C55" i="29"/>
  <c r="B55" i="29"/>
  <c r="B25" i="29"/>
  <c r="C54" i="29"/>
  <c r="B54" i="29"/>
  <c r="B24" i="29"/>
  <c r="C53" i="29"/>
  <c r="B53" i="29"/>
  <c r="B23" i="29"/>
  <c r="C52" i="29"/>
  <c r="B52" i="29"/>
  <c r="B22" i="29"/>
  <c r="C51" i="29"/>
  <c r="B51" i="29"/>
  <c r="B21" i="29"/>
  <c r="C50" i="29"/>
  <c r="B50" i="29"/>
  <c r="B20" i="29"/>
  <c r="C49" i="29"/>
  <c r="B49" i="29"/>
  <c r="B19" i="29"/>
  <c r="C48" i="29"/>
  <c r="B48" i="29"/>
  <c r="B18" i="29"/>
  <c r="C47" i="29"/>
  <c r="B47" i="29"/>
  <c r="B17" i="29"/>
  <c r="C46" i="29"/>
  <c r="B46" i="29"/>
  <c r="B16" i="29"/>
  <c r="C45" i="29"/>
  <c r="B45" i="29"/>
  <c r="B15" i="29"/>
  <c r="C44" i="29"/>
  <c r="B44" i="29"/>
  <c r="B14" i="29"/>
  <c r="C43" i="29"/>
  <c r="B43" i="29"/>
  <c r="B13" i="29"/>
  <c r="C42" i="29"/>
  <c r="B42" i="29"/>
  <c r="B12" i="29"/>
  <c r="C41" i="29"/>
  <c r="B41" i="29"/>
  <c r="B11" i="29"/>
  <c r="C40" i="29"/>
  <c r="B40" i="29"/>
  <c r="B10" i="29"/>
  <c r="C39" i="29"/>
  <c r="B39" i="29"/>
  <c r="B9" i="29"/>
  <c r="B38" i="29"/>
  <c r="B8" i="29"/>
  <c r="C37" i="29"/>
  <c r="B37" i="29"/>
  <c r="B7" i="29"/>
  <c r="O62" i="29" l="1"/>
  <c r="M62" i="29"/>
  <c r="K62" i="29"/>
  <c r="I62" i="29"/>
  <c r="G62" i="29"/>
  <c r="E62" i="29"/>
  <c r="L62" i="29"/>
  <c r="H62" i="29"/>
  <c r="D62" i="29" a="1"/>
  <c r="D62" i="29" s="1"/>
  <c r="N62" i="29"/>
  <c r="J62" i="29"/>
  <c r="F62" i="29"/>
  <c r="B7" i="30"/>
  <c r="B15" i="30"/>
  <c r="B4" i="30"/>
  <c r="B12" i="30"/>
  <c r="B13" i="30"/>
  <c r="B6" i="30"/>
  <c r="B9" i="30" l="1"/>
  <c r="B10" i="30" s="1"/>
  <c r="B5" i="30"/>
  <c r="B8" i="30"/>
  <c r="E41" i="29" l="1"/>
  <c r="E40" i="29"/>
  <c r="E39" i="29"/>
  <c r="E38" i="29"/>
  <c r="O38" i="29" l="1"/>
  <c r="N38" i="29"/>
  <c r="M38" i="29"/>
  <c r="L38" i="29"/>
  <c r="K38" i="29"/>
  <c r="J38" i="29"/>
  <c r="I38" i="29"/>
  <c r="H38" i="29"/>
  <c r="G38" i="29"/>
  <c r="F38" i="29"/>
  <c r="O39" i="29"/>
  <c r="M39" i="29"/>
  <c r="L39" i="29"/>
  <c r="I39" i="29"/>
  <c r="F39" i="29"/>
  <c r="O40" i="29"/>
  <c r="N40" i="29"/>
  <c r="M40" i="29"/>
  <c r="L40" i="29"/>
  <c r="K40" i="29"/>
  <c r="J40" i="29"/>
  <c r="I40" i="29"/>
  <c r="H40" i="29"/>
  <c r="G40" i="29"/>
  <c r="F40" i="29"/>
  <c r="J39" i="29"/>
  <c r="G39" i="29"/>
  <c r="O41" i="29"/>
  <c r="N41" i="29"/>
  <c r="M41" i="29"/>
  <c r="L41" i="29"/>
  <c r="K41" i="29"/>
  <c r="J41" i="29"/>
  <c r="I41" i="29"/>
  <c r="H41" i="29"/>
  <c r="G41" i="29"/>
  <c r="F41" i="29"/>
  <c r="N39" i="29"/>
  <c r="K39" i="29"/>
  <c r="H39" i="29"/>
  <c r="D41" i="29" a="1"/>
  <c r="D41" i="29" s="1"/>
  <c r="D38" i="29" a="1"/>
  <c r="D38" i="29" s="1"/>
  <c r="D39" i="29" a="1"/>
  <c r="D39" i="29" s="1"/>
  <c r="D40" i="29" a="1"/>
  <c r="D40" i="29" s="1"/>
  <c r="F37" i="29" l="1"/>
  <c r="F63" i="29" s="1"/>
  <c r="F65" i="29" s="1"/>
  <c r="F70" i="29" s="1"/>
  <c r="H5" i="29"/>
  <c r="G5" i="29"/>
  <c r="H37" i="29"/>
  <c r="H63" i="29" s="1"/>
  <c r="H65" i="29" s="1"/>
  <c r="H70" i="29" s="1"/>
  <c r="K5" i="29"/>
  <c r="L5" i="29"/>
  <c r="O5" i="29"/>
  <c r="J37" i="29"/>
  <c r="J63" i="29" s="1"/>
  <c r="J65" i="29" s="1"/>
  <c r="J70" i="29" s="1"/>
  <c r="L37" i="29"/>
  <c r="L63" i="29" s="1"/>
  <c r="L65" i="29" s="1"/>
  <c r="L70" i="29" s="1"/>
  <c r="N37" i="29"/>
  <c r="N63" i="29" s="1"/>
  <c r="N65" i="29" s="1"/>
  <c r="N70" i="29" s="1"/>
  <c r="E5" i="29"/>
  <c r="E37" i="29"/>
  <c r="E63" i="29" s="1"/>
  <c r="E65" i="29" s="1"/>
  <c r="E70" i="29" s="1"/>
  <c r="F5" i="29"/>
  <c r="I5" i="29"/>
  <c r="G37" i="29"/>
  <c r="G63" i="29" s="1"/>
  <c r="G65" i="29" s="1"/>
  <c r="G70" i="29" s="1"/>
  <c r="J5" i="29"/>
  <c r="I37" i="29"/>
  <c r="I63" i="29" s="1"/>
  <c r="I65" i="29" s="1"/>
  <c r="I70" i="29" s="1"/>
  <c r="M5" i="29"/>
  <c r="N5" i="29"/>
  <c r="K37" i="29"/>
  <c r="K63" i="29" s="1"/>
  <c r="K65" i="29" s="1"/>
  <c r="K70" i="29" s="1"/>
  <c r="M37" i="29"/>
  <c r="M63" i="29" s="1"/>
  <c r="M65" i="29" s="1"/>
  <c r="M70" i="29" s="1"/>
  <c r="O37" i="29"/>
  <c r="O63" i="29" s="1"/>
  <c r="O65" i="29" s="1"/>
  <c r="O70" i="29" s="1"/>
  <c r="D37" i="29" a="1"/>
  <c r="D37" i="29" s="1"/>
  <c r="D63" i="29" s="1" a="1"/>
  <c r="D63" i="29" s="1"/>
  <c r="D5" i="29"/>
  <c r="B4" i="27" l="1"/>
  <c r="D71" i="29" s="1"/>
  <c r="D65" i="29" l="1"/>
  <c r="D70" i="29" s="1"/>
</calcChain>
</file>

<file path=xl/sharedStrings.xml><?xml version="1.0" encoding="utf-8"?>
<sst xmlns="http://schemas.openxmlformats.org/spreadsheetml/2006/main" count="750" uniqueCount="199">
  <si>
    <t>Jour de l'an</t>
  </si>
  <si>
    <t>F</t>
  </si>
  <si>
    <t>Pâques</t>
  </si>
  <si>
    <t>-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</si>
  <si>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</si>
  <si>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</si>
  <si>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</si>
  <si>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</si>
  <si>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</si>
  <si>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</si>
  <si>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</si>
  <si>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</si>
  <si>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</si>
  <si>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</si>
  <si>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</si>
  <si>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</si>
  <si>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</si>
  <si>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</si>
  <si>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</si>
  <si>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</si>
  <si>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</si>
  <si>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</si>
  <si>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</si>
  <si>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</si>
  <si>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</si>
  <si>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</si>
  <si>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</si>
  <si>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</si>
  <si>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SERV</t>
  </si>
  <si>
    <t>Nom de l'employé</t>
  </si>
  <si>
    <t>MONT</t>
  </si>
  <si>
    <t>PEINT</t>
  </si>
  <si>
    <t>COM</t>
  </si>
  <si>
    <t>CONT</t>
  </si>
  <si>
    <t>MAG</t>
  </si>
  <si>
    <t>Mois</t>
  </si>
  <si>
    <t>CH</t>
  </si>
  <si>
    <t>CPTA</t>
  </si>
  <si>
    <t>QUAL</t>
  </si>
  <si>
    <t>DIR</t>
  </si>
  <si>
    <t>EXP</t>
  </si>
  <si>
    <t>5J</t>
  </si>
  <si>
    <t>4J</t>
  </si>
  <si>
    <t>5J+</t>
  </si>
  <si>
    <t>5J++</t>
  </si>
  <si>
    <t>5 jours 35 heures</t>
  </si>
  <si>
    <t>4 jours 35 heures</t>
  </si>
  <si>
    <t>5 jours 39 heures</t>
  </si>
  <si>
    <t>4J+</t>
  </si>
  <si>
    <t>5 jours mise à dispo</t>
  </si>
  <si>
    <t>Code</t>
  </si>
  <si>
    <t>Détails horaires</t>
  </si>
  <si>
    <t>4 jours 39 heures</t>
  </si>
  <si>
    <t>INFO</t>
  </si>
  <si>
    <t>CONT/QUAL</t>
  </si>
  <si>
    <t>LOG</t>
  </si>
  <si>
    <t>SEC</t>
  </si>
  <si>
    <t>PREPA</t>
  </si>
  <si>
    <t>MAND</t>
  </si>
  <si>
    <t>QUAL/PEINT</t>
  </si>
  <si>
    <t xml:space="preserve">Les jours fériés sont les jours de fêtes légales énumérés par le Code du travail : 1er janvier, lundi de Pâques, 1er mai, 8 mai, Ascension, lundi de Pentecôte, 14 juillet, Assomption (15 août), Toussaint, 11 novembre, 25 décembre. </t>
  </si>
  <si>
    <t>ETAB</t>
  </si>
  <si>
    <t>Service</t>
  </si>
  <si>
    <t>Synthèse par service</t>
  </si>
  <si>
    <t>Synthèse par regroupement</t>
  </si>
  <si>
    <t>Synthèse par Etat</t>
  </si>
  <si>
    <t>Libellé</t>
  </si>
  <si>
    <t>Regroupement</t>
  </si>
  <si>
    <t>Etat</t>
  </si>
  <si>
    <t>ETAT</t>
  </si>
  <si>
    <t>ADM</t>
  </si>
  <si>
    <t>MONTAGE</t>
  </si>
  <si>
    <t>IMPROD</t>
  </si>
  <si>
    <t>MAG/PREPA</t>
  </si>
  <si>
    <t>Total général production</t>
  </si>
  <si>
    <t>Taux d'improduction</t>
  </si>
  <si>
    <t>Marge brute</t>
  </si>
  <si>
    <t>Taux horaire productif</t>
  </si>
  <si>
    <t>Taux horaire global</t>
  </si>
  <si>
    <t>Code service</t>
  </si>
  <si>
    <t>Services</t>
  </si>
  <si>
    <t>Chaudronnerie</t>
  </si>
  <si>
    <t>PROD</t>
  </si>
  <si>
    <t>Commercial</t>
  </si>
  <si>
    <t>Contrôle</t>
  </si>
  <si>
    <t>Contrôle &amp; Qualité</t>
  </si>
  <si>
    <t>Comptabilité</t>
  </si>
  <si>
    <t>Administratif</t>
  </si>
  <si>
    <t>Direction</t>
  </si>
  <si>
    <t>Expédition</t>
  </si>
  <si>
    <t>Informatique</t>
  </si>
  <si>
    <t>Logistique</t>
  </si>
  <si>
    <t>Magasin</t>
  </si>
  <si>
    <t>Mandataire</t>
  </si>
  <si>
    <t>Montage</t>
  </si>
  <si>
    <t>Peinture</t>
  </si>
  <si>
    <t>Préparation</t>
  </si>
  <si>
    <t>Magasin &amp; Préparation</t>
  </si>
  <si>
    <t>Qualité</t>
  </si>
  <si>
    <t>Qualité &amp; Peintture</t>
  </si>
  <si>
    <t>Secrétariat</t>
  </si>
  <si>
    <t>Nettoyage</t>
  </si>
  <si>
    <t>Courses</t>
  </si>
  <si>
    <t>Four</t>
  </si>
  <si>
    <t>Travaux SFIB</t>
  </si>
  <si>
    <t>Encadrement</t>
  </si>
  <si>
    <t>Marquage</t>
  </si>
  <si>
    <t>Décapage</t>
  </si>
  <si>
    <t>ContrôlePE</t>
  </si>
  <si>
    <t>Préparation PE</t>
  </si>
  <si>
    <t>Travaux Gérard</t>
  </si>
  <si>
    <t>Retouches suite à défauts</t>
  </si>
  <si>
    <t>Emballage</t>
  </si>
  <si>
    <t>Délégation</t>
  </si>
  <si>
    <t>Nettoyage Atelier Montage</t>
  </si>
  <si>
    <t>Courses Atelier Montage</t>
  </si>
  <si>
    <t>Travaux pour Gérard Atelier Montage</t>
  </si>
  <si>
    <t>Contrôle Atelier Montage</t>
  </si>
  <si>
    <t>Réception kits Atelier Montage</t>
  </si>
  <si>
    <t>Encadrement Atelier Montage</t>
  </si>
  <si>
    <t>Total des heures mensuelles</t>
  </si>
  <si>
    <t>Total heures</t>
  </si>
  <si>
    <t>Copie du tableau de la prépa paye issu du fichier de relevé d'heure</t>
  </si>
  <si>
    <t>Relevé Annuel des Heures Mensuelles</t>
  </si>
  <si>
    <t>Synthèse annuelle des heures</t>
  </si>
  <si>
    <t>ANNEE</t>
  </si>
  <si>
    <t>Mois de copie</t>
  </si>
  <si>
    <t>Heures mensuelles</t>
  </si>
  <si>
    <t>B</t>
  </si>
  <si>
    <t>C</t>
  </si>
  <si>
    <t>D</t>
  </si>
  <si>
    <t>I</t>
  </si>
  <si>
    <t>L</t>
  </si>
  <si>
    <t>E</t>
  </si>
  <si>
    <t>G</t>
  </si>
  <si>
    <t>H</t>
  </si>
  <si>
    <t>J</t>
  </si>
  <si>
    <t>K</t>
  </si>
  <si>
    <t>M</t>
  </si>
  <si>
    <t>Colonne destination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</si>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</sst>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dd\ dd\ mmmm\ yyyy"/>
    <numFmt numFmtId="165" formatCode="_-* #,##0_-;\-* #,##0_-;_-* &quot;-&quot;??_-;_-@_-"/>
  </numFmts>
  <fonts count="25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Tahoma"/>
      <family val="2"/>
    </font>
    <font>
      <sz val="8"/>
      <name val="Tahoma"/>
      <family val="2"/>
    </font>
    <font>
      <sz val="18"/>
      <color theme="1"/>
      <name val="Calibri"/>
      <family val="2"/>
      <scheme val="minor"/>
    </font>
    <font>
      <sz val="8"/>
      <color theme="0"/>
      <name val="Tahoma"/>
      <family val="2"/>
    </font>
    <font>
      <b/>
      <sz val="8"/>
      <color theme="0"/>
      <name val="Tahoma"/>
      <family val="2"/>
    </font>
    <font>
      <sz val="11"/>
      <color indexed="8"/>
      <name val="Calibri"/>
      <family val="2"/>
    </font>
    <font>
      <b/>
      <u/>
      <sz val="16"/>
      <name val="Verdana"/>
      <family val="2"/>
    </font>
    <font>
      <b/>
      <sz val="14"/>
      <name val="Verdana"/>
      <family val="2"/>
    </font>
    <font>
      <sz val="11"/>
      <color theme="1"/>
      <name val="Verdana"/>
      <family val="2"/>
    </font>
    <font>
      <sz val="8"/>
      <name val="Verdana"/>
      <family val="2"/>
    </font>
    <font>
      <i/>
      <sz val="8"/>
      <name val="Verdana"/>
      <family val="2"/>
    </font>
    <font>
      <b/>
      <sz val="8"/>
      <color theme="0"/>
      <name val="Verdana"/>
      <family val="2"/>
    </font>
    <font>
      <sz val="11"/>
      <color indexed="8"/>
      <name val="Verdana"/>
      <family val="2"/>
    </font>
    <font>
      <b/>
      <sz val="9"/>
      <color theme="0"/>
      <name val="Verdana"/>
      <family val="2"/>
    </font>
    <font>
      <sz val="18"/>
      <color theme="4"/>
      <name val="Calibri"/>
      <family val="2"/>
      <scheme val="minor"/>
    </font>
    <font>
      <sz val="18"/>
      <color theme="5"/>
      <name val="Calibri"/>
      <family val="2"/>
      <scheme val="minor"/>
    </font>
    <font>
      <sz val="10"/>
      <name val="Comic Sans MS"/>
      <family val="4"/>
    </font>
    <font>
      <b/>
      <sz val="7"/>
      <name val="Comic Sans MS"/>
      <family val="4"/>
    </font>
    <font>
      <sz val="1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E69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10"/>
      </left>
      <right/>
      <top style="double">
        <color indexed="10"/>
      </top>
      <bottom/>
      <diagonal/>
    </border>
    <border>
      <left/>
      <right style="double">
        <color indexed="10"/>
      </right>
      <top style="double">
        <color indexed="10"/>
      </top>
      <bottom/>
      <diagonal/>
    </border>
    <border>
      <left style="double">
        <color indexed="10"/>
      </left>
      <right/>
      <top/>
      <bottom/>
      <diagonal/>
    </border>
    <border>
      <left/>
      <right style="double">
        <color indexed="10"/>
      </right>
      <top/>
      <bottom/>
      <diagonal/>
    </border>
    <border>
      <left style="double">
        <color indexed="10"/>
      </left>
      <right/>
      <top/>
      <bottom style="double">
        <color indexed="10"/>
      </bottom>
      <diagonal/>
    </border>
    <border>
      <left/>
      <right style="double">
        <color indexed="10"/>
      </right>
      <top/>
      <bottom style="double">
        <color indexed="1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4" fillId="3" borderId="0" applyNumberFormat="0" applyBorder="0" applyAlignment="0" applyProtection="0"/>
    <xf numFmtId="0" fontId="4" fillId="0" borderId="0" applyNumberFormat="0" applyFill="0" applyBorder="0">
      <alignment horizontal="left" vertical="center" wrapText="1" indent="2"/>
    </xf>
    <xf numFmtId="0" fontId="3" fillId="0" borderId="0"/>
    <xf numFmtId="0" fontId="3" fillId="0" borderId="0"/>
    <xf numFmtId="0" fontId="3" fillId="0" borderId="0"/>
    <xf numFmtId="0" fontId="11" fillId="0" borderId="0"/>
    <xf numFmtId="9" fontId="4" fillId="0" borderId="0" applyFont="0" applyFill="0" applyBorder="0" applyAlignment="0" applyProtection="0"/>
  </cellStyleXfs>
  <cellXfs count="99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1" xfId="1" applyBorder="1" applyAlignment="1">
      <alignment horizontal="center"/>
    </xf>
    <xf numFmtId="0" fontId="1" fillId="0" borderId="1" xfId="2" applyNumberFormat="1" applyFont="1" applyBorder="1" applyAlignment="1">
      <alignment horizontal="center"/>
    </xf>
    <xf numFmtId="0" fontId="1" fillId="0" borderId="1" xfId="1" applyBorder="1" applyAlignment="1">
      <alignment horizontal="center" vertical="center"/>
    </xf>
    <xf numFmtId="0" fontId="1" fillId="0" borderId="1" xfId="1" applyBorder="1"/>
    <xf numFmtId="0" fontId="14" fillId="0" borderId="0" xfId="0" applyFont="1"/>
    <xf numFmtId="0" fontId="15" fillId="0" borderId="0" xfId="5" applyFont="1" applyAlignment="1">
      <alignment horizontal="left"/>
    </xf>
    <xf numFmtId="0" fontId="16" fillId="0" borderId="0" xfId="5" applyFont="1"/>
    <xf numFmtId="0" fontId="18" fillId="0" borderId="0" xfId="8" applyFont="1"/>
    <xf numFmtId="0" fontId="17" fillId="4" borderId="4" xfId="0" applyFont="1" applyFill="1" applyBorder="1" applyAlignment="1">
      <alignment horizontal="center" vertical="center" wrapText="1"/>
    </xf>
    <xf numFmtId="0" fontId="14" fillId="0" borderId="0" xfId="0" applyFont="1" applyBorder="1"/>
    <xf numFmtId="0" fontId="6" fillId="0" borderId="4" xfId="0" applyFont="1" applyBorder="1" applyAlignment="1">
      <alignment horizontal="center" vertical="center" textRotation="90" wrapText="1"/>
    </xf>
    <xf numFmtId="0" fontId="18" fillId="0" borderId="0" xfId="8" applyFont="1" applyAlignment="1">
      <alignment horizontal="left"/>
    </xf>
    <xf numFmtId="43" fontId="19" fillId="4" borderId="1" xfId="2" applyFont="1" applyFill="1" applyBorder="1" applyAlignment="1">
      <alignment horizontal="center" vertical="center" wrapText="1"/>
    </xf>
    <xf numFmtId="43" fontId="3" fillId="5" borderId="6" xfId="2" applyFont="1" applyFill="1" applyBorder="1" applyAlignment="1" applyProtection="1">
      <alignment horizontal="right"/>
      <protection locked="0"/>
    </xf>
    <xf numFmtId="0" fontId="1" fillId="0" borderId="0" xfId="1" applyAlignment="1">
      <alignment horizontal="center" wrapText="1"/>
    </xf>
    <xf numFmtId="0" fontId="1" fillId="0" borderId="1" xfId="1" applyBorder="1" applyAlignment="1">
      <alignment horizontal="center" vertical="center" wrapText="1"/>
    </xf>
    <xf numFmtId="0" fontId="1" fillId="0" borderId="1" xfId="1" applyBorder="1" applyAlignment="1">
      <alignment horizontal="left" vertical="center"/>
    </xf>
    <xf numFmtId="0" fontId="1" fillId="4" borderId="1" xfId="1" applyFill="1" applyBorder="1" applyAlignment="1">
      <alignment horizontal="center" vertical="center"/>
    </xf>
    <xf numFmtId="0" fontId="1" fillId="4" borderId="1" xfId="1" applyFill="1" applyBorder="1" applyAlignment="1">
      <alignment horizontal="left" vertical="center"/>
    </xf>
    <xf numFmtId="164" fontId="3" fillId="0" borderId="0" xfId="1" applyNumberFormat="1" applyFont="1" applyAlignment="1">
      <alignment horizontal="center"/>
    </xf>
    <xf numFmtId="0" fontId="1" fillId="0" borderId="0" xfId="1" applyAlignment="1">
      <alignment vertical="center" wrapText="1"/>
    </xf>
    <xf numFmtId="43" fontId="15" fillId="0" borderId="0" xfId="2" applyFont="1" applyBorder="1" applyAlignment="1" applyProtection="1">
      <alignment horizontal="center"/>
    </xf>
    <xf numFmtId="0" fontId="9" fillId="4" borderId="4" xfId="3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5" applyFont="1" applyFill="1" applyBorder="1" applyAlignment="1" applyProtection="1">
      <alignment horizontal="left" vertical="center"/>
    </xf>
    <xf numFmtId="0" fontId="7" fillId="0" borderId="0" xfId="8" applyNumberFormat="1" applyFont="1" applyFill="1" applyBorder="1" applyAlignment="1">
      <alignment horizontal="left" vertical="center"/>
    </xf>
    <xf numFmtId="0" fontId="7" fillId="0" borderId="0" xfId="8" applyNumberFormat="1" applyFont="1" applyFill="1" applyBorder="1" applyAlignment="1">
      <alignment horizontal="center" vertical="center"/>
    </xf>
    <xf numFmtId="43" fontId="0" fillId="5" borderId="11" xfId="2" applyFont="1" applyFill="1" applyBorder="1" applyAlignment="1" applyProtection="1">
      <alignment horizontal="center" vertical="center"/>
      <protection locked="0"/>
    </xf>
    <xf numFmtId="43" fontId="0" fillId="5" borderId="12" xfId="2" applyFont="1" applyFill="1" applyBorder="1" applyAlignment="1" applyProtection="1">
      <alignment horizontal="center" vertical="center"/>
      <protection locked="0"/>
    </xf>
    <xf numFmtId="43" fontId="0" fillId="5" borderId="13" xfId="2" applyFont="1" applyFill="1" applyBorder="1" applyAlignment="1" applyProtection="1">
      <alignment horizontal="center" vertical="center"/>
      <protection locked="0"/>
    </xf>
    <xf numFmtId="9" fontId="23" fillId="5" borderId="15" xfId="9" applyFont="1" applyFill="1" applyBorder="1" applyAlignment="1" applyProtection="1">
      <alignment horizontal="left"/>
      <protection locked="0"/>
    </xf>
    <xf numFmtId="9" fontId="23" fillId="5" borderId="16" xfId="9" applyFont="1" applyFill="1" applyBorder="1" applyAlignment="1" applyProtection="1">
      <alignment horizontal="left"/>
      <protection locked="0"/>
    </xf>
    <xf numFmtId="9" fontId="23" fillId="5" borderId="17" xfId="9" applyFont="1" applyFill="1" applyBorder="1" applyAlignment="1" applyProtection="1">
      <alignment horizontal="left"/>
      <protection locked="0"/>
    </xf>
    <xf numFmtId="0" fontId="0" fillId="0" borderId="0" xfId="0" applyFill="1"/>
    <xf numFmtId="0" fontId="15" fillId="6" borderId="0" xfId="5" applyFont="1" applyFill="1" applyAlignment="1">
      <alignment horizontal="center" vertical="center"/>
    </xf>
    <xf numFmtId="0" fontId="13" fillId="0" borderId="0" xfId="5" applyFont="1" applyAlignment="1" applyProtection="1">
      <alignment vertical="center"/>
    </xf>
    <xf numFmtId="0" fontId="0" fillId="0" borderId="0" xfId="0" applyProtection="1"/>
    <xf numFmtId="0" fontId="13" fillId="0" borderId="0" xfId="5" applyFont="1" applyAlignment="1" applyProtection="1">
      <alignment horizontal="center" vertical="center"/>
    </xf>
    <xf numFmtId="0" fontId="8" fillId="0" borderId="0" xfId="0" applyFont="1" applyAlignment="1" applyProtection="1"/>
    <xf numFmtId="0" fontId="20" fillId="0" borderId="0" xfId="0" applyFont="1" applyProtection="1"/>
    <xf numFmtId="43" fontId="24" fillId="4" borderId="0" xfId="0" applyNumberFormat="1" applyFont="1" applyFill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43" fontId="0" fillId="0" borderId="0" xfId="2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20" fillId="0" borderId="0" xfId="0" applyFont="1" applyAlignment="1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3" fontId="0" fillId="0" borderId="0" xfId="2" applyFont="1" applyFill="1" applyAlignment="1" applyProtection="1">
      <alignment horizontal="center" vertical="center"/>
    </xf>
    <xf numFmtId="0" fontId="21" fillId="0" borderId="0" xfId="0" applyFont="1" applyAlignment="1" applyProtection="1"/>
    <xf numFmtId="43" fontId="0" fillId="0" borderId="0" xfId="2" applyFont="1" applyFill="1" applyBorder="1" applyAlignment="1" applyProtection="1">
      <alignment horizontal="center" vertical="center"/>
    </xf>
    <xf numFmtId="43" fontId="22" fillId="0" borderId="17" xfId="2" applyFont="1" applyBorder="1" applyAlignment="1" applyProtection="1">
      <alignment horizontal="left"/>
    </xf>
    <xf numFmtId="43" fontId="22" fillId="0" borderId="15" xfId="2" applyFont="1" applyBorder="1" applyAlignment="1" applyProtection="1">
      <alignment horizontal="left"/>
    </xf>
    <xf numFmtId="43" fontId="22" fillId="0" borderId="16" xfId="2" applyFont="1" applyBorder="1" applyAlignment="1" applyProtection="1">
      <alignment horizontal="left"/>
    </xf>
    <xf numFmtId="0" fontId="3" fillId="0" borderId="0" xfId="0" applyFont="1" applyProtection="1"/>
    <xf numFmtId="0" fontId="22" fillId="0" borderId="0" xfId="0" applyFont="1" applyProtection="1"/>
    <xf numFmtId="10" fontId="23" fillId="0" borderId="0" xfId="0" applyNumberFormat="1" applyFont="1" applyAlignment="1" applyProtection="1">
      <alignment horizontal="left"/>
    </xf>
    <xf numFmtId="43" fontId="3" fillId="0" borderId="8" xfId="2" applyFont="1" applyBorder="1" applyProtection="1"/>
    <xf numFmtId="43" fontId="3" fillId="0" borderId="10" xfId="2" applyFont="1" applyBorder="1" applyProtection="1"/>
    <xf numFmtId="43" fontId="15" fillId="0" borderId="0" xfId="2" applyFont="1" applyFill="1" applyBorder="1" applyAlignment="1" applyProtection="1">
      <alignment horizontal="center"/>
    </xf>
    <xf numFmtId="0" fontId="10" fillId="4" borderId="3" xfId="3" applyFont="1" applyFill="1" applyBorder="1" applyAlignment="1" applyProtection="1">
      <alignment vertical="center" wrapText="1"/>
    </xf>
    <xf numFmtId="0" fontId="14" fillId="4" borderId="0" xfId="0" applyFont="1" applyFill="1"/>
    <xf numFmtId="165" fontId="15" fillId="0" borderId="0" xfId="2" applyNumberFormat="1" applyFont="1" applyBorder="1" applyAlignment="1" applyProtection="1">
      <alignment horizontal="center"/>
    </xf>
    <xf numFmtId="0" fontId="7" fillId="0" borderId="0" xfId="3" applyFont="1" applyFill="1" applyBorder="1" applyAlignment="1" applyProtection="1">
      <alignment horizontal="left" vertical="center"/>
    </xf>
    <xf numFmtId="0" fontId="7" fillId="0" borderId="0" xfId="3" applyFont="1" applyFill="1" applyAlignment="1" applyProtection="1">
      <alignment horizontal="left" vertical="center"/>
    </xf>
    <xf numFmtId="0" fontId="7" fillId="0" borderId="0" xfId="8" applyFont="1" applyFill="1" applyAlignment="1">
      <alignment horizontal="left" vertical="center"/>
    </xf>
    <xf numFmtId="0" fontId="7" fillId="0" borderId="0" xfId="8" applyFont="1" applyFill="1" applyAlignment="1">
      <alignment horizontal="center" vertical="center"/>
    </xf>
    <xf numFmtId="43" fontId="15" fillId="0" borderId="0" xfId="2" applyFont="1" applyFill="1" applyAlignment="1" applyProtection="1">
      <alignment horizontal="center"/>
    </xf>
    <xf numFmtId="0" fontId="7" fillId="0" borderId="0" xfId="5" applyFont="1" applyFill="1" applyAlignment="1" applyProtection="1">
      <alignment horizontal="left" vertical="center"/>
    </xf>
    <xf numFmtId="43" fontId="15" fillId="0" borderId="0" xfId="2" applyNumberFormat="1" applyFont="1" applyAlignment="1" applyProtection="1">
      <alignment horizontal="center"/>
    </xf>
    <xf numFmtId="43" fontId="15" fillId="0" borderId="0" xfId="2" applyFont="1" applyAlignment="1">
      <alignment horizontal="center"/>
    </xf>
    <xf numFmtId="165" fontId="15" fillId="0" borderId="0" xfId="2" applyNumberFormat="1" applyFont="1" applyAlignment="1">
      <alignment horizontal="center"/>
    </xf>
    <xf numFmtId="0" fontId="13" fillId="0" borderId="0" xfId="5" applyFont="1" applyAlignment="1">
      <alignment horizontal="center" vertical="center"/>
    </xf>
    <xf numFmtId="0" fontId="18" fillId="0" borderId="0" xfId="8" applyFont="1" applyBorder="1" applyAlignment="1">
      <alignment horizontal="center" vertical="center" wrapText="1"/>
    </xf>
    <xf numFmtId="0" fontId="13" fillId="0" borderId="0" xfId="5" applyFont="1" applyBorder="1" applyAlignment="1">
      <alignment horizontal="center" vertical="center"/>
    </xf>
    <xf numFmtId="0" fontId="13" fillId="0" borderId="0" xfId="5" applyFont="1" applyAlignment="1" applyProtection="1">
      <alignment horizontal="center" vertical="center"/>
    </xf>
    <xf numFmtId="17" fontId="12" fillId="0" borderId="0" xfId="5" applyNumberFormat="1" applyFont="1" applyAlignment="1" applyProtection="1">
      <alignment horizontal="center" vertical="center"/>
    </xf>
    <xf numFmtId="0" fontId="13" fillId="0" borderId="0" xfId="5" applyFont="1" applyAlignment="1" applyProtection="1">
      <alignment horizontal="center"/>
    </xf>
    <xf numFmtId="0" fontId="24" fillId="4" borderId="0" xfId="0" applyFont="1" applyFill="1" applyAlignment="1" applyProtection="1">
      <alignment horizontal="right"/>
    </xf>
    <xf numFmtId="0" fontId="22" fillId="0" borderId="14" xfId="0" applyFont="1" applyBorder="1" applyAlignment="1" applyProtection="1">
      <alignment horizontal="right"/>
    </xf>
    <xf numFmtId="0" fontId="22" fillId="0" borderId="16" xfId="0" applyFont="1" applyBorder="1" applyAlignment="1" applyProtection="1">
      <alignment horizontal="right"/>
    </xf>
    <xf numFmtId="0" fontId="3" fillId="0" borderId="14" xfId="0" applyFont="1" applyBorder="1" applyAlignment="1" applyProtection="1">
      <alignment horizontal="right"/>
    </xf>
    <xf numFmtId="0" fontId="3" fillId="0" borderId="16" xfId="0" applyFont="1" applyBorder="1" applyAlignment="1" applyProtection="1">
      <alignment horizontal="right"/>
    </xf>
    <xf numFmtId="0" fontId="3" fillId="0" borderId="5" xfId="0" applyFont="1" applyBorder="1" applyAlignment="1" applyProtection="1">
      <alignment horizontal="right"/>
    </xf>
    <xf numFmtId="0" fontId="3" fillId="0" borderId="6" xfId="0" applyFont="1" applyBorder="1" applyAlignment="1" applyProtection="1">
      <alignment horizontal="right"/>
    </xf>
    <xf numFmtId="0" fontId="3" fillId="0" borderId="7" xfId="0" applyFont="1" applyBorder="1" applyAlignment="1" applyProtection="1">
      <alignment horizontal="right"/>
    </xf>
    <xf numFmtId="0" fontId="3" fillId="0" borderId="8" xfId="0" applyFont="1" applyBorder="1" applyAlignment="1" applyProtection="1">
      <alignment horizontal="right"/>
    </xf>
    <xf numFmtId="0" fontId="3" fillId="0" borderId="9" xfId="0" applyFont="1" applyBorder="1" applyAlignment="1" applyProtection="1">
      <alignment horizontal="right"/>
    </xf>
    <xf numFmtId="0" fontId="3" fillId="0" borderId="10" xfId="0" applyFont="1" applyBorder="1" applyAlignment="1" applyProtection="1">
      <alignment horizontal="right"/>
    </xf>
    <xf numFmtId="0" fontId="2" fillId="2" borderId="0" xfId="1" applyFont="1" applyFill="1" applyAlignment="1">
      <alignment horizontal="center" vertical="center" wrapText="1"/>
    </xf>
    <xf numFmtId="0" fontId="1" fillId="0" borderId="3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1" fillId="0" borderId="0" xfId="1" applyAlignment="1">
      <alignment horizontal="left" vertical="center" wrapText="1"/>
    </xf>
  </cellXfs>
  <cellStyles count="10">
    <cellStyle name="20 % - Accent3" xfId="3" builtinId="38"/>
    <cellStyle name="Employé" xfId="4" xr:uid="{5D9C3771-7915-42FA-852B-88E82490E364}"/>
    <cellStyle name="Milliers" xfId="2" builtinId="3"/>
    <cellStyle name="Normal" xfId="0" builtinId="0"/>
    <cellStyle name="Normal 2" xfId="8" xr:uid="{16F24D98-8B3E-40F0-A375-D045F8426617}"/>
    <cellStyle name="Normal 2 2" xfId="5" xr:uid="{979CA08C-748C-4504-B8AC-27BFFF4578D1}"/>
    <cellStyle name="Normal 3" xfId="7" xr:uid="{FCA2DDDB-8AD6-41C3-8D56-7FFC91ECC5A9}"/>
    <cellStyle name="Normal 4" xfId="6" xr:uid="{F643CA52-A79A-4203-A260-8D59367ED611}"/>
    <cellStyle name="Normal_feries" xfId="1" xr:uid="{00000000-0005-0000-0000-000001000000}"/>
    <cellStyle name="Pourcentage" xfId="9" builtinId="5"/>
  </cellStyles>
  <dxfs count="93"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5" formatCode="_-* #,##0.00_-;\-* #,##0.00_-;_-* &quot;-&quot;??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35" formatCode="_-* #,##0.00_-;\-* #,##0.00_-;_-* &quot;-&quot;??_-;_-@_-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fill>
        <patternFill patternType="none"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5" formatCode="_-* #,##0_-;\-* #,##0_-;_-* &quot;-&quot;??_-;_-@_-"/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5" formatCode="_-* #,##0.00_-;\-* #,##0.00_-;_-* &quot;-&quot;??_-;_-@_-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35" formatCode="_-* #,##0.00_-;\-* #,##0.00_-;_-* &quot;-&quot;??_-;_-@_-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border diagonalUp="0" diagonalDown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right style="thin">
          <color indexed="64"/>
        </right>
      </border>
    </dxf>
    <dxf>
      <font>
        <b val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FFE699"/>
      <color rgb="FFFFFF6D"/>
      <color rgb="FFFFFF99"/>
      <color rgb="FF99FF99"/>
      <color rgb="FF008000"/>
      <color rgb="FFFEA8F2"/>
      <color rgb="FF99CCFF"/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lanning%20SFIB%20-%20Relev&#233;s%20heures\2021\Relev&#233;s%20Heures%20-%202021%2002%20-%20F&#233;vr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RIER"/>
      <sheetName val="C"/>
      <sheetName val="M"/>
      <sheetName val="RC"/>
      <sheetName val="A"/>
      <sheetName val="SALARIE EN MALADIE"/>
      <sheetName val="HEURES MENSUELLES"/>
    </sheetNames>
    <sheetDataSet>
      <sheetData sheetId="0">
        <row r="3">
          <cell r="A3">
            <v>140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01EEA2-5357-4307-8525-18BF96107A98}" name="Tbase" displayName="Tbase" ref="A8:D67" totalsRowShown="0" dataDxfId="92" tableBorderDxfId="91">
  <autoFilter ref="A8:D67" xr:uid="{5F363529-4093-43A9-A4F9-70216FA03055}"/>
  <tableColumns count="4">
    <tableColumn id="2" xr3:uid="{2057C164-07CA-496F-A76B-DAFF9C33782B}" name="Nom de l'employé" dataDxfId="90" dataCellStyle="20 % - Accent3"/>
    <tableColumn id="3" xr3:uid="{ABD8B1F7-4FD6-474C-9D58-6BCC5CAF8C75}" name="SERV" dataDxfId="89"/>
    <tableColumn id="4" xr3:uid="{B10BE92D-AF7E-4DB5-8FDC-E750D8EA4171}" name="ETAB" dataDxfId="88"/>
    <tableColumn id="5" xr3:uid="{2B802AC4-8ECF-4E93-9B06-00B1785E5125}" name="Heures mensuelles" dataDxfId="87" dataCellStyle="Millier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1F232A-2DD3-4964-A895-38105391A749}" name="TRlv" displayName="TRlv" ref="A5:O62" headerRowDxfId="86" dataDxfId="85" totalsRowDxfId="83" tableBorderDxfId="84" dataCellStyle="Milliers">
  <autoFilter ref="A5:O62" xr:uid="{5EC74D28-D4F6-48ED-ABC3-577925B96581}"/>
  <tableColumns count="15">
    <tableColumn id="2" xr3:uid="{AE076E85-6D12-41B5-A15C-25F177855A72}" name="Nom de l'employé" totalsRowLabel="ESCOS  Pierre" dataDxfId="82" totalsRowDxfId="81" dataCellStyle="Normal 2 2"/>
    <tableColumn id="3" xr3:uid="{9C8A31B0-4FC3-4F31-BC2F-0B3093A8FA08}" name="Janvier" totalsRowFunction="sum" dataDxfId="80" totalsRowDxfId="79" dataCellStyle="Milliers"/>
    <tableColumn id="4" xr3:uid="{1D7D7984-636F-4C0B-B4BD-398975B2D672}" name="Février" dataDxfId="78" totalsRowDxfId="77" dataCellStyle="Milliers"/>
    <tableColumn id="5" xr3:uid="{C220706C-3EFB-4C8C-869A-13CE8564758E}" name="Mars" dataDxfId="76" totalsRowDxfId="75" dataCellStyle="Milliers"/>
    <tableColumn id="6" xr3:uid="{1E063E98-0B35-4CD1-922F-98BCD1E31197}" name="Avril" dataDxfId="74" totalsRowDxfId="73" dataCellStyle="Milliers"/>
    <tableColumn id="7" xr3:uid="{412D08B0-89A1-4C74-B195-2D2E9A2FA1BF}" name="Mai" dataDxfId="72" totalsRowDxfId="71" dataCellStyle="Milliers"/>
    <tableColumn id="8" xr3:uid="{7644D862-9AC2-4293-9090-3044153903B7}" name="Juin" dataDxfId="70" totalsRowDxfId="69" dataCellStyle="Milliers"/>
    <tableColumn id="9" xr3:uid="{F2F9FBC7-7B53-4FFB-876D-CEF08171B7F6}" name="Juillet" dataDxfId="68" totalsRowDxfId="67" dataCellStyle="Milliers"/>
    <tableColumn id="10" xr3:uid="{1C1227CB-8007-4342-B53D-D1ED49BE6FF5}" name="Août" dataDxfId="66" totalsRowDxfId="65" dataCellStyle="Milliers"/>
    <tableColumn id="11" xr3:uid="{FCA8C6B5-0F8C-42EF-99C2-37CBB1328FCA}" name="Septembre" dataDxfId="64" totalsRowDxfId="63" dataCellStyle="Milliers"/>
    <tableColumn id="12" xr3:uid="{56E23AF4-E2D5-406F-9589-DC6932A40BA1}" name="Octobre" dataDxfId="62" totalsRowDxfId="61" dataCellStyle="Milliers"/>
    <tableColumn id="13" xr3:uid="{2AE3BBA5-1B7F-4F17-BCC9-00BF3612F450}" name="Novembre" dataDxfId="60" totalsRowDxfId="59" dataCellStyle="Milliers"/>
    <tableColumn id="14" xr3:uid="{56B6DDFE-6B8A-41AB-8C5B-076CF16CED2C}" name="Décembre" dataDxfId="58" totalsRowDxfId="57" dataCellStyle="Milliers"/>
    <tableColumn id="1" xr3:uid="{16D1E1E0-FA7A-465F-BE34-237BE1FC8F57}" name="SERV" dataDxfId="56" totalsRowDxfId="55" dataCellStyle="Milliers"/>
    <tableColumn id="15" xr3:uid="{0E0464F3-BBC9-4560-89CA-E270E6F208D4}" name="ETAB" dataDxfId="54" totalsRowDxfId="53" dataCellStyle="Millier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CB4A053-94EC-411A-8EC6-0B162667AD06}" name="TSynServ" displayName="TSynServ" ref="A6:O33" totalsRowShown="0" headerRowDxfId="52" dataDxfId="51">
  <autoFilter ref="A6:O33" xr:uid="{AF216698-B071-4247-87DE-BE3BAF92D3D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0170B07E-940D-4DB2-BC8F-2886C4611AFD}" name="Service" dataDxfId="50"/>
    <tableColumn id="2" xr3:uid="{DB5C6FE7-1051-4196-A7D5-478AF7F1624A}" name="Libellé" dataDxfId="49">
      <calculatedColumnFormula>IFERROR(VLOOKUP(TSynServ[[#This Row],[Service]],Services,2,FALSE),"")</calculatedColumnFormula>
    </tableColumn>
    <tableColumn id="5" xr3:uid="{02614C91-3F62-4ED4-96EC-E08E6168B79C}" name="Regroupement" dataDxfId="48">
      <calculatedColumnFormula>+VLOOKUP(TSynServ[[#This Row],[Service]],Services,3,FALSE)</calculatedColumnFormula>
    </tableColumn>
    <tableColumn id="3" xr3:uid="{5A9A0093-FB55-4762-A032-6A4A117F2EB4}" name="Janvier" dataDxfId="47" dataCellStyle="Milliers"/>
    <tableColumn id="6" xr3:uid="{EB69F20B-1C8D-40B9-B6C5-3382D2F90E43}" name="Février" dataDxfId="46"/>
    <tableColumn id="7" xr3:uid="{132456FD-04D9-43A0-BE3A-344871BAA1A3}" name="Mars" dataDxfId="45">
      <calculatedColumnFormula>SUMIF(#REF!,TSynServ[[#This Row],[Service]],TRlv[Mars])</calculatedColumnFormula>
    </tableColumn>
    <tableColumn id="8" xr3:uid="{2DFB0A5C-1091-4BF8-803B-FFD7B2F3FB7D}" name="Avril" dataDxfId="44">
      <calculatedColumnFormula>SUMIF(#REF!,TSynServ[[#This Row],[Service]],TRlv[Avril])</calculatedColumnFormula>
    </tableColumn>
    <tableColumn id="9" xr3:uid="{DA546691-36D1-484C-970B-65C882EC59A3}" name="Mai" dataDxfId="43">
      <calculatedColumnFormula>SUMIF(#REF!,TSynServ[[#This Row],[Service]],TRlv[Mai])</calculatedColumnFormula>
    </tableColumn>
    <tableColumn id="10" xr3:uid="{8F3CF8B1-F9BA-4A48-A944-FE6BB5017D10}" name="Juin" dataDxfId="42">
      <calculatedColumnFormula>SUMIF(#REF!,TSynServ[[#This Row],[Service]],TRlv[Juin])</calculatedColumnFormula>
    </tableColumn>
    <tableColumn id="11" xr3:uid="{30E0BC5A-D899-4173-B7E4-D3F61901548E}" name="Juillet" dataDxfId="41">
      <calculatedColumnFormula>SUMIF(#REF!,TSynServ[[#This Row],[Service]],TRlv[Juillet])</calculatedColumnFormula>
    </tableColumn>
    <tableColumn id="12" xr3:uid="{64A645F7-9554-42D9-92DB-0006C364967E}" name="Août" dataDxfId="40">
      <calculatedColumnFormula>SUMIF(#REF!,TSynServ[[#This Row],[Service]],TRlv[Août])</calculatedColumnFormula>
    </tableColumn>
    <tableColumn id="13" xr3:uid="{59596DAF-DF1D-4FE2-93F3-6B938B313899}" name="Septembre" dataDxfId="39">
      <calculatedColumnFormula>SUMIF(#REF!,TSynServ[[#This Row],[Service]],TRlv[Septembre])</calculatedColumnFormula>
    </tableColumn>
    <tableColumn id="14" xr3:uid="{47FD478A-6015-43CF-9D7E-3962D57B511D}" name="Octobre" dataDxfId="38">
      <calculatedColumnFormula>SUMIF(#REF!,TSynServ[[#This Row],[Service]],TRlv[Octobre])</calculatedColumnFormula>
    </tableColumn>
    <tableColumn id="15" xr3:uid="{83F9FBDC-642F-4DD1-8C39-A72DCEC540B3}" name="Novembre" dataDxfId="37">
      <calculatedColumnFormula>SUMIF(#REF!,TSynServ[[#This Row],[Service]],TRlv[Novembre])</calculatedColumnFormula>
    </tableColumn>
    <tableColumn id="16" xr3:uid="{2D341EF3-A707-4566-A589-01808593B9C4}" name="Décembre" dataDxfId="36">
      <calculatedColumnFormula>SUMIF(#REF!,TSynServ[[#This Row],[Service]],TRlv[Décembre])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42172A4-AB77-4DA6-8AF9-E295592BD255}" name="TSynRgpr" displayName="TSynRgpr" ref="A36:O58" totalsRowShown="0" headerRowDxfId="35" dataDxfId="34">
  <autoFilter ref="A36:O58" xr:uid="{53FF6EFF-606A-4E0F-95FD-0B2545729A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BE03427D-3F18-40CB-B277-6586EDD197FE}" name="Regroupement" dataDxfId="33"/>
    <tableColumn id="2" xr3:uid="{F175F8C4-7465-45A8-826F-41082EDB83BF}" name="Libellé" dataDxfId="32">
      <calculatedColumnFormula>IFERROR(VLOOKUP(TSynRgpr[[#This Row],[Regroupement]],Regroupement,2,FALSE),"")</calculatedColumnFormula>
    </tableColumn>
    <tableColumn id="4" xr3:uid="{1291C6E8-FD1F-4108-8EE2-DDA223FBF1D2}" name="Etat" dataDxfId="31">
      <calculatedColumnFormula>+VLOOKUP(TSynRgpr[[#This Row],[Regroupement]],Regroupement,3,FALSE)</calculatedColumnFormula>
    </tableColumn>
    <tableColumn id="5" xr3:uid="{0FE36111-A8F6-4743-8132-624ECCC44463}" name="Janvier" dataDxfId="30" dataCellStyle="Milliers">
      <calculatedColumnFormula array="1">SUMIF(TSynServ[Regroupement],TSynRgpr[[#This Row],[Regroupement]],TSynServ[Janvier])</calculatedColumnFormula>
    </tableColumn>
    <tableColumn id="6" xr3:uid="{4E1C8A6A-6852-4308-9677-B3B81256B326}" name="Février" dataDxfId="29">
      <calculatedColumnFormula>SUMIF(TSynServ[Regroupement],TSynRgpr[[#This Row],[Regroupement]],TSynServ[Février])</calculatedColumnFormula>
    </tableColumn>
    <tableColumn id="7" xr3:uid="{8954E4C3-B241-4A21-8FC0-349945963A0D}" name="Mars" dataDxfId="28">
      <calculatedColumnFormula>SUMIF(TSynServ[Regroupement],TSynRgpr[[#This Row],[Regroupement]],TSynServ[Mars])</calculatedColumnFormula>
    </tableColumn>
    <tableColumn id="8" xr3:uid="{956C022C-BD8A-4F1F-8A48-904E7640E852}" name="Avril" dataDxfId="27">
      <calculatedColumnFormula>SUMIF(TSynServ[Regroupement],TSynRgpr[[#This Row],[Regroupement]],TSynServ[Avril])</calculatedColumnFormula>
    </tableColumn>
    <tableColumn id="9" xr3:uid="{AA7D6E83-0ACC-45DC-B193-0165132D6085}" name="Mai" dataDxfId="26">
      <calculatedColumnFormula>SUMIF(TSynServ[Regroupement],TSynRgpr[[#This Row],[Regroupement]],TSynServ[Mai])</calculatedColumnFormula>
    </tableColumn>
    <tableColumn id="10" xr3:uid="{AAA39B00-8E94-42B9-925E-EB8FC21EB25C}" name="Juin" dataDxfId="25">
      <calculatedColumnFormula>SUMIF(TSynServ[Regroupement],TSynRgpr[[#This Row],[Regroupement]],TSynServ[Juin])</calculatedColumnFormula>
    </tableColumn>
    <tableColumn id="11" xr3:uid="{FE68B0F8-8E8F-4D8B-A386-351119D066E3}" name="Juillet" dataDxfId="24">
      <calculatedColumnFormula>SUMIF(TSynServ[Regroupement],TSynRgpr[[#This Row],[Regroupement]],TSynServ[Juillet])</calculatedColumnFormula>
    </tableColumn>
    <tableColumn id="12" xr3:uid="{F9521026-1FDD-4ED5-A661-79DD9E4B1069}" name="Août" dataDxfId="23">
      <calculatedColumnFormula>SUMIF(TSynServ[Regroupement],TSynRgpr[[#This Row],[Regroupement]],TSynServ[Août])</calculatedColumnFormula>
    </tableColumn>
    <tableColumn id="13" xr3:uid="{6AAC51CD-86F8-41A2-85A1-3998AD4232A5}" name="Septembre" dataDxfId="22">
      <calculatedColumnFormula>SUMIF(TSynServ[Regroupement],TSynRgpr[[#This Row],[Regroupement]],TSynServ[Septembre])</calculatedColumnFormula>
    </tableColumn>
    <tableColumn id="14" xr3:uid="{857A76E8-DBA7-4F94-A31C-8EB7D3FFDFB2}" name="Octobre" dataDxfId="21">
      <calculatedColumnFormula>SUMIF(TSynServ[Regroupement],TSynRgpr[[#This Row],[Regroupement]],TSynServ[Octobre])</calculatedColumnFormula>
    </tableColumn>
    <tableColumn id="15" xr3:uid="{A38CA348-A58C-4058-8190-8DBA36278C9A}" name="Novembre" dataDxfId="20">
      <calculatedColumnFormula>SUMIF(TSynServ[Regroupement],TSynRgpr[[#This Row],[Regroupement]],TSynServ[Novembre])</calculatedColumnFormula>
    </tableColumn>
    <tableColumn id="16" xr3:uid="{61DFA235-E300-4299-8F4F-89612334B865}" name="Décembre" dataDxfId="19">
      <calculatedColumnFormula>SUMIF(TSynServ[Regroupement],TSynRgpr[[#This Row],[Regroupement]],TSynServ[Décembre])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2275C5-31F2-41E9-A1AF-80D10B33BBE3}" name="TSynEtat" displayName="TSynEtat" ref="C61:O63" headerRowDxfId="18" dataDxfId="17" totalsRowDxfId="16">
  <autoFilter ref="C61:O63" xr:uid="{6B298F08-188D-42EC-94BD-BBD4FB9802C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0BC95D53-AA08-438B-BFF7-47A3D875EB4E}" name="ETAT" totalsRowLabel="Total" dataDxfId="15" totalsRowDxfId="14"/>
    <tableColumn id="2" xr3:uid="{0F0397F1-AF78-44A2-B8C1-6C7D6C891F9F}" name="Janvier" totalsRowFunction="sum" dataDxfId="13" totalsRowDxfId="12" dataCellStyle="Milliers">
      <calculatedColumnFormula array="1">SUMIF(TSynRgpr[Etat],TSynEtat[[#This Row],[ETAT]],TSynRgpr[Janvier])</calculatedColumnFormula>
    </tableColumn>
    <tableColumn id="3" xr3:uid="{D8260574-C8E9-4BA1-B7CF-3146E0A0C55C}" name="Février" dataDxfId="11" dataCellStyle="Milliers">
      <calculatedColumnFormula>SUMIF(TSynRgpr[Etat],TSynEtat[[#This Row],[ETAT]],TSynRgpr[Février])</calculatedColumnFormula>
    </tableColumn>
    <tableColumn id="4" xr3:uid="{86DA6B05-5685-417C-B684-8C76821E20D6}" name="Mars" dataDxfId="10" dataCellStyle="Milliers">
      <calculatedColumnFormula>SUMIF(TSynRgpr[Etat],TSynEtat[[#This Row],[ETAT]],TSynRgpr[Mars])</calculatedColumnFormula>
    </tableColumn>
    <tableColumn id="5" xr3:uid="{7C593534-A182-40EB-B228-AC0E6D7C7022}" name="Avril" dataDxfId="9" dataCellStyle="Milliers">
      <calculatedColumnFormula>SUMIF(TSynRgpr[Etat],TSynEtat[[#This Row],[ETAT]],TSynRgpr[Avril])</calculatedColumnFormula>
    </tableColumn>
    <tableColumn id="6" xr3:uid="{D99310AD-73CF-4574-AA73-52A30FDB84DF}" name="Mai" dataDxfId="8" dataCellStyle="Milliers">
      <calculatedColumnFormula>SUMIF(TSynRgpr[Etat],TSynEtat[[#This Row],[ETAT]],TSynRgpr[Mai])</calculatedColumnFormula>
    </tableColumn>
    <tableColumn id="7" xr3:uid="{5BAB908E-FDD7-4AE2-A131-1FEA1AE36D4D}" name="Juin" dataDxfId="7" dataCellStyle="Milliers">
      <calculatedColumnFormula>SUMIF(TSynRgpr[Etat],TSynEtat[[#This Row],[ETAT]],TSynRgpr[Juin])</calculatedColumnFormula>
    </tableColumn>
    <tableColumn id="8" xr3:uid="{851908E7-A8FF-468E-A01A-1EC75CBE1CF1}" name="Juillet" dataDxfId="6" dataCellStyle="Milliers">
      <calculatedColumnFormula>SUMIF(TSynRgpr[Etat],TSynEtat[[#This Row],[ETAT]],TSynRgpr[Juillet])</calculatedColumnFormula>
    </tableColumn>
    <tableColumn id="9" xr3:uid="{B15277B5-CF2F-4A84-9900-4DA6BE9AB69F}" name="Août" dataDxfId="5" dataCellStyle="Milliers">
      <calculatedColumnFormula>SUMIF(TSynRgpr[Etat],TSynEtat[[#This Row],[ETAT]],TSynRgpr[Août])</calculatedColumnFormula>
    </tableColumn>
    <tableColumn id="10" xr3:uid="{7187DE6B-602B-41D9-BA73-E2EEB2826A6C}" name="Septembre" dataDxfId="4" dataCellStyle="Milliers">
      <calculatedColumnFormula>SUMIF(TSynRgpr[Etat],TSynEtat[[#This Row],[ETAT]],TSynRgpr[Septembre])</calculatedColumnFormula>
    </tableColumn>
    <tableColumn id="11" xr3:uid="{5D3F6246-5D65-4D8D-A1E1-F8CDB801556E}" name="Octobre" dataDxfId="3" dataCellStyle="Milliers">
      <calculatedColumnFormula>SUMIF(TSynRgpr[Etat],TSynEtat[[#This Row],[ETAT]],TSynRgpr[Octobre])</calculatedColumnFormula>
    </tableColumn>
    <tableColumn id="12" xr3:uid="{B21BE786-6D36-442E-B916-0774628C152C}" name="Novembre" dataDxfId="2" dataCellStyle="Milliers">
      <calculatedColumnFormula>SUMIF(TSynRgpr[Etat],TSynEtat[[#This Row],[ETAT]],TSynRgpr[Novembre])</calculatedColumnFormula>
    </tableColumn>
    <tableColumn id="13" xr3:uid="{E43878F8-5317-4408-8B5E-C90A769E9769}" name="Décembre" dataDxfId="1" dataCellStyle="Milliers">
      <calculatedColumnFormula>SUMIF(TSynRgpr[Etat],TSynEtat[[#This Row],[ETAT]],TSynRgpr[Décembre])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6A55E-F9DF-431B-B0CA-5173FB8F5E50}">
  <sheetPr codeName="WsB">
    <tabColor theme="1"/>
  </sheetPr>
  <dimension ref="A1:R67"/>
  <sheetViews>
    <sheetView tabSelected="1" workbookViewId="0">
      <selection activeCell="B7" sqref="B7"/>
    </sheetView>
  </sheetViews>
  <sheetFormatPr baseColWidth="10" defaultRowHeight="15" x14ac:dyDescent="0.25"/>
  <cols>
    <col min="1" max="1" width="20.140625" style="14" customWidth="1"/>
    <col min="2" max="2" width="6.7109375" style="14" customWidth="1"/>
    <col min="3" max="3" width="6.7109375" style="10" customWidth="1"/>
    <col min="4" max="4" width="16.42578125" style="10" customWidth="1"/>
  </cols>
  <sheetData>
    <row r="1" spans="1:18" ht="18" x14ac:dyDescent="0.25">
      <c r="A1" s="77" t="s">
        <v>125</v>
      </c>
      <c r="B1" s="77"/>
      <c r="C1" s="77"/>
      <c r="D1" s="77"/>
    </row>
    <row r="2" spans="1:18" ht="18" x14ac:dyDescent="0.25">
      <c r="A2" s="77">
        <v>2021</v>
      </c>
      <c r="B2" s="77"/>
      <c r="C2" s="77"/>
      <c r="D2" s="77"/>
    </row>
    <row r="4" spans="1:18" ht="35.25" customHeight="1" x14ac:dyDescent="0.25">
      <c r="A4" s="78" t="s">
        <v>122</v>
      </c>
      <c r="B4" s="78"/>
      <c r="C4" s="78"/>
      <c r="D4" s="78"/>
    </row>
    <row r="5" spans="1:18" x14ac:dyDescent="0.25">
      <c r="A5" s="8"/>
      <c r="B5" s="8"/>
      <c r="C5" s="8"/>
      <c r="D5" s="9"/>
    </row>
    <row r="6" spans="1:18" x14ac:dyDescent="0.25">
      <c r="A6" s="8" t="s">
        <v>126</v>
      </c>
      <c r="B6" s="38">
        <v>3</v>
      </c>
      <c r="C6" s="8"/>
      <c r="D6" s="9" t="str">
        <f>VLOOKUP(B6,Index!Mois,2,FALSE)</f>
        <v>Mars</v>
      </c>
      <c r="E6" s="9" t="str">
        <f>VLOOKUP(B6,Index!Mois,3,FALSE)</f>
        <v>D</v>
      </c>
    </row>
    <row r="7" spans="1:18" x14ac:dyDescent="0.25">
      <c r="A7" s="8"/>
      <c r="B7" s="8"/>
      <c r="C7" s="8"/>
      <c r="D7" s="9"/>
      <c r="I7" t="s">
        <v>126</v>
      </c>
      <c r="J7">
        <v>3</v>
      </c>
      <c r="P7">
        <v>4</v>
      </c>
    </row>
    <row r="8" spans="1:18" s="7" customFormat="1" ht="37.5" customHeight="1" x14ac:dyDescent="0.2">
      <c r="A8" s="25" t="s">
        <v>29</v>
      </c>
      <c r="B8" s="13" t="s">
        <v>28</v>
      </c>
      <c r="C8" s="13" t="s">
        <v>61</v>
      </c>
      <c r="D8" s="11" t="s">
        <v>127</v>
      </c>
    </row>
    <row r="9" spans="1:18" s="37" customFormat="1" x14ac:dyDescent="0.25">
      <c r="A9" s="26" t="s">
        <v>140</v>
      </c>
      <c r="B9" s="26" t="s">
        <v>33</v>
      </c>
      <c r="C9" s="27">
        <v>1</v>
      </c>
      <c r="D9" s="64">
        <v>163.25</v>
      </c>
      <c r="I9" s="37" t="s">
        <v>140</v>
      </c>
      <c r="J9" s="37" t="s">
        <v>33</v>
      </c>
      <c r="K9" s="37">
        <v>1</v>
      </c>
      <c r="L9" s="37">
        <v>163.25</v>
      </c>
      <c r="O9" s="37" t="s">
        <v>140</v>
      </c>
      <c r="P9" s="37" t="s">
        <v>33</v>
      </c>
      <c r="Q9" s="37">
        <v>1</v>
      </c>
      <c r="R9" s="37">
        <v>144</v>
      </c>
    </row>
    <row r="10" spans="1:18" x14ac:dyDescent="0.25">
      <c r="A10" s="26" t="s">
        <v>141</v>
      </c>
      <c r="B10" s="29" t="s">
        <v>36</v>
      </c>
      <c r="C10" s="30">
        <v>2</v>
      </c>
      <c r="D10" s="64">
        <v>140</v>
      </c>
      <c r="I10" s="37" t="s">
        <v>141</v>
      </c>
      <c r="J10" t="s">
        <v>36</v>
      </c>
      <c r="K10">
        <v>2</v>
      </c>
      <c r="L10">
        <v>140</v>
      </c>
      <c r="O10" t="s">
        <v>141</v>
      </c>
      <c r="P10" t="s">
        <v>36</v>
      </c>
      <c r="Q10">
        <v>2</v>
      </c>
      <c r="R10">
        <v>140</v>
      </c>
    </row>
    <row r="11" spans="1:18" x14ac:dyDescent="0.25">
      <c r="A11" s="26" t="s">
        <v>142</v>
      </c>
      <c r="B11" s="29" t="s">
        <v>36</v>
      </c>
      <c r="C11" s="30">
        <v>1</v>
      </c>
      <c r="D11" s="64">
        <v>49.5</v>
      </c>
      <c r="I11" s="37" t="s">
        <v>142</v>
      </c>
      <c r="J11" t="s">
        <v>36</v>
      </c>
      <c r="K11">
        <v>1</v>
      </c>
      <c r="L11">
        <v>49.5</v>
      </c>
      <c r="O11" t="s">
        <v>142</v>
      </c>
      <c r="P11" t="s">
        <v>36</v>
      </c>
      <c r="Q11">
        <v>1</v>
      </c>
      <c r="R11">
        <v>132</v>
      </c>
    </row>
    <row r="12" spans="1:18" x14ac:dyDescent="0.25">
      <c r="A12" s="26" t="s">
        <v>143</v>
      </c>
      <c r="B12" s="29" t="s">
        <v>36</v>
      </c>
      <c r="C12" s="30">
        <v>1</v>
      </c>
      <c r="D12" s="64">
        <v>162.25</v>
      </c>
      <c r="I12" s="37" t="s">
        <v>143</v>
      </c>
      <c r="J12" t="s">
        <v>36</v>
      </c>
      <c r="K12">
        <v>1</v>
      </c>
      <c r="L12">
        <v>162.25</v>
      </c>
      <c r="O12" t="s">
        <v>143</v>
      </c>
      <c r="P12" t="s">
        <v>36</v>
      </c>
      <c r="Q12">
        <v>1</v>
      </c>
      <c r="R12">
        <v>140</v>
      </c>
    </row>
    <row r="13" spans="1:18" x14ac:dyDescent="0.25">
      <c r="A13" s="26" t="s">
        <v>144</v>
      </c>
      <c r="B13" s="29" t="s">
        <v>36</v>
      </c>
      <c r="C13" s="30">
        <v>1</v>
      </c>
      <c r="D13" s="64">
        <v>140</v>
      </c>
      <c r="I13" s="37" t="s">
        <v>144</v>
      </c>
      <c r="J13" t="s">
        <v>36</v>
      </c>
      <c r="K13">
        <v>1</v>
      </c>
      <c r="L13">
        <v>140</v>
      </c>
      <c r="O13" t="s">
        <v>144</v>
      </c>
      <c r="P13" t="s">
        <v>36</v>
      </c>
      <c r="Q13">
        <v>1</v>
      </c>
      <c r="R13">
        <v>136</v>
      </c>
    </row>
    <row r="14" spans="1:18" x14ac:dyDescent="0.25">
      <c r="A14" s="26" t="s">
        <v>145</v>
      </c>
      <c r="B14" s="29" t="s">
        <v>36</v>
      </c>
      <c r="C14" s="30">
        <v>1</v>
      </c>
      <c r="D14" s="64">
        <v>140</v>
      </c>
      <c r="I14" s="37" t="s">
        <v>145</v>
      </c>
      <c r="J14" t="s">
        <v>36</v>
      </c>
      <c r="K14">
        <v>1</v>
      </c>
      <c r="L14">
        <v>140</v>
      </c>
      <c r="O14" t="s">
        <v>145</v>
      </c>
      <c r="P14" t="s">
        <v>36</v>
      </c>
      <c r="Q14">
        <v>1</v>
      </c>
      <c r="R14">
        <v>78.75</v>
      </c>
    </row>
    <row r="15" spans="1:18" x14ac:dyDescent="0.25">
      <c r="A15" s="26" t="s">
        <v>146</v>
      </c>
      <c r="B15" s="29" t="s">
        <v>36</v>
      </c>
      <c r="C15" s="30">
        <v>1</v>
      </c>
      <c r="D15" s="64">
        <v>140</v>
      </c>
      <c r="I15" s="37" t="s">
        <v>146</v>
      </c>
      <c r="J15" t="s">
        <v>36</v>
      </c>
      <c r="K15">
        <v>1</v>
      </c>
      <c r="L15">
        <v>140</v>
      </c>
      <c r="O15" t="s">
        <v>146</v>
      </c>
      <c r="P15" t="s">
        <v>36</v>
      </c>
      <c r="Q15">
        <v>1</v>
      </c>
      <c r="R15">
        <v>131.25</v>
      </c>
    </row>
    <row r="16" spans="1:18" x14ac:dyDescent="0.25">
      <c r="A16" s="26" t="s">
        <v>147</v>
      </c>
      <c r="B16" s="29" t="s">
        <v>31</v>
      </c>
      <c r="C16" s="30">
        <v>2</v>
      </c>
      <c r="D16" s="64">
        <v>57.25</v>
      </c>
      <c r="I16" s="37" t="s">
        <v>147</v>
      </c>
      <c r="J16" t="s">
        <v>31</v>
      </c>
      <c r="K16">
        <v>2</v>
      </c>
      <c r="L16">
        <v>57.25</v>
      </c>
      <c r="O16" t="s">
        <v>147</v>
      </c>
      <c r="P16" t="s">
        <v>31</v>
      </c>
      <c r="Q16">
        <v>2</v>
      </c>
      <c r="R16">
        <v>78.75</v>
      </c>
    </row>
    <row r="17" spans="1:18" x14ac:dyDescent="0.25">
      <c r="A17" s="26" t="s">
        <v>148</v>
      </c>
      <c r="B17" s="29" t="s">
        <v>37</v>
      </c>
      <c r="C17" s="30">
        <v>1</v>
      </c>
      <c r="D17" s="64">
        <v>163.25</v>
      </c>
      <c r="I17" s="37" t="s">
        <v>148</v>
      </c>
      <c r="J17" t="s">
        <v>37</v>
      </c>
      <c r="K17">
        <v>1</v>
      </c>
      <c r="L17">
        <v>163.25</v>
      </c>
      <c r="O17" t="s">
        <v>148</v>
      </c>
      <c r="P17" t="s">
        <v>37</v>
      </c>
      <c r="Q17">
        <v>1</v>
      </c>
      <c r="R17">
        <v>144</v>
      </c>
    </row>
    <row r="18" spans="1:18" x14ac:dyDescent="0.25">
      <c r="A18" s="26" t="s">
        <v>149</v>
      </c>
      <c r="B18" s="29" t="s">
        <v>32</v>
      </c>
      <c r="C18" s="30">
        <v>1</v>
      </c>
      <c r="D18" s="64">
        <v>163.25</v>
      </c>
      <c r="I18" s="37" t="s">
        <v>149</v>
      </c>
      <c r="J18" t="s">
        <v>32</v>
      </c>
      <c r="K18">
        <v>1</v>
      </c>
      <c r="L18">
        <v>163.25</v>
      </c>
      <c r="O18" t="s">
        <v>149</v>
      </c>
      <c r="P18" t="s">
        <v>32</v>
      </c>
      <c r="Q18">
        <v>1</v>
      </c>
      <c r="R18">
        <v>109</v>
      </c>
    </row>
    <row r="19" spans="1:18" x14ac:dyDescent="0.25">
      <c r="A19" s="26" t="s">
        <v>150</v>
      </c>
      <c r="B19" s="29" t="s">
        <v>36</v>
      </c>
      <c r="C19" s="30">
        <v>1</v>
      </c>
      <c r="D19" s="64">
        <v>139.25</v>
      </c>
      <c r="I19" s="37" t="s">
        <v>150</v>
      </c>
      <c r="J19" t="s">
        <v>36</v>
      </c>
      <c r="K19">
        <v>1</v>
      </c>
      <c r="L19">
        <v>139.25</v>
      </c>
      <c r="O19" t="s">
        <v>150</v>
      </c>
      <c r="P19" t="s">
        <v>36</v>
      </c>
      <c r="Q19">
        <v>1</v>
      </c>
      <c r="R19">
        <v>125.75</v>
      </c>
    </row>
    <row r="20" spans="1:18" x14ac:dyDescent="0.25">
      <c r="A20" s="26" t="s">
        <v>151</v>
      </c>
      <c r="B20" s="29" t="s">
        <v>36</v>
      </c>
      <c r="C20" s="30">
        <v>1</v>
      </c>
      <c r="D20" s="64">
        <v>140</v>
      </c>
      <c r="I20" s="37" t="s">
        <v>151</v>
      </c>
      <c r="J20" t="s">
        <v>36</v>
      </c>
      <c r="K20">
        <v>1</v>
      </c>
      <c r="L20">
        <v>140</v>
      </c>
      <c r="O20" t="s">
        <v>151</v>
      </c>
      <c r="P20" t="s">
        <v>36</v>
      </c>
      <c r="Q20">
        <v>1</v>
      </c>
      <c r="R20">
        <v>140</v>
      </c>
    </row>
    <row r="21" spans="1:18" x14ac:dyDescent="0.25">
      <c r="A21" s="26" t="s">
        <v>152</v>
      </c>
      <c r="B21" s="29" t="s">
        <v>34</v>
      </c>
      <c r="C21" s="30">
        <v>1</v>
      </c>
      <c r="D21" s="64">
        <v>163.25</v>
      </c>
      <c r="I21" s="37" t="s">
        <v>152</v>
      </c>
      <c r="J21" t="s">
        <v>34</v>
      </c>
      <c r="K21">
        <v>1</v>
      </c>
      <c r="L21">
        <v>163.25</v>
      </c>
      <c r="O21" t="s">
        <v>152</v>
      </c>
      <c r="P21" t="s">
        <v>34</v>
      </c>
      <c r="Q21">
        <v>1</v>
      </c>
      <c r="R21">
        <v>136.25</v>
      </c>
    </row>
    <row r="22" spans="1:18" x14ac:dyDescent="0.25">
      <c r="A22" s="26" t="s">
        <v>153</v>
      </c>
      <c r="B22" s="29" t="s">
        <v>36</v>
      </c>
      <c r="C22" s="30">
        <v>1</v>
      </c>
      <c r="D22" s="64">
        <v>89.75</v>
      </c>
      <c r="I22" s="37" t="s">
        <v>153</v>
      </c>
      <c r="J22" t="s">
        <v>36</v>
      </c>
      <c r="K22">
        <v>1</v>
      </c>
      <c r="L22">
        <v>89.75</v>
      </c>
      <c r="O22" t="s">
        <v>153</v>
      </c>
      <c r="P22" t="s">
        <v>36</v>
      </c>
      <c r="Q22">
        <v>1</v>
      </c>
      <c r="R22">
        <v>140</v>
      </c>
    </row>
    <row r="23" spans="1:18" x14ac:dyDescent="0.25">
      <c r="A23" s="26" t="s">
        <v>154</v>
      </c>
      <c r="B23" s="29" t="s">
        <v>55</v>
      </c>
      <c r="C23" s="30">
        <v>1</v>
      </c>
      <c r="D23" s="64">
        <v>163.25</v>
      </c>
      <c r="I23" s="37" t="s">
        <v>154</v>
      </c>
      <c r="J23" t="s">
        <v>55</v>
      </c>
      <c r="K23">
        <v>1</v>
      </c>
      <c r="L23">
        <v>163.25</v>
      </c>
      <c r="O23" t="s">
        <v>154</v>
      </c>
      <c r="P23" t="s">
        <v>55</v>
      </c>
      <c r="Q23">
        <v>1</v>
      </c>
      <c r="R23">
        <v>144</v>
      </c>
    </row>
    <row r="24" spans="1:18" x14ac:dyDescent="0.25">
      <c r="A24" s="26" t="s">
        <v>155</v>
      </c>
      <c r="B24" s="29" t="s">
        <v>57</v>
      </c>
      <c r="C24" s="30">
        <v>1</v>
      </c>
      <c r="D24" s="64">
        <v>0</v>
      </c>
      <c r="I24" s="37" t="s">
        <v>155</v>
      </c>
      <c r="J24" t="s">
        <v>57</v>
      </c>
      <c r="K24">
        <v>1</v>
      </c>
      <c r="L24">
        <v>0</v>
      </c>
      <c r="O24" t="s">
        <v>155</v>
      </c>
      <c r="P24" t="s">
        <v>57</v>
      </c>
      <c r="Q24">
        <v>1</v>
      </c>
      <c r="R24">
        <v>0</v>
      </c>
    </row>
    <row r="25" spans="1:18" x14ac:dyDescent="0.25">
      <c r="A25" s="26" t="s">
        <v>156</v>
      </c>
      <c r="B25" s="29" t="s">
        <v>30</v>
      </c>
      <c r="C25" s="30">
        <v>2</v>
      </c>
      <c r="D25" s="64">
        <v>0</v>
      </c>
      <c r="I25" s="37" t="s">
        <v>156</v>
      </c>
      <c r="J25" t="s">
        <v>30</v>
      </c>
      <c r="K25">
        <v>2</v>
      </c>
      <c r="L25">
        <v>0</v>
      </c>
      <c r="O25" t="s">
        <v>156</v>
      </c>
      <c r="P25" t="s">
        <v>30</v>
      </c>
      <c r="Q25">
        <v>2</v>
      </c>
      <c r="R25">
        <v>0</v>
      </c>
    </row>
    <row r="26" spans="1:18" x14ac:dyDescent="0.25">
      <c r="A26" s="26" t="s">
        <v>157</v>
      </c>
      <c r="B26" s="29" t="s">
        <v>30</v>
      </c>
      <c r="C26" s="30">
        <v>2</v>
      </c>
      <c r="D26" s="64">
        <v>69</v>
      </c>
      <c r="I26" s="37" t="s">
        <v>157</v>
      </c>
      <c r="J26" t="s">
        <v>30</v>
      </c>
      <c r="K26">
        <v>2</v>
      </c>
      <c r="L26">
        <v>69</v>
      </c>
      <c r="O26" t="s">
        <v>157</v>
      </c>
      <c r="P26" t="s">
        <v>30</v>
      </c>
      <c r="Q26">
        <v>2</v>
      </c>
      <c r="R26">
        <v>70</v>
      </c>
    </row>
    <row r="27" spans="1:18" x14ac:dyDescent="0.25">
      <c r="A27" s="26" t="s">
        <v>158</v>
      </c>
      <c r="B27" s="29" t="s">
        <v>56</v>
      </c>
      <c r="C27" s="30">
        <v>1</v>
      </c>
      <c r="D27" s="64">
        <v>166.25</v>
      </c>
      <c r="I27" s="37" t="s">
        <v>158</v>
      </c>
      <c r="J27" t="s">
        <v>56</v>
      </c>
      <c r="K27">
        <v>1</v>
      </c>
      <c r="L27">
        <v>166.25</v>
      </c>
      <c r="O27" t="s">
        <v>158</v>
      </c>
      <c r="P27" t="s">
        <v>56</v>
      </c>
      <c r="Q27">
        <v>1</v>
      </c>
      <c r="R27">
        <v>140</v>
      </c>
    </row>
    <row r="28" spans="1:18" x14ac:dyDescent="0.25">
      <c r="A28" s="26" t="s">
        <v>159</v>
      </c>
      <c r="B28" s="29" t="s">
        <v>38</v>
      </c>
      <c r="C28" s="30">
        <v>1</v>
      </c>
      <c r="D28" s="64">
        <v>100.75</v>
      </c>
      <c r="I28" s="37" t="s">
        <v>159</v>
      </c>
      <c r="J28" t="s">
        <v>38</v>
      </c>
      <c r="K28">
        <v>1</v>
      </c>
      <c r="L28">
        <v>100.75</v>
      </c>
      <c r="O28" t="s">
        <v>159</v>
      </c>
      <c r="P28" t="s">
        <v>38</v>
      </c>
      <c r="Q28">
        <v>1</v>
      </c>
      <c r="R28">
        <v>0</v>
      </c>
    </row>
    <row r="29" spans="1:18" x14ac:dyDescent="0.25">
      <c r="A29" s="26" t="s">
        <v>160</v>
      </c>
      <c r="B29" s="29" t="s">
        <v>36</v>
      </c>
      <c r="C29" s="30">
        <v>1</v>
      </c>
      <c r="D29" s="64">
        <v>70</v>
      </c>
      <c r="I29" s="37" t="s">
        <v>160</v>
      </c>
      <c r="J29" t="s">
        <v>36</v>
      </c>
      <c r="K29">
        <v>1</v>
      </c>
      <c r="L29">
        <v>70</v>
      </c>
      <c r="O29" t="s">
        <v>160</v>
      </c>
      <c r="P29" t="s">
        <v>36</v>
      </c>
      <c r="Q29">
        <v>1</v>
      </c>
      <c r="R29">
        <v>61.25</v>
      </c>
    </row>
    <row r="30" spans="1:18" x14ac:dyDescent="0.25">
      <c r="A30" s="26" t="s">
        <v>161</v>
      </c>
      <c r="B30" s="29" t="s">
        <v>36</v>
      </c>
      <c r="C30" s="30">
        <v>1</v>
      </c>
      <c r="D30" s="64">
        <v>106.75</v>
      </c>
      <c r="I30" s="37" t="s">
        <v>161</v>
      </c>
      <c r="J30" t="s">
        <v>36</v>
      </c>
      <c r="K30">
        <v>1</v>
      </c>
      <c r="L30">
        <v>106.75</v>
      </c>
      <c r="O30" t="s">
        <v>161</v>
      </c>
      <c r="P30" t="s">
        <v>36</v>
      </c>
      <c r="Q30">
        <v>1</v>
      </c>
      <c r="R30">
        <v>134.25</v>
      </c>
    </row>
    <row r="31" spans="1:18" x14ac:dyDescent="0.25">
      <c r="A31" s="26" t="s">
        <v>162</v>
      </c>
      <c r="B31" s="29" t="s">
        <v>36</v>
      </c>
      <c r="C31" s="30">
        <v>1</v>
      </c>
      <c r="D31" s="64">
        <v>96.25</v>
      </c>
      <c r="I31" s="37" t="s">
        <v>162</v>
      </c>
      <c r="J31" t="s">
        <v>36</v>
      </c>
      <c r="K31">
        <v>1</v>
      </c>
      <c r="L31">
        <v>96.25</v>
      </c>
      <c r="O31" t="s">
        <v>162</v>
      </c>
      <c r="P31" t="s">
        <v>36</v>
      </c>
      <c r="Q31">
        <v>1</v>
      </c>
      <c r="R31">
        <v>68</v>
      </c>
    </row>
    <row r="32" spans="1:18" x14ac:dyDescent="0.25">
      <c r="A32" s="26" t="s">
        <v>163</v>
      </c>
      <c r="B32" s="29" t="s">
        <v>39</v>
      </c>
      <c r="C32" s="30">
        <v>1</v>
      </c>
      <c r="D32" s="64">
        <v>159.25</v>
      </c>
      <c r="I32" s="37" t="s">
        <v>163</v>
      </c>
      <c r="J32" t="s">
        <v>39</v>
      </c>
      <c r="K32">
        <v>1</v>
      </c>
      <c r="L32">
        <v>159.25</v>
      </c>
      <c r="O32" t="s">
        <v>163</v>
      </c>
      <c r="P32" t="s">
        <v>39</v>
      </c>
      <c r="Q32">
        <v>1</v>
      </c>
      <c r="R32">
        <v>109</v>
      </c>
    </row>
    <row r="33" spans="1:18" x14ac:dyDescent="0.25">
      <c r="A33" s="26" t="s">
        <v>164</v>
      </c>
      <c r="B33" s="29" t="s">
        <v>53</v>
      </c>
      <c r="C33" s="30">
        <v>1</v>
      </c>
      <c r="D33" s="64">
        <v>163.25</v>
      </c>
      <c r="I33" s="37" t="s">
        <v>164</v>
      </c>
      <c r="J33" t="s">
        <v>53</v>
      </c>
      <c r="K33">
        <v>1</v>
      </c>
      <c r="L33">
        <v>163.25</v>
      </c>
      <c r="O33" t="s">
        <v>164</v>
      </c>
      <c r="P33" t="s">
        <v>53</v>
      </c>
      <c r="Q33">
        <v>1</v>
      </c>
      <c r="R33">
        <v>144</v>
      </c>
    </row>
    <row r="34" spans="1:18" x14ac:dyDescent="0.25">
      <c r="A34" s="26" t="s">
        <v>165</v>
      </c>
      <c r="B34" s="29" t="s">
        <v>58</v>
      </c>
      <c r="C34" s="30">
        <v>1</v>
      </c>
      <c r="D34" s="64">
        <v>65.099999999999994</v>
      </c>
      <c r="I34" s="37" t="s">
        <v>165</v>
      </c>
      <c r="J34" t="s">
        <v>58</v>
      </c>
      <c r="K34">
        <v>1</v>
      </c>
      <c r="L34">
        <v>65.099999999999994</v>
      </c>
      <c r="O34" t="s">
        <v>165</v>
      </c>
      <c r="P34" t="s">
        <v>58</v>
      </c>
      <c r="Q34">
        <v>1</v>
      </c>
      <c r="R34">
        <v>55.7</v>
      </c>
    </row>
    <row r="35" spans="1:18" x14ac:dyDescent="0.25">
      <c r="A35" s="26" t="s">
        <v>166</v>
      </c>
      <c r="B35" s="29" t="s">
        <v>36</v>
      </c>
      <c r="C35" s="30">
        <v>1</v>
      </c>
      <c r="D35" s="64">
        <v>162.25</v>
      </c>
      <c r="I35" s="37" t="s">
        <v>166</v>
      </c>
      <c r="J35" t="s">
        <v>36</v>
      </c>
      <c r="K35">
        <v>1</v>
      </c>
      <c r="L35">
        <v>162.25</v>
      </c>
      <c r="O35" t="s">
        <v>166</v>
      </c>
      <c r="P35" t="s">
        <v>36</v>
      </c>
      <c r="Q35">
        <v>1</v>
      </c>
      <c r="R35">
        <v>136</v>
      </c>
    </row>
    <row r="36" spans="1:18" x14ac:dyDescent="0.25">
      <c r="A36" s="26" t="s">
        <v>167</v>
      </c>
      <c r="B36" s="29" t="s">
        <v>34</v>
      </c>
      <c r="C36" s="30">
        <v>1</v>
      </c>
      <c r="D36" s="64">
        <v>155.5</v>
      </c>
      <c r="I36" s="37" t="s">
        <v>167</v>
      </c>
      <c r="J36" t="s">
        <v>34</v>
      </c>
      <c r="K36">
        <v>1</v>
      </c>
      <c r="L36">
        <v>155.5</v>
      </c>
      <c r="O36" t="s">
        <v>167</v>
      </c>
      <c r="P36" t="s">
        <v>34</v>
      </c>
      <c r="Q36">
        <v>1</v>
      </c>
      <c r="R36">
        <v>109</v>
      </c>
    </row>
    <row r="37" spans="1:18" x14ac:dyDescent="0.25">
      <c r="A37" s="26" t="s">
        <v>168</v>
      </c>
      <c r="B37" s="29" t="s">
        <v>36</v>
      </c>
      <c r="C37" s="30">
        <v>1</v>
      </c>
      <c r="D37" s="64">
        <v>148</v>
      </c>
      <c r="I37" s="37" t="s">
        <v>168</v>
      </c>
      <c r="J37" t="s">
        <v>36</v>
      </c>
      <c r="K37">
        <v>1</v>
      </c>
      <c r="L37">
        <v>148</v>
      </c>
      <c r="O37" t="s">
        <v>168</v>
      </c>
      <c r="P37" t="s">
        <v>36</v>
      </c>
      <c r="Q37">
        <v>1</v>
      </c>
      <c r="R37">
        <v>112.5</v>
      </c>
    </row>
    <row r="38" spans="1:18" x14ac:dyDescent="0.25">
      <c r="A38" s="26" t="s">
        <v>169</v>
      </c>
      <c r="B38" s="29" t="s">
        <v>36</v>
      </c>
      <c r="C38" s="30">
        <v>1</v>
      </c>
      <c r="D38" s="64">
        <v>163</v>
      </c>
      <c r="I38" s="37" t="s">
        <v>169</v>
      </c>
      <c r="J38" t="s">
        <v>36</v>
      </c>
      <c r="K38">
        <v>1</v>
      </c>
      <c r="L38">
        <v>163</v>
      </c>
      <c r="O38" t="s">
        <v>169</v>
      </c>
      <c r="P38" t="s">
        <v>36</v>
      </c>
      <c r="Q38">
        <v>1</v>
      </c>
      <c r="R38">
        <v>109</v>
      </c>
    </row>
    <row r="39" spans="1:18" x14ac:dyDescent="0.25">
      <c r="A39" s="26" t="s">
        <v>170</v>
      </c>
      <c r="B39" s="29" t="s">
        <v>34</v>
      </c>
      <c r="C39" s="30">
        <v>2</v>
      </c>
      <c r="D39" s="64">
        <v>160.5</v>
      </c>
      <c r="I39" s="37" t="s">
        <v>170</v>
      </c>
      <c r="J39" t="s">
        <v>34</v>
      </c>
      <c r="K39">
        <v>2</v>
      </c>
      <c r="L39">
        <v>160.5</v>
      </c>
      <c r="O39" t="s">
        <v>170</v>
      </c>
      <c r="P39" t="s">
        <v>34</v>
      </c>
      <c r="Q39">
        <v>2</v>
      </c>
      <c r="R39">
        <v>136.25</v>
      </c>
    </row>
    <row r="40" spans="1:18" x14ac:dyDescent="0.25">
      <c r="A40" s="26" t="s">
        <v>171</v>
      </c>
      <c r="B40" s="29" t="s">
        <v>58</v>
      </c>
      <c r="C40" s="30">
        <v>1</v>
      </c>
      <c r="D40" s="64">
        <v>163.25</v>
      </c>
      <c r="I40" s="37" t="s">
        <v>171</v>
      </c>
      <c r="J40" t="s">
        <v>58</v>
      </c>
      <c r="K40">
        <v>1</v>
      </c>
      <c r="L40">
        <v>163.25</v>
      </c>
      <c r="O40" t="s">
        <v>171</v>
      </c>
      <c r="P40" t="s">
        <v>58</v>
      </c>
      <c r="Q40">
        <v>1</v>
      </c>
      <c r="R40">
        <v>144</v>
      </c>
    </row>
    <row r="41" spans="1:18" x14ac:dyDescent="0.25">
      <c r="A41" s="26" t="s">
        <v>172</v>
      </c>
      <c r="B41" s="29" t="s">
        <v>53</v>
      </c>
      <c r="C41" s="30">
        <v>1</v>
      </c>
      <c r="D41" s="64">
        <v>163.25</v>
      </c>
      <c r="I41" s="37" t="s">
        <v>172</v>
      </c>
      <c r="J41" t="s">
        <v>53</v>
      </c>
      <c r="K41">
        <v>1</v>
      </c>
      <c r="L41">
        <v>163.25</v>
      </c>
      <c r="O41" t="s">
        <v>172</v>
      </c>
      <c r="P41" t="s">
        <v>53</v>
      </c>
      <c r="Q41">
        <v>1</v>
      </c>
      <c r="R41">
        <v>109</v>
      </c>
    </row>
    <row r="42" spans="1:18" x14ac:dyDescent="0.25">
      <c r="A42" s="26" t="s">
        <v>173</v>
      </c>
      <c r="B42" s="29" t="s">
        <v>40</v>
      </c>
      <c r="C42" s="30">
        <v>1</v>
      </c>
      <c r="D42" s="64">
        <v>93.25</v>
      </c>
      <c r="I42" s="37" t="s">
        <v>173</v>
      </c>
      <c r="J42" t="s">
        <v>40</v>
      </c>
      <c r="K42">
        <v>1</v>
      </c>
      <c r="L42">
        <v>93.25</v>
      </c>
      <c r="O42" t="s">
        <v>173</v>
      </c>
      <c r="P42" t="s">
        <v>40</v>
      </c>
      <c r="Q42">
        <v>1</v>
      </c>
      <c r="R42">
        <v>81.75</v>
      </c>
    </row>
    <row r="43" spans="1:18" x14ac:dyDescent="0.25">
      <c r="A43" s="26" t="s">
        <v>174</v>
      </c>
      <c r="B43" s="29" t="s">
        <v>36</v>
      </c>
      <c r="C43" s="30">
        <v>1</v>
      </c>
      <c r="D43" s="64">
        <v>166.25</v>
      </c>
      <c r="I43" s="37" t="s">
        <v>174</v>
      </c>
      <c r="J43" t="s">
        <v>36</v>
      </c>
      <c r="K43">
        <v>1</v>
      </c>
      <c r="L43">
        <v>166.25</v>
      </c>
      <c r="O43" t="s">
        <v>174</v>
      </c>
      <c r="P43" t="s">
        <v>36</v>
      </c>
      <c r="Q43">
        <v>1</v>
      </c>
      <c r="R43">
        <v>140</v>
      </c>
    </row>
    <row r="44" spans="1:18" x14ac:dyDescent="0.25">
      <c r="A44" s="26" t="s">
        <v>175</v>
      </c>
      <c r="B44" s="29" t="s">
        <v>31</v>
      </c>
      <c r="C44" s="30">
        <v>2</v>
      </c>
      <c r="D44" s="64">
        <v>157.5</v>
      </c>
      <c r="I44" s="37" t="s">
        <v>175</v>
      </c>
      <c r="J44" t="s">
        <v>31</v>
      </c>
      <c r="K44">
        <v>2</v>
      </c>
      <c r="L44">
        <v>157.5</v>
      </c>
      <c r="O44" t="s">
        <v>175</v>
      </c>
      <c r="P44" t="s">
        <v>31</v>
      </c>
      <c r="Q44">
        <v>2</v>
      </c>
      <c r="R44">
        <v>131.25</v>
      </c>
    </row>
    <row r="45" spans="1:18" x14ac:dyDescent="0.25">
      <c r="A45" s="26" t="s">
        <v>176</v>
      </c>
      <c r="B45" s="29" t="s">
        <v>30</v>
      </c>
      <c r="C45" s="30">
        <v>2</v>
      </c>
      <c r="D45" s="64">
        <v>61.25</v>
      </c>
      <c r="I45" s="37" t="s">
        <v>176</v>
      </c>
      <c r="J45" t="s">
        <v>30</v>
      </c>
      <c r="K45">
        <v>2</v>
      </c>
      <c r="L45">
        <v>61.25</v>
      </c>
      <c r="O45" t="s">
        <v>176</v>
      </c>
      <c r="P45" t="s">
        <v>30</v>
      </c>
      <c r="Q45">
        <v>2</v>
      </c>
      <c r="R45">
        <v>68</v>
      </c>
    </row>
    <row r="46" spans="1:18" x14ac:dyDescent="0.25">
      <c r="A46" s="26" t="s">
        <v>177</v>
      </c>
      <c r="B46" s="29" t="s">
        <v>57</v>
      </c>
      <c r="C46" s="30">
        <v>1</v>
      </c>
      <c r="D46" s="64">
        <v>0</v>
      </c>
      <c r="I46" s="37" t="s">
        <v>177</v>
      </c>
      <c r="J46" t="s">
        <v>57</v>
      </c>
      <c r="K46">
        <v>1</v>
      </c>
      <c r="L46">
        <v>0</v>
      </c>
      <c r="O46" t="s">
        <v>177</v>
      </c>
      <c r="P46" t="s">
        <v>57</v>
      </c>
      <c r="Q46">
        <v>1</v>
      </c>
      <c r="R46">
        <v>0</v>
      </c>
    </row>
    <row r="47" spans="1:18" x14ac:dyDescent="0.25">
      <c r="A47" s="26" t="s">
        <v>178</v>
      </c>
      <c r="B47" s="29" t="s">
        <v>36</v>
      </c>
      <c r="C47" s="30">
        <v>1</v>
      </c>
      <c r="D47" s="64">
        <v>70</v>
      </c>
      <c r="I47" s="37" t="s">
        <v>178</v>
      </c>
      <c r="J47" t="s">
        <v>36</v>
      </c>
      <c r="K47">
        <v>1</v>
      </c>
      <c r="L47">
        <v>70</v>
      </c>
      <c r="O47" t="s">
        <v>178</v>
      </c>
      <c r="P47" t="s">
        <v>36</v>
      </c>
      <c r="Q47">
        <v>1</v>
      </c>
      <c r="R47">
        <v>62.25</v>
      </c>
    </row>
    <row r="48" spans="1:18" x14ac:dyDescent="0.25">
      <c r="A48" s="26" t="s">
        <v>179</v>
      </c>
      <c r="B48" s="29" t="s">
        <v>36</v>
      </c>
      <c r="C48" s="30">
        <v>1</v>
      </c>
      <c r="D48" s="64">
        <v>172.5</v>
      </c>
      <c r="I48" s="37" t="s">
        <v>179</v>
      </c>
      <c r="J48" t="s">
        <v>36</v>
      </c>
      <c r="K48">
        <v>1</v>
      </c>
      <c r="L48">
        <v>172.5</v>
      </c>
      <c r="O48" t="s">
        <v>179</v>
      </c>
      <c r="P48" t="s">
        <v>36</v>
      </c>
      <c r="Q48">
        <v>1</v>
      </c>
      <c r="R48">
        <v>140.25</v>
      </c>
    </row>
    <row r="49" spans="1:18" x14ac:dyDescent="0.25">
      <c r="A49" s="26" t="s">
        <v>180</v>
      </c>
      <c r="B49" s="29" t="s">
        <v>57</v>
      </c>
      <c r="C49" s="30">
        <v>1</v>
      </c>
      <c r="D49" s="64">
        <v>163.25</v>
      </c>
      <c r="I49" s="37" t="s">
        <v>180</v>
      </c>
      <c r="J49" t="s">
        <v>57</v>
      </c>
      <c r="K49">
        <v>1</v>
      </c>
      <c r="L49">
        <v>163.25</v>
      </c>
      <c r="O49" t="s">
        <v>180</v>
      </c>
      <c r="P49" t="s">
        <v>57</v>
      </c>
      <c r="Q49">
        <v>1</v>
      </c>
      <c r="R49">
        <v>144</v>
      </c>
    </row>
    <row r="50" spans="1:18" x14ac:dyDescent="0.25">
      <c r="A50" s="26" t="s">
        <v>181</v>
      </c>
      <c r="B50" s="29" t="s">
        <v>33</v>
      </c>
      <c r="C50" s="30">
        <v>1</v>
      </c>
      <c r="D50" s="64">
        <v>163.25</v>
      </c>
      <c r="I50" s="37" t="s">
        <v>181</v>
      </c>
      <c r="J50" t="s">
        <v>33</v>
      </c>
      <c r="K50">
        <v>1</v>
      </c>
      <c r="L50">
        <v>163.25</v>
      </c>
      <c r="O50" t="s">
        <v>181</v>
      </c>
      <c r="P50" t="s">
        <v>33</v>
      </c>
      <c r="Q50">
        <v>1</v>
      </c>
      <c r="R50">
        <v>109</v>
      </c>
    </row>
    <row r="51" spans="1:18" x14ac:dyDescent="0.25">
      <c r="A51" s="26" t="s">
        <v>182</v>
      </c>
      <c r="B51" s="29" t="s">
        <v>36</v>
      </c>
      <c r="C51" s="30">
        <v>1</v>
      </c>
      <c r="D51" s="64">
        <v>162.25</v>
      </c>
      <c r="I51" s="37" t="s">
        <v>182</v>
      </c>
      <c r="J51" t="s">
        <v>36</v>
      </c>
      <c r="K51">
        <v>1</v>
      </c>
      <c r="L51">
        <v>162.25</v>
      </c>
      <c r="O51" t="s">
        <v>182</v>
      </c>
      <c r="P51" t="s">
        <v>36</v>
      </c>
      <c r="Q51">
        <v>1</v>
      </c>
      <c r="R51">
        <v>109.5</v>
      </c>
    </row>
    <row r="52" spans="1:18" x14ac:dyDescent="0.25">
      <c r="A52" s="26" t="s">
        <v>183</v>
      </c>
      <c r="B52" s="29" t="s">
        <v>30</v>
      </c>
      <c r="C52" s="30">
        <v>2</v>
      </c>
      <c r="D52" s="64">
        <v>131.25</v>
      </c>
      <c r="I52" s="37" t="s">
        <v>183</v>
      </c>
      <c r="J52" t="s">
        <v>30</v>
      </c>
      <c r="K52">
        <v>2</v>
      </c>
      <c r="L52">
        <v>131.25</v>
      </c>
      <c r="O52" t="s">
        <v>183</v>
      </c>
      <c r="P52" t="s">
        <v>30</v>
      </c>
      <c r="Q52">
        <v>2</v>
      </c>
      <c r="R52">
        <v>87.5</v>
      </c>
    </row>
    <row r="53" spans="1:18" x14ac:dyDescent="0.25">
      <c r="A53" s="26" t="s">
        <v>184</v>
      </c>
      <c r="B53" s="29" t="s">
        <v>36</v>
      </c>
      <c r="C53" s="30">
        <v>1</v>
      </c>
      <c r="D53" s="64">
        <v>163.25</v>
      </c>
      <c r="I53" s="37" t="s">
        <v>184</v>
      </c>
      <c r="J53" t="s">
        <v>36</v>
      </c>
      <c r="K53">
        <v>1</v>
      </c>
      <c r="L53">
        <v>163.25</v>
      </c>
      <c r="O53" t="s">
        <v>184</v>
      </c>
      <c r="P53" t="s">
        <v>36</v>
      </c>
      <c r="Q53">
        <v>1</v>
      </c>
      <c r="R53">
        <v>140</v>
      </c>
    </row>
    <row r="54" spans="1:18" x14ac:dyDescent="0.25">
      <c r="A54" s="26" t="s">
        <v>185</v>
      </c>
      <c r="B54" s="29" t="s">
        <v>30</v>
      </c>
      <c r="C54" s="30">
        <v>2</v>
      </c>
      <c r="D54" s="64">
        <v>105</v>
      </c>
      <c r="I54" s="37" t="s">
        <v>185</v>
      </c>
      <c r="J54" t="s">
        <v>30</v>
      </c>
      <c r="K54">
        <v>2</v>
      </c>
      <c r="L54">
        <v>105</v>
      </c>
      <c r="O54" t="s">
        <v>185</v>
      </c>
      <c r="P54" t="s">
        <v>30</v>
      </c>
      <c r="Q54">
        <v>2</v>
      </c>
      <c r="R54">
        <v>96.25</v>
      </c>
    </row>
    <row r="55" spans="1:18" x14ac:dyDescent="0.25">
      <c r="A55" s="26" t="s">
        <v>186</v>
      </c>
      <c r="B55" s="29" t="s">
        <v>32</v>
      </c>
      <c r="C55" s="30">
        <v>1</v>
      </c>
      <c r="D55" s="64">
        <v>182.25</v>
      </c>
      <c r="I55" s="37" t="s">
        <v>186</v>
      </c>
      <c r="J55" t="s">
        <v>32</v>
      </c>
      <c r="K55">
        <v>1</v>
      </c>
      <c r="L55">
        <v>182.25</v>
      </c>
      <c r="O55" t="s">
        <v>186</v>
      </c>
      <c r="P55" t="s">
        <v>32</v>
      </c>
      <c r="Q55">
        <v>1</v>
      </c>
      <c r="R55">
        <v>121</v>
      </c>
    </row>
    <row r="56" spans="1:18" x14ac:dyDescent="0.25">
      <c r="A56" s="26" t="s">
        <v>187</v>
      </c>
      <c r="B56" s="29" t="s">
        <v>34</v>
      </c>
      <c r="C56" s="30">
        <v>1</v>
      </c>
      <c r="D56" s="64">
        <v>151.5</v>
      </c>
      <c r="I56" s="37" t="s">
        <v>187</v>
      </c>
      <c r="J56" t="s">
        <v>34</v>
      </c>
      <c r="K56">
        <v>1</v>
      </c>
      <c r="L56">
        <v>151.5</v>
      </c>
      <c r="O56" t="s">
        <v>187</v>
      </c>
      <c r="P56" t="s">
        <v>34</v>
      </c>
      <c r="Q56">
        <v>1</v>
      </c>
      <c r="R56">
        <v>143.75</v>
      </c>
    </row>
    <row r="57" spans="1:18" x14ac:dyDescent="0.25">
      <c r="A57" s="26" t="s">
        <v>188</v>
      </c>
      <c r="B57" s="29" t="s">
        <v>36</v>
      </c>
      <c r="C57" s="30">
        <v>2</v>
      </c>
      <c r="D57" s="64">
        <v>140</v>
      </c>
      <c r="I57" s="37" t="s">
        <v>188</v>
      </c>
      <c r="J57" t="s">
        <v>36</v>
      </c>
      <c r="K57">
        <v>2</v>
      </c>
      <c r="L57">
        <v>140</v>
      </c>
      <c r="O57" t="s">
        <v>188</v>
      </c>
      <c r="P57" t="s">
        <v>36</v>
      </c>
      <c r="Q57">
        <v>2</v>
      </c>
      <c r="R57">
        <v>140</v>
      </c>
    </row>
    <row r="58" spans="1:18" x14ac:dyDescent="0.25">
      <c r="A58" s="26" t="s">
        <v>189</v>
      </c>
      <c r="B58" s="29" t="s">
        <v>30</v>
      </c>
      <c r="C58" s="30">
        <v>1</v>
      </c>
      <c r="D58" s="64">
        <v>87.5</v>
      </c>
      <c r="I58" s="37" t="s">
        <v>189</v>
      </c>
      <c r="J58" t="s">
        <v>30</v>
      </c>
      <c r="K58">
        <v>1</v>
      </c>
      <c r="L58">
        <v>87.5</v>
      </c>
      <c r="O58" t="s">
        <v>189</v>
      </c>
      <c r="P58" t="s">
        <v>30</v>
      </c>
      <c r="Q58">
        <v>1</v>
      </c>
      <c r="R58">
        <v>60.25</v>
      </c>
    </row>
    <row r="59" spans="1:18" x14ac:dyDescent="0.25">
      <c r="A59" s="26" t="s">
        <v>190</v>
      </c>
      <c r="B59" s="29" t="s">
        <v>36</v>
      </c>
      <c r="C59" s="30">
        <v>1</v>
      </c>
      <c r="D59" s="64">
        <v>174.75</v>
      </c>
      <c r="I59" s="37" t="s">
        <v>190</v>
      </c>
      <c r="J59" t="s">
        <v>36</v>
      </c>
      <c r="K59">
        <v>1</v>
      </c>
      <c r="L59">
        <v>174.75</v>
      </c>
      <c r="O59" t="s">
        <v>190</v>
      </c>
      <c r="P59" t="s">
        <v>36</v>
      </c>
      <c r="Q59">
        <v>1</v>
      </c>
      <c r="R59">
        <v>117.75</v>
      </c>
    </row>
    <row r="60" spans="1:18" x14ac:dyDescent="0.25">
      <c r="A60" s="26" t="s">
        <v>191</v>
      </c>
      <c r="B60" s="29" t="s">
        <v>37</v>
      </c>
      <c r="C60" s="30">
        <v>1</v>
      </c>
      <c r="D60" s="64">
        <v>178.25</v>
      </c>
      <c r="I60" s="37" t="s">
        <v>191</v>
      </c>
      <c r="J60" t="s">
        <v>37</v>
      </c>
      <c r="K60">
        <v>1</v>
      </c>
      <c r="L60">
        <v>178.25</v>
      </c>
      <c r="O60" t="s">
        <v>191</v>
      </c>
      <c r="P60" t="s">
        <v>37</v>
      </c>
      <c r="Q60">
        <v>1</v>
      </c>
      <c r="R60">
        <v>160</v>
      </c>
    </row>
    <row r="61" spans="1:18" x14ac:dyDescent="0.25">
      <c r="A61" s="26" t="s">
        <v>192</v>
      </c>
      <c r="B61" s="29" t="s">
        <v>30</v>
      </c>
      <c r="C61" s="30">
        <v>2</v>
      </c>
      <c r="D61" s="64">
        <v>61.25</v>
      </c>
      <c r="I61" s="37" t="s">
        <v>192</v>
      </c>
      <c r="J61" t="s">
        <v>30</v>
      </c>
      <c r="K61">
        <v>2</v>
      </c>
      <c r="L61">
        <v>61.25</v>
      </c>
      <c r="O61" t="s">
        <v>192</v>
      </c>
      <c r="P61" t="s">
        <v>30</v>
      </c>
      <c r="Q61">
        <v>2</v>
      </c>
      <c r="R61">
        <v>70</v>
      </c>
    </row>
    <row r="62" spans="1:18" x14ac:dyDescent="0.25">
      <c r="A62" s="26" t="s">
        <v>193</v>
      </c>
      <c r="B62" s="29" t="s">
        <v>33</v>
      </c>
      <c r="C62" s="30">
        <v>1</v>
      </c>
      <c r="D62" s="64">
        <v>163.25</v>
      </c>
      <c r="I62" s="37" t="s">
        <v>193</v>
      </c>
      <c r="J62" t="s">
        <v>33</v>
      </c>
      <c r="K62">
        <v>1</v>
      </c>
      <c r="L62">
        <v>163.25</v>
      </c>
      <c r="O62" t="s">
        <v>193</v>
      </c>
      <c r="P62" t="s">
        <v>33</v>
      </c>
      <c r="Q62">
        <v>1</v>
      </c>
      <c r="R62">
        <v>144</v>
      </c>
    </row>
    <row r="63" spans="1:18" x14ac:dyDescent="0.25">
      <c r="A63" s="26" t="s">
        <v>194</v>
      </c>
      <c r="B63" s="29" t="s">
        <v>54</v>
      </c>
      <c r="C63" s="30">
        <v>1</v>
      </c>
      <c r="D63" s="64">
        <v>182.25</v>
      </c>
      <c r="I63" s="37" t="s">
        <v>194</v>
      </c>
      <c r="J63" t="s">
        <v>54</v>
      </c>
      <c r="K63">
        <v>1</v>
      </c>
      <c r="L63">
        <v>182.25</v>
      </c>
      <c r="O63" t="s">
        <v>194</v>
      </c>
      <c r="P63" t="s">
        <v>54</v>
      </c>
      <c r="Q63">
        <v>1</v>
      </c>
      <c r="R63">
        <v>133.75</v>
      </c>
    </row>
    <row r="64" spans="1:18" x14ac:dyDescent="0.25">
      <c r="A64" s="26" t="s">
        <v>195</v>
      </c>
      <c r="B64" s="29" t="s">
        <v>59</v>
      </c>
      <c r="C64" s="30">
        <v>1</v>
      </c>
      <c r="D64" s="64">
        <v>140</v>
      </c>
      <c r="I64" s="37" t="s">
        <v>195</v>
      </c>
      <c r="J64" t="s">
        <v>59</v>
      </c>
      <c r="K64">
        <v>1</v>
      </c>
      <c r="L64">
        <v>140</v>
      </c>
      <c r="O64" t="s">
        <v>195</v>
      </c>
      <c r="P64" t="s">
        <v>59</v>
      </c>
      <c r="Q64">
        <v>1</v>
      </c>
      <c r="R64">
        <v>140</v>
      </c>
    </row>
    <row r="65" spans="1:12" x14ac:dyDescent="0.25">
      <c r="A65" s="68" t="s">
        <v>196</v>
      </c>
      <c r="B65" s="29" t="s">
        <v>36</v>
      </c>
      <c r="C65" s="30">
        <v>1</v>
      </c>
      <c r="D65" s="64">
        <v>113.75</v>
      </c>
      <c r="I65" s="37" t="s">
        <v>196</v>
      </c>
      <c r="J65" t="s">
        <v>36</v>
      </c>
      <c r="K65">
        <v>1</v>
      </c>
      <c r="L65">
        <v>113.75</v>
      </c>
    </row>
    <row r="66" spans="1:12" x14ac:dyDescent="0.25">
      <c r="A66" s="69" t="s">
        <v>197</v>
      </c>
      <c r="B66" s="70" t="s">
        <v>30</v>
      </c>
      <c r="C66" s="71">
        <v>2</v>
      </c>
      <c r="D66" s="72">
        <v>70</v>
      </c>
      <c r="I66" s="37" t="s">
        <v>197</v>
      </c>
      <c r="J66" t="s">
        <v>30</v>
      </c>
      <c r="K66">
        <v>2</v>
      </c>
      <c r="L66">
        <v>70</v>
      </c>
    </row>
    <row r="67" spans="1:12" x14ac:dyDescent="0.25">
      <c r="A67" s="69" t="s">
        <v>198</v>
      </c>
      <c r="B67" s="70" t="s">
        <v>36</v>
      </c>
      <c r="C67" s="71">
        <v>1</v>
      </c>
      <c r="D67" s="72">
        <v>122.5</v>
      </c>
      <c r="I67" s="37" t="s">
        <v>198</v>
      </c>
      <c r="J67" t="s">
        <v>36</v>
      </c>
      <c r="K67">
        <v>1</v>
      </c>
      <c r="L67">
        <v>122.5</v>
      </c>
    </row>
  </sheetData>
  <sheetProtection autoFilter="0"/>
  <mergeCells count="3">
    <mergeCell ref="A1:D1"/>
    <mergeCell ref="A2:D2"/>
    <mergeCell ref="A4:D4"/>
  </mergeCells>
  <phoneticPr fontId="5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49048-BBEA-4644-B69F-6986C8C4A6A9}">
  <sheetPr codeName="WsRlv">
    <tabColor rgb="FFFFFF00"/>
  </sheetPr>
  <dimension ref="A1:O62"/>
  <sheetViews>
    <sheetView zoomScaleNormal="100" workbookViewId="0">
      <pane xSplit="1" ySplit="5" topLeftCell="B6" activePane="bottomRight" state="frozen"/>
      <selection pane="topRight" activeCell="C1" sqref="C1"/>
      <selection pane="bottomLeft" activeCell="A4" sqref="A4"/>
      <selection pane="bottomRight" activeCell="B31" sqref="B31"/>
    </sheetView>
  </sheetViews>
  <sheetFormatPr baseColWidth="10" defaultRowHeight="14.25" x14ac:dyDescent="0.2"/>
  <cols>
    <col min="1" max="1" width="20.140625" style="14" customWidth="1"/>
    <col min="2" max="2" width="11.5703125" style="10" customWidth="1"/>
    <col min="3" max="16384" width="11.42578125" style="7"/>
  </cols>
  <sheetData>
    <row r="1" spans="1:15" s="12" customFormat="1" ht="18" x14ac:dyDescent="0.2">
      <c r="A1" s="79" t="s">
        <v>123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</row>
    <row r="2" spans="1:15" s="12" customFormat="1" ht="18" customHeight="1" x14ac:dyDescent="0.2">
      <c r="A2" s="79">
        <v>2021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</row>
    <row r="3" spans="1:15" ht="15" customHeight="1" x14ac:dyDescent="0.2">
      <c r="A3" s="8"/>
      <c r="B3" s="9"/>
    </row>
    <row r="4" spans="1:15" ht="37.5" customHeight="1" x14ac:dyDescent="0.2">
      <c r="A4" s="65" t="s">
        <v>120</v>
      </c>
      <c r="B4" s="15">
        <f>SUM(TRlv[Janvier])</f>
        <v>0</v>
      </c>
      <c r="C4" s="15">
        <f>SUM(TRlv[Février])</f>
        <v>0</v>
      </c>
      <c r="D4" s="15">
        <f>SUM(TRlv[Mars])</f>
        <v>0</v>
      </c>
      <c r="E4" s="15">
        <f>SUM(TRlv[Avril])</f>
        <v>6211.7</v>
      </c>
      <c r="F4" s="15">
        <f>SUM(TRlv[Mai])</f>
        <v>0</v>
      </c>
      <c r="G4" s="15">
        <f>SUM(TRlv[Juin])</f>
        <v>0</v>
      </c>
      <c r="H4" s="15">
        <f>SUM(TRlv[Juillet])</f>
        <v>0</v>
      </c>
      <c r="I4" s="15">
        <f>SUM(TRlv[Août])</f>
        <v>0</v>
      </c>
      <c r="J4" s="15">
        <f>SUM(TRlv[Septembre])</f>
        <v>0</v>
      </c>
      <c r="K4" s="15">
        <f>SUM(TRlv[Octobre])</f>
        <v>0</v>
      </c>
      <c r="L4" s="15">
        <f>SUM(TRlv[Novembre])</f>
        <v>0</v>
      </c>
      <c r="M4" s="15">
        <f>SUM(TRlv[Décembre])</f>
        <v>0</v>
      </c>
      <c r="N4" s="66"/>
      <c r="O4" s="66"/>
    </row>
    <row r="5" spans="1:15" ht="37.5" customHeight="1" x14ac:dyDescent="0.2">
      <c r="A5" s="25" t="s">
        <v>29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3" t="s">
        <v>28</v>
      </c>
      <c r="O5" s="13" t="s">
        <v>61</v>
      </c>
    </row>
    <row r="6" spans="1:15" x14ac:dyDescent="0.2">
      <c r="A6" s="26" t="s">
        <v>140</v>
      </c>
      <c r="B6" s="24"/>
      <c r="C6" s="24"/>
      <c r="D6" s="24"/>
      <c r="E6" s="24">
        <v>144</v>
      </c>
      <c r="F6" s="24"/>
      <c r="G6" s="24"/>
      <c r="H6" s="24"/>
      <c r="I6" s="24"/>
      <c r="J6" s="24"/>
      <c r="K6" s="24"/>
      <c r="L6" s="24"/>
      <c r="M6" s="24"/>
      <c r="N6" s="24" t="s">
        <v>33</v>
      </c>
      <c r="O6" s="67">
        <v>1</v>
      </c>
    </row>
    <row r="7" spans="1:15" x14ac:dyDescent="0.2">
      <c r="A7" s="28" t="s">
        <v>141</v>
      </c>
      <c r="B7" s="24"/>
      <c r="C7" s="24"/>
      <c r="D7" s="24"/>
      <c r="E7" s="24">
        <v>140</v>
      </c>
      <c r="F7" s="24"/>
      <c r="G7" s="24"/>
      <c r="H7" s="24"/>
      <c r="I7" s="24"/>
      <c r="J7" s="24"/>
      <c r="K7" s="24"/>
      <c r="L7" s="24"/>
      <c r="M7" s="24"/>
      <c r="N7" s="24" t="s">
        <v>36</v>
      </c>
      <c r="O7" s="67">
        <v>2</v>
      </c>
    </row>
    <row r="8" spans="1:15" x14ac:dyDescent="0.2">
      <c r="A8" s="28" t="s">
        <v>142</v>
      </c>
      <c r="B8" s="24"/>
      <c r="C8" s="24"/>
      <c r="D8" s="24"/>
      <c r="E8" s="24">
        <v>132</v>
      </c>
      <c r="F8" s="24"/>
      <c r="G8" s="24"/>
      <c r="H8" s="24"/>
      <c r="I8" s="24"/>
      <c r="J8" s="24"/>
      <c r="K8" s="24"/>
      <c r="L8" s="24"/>
      <c r="M8" s="24"/>
      <c r="N8" s="24" t="s">
        <v>36</v>
      </c>
      <c r="O8" s="67">
        <v>1</v>
      </c>
    </row>
    <row r="9" spans="1:15" x14ac:dyDescent="0.2">
      <c r="A9" s="28" t="s">
        <v>143</v>
      </c>
      <c r="B9" s="24"/>
      <c r="C9" s="24"/>
      <c r="D9" s="24"/>
      <c r="E9" s="24">
        <v>140</v>
      </c>
      <c r="F9" s="24"/>
      <c r="G9" s="24"/>
      <c r="H9" s="24"/>
      <c r="I9" s="24"/>
      <c r="J9" s="24"/>
      <c r="K9" s="24"/>
      <c r="L9" s="24"/>
      <c r="M9" s="24"/>
      <c r="N9" s="24" t="s">
        <v>36</v>
      </c>
      <c r="O9" s="67">
        <v>1</v>
      </c>
    </row>
    <row r="10" spans="1:15" x14ac:dyDescent="0.2">
      <c r="A10" s="28" t="s">
        <v>144</v>
      </c>
      <c r="B10" s="24"/>
      <c r="C10" s="24"/>
      <c r="D10" s="24"/>
      <c r="E10" s="24">
        <v>136</v>
      </c>
      <c r="F10" s="24"/>
      <c r="G10" s="24"/>
      <c r="H10" s="24"/>
      <c r="I10" s="24"/>
      <c r="J10" s="24"/>
      <c r="K10" s="24"/>
      <c r="L10" s="24"/>
      <c r="M10" s="24"/>
      <c r="N10" s="24" t="s">
        <v>36</v>
      </c>
      <c r="O10" s="67">
        <v>1</v>
      </c>
    </row>
    <row r="11" spans="1:15" x14ac:dyDescent="0.2">
      <c r="A11" s="28" t="s">
        <v>145</v>
      </c>
      <c r="B11" s="24"/>
      <c r="C11" s="24"/>
      <c r="D11" s="24"/>
      <c r="E11" s="24">
        <v>78.75</v>
      </c>
      <c r="F11" s="24"/>
      <c r="G11" s="24"/>
      <c r="H11" s="24"/>
      <c r="I11" s="24"/>
      <c r="J11" s="24"/>
      <c r="K11" s="24"/>
      <c r="L11" s="24"/>
      <c r="M11" s="24"/>
      <c r="N11" s="24" t="s">
        <v>36</v>
      </c>
      <c r="O11" s="67">
        <v>1</v>
      </c>
    </row>
    <row r="12" spans="1:15" x14ac:dyDescent="0.2">
      <c r="A12" s="28" t="s">
        <v>146</v>
      </c>
      <c r="B12" s="24"/>
      <c r="C12" s="24"/>
      <c r="D12" s="24"/>
      <c r="E12" s="24">
        <v>131.25</v>
      </c>
      <c r="F12" s="24"/>
      <c r="G12" s="24"/>
      <c r="H12" s="24"/>
      <c r="I12" s="24"/>
      <c r="J12" s="24"/>
      <c r="K12" s="24"/>
      <c r="L12" s="24"/>
      <c r="M12" s="24"/>
      <c r="N12" s="24" t="s">
        <v>36</v>
      </c>
      <c r="O12" s="67">
        <v>1</v>
      </c>
    </row>
    <row r="13" spans="1:15" x14ac:dyDescent="0.2">
      <c r="A13" s="28" t="s">
        <v>147</v>
      </c>
      <c r="B13" s="24"/>
      <c r="C13" s="24"/>
      <c r="D13" s="24"/>
      <c r="E13" s="24">
        <v>78.75</v>
      </c>
      <c r="F13" s="24"/>
      <c r="G13" s="24"/>
      <c r="H13" s="24"/>
      <c r="I13" s="24"/>
      <c r="J13" s="24"/>
      <c r="K13" s="24"/>
      <c r="L13" s="24"/>
      <c r="M13" s="24"/>
      <c r="N13" s="24" t="s">
        <v>31</v>
      </c>
      <c r="O13" s="67">
        <v>2</v>
      </c>
    </row>
    <row r="14" spans="1:15" x14ac:dyDescent="0.2">
      <c r="A14" s="28" t="s">
        <v>148</v>
      </c>
      <c r="B14" s="24"/>
      <c r="C14" s="24"/>
      <c r="D14" s="24"/>
      <c r="E14" s="24">
        <v>144</v>
      </c>
      <c r="F14" s="24"/>
      <c r="G14" s="24"/>
      <c r="H14" s="24"/>
      <c r="I14" s="24"/>
      <c r="J14" s="24"/>
      <c r="K14" s="24"/>
      <c r="L14" s="24"/>
      <c r="M14" s="24"/>
      <c r="N14" s="24" t="s">
        <v>37</v>
      </c>
      <c r="O14" s="67">
        <v>1</v>
      </c>
    </row>
    <row r="15" spans="1:15" x14ac:dyDescent="0.2">
      <c r="A15" s="28" t="s">
        <v>149</v>
      </c>
      <c r="B15" s="24"/>
      <c r="C15" s="24"/>
      <c r="D15" s="24"/>
      <c r="E15" s="24">
        <v>109</v>
      </c>
      <c r="F15" s="24"/>
      <c r="G15" s="24"/>
      <c r="H15" s="24"/>
      <c r="I15" s="24"/>
      <c r="J15" s="24"/>
      <c r="K15" s="24"/>
      <c r="L15" s="24"/>
      <c r="M15" s="24"/>
      <c r="N15" s="24" t="s">
        <v>32</v>
      </c>
      <c r="O15" s="67">
        <v>1</v>
      </c>
    </row>
    <row r="16" spans="1:15" x14ac:dyDescent="0.2">
      <c r="A16" s="28" t="s">
        <v>150</v>
      </c>
      <c r="B16" s="24"/>
      <c r="C16" s="24"/>
      <c r="D16" s="24"/>
      <c r="E16" s="24">
        <v>125.75</v>
      </c>
      <c r="F16" s="24"/>
      <c r="G16" s="24"/>
      <c r="H16" s="24"/>
      <c r="I16" s="24"/>
      <c r="J16" s="24"/>
      <c r="K16" s="24"/>
      <c r="L16" s="24"/>
      <c r="M16" s="24"/>
      <c r="N16" s="24" t="s">
        <v>36</v>
      </c>
      <c r="O16" s="67">
        <v>1</v>
      </c>
    </row>
    <row r="17" spans="1:15" x14ac:dyDescent="0.2">
      <c r="A17" s="28" t="s">
        <v>151</v>
      </c>
      <c r="B17" s="24"/>
      <c r="C17" s="24"/>
      <c r="D17" s="24"/>
      <c r="E17" s="24">
        <v>140</v>
      </c>
      <c r="F17" s="24"/>
      <c r="G17" s="24"/>
      <c r="H17" s="24"/>
      <c r="I17" s="24"/>
      <c r="J17" s="24"/>
      <c r="K17" s="24"/>
      <c r="L17" s="24"/>
      <c r="M17" s="24"/>
      <c r="N17" s="24" t="s">
        <v>36</v>
      </c>
      <c r="O17" s="67">
        <v>1</v>
      </c>
    </row>
    <row r="18" spans="1:15" x14ac:dyDescent="0.2">
      <c r="A18" s="28" t="s">
        <v>152</v>
      </c>
      <c r="B18" s="24"/>
      <c r="C18" s="24"/>
      <c r="D18" s="24"/>
      <c r="E18" s="24">
        <v>136.25</v>
      </c>
      <c r="F18" s="24"/>
      <c r="G18" s="24"/>
      <c r="H18" s="24"/>
      <c r="I18" s="24"/>
      <c r="J18" s="24"/>
      <c r="K18" s="24"/>
      <c r="L18" s="24"/>
      <c r="M18" s="24"/>
      <c r="N18" s="24" t="s">
        <v>34</v>
      </c>
      <c r="O18" s="67">
        <v>1</v>
      </c>
    </row>
    <row r="19" spans="1:15" x14ac:dyDescent="0.2">
      <c r="A19" s="28" t="s">
        <v>153</v>
      </c>
      <c r="B19" s="24"/>
      <c r="C19" s="24"/>
      <c r="D19" s="24"/>
      <c r="E19" s="24">
        <v>140</v>
      </c>
      <c r="F19" s="24"/>
      <c r="G19" s="24"/>
      <c r="H19" s="24"/>
      <c r="I19" s="24"/>
      <c r="J19" s="24"/>
      <c r="K19" s="24"/>
      <c r="L19" s="24"/>
      <c r="M19" s="24"/>
      <c r="N19" s="24" t="s">
        <v>36</v>
      </c>
      <c r="O19" s="67">
        <v>1</v>
      </c>
    </row>
    <row r="20" spans="1:15" x14ac:dyDescent="0.2">
      <c r="A20" s="28" t="s">
        <v>154</v>
      </c>
      <c r="B20" s="24"/>
      <c r="C20" s="24"/>
      <c r="D20" s="24"/>
      <c r="E20" s="24">
        <v>144</v>
      </c>
      <c r="F20" s="24"/>
      <c r="G20" s="24"/>
      <c r="H20" s="24"/>
      <c r="I20" s="24"/>
      <c r="J20" s="24"/>
      <c r="K20" s="24"/>
      <c r="L20" s="24"/>
      <c r="M20" s="24"/>
      <c r="N20" s="24" t="s">
        <v>55</v>
      </c>
      <c r="O20" s="67">
        <v>1</v>
      </c>
    </row>
    <row r="21" spans="1:15" x14ac:dyDescent="0.2">
      <c r="A21" s="28" t="s">
        <v>155</v>
      </c>
      <c r="B21" s="24"/>
      <c r="C21" s="24"/>
      <c r="D21" s="24"/>
      <c r="E21" s="24">
        <v>0</v>
      </c>
      <c r="F21" s="24"/>
      <c r="G21" s="24"/>
      <c r="H21" s="24"/>
      <c r="I21" s="24"/>
      <c r="J21" s="24"/>
      <c r="K21" s="24"/>
      <c r="L21" s="24"/>
      <c r="M21" s="24"/>
      <c r="N21" s="24" t="s">
        <v>57</v>
      </c>
      <c r="O21" s="67">
        <v>1</v>
      </c>
    </row>
    <row r="22" spans="1:15" x14ac:dyDescent="0.2">
      <c r="A22" s="28" t="s">
        <v>156</v>
      </c>
      <c r="B22" s="24"/>
      <c r="C22" s="24"/>
      <c r="D22" s="24"/>
      <c r="E22" s="24">
        <v>0</v>
      </c>
      <c r="F22" s="24"/>
      <c r="G22" s="24"/>
      <c r="H22" s="24"/>
      <c r="I22" s="24"/>
      <c r="J22" s="24"/>
      <c r="K22" s="24"/>
      <c r="L22" s="24"/>
      <c r="M22" s="24"/>
      <c r="N22" s="24" t="s">
        <v>30</v>
      </c>
      <c r="O22" s="67">
        <v>2</v>
      </c>
    </row>
    <row r="23" spans="1:15" x14ac:dyDescent="0.2">
      <c r="A23" s="28" t="s">
        <v>157</v>
      </c>
      <c r="B23" s="24"/>
      <c r="C23" s="24"/>
      <c r="D23" s="24"/>
      <c r="E23" s="24">
        <v>70</v>
      </c>
      <c r="F23" s="24"/>
      <c r="G23" s="24"/>
      <c r="H23" s="24"/>
      <c r="I23" s="24"/>
      <c r="J23" s="24"/>
      <c r="K23" s="24"/>
      <c r="L23" s="24"/>
      <c r="M23" s="24"/>
      <c r="N23" s="24" t="s">
        <v>30</v>
      </c>
      <c r="O23" s="67">
        <v>2</v>
      </c>
    </row>
    <row r="24" spans="1:15" x14ac:dyDescent="0.2">
      <c r="A24" s="28" t="s">
        <v>158</v>
      </c>
      <c r="B24" s="24"/>
      <c r="C24" s="24"/>
      <c r="D24" s="24"/>
      <c r="E24" s="24">
        <v>140</v>
      </c>
      <c r="F24" s="24"/>
      <c r="G24" s="24"/>
      <c r="H24" s="24"/>
      <c r="I24" s="24"/>
      <c r="J24" s="24"/>
      <c r="K24" s="24"/>
      <c r="L24" s="24"/>
      <c r="M24" s="24"/>
      <c r="N24" s="24" t="s">
        <v>56</v>
      </c>
      <c r="O24" s="67">
        <v>1</v>
      </c>
    </row>
    <row r="25" spans="1:15" x14ac:dyDescent="0.2">
      <c r="A25" s="28" t="s">
        <v>159</v>
      </c>
      <c r="B25" s="24"/>
      <c r="C25" s="24"/>
      <c r="D25" s="24"/>
      <c r="E25" s="24">
        <v>0</v>
      </c>
      <c r="F25" s="24"/>
      <c r="G25" s="24"/>
      <c r="H25" s="24"/>
      <c r="I25" s="24"/>
      <c r="J25" s="24"/>
      <c r="K25" s="24"/>
      <c r="L25" s="24"/>
      <c r="M25" s="24"/>
      <c r="N25" s="24" t="s">
        <v>38</v>
      </c>
      <c r="O25" s="67">
        <v>1</v>
      </c>
    </row>
    <row r="26" spans="1:15" x14ac:dyDescent="0.2">
      <c r="A26" s="28" t="s">
        <v>160</v>
      </c>
      <c r="B26" s="24"/>
      <c r="C26" s="24"/>
      <c r="D26" s="24"/>
      <c r="E26" s="24">
        <v>61.25</v>
      </c>
      <c r="F26" s="24"/>
      <c r="G26" s="24"/>
      <c r="H26" s="24"/>
      <c r="I26" s="24"/>
      <c r="J26" s="24"/>
      <c r="K26" s="24"/>
      <c r="L26" s="24"/>
      <c r="M26" s="24"/>
      <c r="N26" s="24" t="s">
        <v>36</v>
      </c>
      <c r="O26" s="67">
        <v>1</v>
      </c>
    </row>
    <row r="27" spans="1:15" x14ac:dyDescent="0.2">
      <c r="A27" s="28" t="s">
        <v>161</v>
      </c>
      <c r="B27" s="24"/>
      <c r="C27" s="24"/>
      <c r="D27" s="24"/>
      <c r="E27" s="24">
        <v>134.25</v>
      </c>
      <c r="F27" s="24"/>
      <c r="G27" s="24"/>
      <c r="H27" s="24"/>
      <c r="I27" s="24"/>
      <c r="J27" s="24"/>
      <c r="K27" s="24"/>
      <c r="L27" s="24"/>
      <c r="M27" s="24"/>
      <c r="N27" s="24" t="s">
        <v>36</v>
      </c>
      <c r="O27" s="67">
        <v>1</v>
      </c>
    </row>
    <row r="28" spans="1:15" x14ac:dyDescent="0.2">
      <c r="A28" s="28" t="s">
        <v>162</v>
      </c>
      <c r="B28" s="24"/>
      <c r="C28" s="24"/>
      <c r="D28" s="24"/>
      <c r="E28" s="24">
        <v>68</v>
      </c>
      <c r="F28" s="24"/>
      <c r="G28" s="24"/>
      <c r="H28" s="24"/>
      <c r="I28" s="24"/>
      <c r="J28" s="24"/>
      <c r="K28" s="24"/>
      <c r="L28" s="24"/>
      <c r="M28" s="24"/>
      <c r="N28" s="24" t="s">
        <v>36</v>
      </c>
      <c r="O28" s="67">
        <v>1</v>
      </c>
    </row>
    <row r="29" spans="1:15" x14ac:dyDescent="0.2">
      <c r="A29" s="28" t="s">
        <v>163</v>
      </c>
      <c r="B29" s="24"/>
      <c r="C29" s="24"/>
      <c r="D29" s="24"/>
      <c r="E29" s="24">
        <v>109</v>
      </c>
      <c r="F29" s="24"/>
      <c r="G29" s="24"/>
      <c r="H29" s="24"/>
      <c r="I29" s="24"/>
      <c r="J29" s="24"/>
      <c r="K29" s="24"/>
      <c r="L29" s="24"/>
      <c r="M29" s="24"/>
      <c r="N29" s="24" t="s">
        <v>39</v>
      </c>
      <c r="O29" s="67">
        <v>1</v>
      </c>
    </row>
    <row r="30" spans="1:15" x14ac:dyDescent="0.2">
      <c r="A30" s="28" t="s">
        <v>164</v>
      </c>
      <c r="B30" s="24"/>
      <c r="C30" s="24"/>
      <c r="D30" s="24"/>
      <c r="E30" s="24">
        <v>144</v>
      </c>
      <c r="F30" s="24"/>
      <c r="G30" s="24"/>
      <c r="H30" s="24"/>
      <c r="I30" s="24"/>
      <c r="J30" s="24"/>
      <c r="K30" s="24"/>
      <c r="L30" s="24"/>
      <c r="M30" s="24"/>
      <c r="N30" s="24" t="s">
        <v>53</v>
      </c>
      <c r="O30" s="67">
        <v>1</v>
      </c>
    </row>
    <row r="31" spans="1:15" x14ac:dyDescent="0.2">
      <c r="A31" s="28" t="s">
        <v>165</v>
      </c>
      <c r="B31" s="24"/>
      <c r="C31" s="24"/>
      <c r="D31" s="24"/>
      <c r="E31" s="24">
        <v>55.7</v>
      </c>
      <c r="F31" s="24"/>
      <c r="G31" s="24"/>
      <c r="H31" s="24"/>
      <c r="I31" s="24"/>
      <c r="J31" s="24"/>
      <c r="K31" s="24"/>
      <c r="L31" s="24"/>
      <c r="M31" s="24"/>
      <c r="N31" s="24" t="s">
        <v>58</v>
      </c>
      <c r="O31" s="67">
        <v>1</v>
      </c>
    </row>
    <row r="32" spans="1:15" x14ac:dyDescent="0.2">
      <c r="A32" s="28" t="s">
        <v>166</v>
      </c>
      <c r="B32" s="24"/>
      <c r="C32" s="24"/>
      <c r="D32" s="24"/>
      <c r="E32" s="24">
        <v>136</v>
      </c>
      <c r="F32" s="24"/>
      <c r="G32" s="24"/>
      <c r="H32" s="24"/>
      <c r="I32" s="24"/>
      <c r="J32" s="24"/>
      <c r="K32" s="24"/>
      <c r="L32" s="24"/>
      <c r="M32" s="24"/>
      <c r="N32" s="24" t="s">
        <v>36</v>
      </c>
      <c r="O32" s="67">
        <v>1</v>
      </c>
    </row>
    <row r="33" spans="1:15" x14ac:dyDescent="0.2">
      <c r="A33" s="28" t="s">
        <v>167</v>
      </c>
      <c r="B33" s="24"/>
      <c r="C33" s="24"/>
      <c r="D33" s="24"/>
      <c r="E33" s="24">
        <v>109</v>
      </c>
      <c r="F33" s="24"/>
      <c r="G33" s="24"/>
      <c r="H33" s="24"/>
      <c r="I33" s="24"/>
      <c r="J33" s="24"/>
      <c r="K33" s="24"/>
      <c r="L33" s="24"/>
      <c r="M33" s="24"/>
      <c r="N33" s="24" t="s">
        <v>34</v>
      </c>
      <c r="O33" s="67">
        <v>1</v>
      </c>
    </row>
    <row r="34" spans="1:15" x14ac:dyDescent="0.2">
      <c r="A34" s="28" t="s">
        <v>168</v>
      </c>
      <c r="B34" s="24"/>
      <c r="C34" s="24"/>
      <c r="D34" s="24"/>
      <c r="E34" s="24">
        <v>112.5</v>
      </c>
      <c r="F34" s="24"/>
      <c r="G34" s="24"/>
      <c r="H34" s="24"/>
      <c r="I34" s="24"/>
      <c r="J34" s="24"/>
      <c r="K34" s="24"/>
      <c r="L34" s="24"/>
      <c r="M34" s="24"/>
      <c r="N34" s="24" t="s">
        <v>36</v>
      </c>
      <c r="O34" s="67">
        <v>1</v>
      </c>
    </row>
    <row r="35" spans="1:15" x14ac:dyDescent="0.2">
      <c r="A35" s="28" t="s">
        <v>169</v>
      </c>
      <c r="B35" s="24"/>
      <c r="C35" s="24"/>
      <c r="D35" s="24"/>
      <c r="E35" s="24">
        <v>109</v>
      </c>
      <c r="F35" s="24"/>
      <c r="G35" s="24"/>
      <c r="H35" s="24"/>
      <c r="I35" s="24"/>
      <c r="J35" s="24"/>
      <c r="K35" s="24"/>
      <c r="L35" s="24"/>
      <c r="M35" s="24"/>
      <c r="N35" s="24" t="s">
        <v>36</v>
      </c>
      <c r="O35" s="67">
        <v>1</v>
      </c>
    </row>
    <row r="36" spans="1:15" x14ac:dyDescent="0.2">
      <c r="A36" s="28" t="s">
        <v>170</v>
      </c>
      <c r="B36" s="24"/>
      <c r="C36" s="24"/>
      <c r="D36" s="24"/>
      <c r="E36" s="24">
        <v>136.25</v>
      </c>
      <c r="F36" s="24"/>
      <c r="G36" s="24"/>
      <c r="H36" s="24"/>
      <c r="I36" s="24"/>
      <c r="J36" s="24"/>
      <c r="K36" s="24"/>
      <c r="L36" s="24"/>
      <c r="M36" s="24"/>
      <c r="N36" s="24" t="s">
        <v>34</v>
      </c>
      <c r="O36" s="67">
        <v>2</v>
      </c>
    </row>
    <row r="37" spans="1:15" x14ac:dyDescent="0.2">
      <c r="A37" s="28" t="s">
        <v>171</v>
      </c>
      <c r="B37" s="24"/>
      <c r="C37" s="24"/>
      <c r="D37" s="24"/>
      <c r="E37" s="24">
        <v>144</v>
      </c>
      <c r="F37" s="24"/>
      <c r="G37" s="24"/>
      <c r="H37" s="24"/>
      <c r="I37" s="24"/>
      <c r="J37" s="24"/>
      <c r="K37" s="24"/>
      <c r="L37" s="24"/>
      <c r="M37" s="24"/>
      <c r="N37" s="24" t="s">
        <v>58</v>
      </c>
      <c r="O37" s="67">
        <v>1</v>
      </c>
    </row>
    <row r="38" spans="1:15" x14ac:dyDescent="0.2">
      <c r="A38" s="28" t="s">
        <v>172</v>
      </c>
      <c r="B38" s="24"/>
      <c r="C38" s="24"/>
      <c r="D38" s="24"/>
      <c r="E38" s="24">
        <v>109</v>
      </c>
      <c r="F38" s="24"/>
      <c r="G38" s="24"/>
      <c r="H38" s="24"/>
      <c r="I38" s="24"/>
      <c r="J38" s="24"/>
      <c r="K38" s="24"/>
      <c r="L38" s="24"/>
      <c r="M38" s="24"/>
      <c r="N38" s="24" t="s">
        <v>53</v>
      </c>
      <c r="O38" s="67">
        <v>1</v>
      </c>
    </row>
    <row r="39" spans="1:15" x14ac:dyDescent="0.2">
      <c r="A39" s="28" t="s">
        <v>173</v>
      </c>
      <c r="B39" s="24"/>
      <c r="C39" s="24"/>
      <c r="D39" s="24"/>
      <c r="E39" s="24">
        <v>81.75</v>
      </c>
      <c r="F39" s="24"/>
      <c r="G39" s="24"/>
      <c r="H39" s="24"/>
      <c r="I39" s="24"/>
      <c r="J39" s="24"/>
      <c r="K39" s="24"/>
      <c r="L39" s="24"/>
      <c r="M39" s="24"/>
      <c r="N39" s="24" t="s">
        <v>40</v>
      </c>
      <c r="O39" s="67">
        <v>1</v>
      </c>
    </row>
    <row r="40" spans="1:15" x14ac:dyDescent="0.2">
      <c r="A40" s="28" t="s">
        <v>174</v>
      </c>
      <c r="B40" s="24"/>
      <c r="C40" s="24"/>
      <c r="D40" s="24"/>
      <c r="E40" s="24">
        <v>140</v>
      </c>
      <c r="F40" s="24"/>
      <c r="G40" s="24"/>
      <c r="H40" s="24"/>
      <c r="I40" s="24"/>
      <c r="J40" s="24"/>
      <c r="K40" s="24"/>
      <c r="L40" s="24"/>
      <c r="M40" s="24"/>
      <c r="N40" s="24" t="s">
        <v>36</v>
      </c>
      <c r="O40" s="67">
        <v>1</v>
      </c>
    </row>
    <row r="41" spans="1:15" x14ac:dyDescent="0.2">
      <c r="A41" s="28" t="s">
        <v>175</v>
      </c>
      <c r="B41" s="24"/>
      <c r="C41" s="24"/>
      <c r="D41" s="24"/>
      <c r="E41" s="24">
        <v>131.25</v>
      </c>
      <c r="F41" s="24"/>
      <c r="G41" s="24"/>
      <c r="H41" s="24"/>
      <c r="I41" s="24"/>
      <c r="J41" s="24"/>
      <c r="K41" s="24"/>
      <c r="L41" s="24"/>
      <c r="M41" s="24"/>
      <c r="N41" s="24" t="s">
        <v>31</v>
      </c>
      <c r="O41" s="67">
        <v>2</v>
      </c>
    </row>
    <row r="42" spans="1:15" x14ac:dyDescent="0.2">
      <c r="A42" s="28" t="s">
        <v>176</v>
      </c>
      <c r="B42" s="24"/>
      <c r="C42" s="24"/>
      <c r="D42" s="24"/>
      <c r="E42" s="24">
        <v>68</v>
      </c>
      <c r="F42" s="24"/>
      <c r="G42" s="24"/>
      <c r="H42" s="24"/>
      <c r="I42" s="24"/>
      <c r="J42" s="24"/>
      <c r="K42" s="24"/>
      <c r="L42" s="24"/>
      <c r="M42" s="24"/>
      <c r="N42" s="24" t="s">
        <v>30</v>
      </c>
      <c r="O42" s="67">
        <v>2</v>
      </c>
    </row>
    <row r="43" spans="1:15" x14ac:dyDescent="0.2">
      <c r="A43" s="28" t="s">
        <v>177</v>
      </c>
      <c r="B43" s="24"/>
      <c r="C43" s="24"/>
      <c r="D43" s="24"/>
      <c r="E43" s="24">
        <v>0</v>
      </c>
      <c r="F43" s="24"/>
      <c r="G43" s="24"/>
      <c r="H43" s="24"/>
      <c r="I43" s="24"/>
      <c r="J43" s="24"/>
      <c r="K43" s="24"/>
      <c r="L43" s="24"/>
      <c r="M43" s="24"/>
      <c r="N43" s="24" t="s">
        <v>57</v>
      </c>
      <c r="O43" s="67">
        <v>1</v>
      </c>
    </row>
    <row r="44" spans="1:15" x14ac:dyDescent="0.2">
      <c r="A44" s="28" t="s">
        <v>178</v>
      </c>
      <c r="B44" s="24"/>
      <c r="C44" s="24"/>
      <c r="D44" s="24"/>
      <c r="E44" s="24">
        <v>62.25</v>
      </c>
      <c r="F44" s="24"/>
      <c r="G44" s="24"/>
      <c r="H44" s="24"/>
      <c r="I44" s="24"/>
      <c r="J44" s="24"/>
      <c r="K44" s="24"/>
      <c r="L44" s="24"/>
      <c r="M44" s="24"/>
      <c r="N44" s="24" t="s">
        <v>36</v>
      </c>
      <c r="O44" s="67">
        <v>1</v>
      </c>
    </row>
    <row r="45" spans="1:15" x14ac:dyDescent="0.2">
      <c r="A45" s="28" t="s">
        <v>179</v>
      </c>
      <c r="B45" s="24"/>
      <c r="C45" s="24"/>
      <c r="D45" s="24"/>
      <c r="E45" s="24">
        <v>140.25</v>
      </c>
      <c r="F45" s="24"/>
      <c r="G45" s="24"/>
      <c r="H45" s="24"/>
      <c r="I45" s="24"/>
      <c r="J45" s="24"/>
      <c r="K45" s="24"/>
      <c r="L45" s="24"/>
      <c r="M45" s="24"/>
      <c r="N45" s="24" t="s">
        <v>36</v>
      </c>
      <c r="O45" s="67">
        <v>1</v>
      </c>
    </row>
    <row r="46" spans="1:15" x14ac:dyDescent="0.2">
      <c r="A46" s="28" t="s">
        <v>180</v>
      </c>
      <c r="B46" s="24"/>
      <c r="C46" s="24"/>
      <c r="D46" s="24"/>
      <c r="E46" s="24">
        <v>144</v>
      </c>
      <c r="F46" s="24"/>
      <c r="G46" s="24"/>
      <c r="H46" s="24"/>
      <c r="I46" s="24"/>
      <c r="J46" s="24"/>
      <c r="K46" s="24"/>
      <c r="L46" s="24"/>
      <c r="M46" s="24"/>
      <c r="N46" s="24" t="s">
        <v>57</v>
      </c>
      <c r="O46" s="67">
        <v>1</v>
      </c>
    </row>
    <row r="47" spans="1:15" x14ac:dyDescent="0.2">
      <c r="A47" s="28" t="s">
        <v>181</v>
      </c>
      <c r="B47" s="24"/>
      <c r="C47" s="24"/>
      <c r="D47" s="24"/>
      <c r="E47" s="24">
        <v>109</v>
      </c>
      <c r="F47" s="24"/>
      <c r="G47" s="24"/>
      <c r="H47" s="24"/>
      <c r="I47" s="24"/>
      <c r="J47" s="24"/>
      <c r="K47" s="24"/>
      <c r="L47" s="24"/>
      <c r="M47" s="24"/>
      <c r="N47" s="24" t="s">
        <v>33</v>
      </c>
      <c r="O47" s="67">
        <v>1</v>
      </c>
    </row>
    <row r="48" spans="1:15" x14ac:dyDescent="0.2">
      <c r="A48" s="28" t="s">
        <v>182</v>
      </c>
      <c r="B48" s="24"/>
      <c r="C48" s="24"/>
      <c r="D48" s="24"/>
      <c r="E48" s="24">
        <v>109.5</v>
      </c>
      <c r="F48" s="24"/>
      <c r="G48" s="24"/>
      <c r="H48" s="24"/>
      <c r="I48" s="24"/>
      <c r="J48" s="24"/>
      <c r="K48" s="24"/>
      <c r="L48" s="24"/>
      <c r="M48" s="24"/>
      <c r="N48" s="24" t="s">
        <v>36</v>
      </c>
      <c r="O48" s="67">
        <v>1</v>
      </c>
    </row>
    <row r="49" spans="1:15" x14ac:dyDescent="0.2">
      <c r="A49" s="28" t="s">
        <v>183</v>
      </c>
      <c r="B49" s="24"/>
      <c r="C49" s="24"/>
      <c r="D49" s="24"/>
      <c r="E49" s="24">
        <v>87.5</v>
      </c>
      <c r="F49" s="24"/>
      <c r="G49" s="24"/>
      <c r="H49" s="24"/>
      <c r="I49" s="24"/>
      <c r="J49" s="24"/>
      <c r="K49" s="24"/>
      <c r="L49" s="24"/>
      <c r="M49" s="24"/>
      <c r="N49" s="24" t="s">
        <v>30</v>
      </c>
      <c r="O49" s="67">
        <v>2</v>
      </c>
    </row>
    <row r="50" spans="1:15" x14ac:dyDescent="0.2">
      <c r="A50" s="28" t="s">
        <v>184</v>
      </c>
      <c r="B50" s="24"/>
      <c r="C50" s="24"/>
      <c r="D50" s="24"/>
      <c r="E50" s="24">
        <v>140</v>
      </c>
      <c r="F50" s="24"/>
      <c r="G50" s="24"/>
      <c r="H50" s="24"/>
      <c r="I50" s="24"/>
      <c r="J50" s="24"/>
      <c r="K50" s="24"/>
      <c r="L50" s="24"/>
      <c r="M50" s="24"/>
      <c r="N50" s="24" t="s">
        <v>36</v>
      </c>
      <c r="O50" s="67">
        <v>1</v>
      </c>
    </row>
    <row r="51" spans="1:15" x14ac:dyDescent="0.2">
      <c r="A51" s="28" t="s">
        <v>185</v>
      </c>
      <c r="B51" s="24"/>
      <c r="C51" s="24"/>
      <c r="D51" s="24"/>
      <c r="E51" s="24">
        <v>96.25</v>
      </c>
      <c r="F51" s="24"/>
      <c r="G51" s="24"/>
      <c r="H51" s="24"/>
      <c r="I51" s="24"/>
      <c r="J51" s="24"/>
      <c r="K51" s="24"/>
      <c r="L51" s="24"/>
      <c r="M51" s="24"/>
      <c r="N51" s="24" t="s">
        <v>30</v>
      </c>
      <c r="O51" s="67">
        <v>2</v>
      </c>
    </row>
    <row r="52" spans="1:15" x14ac:dyDescent="0.2">
      <c r="A52" s="28" t="s">
        <v>186</v>
      </c>
      <c r="B52" s="24"/>
      <c r="C52" s="24"/>
      <c r="D52" s="24"/>
      <c r="E52" s="24">
        <v>121</v>
      </c>
      <c r="F52" s="24"/>
      <c r="G52" s="24"/>
      <c r="H52" s="24"/>
      <c r="I52" s="24"/>
      <c r="J52" s="24"/>
      <c r="K52" s="24"/>
      <c r="L52" s="24"/>
      <c r="M52" s="24"/>
      <c r="N52" s="24" t="s">
        <v>32</v>
      </c>
      <c r="O52" s="67">
        <v>1</v>
      </c>
    </row>
    <row r="53" spans="1:15" x14ac:dyDescent="0.2">
      <c r="A53" s="28" t="s">
        <v>187</v>
      </c>
      <c r="B53" s="24"/>
      <c r="C53" s="24"/>
      <c r="D53" s="24"/>
      <c r="E53" s="24">
        <v>143.75</v>
      </c>
      <c r="F53" s="24"/>
      <c r="G53" s="24"/>
      <c r="H53" s="24"/>
      <c r="I53" s="24"/>
      <c r="J53" s="24"/>
      <c r="K53" s="24"/>
      <c r="L53" s="24"/>
      <c r="M53" s="24"/>
      <c r="N53" s="24" t="s">
        <v>34</v>
      </c>
      <c r="O53" s="67">
        <v>1</v>
      </c>
    </row>
    <row r="54" spans="1:15" x14ac:dyDescent="0.2">
      <c r="A54" s="28" t="s">
        <v>188</v>
      </c>
      <c r="B54" s="24"/>
      <c r="C54" s="24"/>
      <c r="D54" s="24"/>
      <c r="E54" s="24">
        <v>140</v>
      </c>
      <c r="F54" s="24"/>
      <c r="G54" s="24"/>
      <c r="H54" s="24"/>
      <c r="I54" s="24"/>
      <c r="J54" s="24"/>
      <c r="K54" s="24"/>
      <c r="L54" s="24"/>
      <c r="M54" s="24"/>
      <c r="N54" s="24" t="s">
        <v>36</v>
      </c>
      <c r="O54" s="67">
        <v>2</v>
      </c>
    </row>
    <row r="55" spans="1:15" x14ac:dyDescent="0.2">
      <c r="A55" s="28" t="s">
        <v>189</v>
      </c>
      <c r="B55" s="24"/>
      <c r="C55" s="24"/>
      <c r="D55" s="24"/>
      <c r="E55" s="24">
        <v>60.25</v>
      </c>
      <c r="F55" s="24"/>
      <c r="G55" s="24"/>
      <c r="H55" s="24"/>
      <c r="I55" s="24"/>
      <c r="J55" s="24"/>
      <c r="K55" s="24"/>
      <c r="L55" s="24"/>
      <c r="M55" s="24"/>
      <c r="N55" s="24" t="s">
        <v>30</v>
      </c>
      <c r="O55" s="67">
        <v>1</v>
      </c>
    </row>
    <row r="56" spans="1:15" x14ac:dyDescent="0.2">
      <c r="A56" s="28" t="s">
        <v>190</v>
      </c>
      <c r="B56" s="24"/>
      <c r="C56" s="24"/>
      <c r="D56" s="24"/>
      <c r="E56" s="24">
        <v>117.75</v>
      </c>
      <c r="F56" s="24"/>
      <c r="G56" s="24"/>
      <c r="H56" s="24"/>
      <c r="I56" s="24"/>
      <c r="J56" s="24"/>
      <c r="K56" s="24"/>
      <c r="L56" s="24"/>
      <c r="M56" s="24"/>
      <c r="N56" s="24" t="s">
        <v>36</v>
      </c>
      <c r="O56" s="67">
        <v>1</v>
      </c>
    </row>
    <row r="57" spans="1:15" x14ac:dyDescent="0.2">
      <c r="A57" s="28" t="s">
        <v>191</v>
      </c>
      <c r="B57" s="24"/>
      <c r="C57" s="24"/>
      <c r="D57" s="24"/>
      <c r="E57" s="24">
        <v>160</v>
      </c>
      <c r="F57" s="24"/>
      <c r="G57" s="24"/>
      <c r="H57" s="24"/>
      <c r="I57" s="24"/>
      <c r="J57" s="24"/>
      <c r="K57" s="24"/>
      <c r="L57" s="24"/>
      <c r="M57" s="24"/>
      <c r="N57" s="24" t="s">
        <v>37</v>
      </c>
      <c r="O57" s="67">
        <v>1</v>
      </c>
    </row>
    <row r="58" spans="1:15" x14ac:dyDescent="0.2">
      <c r="A58" s="28" t="s">
        <v>192</v>
      </c>
      <c r="B58" s="24"/>
      <c r="C58" s="24"/>
      <c r="D58" s="24"/>
      <c r="E58" s="24">
        <v>70</v>
      </c>
      <c r="F58" s="24"/>
      <c r="G58" s="24"/>
      <c r="H58" s="24"/>
      <c r="I58" s="24"/>
      <c r="J58" s="24"/>
      <c r="K58" s="24"/>
      <c r="L58" s="24"/>
      <c r="M58" s="24"/>
      <c r="N58" s="24" t="s">
        <v>30</v>
      </c>
      <c r="O58" s="67">
        <v>2</v>
      </c>
    </row>
    <row r="59" spans="1:15" x14ac:dyDescent="0.2">
      <c r="A59" s="28" t="s">
        <v>193</v>
      </c>
      <c r="B59" s="24"/>
      <c r="C59" s="24"/>
      <c r="D59" s="24"/>
      <c r="E59" s="24">
        <v>144</v>
      </c>
      <c r="F59" s="24"/>
      <c r="G59" s="24"/>
      <c r="H59" s="24"/>
      <c r="I59" s="24"/>
      <c r="J59" s="24"/>
      <c r="K59" s="24"/>
      <c r="L59" s="24"/>
      <c r="M59" s="24"/>
      <c r="N59" s="24" t="s">
        <v>33</v>
      </c>
      <c r="O59" s="67">
        <v>1</v>
      </c>
    </row>
    <row r="60" spans="1:15" x14ac:dyDescent="0.2">
      <c r="A60" s="28" t="s">
        <v>194</v>
      </c>
      <c r="B60" s="24"/>
      <c r="C60" s="24"/>
      <c r="D60" s="24"/>
      <c r="E60" s="24">
        <v>133.75</v>
      </c>
      <c r="F60" s="24"/>
      <c r="G60" s="24"/>
      <c r="H60" s="24"/>
      <c r="I60" s="24"/>
      <c r="J60" s="24"/>
      <c r="K60" s="24"/>
      <c r="L60" s="24"/>
      <c r="M60" s="24"/>
      <c r="N60" s="24" t="s">
        <v>54</v>
      </c>
      <c r="O60" s="67">
        <v>1</v>
      </c>
    </row>
    <row r="61" spans="1:15" x14ac:dyDescent="0.2">
      <c r="A61" s="28" t="s">
        <v>195</v>
      </c>
      <c r="B61" s="24"/>
      <c r="C61" s="24"/>
      <c r="D61" s="24"/>
      <c r="E61" s="24">
        <v>140</v>
      </c>
      <c r="F61" s="24"/>
      <c r="G61" s="24"/>
      <c r="H61" s="24"/>
      <c r="I61" s="24"/>
      <c r="J61" s="24"/>
      <c r="K61" s="24"/>
      <c r="L61" s="24"/>
      <c r="M61" s="24"/>
      <c r="N61" s="24" t="s">
        <v>59</v>
      </c>
      <c r="O61" s="67">
        <v>1</v>
      </c>
    </row>
    <row r="62" spans="1:15" x14ac:dyDescent="0.2">
      <c r="A62" s="73" t="s">
        <v>196</v>
      </c>
      <c r="B62" s="74"/>
      <c r="C62" s="75"/>
      <c r="D62" s="75"/>
      <c r="E62" s="75">
        <v>113.75</v>
      </c>
      <c r="F62" s="75"/>
      <c r="G62" s="75"/>
      <c r="H62" s="75"/>
      <c r="I62" s="75"/>
      <c r="J62" s="75"/>
      <c r="K62" s="75"/>
      <c r="L62" s="75"/>
      <c r="M62" s="75"/>
      <c r="N62" s="75" t="s">
        <v>36</v>
      </c>
      <c r="O62" s="76">
        <v>1</v>
      </c>
    </row>
  </sheetData>
  <sheetProtection autoFilter="0"/>
  <mergeCells count="2">
    <mergeCell ref="A1:O1"/>
    <mergeCell ref="A2:O2"/>
  </mergeCells>
  <phoneticPr fontId="5" type="noConversion"/>
  <pageMargins left="0.23622047244094491" right="0.23622047244094491" top="0.74803149606299213" bottom="0.74803149606299213" header="0.31496062992125984" footer="0.31496062992125984"/>
  <pageSetup paperSize="9" scale="54" fitToWidth="0" fitToHeight="0" orientation="landscape" r:id="rId1"/>
  <headerFooter>
    <oddHeader>&amp;C&amp;F&amp;RMAJ le &amp;D
à&amp;T</oddHeader>
    <oddFooter>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FE199-B72A-4BDD-87CE-8DB81F400B7C}">
  <sheetPr codeName="WsSynt">
    <tabColor rgb="FF0070C0"/>
  </sheetPr>
  <dimension ref="A1:O72"/>
  <sheetViews>
    <sheetView workbookViewId="0">
      <selection activeCell="F15" sqref="F15"/>
    </sheetView>
  </sheetViews>
  <sheetFormatPr baseColWidth="10" defaultRowHeight="15" x14ac:dyDescent="0.25"/>
  <cols>
    <col min="1" max="1" width="16.42578125" style="40" customWidth="1"/>
    <col min="2" max="2" width="34.28515625" style="40" bestFit="1" customWidth="1"/>
    <col min="3" max="3" width="14.28515625" style="40" bestFit="1" customWidth="1"/>
    <col min="4" max="15" width="16.42578125" style="40" customWidth="1"/>
    <col min="16" max="16384" width="11.42578125" style="40"/>
  </cols>
  <sheetData>
    <row r="1" spans="1:15" ht="19.5" x14ac:dyDescent="0.25">
      <c r="A1" s="80" t="s">
        <v>124</v>
      </c>
      <c r="B1" s="80"/>
      <c r="C1" s="80"/>
      <c r="D1" s="39"/>
      <c r="E1" s="81"/>
      <c r="F1" s="81"/>
      <c r="G1" s="82"/>
      <c r="H1" s="82"/>
    </row>
    <row r="2" spans="1:15" ht="18" x14ac:dyDescent="0.25">
      <c r="A2" s="80">
        <f>Base!A2</f>
        <v>2021</v>
      </c>
      <c r="B2" s="80"/>
      <c r="C2" s="80"/>
    </row>
    <row r="3" spans="1:15" ht="18" x14ac:dyDescent="0.25">
      <c r="A3" s="41"/>
      <c r="B3" s="41"/>
      <c r="C3" s="41"/>
    </row>
    <row r="4" spans="1:15" ht="23.25" x14ac:dyDescent="0.35">
      <c r="A4" s="42" t="s">
        <v>63</v>
      </c>
      <c r="B4" s="42"/>
      <c r="C4" s="42"/>
      <c r="D4" s="42"/>
      <c r="M4" s="43"/>
    </row>
    <row r="5" spans="1:15" ht="23.25" x14ac:dyDescent="0.35">
      <c r="A5" s="83" t="s">
        <v>121</v>
      </c>
      <c r="B5" s="83"/>
      <c r="C5" s="83"/>
      <c r="D5" s="44">
        <f>SUM(TSynServ[Janvier])</f>
        <v>0</v>
      </c>
      <c r="E5" s="44">
        <f>SUM(TSynServ[Février])</f>
        <v>0</v>
      </c>
      <c r="F5" s="44">
        <f>SUM(TSynServ[Février])</f>
        <v>0</v>
      </c>
      <c r="G5" s="44">
        <f>SUM(TSynServ[Mars])</f>
        <v>0</v>
      </c>
      <c r="H5" s="44">
        <f>SUM(TSynServ[Mars])</f>
        <v>0</v>
      </c>
      <c r="I5" s="44">
        <f>SUM(TSynServ[Avril])</f>
        <v>1457.75</v>
      </c>
      <c r="J5" s="44">
        <f>SUM(TSynServ[Avril])</f>
        <v>1457.75</v>
      </c>
      <c r="K5" s="44">
        <f>SUM(TSynServ[Mai])</f>
        <v>0</v>
      </c>
      <c r="L5" s="44">
        <f>SUM(TSynServ[Mai])</f>
        <v>0</v>
      </c>
      <c r="M5" s="44">
        <f>SUM(TSynServ[Juin])</f>
        <v>0</v>
      </c>
      <c r="N5" s="44">
        <f>SUM(TSynServ[Juin])</f>
        <v>0</v>
      </c>
      <c r="O5" s="44">
        <f>SUM(TSynServ[Juillet])</f>
        <v>0</v>
      </c>
    </row>
    <row r="6" spans="1:15" x14ac:dyDescent="0.25">
      <c r="A6" s="45" t="s">
        <v>62</v>
      </c>
      <c r="B6" s="45" t="s">
        <v>66</v>
      </c>
      <c r="C6" s="45" t="s">
        <v>67</v>
      </c>
      <c r="D6" s="45" t="s">
        <v>16</v>
      </c>
      <c r="E6" s="45" t="s">
        <v>17</v>
      </c>
      <c r="F6" s="45" t="s">
        <v>18</v>
      </c>
      <c r="G6" s="45" t="s">
        <v>19</v>
      </c>
      <c r="H6" s="45" t="s">
        <v>20</v>
      </c>
      <c r="I6" s="45" t="s">
        <v>21</v>
      </c>
      <c r="J6" s="45" t="s">
        <v>22</v>
      </c>
      <c r="K6" s="45" t="s">
        <v>23</v>
      </c>
      <c r="L6" s="45" t="s">
        <v>24</v>
      </c>
      <c r="M6" s="45" t="s">
        <v>25</v>
      </c>
      <c r="N6" s="45" t="s">
        <v>26</v>
      </c>
      <c r="O6" s="45" t="s">
        <v>27</v>
      </c>
    </row>
    <row r="7" spans="1:15" x14ac:dyDescent="0.25">
      <c r="A7" s="46" t="s">
        <v>37</v>
      </c>
      <c r="B7" s="47" t="str">
        <f>IFERROR(VLOOKUP(TSynServ[[#This Row],[Service]],Services,2,FALSE),"")</f>
        <v>Comptabilité</v>
      </c>
      <c r="C7" s="46" t="str">
        <f>+VLOOKUP(TSynServ[[#This Row],[Service]],Services,3,FALSE)</f>
        <v>ADM</v>
      </c>
      <c r="D7" s="48">
        <f>SUMIF(TRlv[SERV],TSynServ[[#This Row],[Service]],TRlv[Janvier])</f>
        <v>0</v>
      </c>
      <c r="E7" s="48">
        <f>SUMIF(TRlv[SERV],TSynServ[[#This Row],[Service]],TRlv[Février])</f>
        <v>0</v>
      </c>
      <c r="F7" s="48">
        <f>SUMIF(TRlv[SERV],TSynServ[[#This Row],[Service]],TRlv[Mars])</f>
        <v>0</v>
      </c>
      <c r="G7" s="48">
        <f>SUMIF(TRlv[SERV],TSynServ[[#This Row],[Service]],TRlv[Avril])</f>
        <v>304</v>
      </c>
      <c r="H7" s="48">
        <f>SUMIF(TRlv[SERV],TSynServ[[#This Row],[Service]],TRlv[Mai])</f>
        <v>0</v>
      </c>
      <c r="I7" s="48">
        <f>SUMIF(TRlv[SERV],TSynServ[[#This Row],[Service]],TRlv[Juin])</f>
        <v>0</v>
      </c>
      <c r="J7" s="48">
        <f>SUMIF(TRlv[SERV],TSynServ[[#This Row],[Service]],TRlv[Juillet])</f>
        <v>0</v>
      </c>
      <c r="K7" s="48">
        <f>SUMIF(TRlv[SERV],TSynServ[[#This Row],[Service]],TRlv[Août])</f>
        <v>0</v>
      </c>
      <c r="L7" s="48">
        <f>SUMIF(TRlv[SERV],TSynServ[[#This Row],[Service]],TRlv[Septembre])</f>
        <v>0</v>
      </c>
      <c r="M7" s="48">
        <f>SUMIF(TRlv[SERV],TSynServ[[#This Row],[Service]],TRlv[Octobre])</f>
        <v>0</v>
      </c>
      <c r="N7" s="48">
        <f>SUMIF(TRlv[SERV],TSynServ[[#This Row],[Service]],TRlv[Novembre])</f>
        <v>0</v>
      </c>
      <c r="O7" s="48">
        <f>SUMIF(TRlv[SERV],TSynServ[[#This Row],[Service]],TRlv[Décembre])</f>
        <v>0</v>
      </c>
    </row>
    <row r="8" spans="1:15" x14ac:dyDescent="0.25">
      <c r="A8" s="46" t="s">
        <v>55</v>
      </c>
      <c r="B8" s="47" t="str">
        <f>IFERROR(VLOOKUP(TSynServ[[#This Row],[Service]],Services,2,FALSE),"")</f>
        <v>Logistique</v>
      </c>
      <c r="C8" s="46" t="str">
        <f>+VLOOKUP(TSynServ[[#This Row],[Service]],Services,3,FALSE)</f>
        <v>ADM</v>
      </c>
      <c r="D8" s="48">
        <f>SUMIF(TRlv[SERV],TSynServ[[#This Row],[Service]],TRlv[Janvier])</f>
        <v>0</v>
      </c>
      <c r="E8" s="48">
        <f>SUMIF(TRlv[SERV],TSynServ[[#This Row],[Service]],TRlv[Février])</f>
        <v>0</v>
      </c>
      <c r="F8" s="48">
        <f>SUMIF(TRlv[SERV],TSynServ[[#This Row],[Service]],TRlv[Mars])</f>
        <v>0</v>
      </c>
      <c r="G8" s="48">
        <f>SUMIF(TRlv[SERV],TSynServ[[#This Row],[Service]],TRlv[Avril])</f>
        <v>144</v>
      </c>
      <c r="H8" s="48">
        <f>SUMIF(TRlv[SERV],TSynServ[[#This Row],[Service]],TRlv[Mai])</f>
        <v>0</v>
      </c>
      <c r="I8" s="48">
        <f>SUMIF(TRlv[SERV],TSynServ[[#This Row],[Service]],TRlv[Juin])</f>
        <v>0</v>
      </c>
      <c r="J8" s="48">
        <f>SUMIF(TRlv[SERV],TSynServ[[#This Row],[Service]],TRlv[Juillet])</f>
        <v>0</v>
      </c>
      <c r="K8" s="48">
        <f>SUMIF(TRlv[SERV],TSynServ[[#This Row],[Service]],TRlv[Août])</f>
        <v>0</v>
      </c>
      <c r="L8" s="48">
        <f>SUMIF(TRlv[SERV],TSynServ[[#This Row],[Service]],TRlv[Septembre])</f>
        <v>0</v>
      </c>
      <c r="M8" s="48">
        <f>SUMIF(TRlv[SERV],TSynServ[[#This Row],[Service]],TRlv[Octobre])</f>
        <v>0</v>
      </c>
      <c r="N8" s="48">
        <f>SUMIF(TRlv[SERV],TSynServ[[#This Row],[Service]],TRlv[Novembre])</f>
        <v>0</v>
      </c>
      <c r="O8" s="48">
        <f>SUMIF(TRlv[SERV],TSynServ[[#This Row],[Service]],TRlv[Décembre])</f>
        <v>0</v>
      </c>
    </row>
    <row r="9" spans="1:15" x14ac:dyDescent="0.25">
      <c r="A9" s="46" t="s">
        <v>39</v>
      </c>
      <c r="B9" s="47" t="str">
        <f>IFERROR(VLOOKUP(TSynServ[[#This Row],[Service]],Services,2,FALSE),"")</f>
        <v>Direction</v>
      </c>
      <c r="C9" s="46" t="str">
        <f>+VLOOKUP(TSynServ[[#This Row],[Service]],Services,3,FALSE)</f>
        <v>ADM</v>
      </c>
      <c r="D9" s="48">
        <f>SUMIF(TRlv[SERV],TSynServ[[#This Row],[Service]],TRlv[Janvier])</f>
        <v>0</v>
      </c>
      <c r="E9" s="48">
        <f>SUMIF(TRlv[SERV],TSynServ[[#This Row],[Service]],TRlv[Février])</f>
        <v>0</v>
      </c>
      <c r="F9" s="48">
        <f>SUMIF(TRlv[SERV],TSynServ[[#This Row],[Service]],TRlv[Mars])</f>
        <v>0</v>
      </c>
      <c r="G9" s="48">
        <f>SUMIF(TRlv[SERV],TSynServ[[#This Row],[Service]],TRlv[Avril])</f>
        <v>109</v>
      </c>
      <c r="H9" s="48">
        <f>SUMIF(TRlv[SERV],TSynServ[[#This Row],[Service]],TRlv[Mai])</f>
        <v>0</v>
      </c>
      <c r="I9" s="48">
        <f>SUMIF(TRlv[SERV],TSynServ[[#This Row],[Service]],TRlv[Juin])</f>
        <v>0</v>
      </c>
      <c r="J9" s="48">
        <f>SUMIF(TRlv[SERV],TSynServ[[#This Row],[Service]],TRlv[Juillet])</f>
        <v>0</v>
      </c>
      <c r="K9" s="48">
        <f>SUMIF(TRlv[SERV],TSynServ[[#This Row],[Service]],TRlv[Août])</f>
        <v>0</v>
      </c>
      <c r="L9" s="48">
        <f>SUMIF(TRlv[SERV],TSynServ[[#This Row],[Service]],TRlv[Septembre])</f>
        <v>0</v>
      </c>
      <c r="M9" s="48">
        <f>SUMIF(TRlv[SERV],TSynServ[[#This Row],[Service]],TRlv[Octobre])</f>
        <v>0</v>
      </c>
      <c r="N9" s="48">
        <f>SUMIF(TRlv[SERV],TSynServ[[#This Row],[Service]],TRlv[Novembre])</f>
        <v>0</v>
      </c>
      <c r="O9" s="48">
        <f>SUMIF(TRlv[SERV],TSynServ[[#This Row],[Service]],TRlv[Décembre])</f>
        <v>0</v>
      </c>
    </row>
    <row r="10" spans="1:15" x14ac:dyDescent="0.25">
      <c r="A10" s="46" t="s">
        <v>56</v>
      </c>
      <c r="B10" s="47" t="str">
        <f>IFERROR(VLOOKUP(TSynServ[[#This Row],[Service]],Services,2,FALSE),"")</f>
        <v>Secrétariat</v>
      </c>
      <c r="C10" s="46" t="str">
        <f>+VLOOKUP(TSynServ[[#This Row],[Service]],Services,3,FALSE)</f>
        <v>ADM</v>
      </c>
      <c r="D10" s="48">
        <f>SUMIF(TRlv[SERV],TSynServ[[#This Row],[Service]],TRlv[Janvier])</f>
        <v>0</v>
      </c>
      <c r="E10" s="48">
        <f>SUMIF(TRlv[SERV],TSynServ[[#This Row],[Service]],TRlv[Février])</f>
        <v>0</v>
      </c>
      <c r="F10" s="48">
        <f>SUMIF(TRlv[SERV],TSynServ[[#This Row],[Service]],TRlv[Mars])</f>
        <v>0</v>
      </c>
      <c r="G10" s="48">
        <f>SUMIF(TRlv[SERV],TSynServ[[#This Row],[Service]],TRlv[Avril])</f>
        <v>140</v>
      </c>
      <c r="H10" s="48">
        <f>SUMIF(TRlv[SERV],TSynServ[[#This Row],[Service]],TRlv[Mai])</f>
        <v>0</v>
      </c>
      <c r="I10" s="48">
        <f>SUMIF(TRlv[SERV],TSynServ[[#This Row],[Service]],TRlv[Juin])</f>
        <v>0</v>
      </c>
      <c r="J10" s="48">
        <f>SUMIF(TRlv[SERV],TSynServ[[#This Row],[Service]],TRlv[Juillet])</f>
        <v>0</v>
      </c>
      <c r="K10" s="48">
        <f>SUMIF(TRlv[SERV],TSynServ[[#This Row],[Service]],TRlv[Août])</f>
        <v>0</v>
      </c>
      <c r="L10" s="48">
        <f>SUMIF(TRlv[SERV],TSynServ[[#This Row],[Service]],TRlv[Septembre])</f>
        <v>0</v>
      </c>
      <c r="M10" s="48">
        <f>SUMIF(TRlv[SERV],TSynServ[[#This Row],[Service]],TRlv[Octobre])</f>
        <v>0</v>
      </c>
      <c r="N10" s="48">
        <f>SUMIF(TRlv[SERV],TSynServ[[#This Row],[Service]],TRlv[Novembre])</f>
        <v>0</v>
      </c>
      <c r="O10" s="48">
        <f>SUMIF(TRlv[SERV],TSynServ[[#This Row],[Service]],TRlv[Décembre])</f>
        <v>0</v>
      </c>
    </row>
    <row r="11" spans="1:15" x14ac:dyDescent="0.25">
      <c r="A11" s="46" t="s">
        <v>53</v>
      </c>
      <c r="B11" s="47" t="str">
        <f>IFERROR(VLOOKUP(TSynServ[[#This Row],[Service]],Services,2,FALSE),"")</f>
        <v>Informatique</v>
      </c>
      <c r="C11" s="46" t="str">
        <f>+VLOOKUP(TSynServ[[#This Row],[Service]],Services,3,FALSE)</f>
        <v>INFO</v>
      </c>
      <c r="D11" s="48">
        <f>SUMIF(TRlv[SERV],TSynServ[[#This Row],[Service]],TRlv[Janvier])</f>
        <v>0</v>
      </c>
      <c r="E11" s="48">
        <f>SUMIF(TRlv[SERV],TSynServ[[#This Row],[Service]],TRlv[Février])</f>
        <v>0</v>
      </c>
      <c r="F11" s="48">
        <f>SUMIF(TRlv[SERV],TSynServ[[#This Row],[Service]],TRlv[Mars])</f>
        <v>0</v>
      </c>
      <c r="G11" s="48">
        <f>SUMIF(TRlv[SERV],TSynServ[[#This Row],[Service]],TRlv[Avril])</f>
        <v>253</v>
      </c>
      <c r="H11" s="48">
        <f>SUMIF(TRlv[SERV],TSynServ[[#This Row],[Service]],TRlv[Mai])</f>
        <v>0</v>
      </c>
      <c r="I11" s="48">
        <f>SUMIF(TRlv[SERV],TSynServ[[#This Row],[Service]],TRlv[Juin])</f>
        <v>0</v>
      </c>
      <c r="J11" s="48">
        <f>SUMIF(TRlv[SERV],TSynServ[[#This Row],[Service]],TRlv[Juillet])</f>
        <v>0</v>
      </c>
      <c r="K11" s="48">
        <f>SUMIF(TRlv[SERV],TSynServ[[#This Row],[Service]],TRlv[Août])</f>
        <v>0</v>
      </c>
      <c r="L11" s="48">
        <f>SUMIF(TRlv[SERV],TSynServ[[#This Row],[Service]],TRlv[Septembre])</f>
        <v>0</v>
      </c>
      <c r="M11" s="48">
        <f>SUMIF(TRlv[SERV],TSynServ[[#This Row],[Service]],TRlv[Octobre])</f>
        <v>0</v>
      </c>
      <c r="N11" s="48">
        <f>SUMIF(TRlv[SERV],TSynServ[[#This Row],[Service]],TRlv[Novembre])</f>
        <v>0</v>
      </c>
      <c r="O11" s="48">
        <f>SUMIF(TRlv[SERV],TSynServ[[#This Row],[Service]],TRlv[Décembre])</f>
        <v>0</v>
      </c>
    </row>
    <row r="12" spans="1:15" x14ac:dyDescent="0.25">
      <c r="A12" s="46" t="s">
        <v>32</v>
      </c>
      <c r="B12" s="47" t="str">
        <f>IFERROR(VLOOKUP(TSynServ[[#This Row],[Service]],Services,2,FALSE),"")</f>
        <v>Commercial</v>
      </c>
      <c r="C12" s="46" t="str">
        <f>+VLOOKUP(TSynServ[[#This Row],[Service]],Services,3,FALSE)</f>
        <v>COM</v>
      </c>
      <c r="D12" s="48">
        <f>SUMIF(TRlv[SERV],TSynServ[[#This Row],[Service]],TRlv[Janvier])</f>
        <v>0</v>
      </c>
      <c r="E12" s="48">
        <f>SUMIF(TRlv[SERV],TSynServ[[#This Row],[Service]],TRlv[Février])</f>
        <v>0</v>
      </c>
      <c r="F12" s="48">
        <f>SUMIF(TRlv[SERV],TSynServ[[#This Row],[Service]],TRlv[Mars])</f>
        <v>0</v>
      </c>
      <c r="G12" s="48">
        <f>SUMIF(TRlv[SERV],TSynServ[[#This Row],[Service]],TRlv[Avril])</f>
        <v>230</v>
      </c>
      <c r="H12" s="48">
        <f>SUMIF(TRlv[SERV],TSynServ[[#This Row],[Service]],TRlv[Mai])</f>
        <v>0</v>
      </c>
      <c r="I12" s="48">
        <f>SUMIF(TRlv[SERV],TSynServ[[#This Row],[Service]],TRlv[Juin])</f>
        <v>0</v>
      </c>
      <c r="J12" s="48">
        <f>SUMIF(TRlv[SERV],TSynServ[[#This Row],[Service]],TRlv[Juillet])</f>
        <v>0</v>
      </c>
      <c r="K12" s="48">
        <f>SUMIF(TRlv[SERV],TSynServ[[#This Row],[Service]],TRlv[Août])</f>
        <v>0</v>
      </c>
      <c r="L12" s="48">
        <f>SUMIF(TRlv[SERV],TSynServ[[#This Row],[Service]],TRlv[Septembre])</f>
        <v>0</v>
      </c>
      <c r="M12" s="48">
        <f>SUMIF(TRlv[SERV],TSynServ[[#This Row],[Service]],TRlv[Octobre])</f>
        <v>0</v>
      </c>
      <c r="N12" s="48">
        <f>SUMIF(TRlv[SERV],TSynServ[[#This Row],[Service]],TRlv[Novembre])</f>
        <v>0</v>
      </c>
      <c r="O12" s="48">
        <f>SUMIF(TRlv[SERV],TSynServ[[#This Row],[Service]],TRlv[Décembre])</f>
        <v>0</v>
      </c>
    </row>
    <row r="13" spans="1:15" x14ac:dyDescent="0.25">
      <c r="A13" s="46" t="s">
        <v>54</v>
      </c>
      <c r="B13" s="47" t="str">
        <f>IFERROR(VLOOKUP(TSynServ[[#This Row],[Service]],Services,2,FALSE),"")</f>
        <v>Contrôle &amp; Qualité</v>
      </c>
      <c r="C13" s="46" t="str">
        <f>+VLOOKUP(TSynServ[[#This Row],[Service]],Services,3,FALSE)</f>
        <v>CONT/QUAL</v>
      </c>
      <c r="D13" s="48">
        <f>SUMIF(TRlv[SERV],TSynServ[[#This Row],[Service]],TRlv[Janvier])</f>
        <v>0</v>
      </c>
      <c r="E13" s="48">
        <f>SUMIF(TRlv[SERV],TSynServ[[#This Row],[Service]],TRlv[Février])</f>
        <v>0</v>
      </c>
      <c r="F13" s="48">
        <f>SUMIF(TRlv[SERV],TSynServ[[#This Row],[Service]],TRlv[Mars])</f>
        <v>0</v>
      </c>
      <c r="G13" s="48">
        <f>SUMIF(TRlv[SERV],TSynServ[[#This Row],[Service]],TRlv[Avril])</f>
        <v>133.75</v>
      </c>
      <c r="H13" s="48">
        <f>SUMIF(TRlv[SERV],TSynServ[[#This Row],[Service]],TRlv[Mai])</f>
        <v>0</v>
      </c>
      <c r="I13" s="48">
        <f>SUMIF(TRlv[SERV],TSynServ[[#This Row],[Service]],TRlv[Juin])</f>
        <v>0</v>
      </c>
      <c r="J13" s="48">
        <f>SUMIF(TRlv[SERV],TSynServ[[#This Row],[Service]],TRlv[Juillet])</f>
        <v>0</v>
      </c>
      <c r="K13" s="48">
        <f>SUMIF(TRlv[SERV],TSynServ[[#This Row],[Service]],TRlv[Août])</f>
        <v>0</v>
      </c>
      <c r="L13" s="48">
        <f>SUMIF(TRlv[SERV],TSynServ[[#This Row],[Service]],TRlv[Septembre])</f>
        <v>0</v>
      </c>
      <c r="M13" s="48">
        <f>SUMIF(TRlv[SERV],TSynServ[[#This Row],[Service]],TRlv[Octobre])</f>
        <v>0</v>
      </c>
      <c r="N13" s="48">
        <f>SUMIF(TRlv[SERV],TSynServ[[#This Row],[Service]],TRlv[Novembre])</f>
        <v>0</v>
      </c>
      <c r="O13" s="48">
        <f>SUMIF(TRlv[SERV],TSynServ[[#This Row],[Service]],TRlv[Décembre])</f>
        <v>0</v>
      </c>
    </row>
    <row r="14" spans="1:15" x14ac:dyDescent="0.25">
      <c r="A14" s="46" t="s">
        <v>57</v>
      </c>
      <c r="B14" s="47" t="str">
        <f>IFERROR(VLOOKUP(TSynServ[[#This Row],[Service]],Services,2,FALSE),"")</f>
        <v>Préparation</v>
      </c>
      <c r="C14" s="46" t="str">
        <f>+VLOOKUP(TSynServ[[#This Row],[Service]],Services,3,FALSE)</f>
        <v>MAG/PREPA</v>
      </c>
      <c r="D14" s="48">
        <f>SUMIF(TRlv[SERV],TSynServ[[#This Row],[Service]],TRlv[Janvier])</f>
        <v>0</v>
      </c>
      <c r="E14" s="48">
        <f>SUMIF(TRlv[SERV],TSynServ[[#This Row],[Service]],TRlv[Février])</f>
        <v>0</v>
      </c>
      <c r="F14" s="48">
        <f>SUMIF(TRlv[SERV],TSynServ[[#This Row],[Service]],TRlv[Mars])</f>
        <v>0</v>
      </c>
      <c r="G14" s="48">
        <f>SUMIF(TRlv[SERV],TSynServ[[#This Row],[Service]],TRlv[Avril])</f>
        <v>144</v>
      </c>
      <c r="H14" s="48">
        <f>SUMIF(TRlv[SERV],TSynServ[[#This Row],[Service]],TRlv[Mai])</f>
        <v>0</v>
      </c>
      <c r="I14" s="48">
        <f>SUMIF(TRlv[SERV],TSynServ[[#This Row],[Service]],TRlv[Juin])</f>
        <v>0</v>
      </c>
      <c r="J14" s="48">
        <f>SUMIF(TRlv[SERV],TSynServ[[#This Row],[Service]],TRlv[Juillet])</f>
        <v>0</v>
      </c>
      <c r="K14" s="48">
        <f>SUMIF(TRlv[SERV],TSynServ[[#This Row],[Service]],TRlv[Août])</f>
        <v>0</v>
      </c>
      <c r="L14" s="48">
        <f>SUMIF(TRlv[SERV],TSynServ[[#This Row],[Service]],TRlv[Septembre])</f>
        <v>0</v>
      </c>
      <c r="M14" s="48">
        <f>SUMIF(TRlv[SERV],TSynServ[[#This Row],[Service]],TRlv[Octobre])</f>
        <v>0</v>
      </c>
      <c r="N14" s="48">
        <f>SUMIF(TRlv[SERV],TSynServ[[#This Row],[Service]],TRlv[Novembre])</f>
        <v>0</v>
      </c>
      <c r="O14" s="48">
        <f>SUMIF(TRlv[SERV],TSynServ[[#This Row],[Service]],TRlv[Décembre])</f>
        <v>0</v>
      </c>
    </row>
    <row r="15" spans="1:15" x14ac:dyDescent="0.25">
      <c r="A15" s="46">
        <v>100101</v>
      </c>
      <c r="B15" s="47" t="str">
        <f>IFERROR(VLOOKUP(TSynServ[[#This Row],[Service]],Services,2,FALSE),"")</f>
        <v>Nettoyage</v>
      </c>
      <c r="C15" s="46">
        <f>+VLOOKUP(TSynServ[[#This Row],[Service]],Services,3,FALSE)</f>
        <v>100101</v>
      </c>
      <c r="D15" s="31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3"/>
    </row>
    <row r="16" spans="1:15" x14ac:dyDescent="0.25">
      <c r="A16" s="46">
        <v>100102</v>
      </c>
      <c r="B16" s="47" t="str">
        <f>IFERROR(VLOOKUP(TSynServ[[#This Row],[Service]],Services,2,FALSE),"")</f>
        <v>Courses</v>
      </c>
      <c r="C16" s="46">
        <f>+VLOOKUP(TSynServ[[#This Row],[Service]],Services,3,FALSE)</f>
        <v>100102</v>
      </c>
      <c r="D16" s="31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3"/>
    </row>
    <row r="17" spans="1:15" x14ac:dyDescent="0.25">
      <c r="A17" s="46">
        <v>100103</v>
      </c>
      <c r="B17" s="47" t="str">
        <f>IFERROR(VLOOKUP(TSynServ[[#This Row],[Service]],Services,2,FALSE),"")</f>
        <v>Four</v>
      </c>
      <c r="C17" s="46">
        <f>+VLOOKUP(TSynServ[[#This Row],[Service]],Services,3,FALSE)</f>
        <v>100103</v>
      </c>
      <c r="D17" s="31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3"/>
    </row>
    <row r="18" spans="1:15" x14ac:dyDescent="0.25">
      <c r="A18" s="46">
        <v>100104</v>
      </c>
      <c r="B18" s="47" t="str">
        <f>IFERROR(VLOOKUP(TSynServ[[#This Row],[Service]],Services,2,FALSE),"")</f>
        <v>Travaux SFIB</v>
      </c>
      <c r="C18" s="46">
        <f>+VLOOKUP(TSynServ[[#This Row],[Service]],Services,3,FALSE)</f>
        <v>100104</v>
      </c>
      <c r="D18" s="31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3"/>
    </row>
    <row r="19" spans="1:15" x14ac:dyDescent="0.25">
      <c r="A19" s="46">
        <v>100105</v>
      </c>
      <c r="B19" s="47" t="str">
        <f>IFERROR(VLOOKUP(TSynServ[[#This Row],[Service]],Services,2,FALSE),"")</f>
        <v>Encadrement</v>
      </c>
      <c r="C19" s="46">
        <f>+VLOOKUP(TSynServ[[#This Row],[Service]],Services,3,FALSE)</f>
        <v>100105</v>
      </c>
      <c r="D19" s="31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3"/>
    </row>
    <row r="20" spans="1:15" x14ac:dyDescent="0.25">
      <c r="A20" s="46">
        <v>100106</v>
      </c>
      <c r="B20" s="47" t="str">
        <f>IFERROR(VLOOKUP(TSynServ[[#This Row],[Service]],Services,2,FALSE),"")</f>
        <v>Marquage</v>
      </c>
      <c r="C20" s="46">
        <f>+VLOOKUP(TSynServ[[#This Row],[Service]],Services,3,FALSE)</f>
        <v>100106</v>
      </c>
      <c r="D20" s="31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3"/>
    </row>
    <row r="21" spans="1:15" x14ac:dyDescent="0.25">
      <c r="A21" s="46">
        <v>100107</v>
      </c>
      <c r="B21" s="47" t="str">
        <f>IFERROR(VLOOKUP(TSynServ[[#This Row],[Service]],Services,2,FALSE),"")</f>
        <v>Décapage</v>
      </c>
      <c r="C21" s="46">
        <f>+VLOOKUP(TSynServ[[#This Row],[Service]],Services,3,FALSE)</f>
        <v>100107</v>
      </c>
      <c r="D21" s="31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3"/>
    </row>
    <row r="22" spans="1:15" x14ac:dyDescent="0.25">
      <c r="A22" s="46">
        <v>100108</v>
      </c>
      <c r="B22" s="47" t="str">
        <f>IFERROR(VLOOKUP(TSynServ[[#This Row],[Service]],Services,2,FALSE),"")</f>
        <v>ContrôlePE</v>
      </c>
      <c r="C22" s="46" t="str">
        <f>+VLOOKUP(TSynServ[[#This Row],[Service]],Services,3,FALSE)</f>
        <v>CONT/QUAL</v>
      </c>
      <c r="D22" s="31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3"/>
    </row>
    <row r="23" spans="1:15" x14ac:dyDescent="0.25">
      <c r="A23" s="46">
        <v>100109</v>
      </c>
      <c r="B23" s="47" t="str">
        <f>IFERROR(VLOOKUP(TSynServ[[#This Row],[Service]],Services,2,FALSE),"")</f>
        <v>Préparation PE</v>
      </c>
      <c r="C23" s="46" t="str">
        <f>+VLOOKUP(TSynServ[[#This Row],[Service]],Services,3,FALSE)</f>
        <v>MAG/PREPA</v>
      </c>
      <c r="D23" s="31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3"/>
    </row>
    <row r="24" spans="1:15" x14ac:dyDescent="0.25">
      <c r="A24" s="46">
        <v>100110</v>
      </c>
      <c r="B24" s="47" t="str">
        <f>IFERROR(VLOOKUP(TSynServ[[#This Row],[Service]],Services,2,FALSE),"")</f>
        <v>Travaux Gérard</v>
      </c>
      <c r="C24" s="46">
        <f>+VLOOKUP(TSynServ[[#This Row],[Service]],Services,3,FALSE)</f>
        <v>100110</v>
      </c>
      <c r="D24" s="31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3"/>
    </row>
    <row r="25" spans="1:15" x14ac:dyDescent="0.25">
      <c r="A25" s="46">
        <v>100111</v>
      </c>
      <c r="B25" s="47" t="str">
        <f>IFERROR(VLOOKUP(TSynServ[[#This Row],[Service]],Services,2,FALSE),"")</f>
        <v>Retouches suite à défauts</v>
      </c>
      <c r="C25" s="46">
        <f>+VLOOKUP(TSynServ[[#This Row],[Service]],Services,3,FALSE)</f>
        <v>100111</v>
      </c>
      <c r="D25" s="31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3"/>
    </row>
    <row r="26" spans="1:15" x14ac:dyDescent="0.25">
      <c r="A26" s="46">
        <v>100112</v>
      </c>
      <c r="B26" s="47" t="str">
        <f>IFERROR(VLOOKUP(TSynServ[[#This Row],[Service]],Services,2,FALSE),"")</f>
        <v>Emballage</v>
      </c>
      <c r="C26" s="46">
        <f>+VLOOKUP(TSynServ[[#This Row],[Service]],Services,3,FALSE)</f>
        <v>100112</v>
      </c>
      <c r="D26" s="31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3"/>
    </row>
    <row r="27" spans="1:15" x14ac:dyDescent="0.25">
      <c r="A27" s="46">
        <v>100113</v>
      </c>
      <c r="B27" s="47" t="str">
        <f>IFERROR(VLOOKUP(TSynServ[[#This Row],[Service]],Services,2,FALSE),"")</f>
        <v>Délégation</v>
      </c>
      <c r="C27" s="46">
        <f>+VLOOKUP(TSynServ[[#This Row],[Service]],Services,3,FALSE)</f>
        <v>100113</v>
      </c>
      <c r="D27" s="31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3"/>
    </row>
    <row r="28" spans="1:15" x14ac:dyDescent="0.25">
      <c r="A28" s="46">
        <v>100114</v>
      </c>
      <c r="B28" s="47" t="str">
        <f>IFERROR(VLOOKUP(TSynServ[[#This Row],[Service]],Services,2,FALSE),"")</f>
        <v>Nettoyage Atelier Montage</v>
      </c>
      <c r="C28" s="46">
        <f>+VLOOKUP(TSynServ[[#This Row],[Service]],Services,3,FALSE)</f>
        <v>100114</v>
      </c>
      <c r="D28" s="31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3"/>
    </row>
    <row r="29" spans="1:15" x14ac:dyDescent="0.25">
      <c r="A29" s="46">
        <v>100115</v>
      </c>
      <c r="B29" s="47" t="str">
        <f>IFERROR(VLOOKUP(TSynServ[[#This Row],[Service]],Services,2,FALSE),"")</f>
        <v>Courses Atelier Montage</v>
      </c>
      <c r="C29" s="46">
        <f>+VLOOKUP(TSynServ[[#This Row],[Service]],Services,3,FALSE)</f>
        <v>100115</v>
      </c>
      <c r="D29" s="31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3"/>
    </row>
    <row r="30" spans="1:15" x14ac:dyDescent="0.25">
      <c r="A30" s="46">
        <v>100116</v>
      </c>
      <c r="B30" s="47" t="str">
        <f>IFERROR(VLOOKUP(TSynServ[[#This Row],[Service]],Services,2,FALSE),"")</f>
        <v>Travaux pour Gérard Atelier Montage</v>
      </c>
      <c r="C30" s="46">
        <f>+VLOOKUP(TSynServ[[#This Row],[Service]],Services,3,FALSE)</f>
        <v>100116</v>
      </c>
      <c r="D30" s="31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3"/>
    </row>
    <row r="31" spans="1:15" x14ac:dyDescent="0.25">
      <c r="A31" s="46">
        <v>100117</v>
      </c>
      <c r="B31" s="47" t="str">
        <f>IFERROR(VLOOKUP(TSynServ[[#This Row],[Service]],Services,2,FALSE),"")</f>
        <v>Contrôle Atelier Montage</v>
      </c>
      <c r="C31" s="46">
        <f>+VLOOKUP(TSynServ[[#This Row],[Service]],Services,3,FALSE)</f>
        <v>100117</v>
      </c>
      <c r="D31" s="31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3"/>
    </row>
    <row r="32" spans="1:15" x14ac:dyDescent="0.25">
      <c r="A32" s="46">
        <v>100118</v>
      </c>
      <c r="B32" s="47" t="str">
        <f>IFERROR(VLOOKUP(TSynServ[[#This Row],[Service]],Services,2,FALSE),"")</f>
        <v>Réception kits Atelier Montage</v>
      </c>
      <c r="C32" s="46">
        <f>+VLOOKUP(TSynServ[[#This Row],[Service]],Services,3,FALSE)</f>
        <v>100118</v>
      </c>
      <c r="D32" s="31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3"/>
    </row>
    <row r="33" spans="1:15" x14ac:dyDescent="0.25">
      <c r="A33" s="46">
        <v>100120</v>
      </c>
      <c r="B33" s="47" t="str">
        <f>IFERROR(VLOOKUP(TSynServ[[#This Row],[Service]],Services,2,FALSE),"")</f>
        <v>Encadrement Atelier Montage</v>
      </c>
      <c r="C33" s="46">
        <f>+VLOOKUP(TSynServ[[#This Row],[Service]],Services,3,FALSE)</f>
        <v>100120</v>
      </c>
      <c r="D33" s="31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3"/>
    </row>
    <row r="34" spans="1:15" x14ac:dyDescent="0.25">
      <c r="A34" s="49"/>
      <c r="B34" s="40" t="str">
        <f>IFERROR(VLOOKUP(A34,Services,2,FALSE),"")</f>
        <v/>
      </c>
    </row>
    <row r="35" spans="1:15" ht="23.25" x14ac:dyDescent="0.35">
      <c r="A35" s="50" t="s">
        <v>64</v>
      </c>
      <c r="B35" s="50"/>
      <c r="C35" s="50"/>
      <c r="D35" s="50"/>
    </row>
    <row r="36" spans="1:15" x14ac:dyDescent="0.25">
      <c r="A36" s="45" t="s">
        <v>67</v>
      </c>
      <c r="B36" s="45" t="s">
        <v>66</v>
      </c>
      <c r="C36" s="45" t="s">
        <v>68</v>
      </c>
      <c r="D36" s="45" t="s">
        <v>16</v>
      </c>
      <c r="E36" s="51" t="s">
        <v>17</v>
      </c>
      <c r="F36" s="51" t="s">
        <v>18</v>
      </c>
      <c r="G36" s="51" t="s">
        <v>19</v>
      </c>
      <c r="H36" s="51" t="s">
        <v>20</v>
      </c>
      <c r="I36" s="51" t="s">
        <v>21</v>
      </c>
      <c r="J36" s="51" t="s">
        <v>22</v>
      </c>
      <c r="K36" s="51" t="s">
        <v>23</v>
      </c>
      <c r="L36" s="51" t="s">
        <v>24</v>
      </c>
      <c r="M36" s="51" t="s">
        <v>25</v>
      </c>
      <c r="N36" s="51" t="s">
        <v>26</v>
      </c>
      <c r="O36" s="51" t="s">
        <v>27</v>
      </c>
    </row>
    <row r="37" spans="1:15" x14ac:dyDescent="0.25">
      <c r="A37" s="45" t="s">
        <v>70</v>
      </c>
      <c r="B37" s="52" t="str">
        <f>IFERROR(VLOOKUP(TSynRgpr[[#This Row],[Regroupement]],Regroupement,2,FALSE),"")</f>
        <v>Administratif</v>
      </c>
      <c r="C37" s="45" t="str">
        <f>+VLOOKUP(TSynRgpr[[#This Row],[Regroupement]],Regroupement,3,FALSE)</f>
        <v>IMPROD</v>
      </c>
      <c r="D37" s="53">
        <f t="array" ref="D37">SUMIF(TSynServ[Regroupement],TSynRgpr[[#This Row],[Regroupement]],TSynServ[Janvier])</f>
        <v>0</v>
      </c>
      <c r="E37" s="53">
        <f>SUMIF(TSynServ[Regroupement],TSynRgpr[[#This Row],[Regroupement]],TSynServ[Février])</f>
        <v>0</v>
      </c>
      <c r="F37" s="53">
        <f>SUMIF(TSynServ[Regroupement],TSynRgpr[[#This Row],[Regroupement]],TSynServ[Mars])</f>
        <v>0</v>
      </c>
      <c r="G37" s="53">
        <f>SUMIF(TSynServ[Regroupement],TSynRgpr[[#This Row],[Regroupement]],TSynServ[Avril])</f>
        <v>697</v>
      </c>
      <c r="H37" s="53">
        <f>SUMIF(TSynServ[Regroupement],TSynRgpr[[#This Row],[Regroupement]],TSynServ[Mai])</f>
        <v>0</v>
      </c>
      <c r="I37" s="53">
        <f>SUMIF(TSynServ[Regroupement],TSynRgpr[[#This Row],[Regroupement]],TSynServ[Juin])</f>
        <v>0</v>
      </c>
      <c r="J37" s="53">
        <f>SUMIF(TSynServ[Regroupement],TSynRgpr[[#This Row],[Regroupement]],TSynServ[Juillet])</f>
        <v>0</v>
      </c>
      <c r="K37" s="53">
        <f>SUMIF(TSynServ[Regroupement],TSynRgpr[[#This Row],[Regroupement]],TSynServ[Août])</f>
        <v>0</v>
      </c>
      <c r="L37" s="53">
        <f>SUMIF(TSynServ[Regroupement],TSynRgpr[[#This Row],[Regroupement]],TSynServ[Septembre])</f>
        <v>0</v>
      </c>
      <c r="M37" s="53">
        <f>SUMIF(TSynServ[Regroupement],TSynRgpr[[#This Row],[Regroupement]],TSynServ[Octobre])</f>
        <v>0</v>
      </c>
      <c r="N37" s="53">
        <f>SUMIF(TSynServ[Regroupement],TSynRgpr[[#This Row],[Regroupement]],TSynServ[Novembre])</f>
        <v>0</v>
      </c>
      <c r="O37" s="53">
        <f>SUMIF(TSynServ[Regroupement],TSynRgpr[[#This Row],[Regroupement]],TSynServ[Décembre])</f>
        <v>0</v>
      </c>
    </row>
    <row r="38" spans="1:15" x14ac:dyDescent="0.25">
      <c r="A38" s="45" t="s">
        <v>53</v>
      </c>
      <c r="B38" s="52" t="str">
        <f>IFERROR(VLOOKUP(TSynRgpr[[#This Row],[Regroupement]],Regroupement,2,FALSE),"")</f>
        <v>Informatique</v>
      </c>
      <c r="C38" s="45" t="str">
        <f>+VLOOKUP(TSynRgpr[[#This Row],[Regroupement]],Regroupement,3,FALSE)</f>
        <v>IMPROD</v>
      </c>
      <c r="D38" s="53">
        <f t="array" ref="D38">SUMIF(TSynServ[Regroupement],TSynRgpr[[#This Row],[Regroupement]],TSynServ[Janvier])</f>
        <v>0</v>
      </c>
      <c r="E38" s="53">
        <f>SUMIF(TSynServ[Regroupement],TSynRgpr[[#This Row],[Regroupement]],TSynServ[Février])</f>
        <v>0</v>
      </c>
      <c r="F38" s="53">
        <f>SUMIF(TSynServ[Regroupement],TSynRgpr[[#This Row],[Regroupement]],TSynServ[Mars])</f>
        <v>0</v>
      </c>
      <c r="G38" s="53">
        <f>SUMIF(TSynServ[Regroupement],TSynRgpr[[#This Row],[Regroupement]],TSynServ[Avril])</f>
        <v>253</v>
      </c>
      <c r="H38" s="53">
        <f>SUMIF(TSynServ[Regroupement],TSynRgpr[[#This Row],[Regroupement]],TSynServ[Mai])</f>
        <v>0</v>
      </c>
      <c r="I38" s="53">
        <f>SUMIF(TSynServ[Regroupement],TSynRgpr[[#This Row],[Regroupement]],TSynServ[Juin])</f>
        <v>0</v>
      </c>
      <c r="J38" s="53">
        <f>SUMIF(TSynServ[Regroupement],TSynRgpr[[#This Row],[Regroupement]],TSynServ[Juillet])</f>
        <v>0</v>
      </c>
      <c r="K38" s="53">
        <f>SUMIF(TSynServ[Regroupement],TSynRgpr[[#This Row],[Regroupement]],TSynServ[Août])</f>
        <v>0</v>
      </c>
      <c r="L38" s="53">
        <f>SUMIF(TSynServ[Regroupement],TSynRgpr[[#This Row],[Regroupement]],TSynServ[Septembre])</f>
        <v>0</v>
      </c>
      <c r="M38" s="53">
        <f>SUMIF(TSynServ[Regroupement],TSynRgpr[[#This Row],[Regroupement]],TSynServ[Octobre])</f>
        <v>0</v>
      </c>
      <c r="N38" s="53">
        <f>SUMIF(TSynServ[Regroupement],TSynRgpr[[#This Row],[Regroupement]],TSynServ[Novembre])</f>
        <v>0</v>
      </c>
      <c r="O38" s="53">
        <f>SUMIF(TSynServ[Regroupement],TSynRgpr[[#This Row],[Regroupement]],TSynServ[Décembre])</f>
        <v>0</v>
      </c>
    </row>
    <row r="39" spans="1:15" x14ac:dyDescent="0.25">
      <c r="A39" s="45" t="s">
        <v>32</v>
      </c>
      <c r="B39" s="52" t="str">
        <f>IFERROR(VLOOKUP(TSynRgpr[[#This Row],[Regroupement]],Regroupement,2,FALSE),"")</f>
        <v>Commercial</v>
      </c>
      <c r="C39" s="45" t="str">
        <f>+VLOOKUP(TSynRgpr[[#This Row],[Regroupement]],Regroupement,3,FALSE)</f>
        <v>IMPROD</v>
      </c>
      <c r="D39" s="53">
        <f t="array" ref="D39">SUMIF(TSynServ[Regroupement],TSynRgpr[[#This Row],[Regroupement]],TSynServ[Janvier])</f>
        <v>0</v>
      </c>
      <c r="E39" s="53">
        <f>SUMIF(TSynServ[Regroupement],TSynRgpr[[#This Row],[Regroupement]],TSynServ[Février])</f>
        <v>0</v>
      </c>
      <c r="F39" s="53">
        <f>SUMIF(TSynServ[Regroupement],TSynRgpr[[#This Row],[Regroupement]],TSynServ[Mars])</f>
        <v>0</v>
      </c>
      <c r="G39" s="53">
        <f>SUMIF(TSynServ[Regroupement],TSynRgpr[[#This Row],[Regroupement]],TSynServ[Avril])</f>
        <v>230</v>
      </c>
      <c r="H39" s="53">
        <f>SUMIF(TSynServ[Regroupement],TSynRgpr[[#This Row],[Regroupement]],TSynServ[Mai])</f>
        <v>0</v>
      </c>
      <c r="I39" s="53">
        <f>SUMIF(TSynServ[Regroupement],TSynRgpr[[#This Row],[Regroupement]],TSynServ[Juin])</f>
        <v>0</v>
      </c>
      <c r="J39" s="53">
        <f>SUMIF(TSynServ[Regroupement],TSynRgpr[[#This Row],[Regroupement]],TSynServ[Juillet])</f>
        <v>0</v>
      </c>
      <c r="K39" s="53">
        <f>SUMIF(TSynServ[Regroupement],TSynRgpr[[#This Row],[Regroupement]],TSynServ[Août])</f>
        <v>0</v>
      </c>
      <c r="L39" s="53">
        <f>SUMIF(TSynServ[Regroupement],TSynRgpr[[#This Row],[Regroupement]],TSynServ[Septembre])</f>
        <v>0</v>
      </c>
      <c r="M39" s="53">
        <f>SUMIF(TSynServ[Regroupement],TSynRgpr[[#This Row],[Regroupement]],TSynServ[Octobre])</f>
        <v>0</v>
      </c>
      <c r="N39" s="53">
        <f>SUMIF(TSynServ[Regroupement],TSynRgpr[[#This Row],[Regroupement]],TSynServ[Novembre])</f>
        <v>0</v>
      </c>
      <c r="O39" s="53">
        <f>SUMIF(TSynServ[Regroupement],TSynRgpr[[#This Row],[Regroupement]],TSynServ[Décembre])</f>
        <v>0</v>
      </c>
    </row>
    <row r="40" spans="1:15" x14ac:dyDescent="0.25">
      <c r="A40" s="45" t="s">
        <v>54</v>
      </c>
      <c r="B40" s="52" t="str">
        <f>IFERROR(VLOOKUP(TSynRgpr[[#This Row],[Regroupement]],Regroupement,2,FALSE),"")</f>
        <v>Contrôle &amp; Qualité</v>
      </c>
      <c r="C40" s="45" t="str">
        <f>+VLOOKUP(TSynRgpr[[#This Row],[Regroupement]],Regroupement,3,FALSE)</f>
        <v>IMPROD</v>
      </c>
      <c r="D40" s="53">
        <f t="array" ref="D40">SUMIF(TSynServ[Regroupement],TSynRgpr[[#This Row],[Regroupement]],TSynServ[Janvier])</f>
        <v>0</v>
      </c>
      <c r="E40" s="53">
        <f>SUMIF(TSynServ[Regroupement],TSynRgpr[[#This Row],[Regroupement]],TSynServ[Février])</f>
        <v>0</v>
      </c>
      <c r="F40" s="53">
        <f>SUMIF(TSynServ[Regroupement],TSynRgpr[[#This Row],[Regroupement]],TSynServ[Mars])</f>
        <v>0</v>
      </c>
      <c r="G40" s="53">
        <f>SUMIF(TSynServ[Regroupement],TSynRgpr[[#This Row],[Regroupement]],TSynServ[Avril])</f>
        <v>133.75</v>
      </c>
      <c r="H40" s="53">
        <f>SUMIF(TSynServ[Regroupement],TSynRgpr[[#This Row],[Regroupement]],TSynServ[Mai])</f>
        <v>0</v>
      </c>
      <c r="I40" s="53">
        <f>SUMIF(TSynServ[Regroupement],TSynRgpr[[#This Row],[Regroupement]],TSynServ[Juin])</f>
        <v>0</v>
      </c>
      <c r="J40" s="53">
        <f>SUMIF(TSynServ[Regroupement],TSynRgpr[[#This Row],[Regroupement]],TSynServ[Juillet])</f>
        <v>0</v>
      </c>
      <c r="K40" s="53">
        <f>SUMIF(TSynServ[Regroupement],TSynRgpr[[#This Row],[Regroupement]],TSynServ[Août])</f>
        <v>0</v>
      </c>
      <c r="L40" s="53">
        <f>SUMIF(TSynServ[Regroupement],TSynRgpr[[#This Row],[Regroupement]],TSynServ[Septembre])</f>
        <v>0</v>
      </c>
      <c r="M40" s="53">
        <f>SUMIF(TSynServ[Regroupement],TSynRgpr[[#This Row],[Regroupement]],TSynServ[Octobre])</f>
        <v>0</v>
      </c>
      <c r="N40" s="53">
        <f>SUMIF(TSynServ[Regroupement],TSynRgpr[[#This Row],[Regroupement]],TSynServ[Novembre])</f>
        <v>0</v>
      </c>
      <c r="O40" s="53">
        <f>SUMIF(TSynServ[Regroupement],TSynRgpr[[#This Row],[Regroupement]],TSynServ[Décembre])</f>
        <v>0</v>
      </c>
    </row>
    <row r="41" spans="1:15" x14ac:dyDescent="0.25">
      <c r="A41" s="45" t="s">
        <v>73</v>
      </c>
      <c r="B41" s="52" t="str">
        <f>IFERROR(VLOOKUP(TSynRgpr[[#This Row],[Regroupement]],Regroupement,2,FALSE),"")</f>
        <v>Magasin &amp; Préparation</v>
      </c>
      <c r="C41" s="45" t="str">
        <f>+VLOOKUP(TSynRgpr[[#This Row],[Regroupement]],Regroupement,3,FALSE)</f>
        <v>IMPROD</v>
      </c>
      <c r="D41" s="53">
        <f t="array" ref="D41">SUMIF(TSynServ[Regroupement],TSynRgpr[[#This Row],[Regroupement]],TSynServ[Janvier])</f>
        <v>0</v>
      </c>
      <c r="E41" s="53">
        <f>SUMIF(TSynServ[Regroupement],TSynRgpr[[#This Row],[Regroupement]],TSynServ[Février])</f>
        <v>0</v>
      </c>
      <c r="F41" s="53">
        <f>SUMIF(TSynServ[Regroupement],TSynRgpr[[#This Row],[Regroupement]],TSynServ[Mars])</f>
        <v>0</v>
      </c>
      <c r="G41" s="53">
        <f>SUMIF(TSynServ[Regroupement],TSynRgpr[[#This Row],[Regroupement]],TSynServ[Avril])</f>
        <v>144</v>
      </c>
      <c r="H41" s="53">
        <f>SUMIF(TSynServ[Regroupement],TSynRgpr[[#This Row],[Regroupement]],TSynServ[Mai])</f>
        <v>0</v>
      </c>
      <c r="I41" s="53">
        <f>SUMIF(TSynServ[Regroupement],TSynRgpr[[#This Row],[Regroupement]],TSynServ[Juin])</f>
        <v>0</v>
      </c>
      <c r="J41" s="53">
        <f>SUMIF(TSynServ[Regroupement],TSynRgpr[[#This Row],[Regroupement]],TSynServ[Juillet])</f>
        <v>0</v>
      </c>
      <c r="K41" s="53">
        <f>SUMIF(TSynServ[Regroupement],TSynRgpr[[#This Row],[Regroupement]],TSynServ[Août])</f>
        <v>0</v>
      </c>
      <c r="L41" s="53">
        <f>SUMIF(TSynServ[Regroupement],TSynRgpr[[#This Row],[Regroupement]],TSynServ[Septembre])</f>
        <v>0</v>
      </c>
      <c r="M41" s="53">
        <f>SUMIF(TSynServ[Regroupement],TSynRgpr[[#This Row],[Regroupement]],TSynServ[Octobre])</f>
        <v>0</v>
      </c>
      <c r="N41" s="53">
        <f>SUMIF(TSynServ[Regroupement],TSynRgpr[[#This Row],[Regroupement]],TSynServ[Novembre])</f>
        <v>0</v>
      </c>
      <c r="O41" s="53">
        <f>SUMIF(TSynServ[Regroupement],TSynRgpr[[#This Row],[Regroupement]],TSynServ[Décembre])</f>
        <v>0</v>
      </c>
    </row>
    <row r="42" spans="1:15" x14ac:dyDescent="0.25">
      <c r="A42" s="45">
        <v>100101</v>
      </c>
      <c r="B42" s="52" t="str">
        <f>IFERROR(VLOOKUP(TSynRgpr[[#This Row],[Regroupement]],Regroupement,2,FALSE),"")</f>
        <v>Nettoyage</v>
      </c>
      <c r="C42" s="45" t="str">
        <f>+VLOOKUP(TSynRgpr[[#This Row],[Regroupement]],Regroupement,3,FALSE)</f>
        <v>IMPROD</v>
      </c>
      <c r="D42" s="53">
        <f t="array" ref="D42">SUMIF(TSynServ[Regroupement],TSynRgpr[[#This Row],[Regroupement]],TSynServ[Janvier])</f>
        <v>0</v>
      </c>
      <c r="E42" s="53">
        <f>SUMIF(TSynServ[Regroupement],TSynRgpr[[#This Row],[Regroupement]],TSynServ[Février])</f>
        <v>0</v>
      </c>
      <c r="F42" s="53">
        <f>SUMIF(TSynServ[Regroupement],TSynRgpr[[#This Row],[Regroupement]],TSynServ[Mars])</f>
        <v>0</v>
      </c>
      <c r="G42" s="53">
        <f>SUMIF(TSynServ[Regroupement],TSynRgpr[[#This Row],[Regroupement]],TSynServ[Avril])</f>
        <v>0</v>
      </c>
      <c r="H42" s="53">
        <f>SUMIF(TSynServ[Regroupement],TSynRgpr[[#This Row],[Regroupement]],TSynServ[Mai])</f>
        <v>0</v>
      </c>
      <c r="I42" s="53">
        <f>SUMIF(TSynServ[Regroupement],TSynRgpr[[#This Row],[Regroupement]],TSynServ[Juin])</f>
        <v>0</v>
      </c>
      <c r="J42" s="53">
        <f>SUMIF(TSynServ[Regroupement],TSynRgpr[[#This Row],[Regroupement]],TSynServ[Juillet])</f>
        <v>0</v>
      </c>
      <c r="K42" s="53">
        <f>SUMIF(TSynServ[Regroupement],TSynRgpr[[#This Row],[Regroupement]],TSynServ[Août])</f>
        <v>0</v>
      </c>
      <c r="L42" s="53">
        <f>SUMIF(TSynServ[Regroupement],TSynRgpr[[#This Row],[Regroupement]],TSynServ[Septembre])</f>
        <v>0</v>
      </c>
      <c r="M42" s="53">
        <f>SUMIF(TSynServ[Regroupement],TSynRgpr[[#This Row],[Regroupement]],TSynServ[Octobre])</f>
        <v>0</v>
      </c>
      <c r="N42" s="53">
        <f>SUMIF(TSynServ[Regroupement],TSynRgpr[[#This Row],[Regroupement]],TSynServ[Novembre])</f>
        <v>0</v>
      </c>
      <c r="O42" s="53">
        <f>SUMIF(TSynServ[Regroupement],TSynRgpr[[#This Row],[Regroupement]],TSynServ[Décembre])</f>
        <v>0</v>
      </c>
    </row>
    <row r="43" spans="1:15" x14ac:dyDescent="0.25">
      <c r="A43" s="45">
        <v>100102</v>
      </c>
      <c r="B43" s="52" t="str">
        <f>IFERROR(VLOOKUP(TSynRgpr[[#This Row],[Regroupement]],Regroupement,2,FALSE),"")</f>
        <v>Courses</v>
      </c>
      <c r="C43" s="45" t="str">
        <f>+VLOOKUP(TSynRgpr[[#This Row],[Regroupement]],Regroupement,3,FALSE)</f>
        <v>IMPROD</v>
      </c>
      <c r="D43" s="53">
        <f t="array" ref="D43">SUMIF(TSynServ[Regroupement],TSynRgpr[[#This Row],[Regroupement]],TSynServ[Janvier])</f>
        <v>0</v>
      </c>
      <c r="E43" s="53">
        <f>SUMIF(TSynServ[Regroupement],TSynRgpr[[#This Row],[Regroupement]],TSynServ[Février])</f>
        <v>0</v>
      </c>
      <c r="F43" s="53">
        <f>SUMIF(TSynServ[Regroupement],TSynRgpr[[#This Row],[Regroupement]],TSynServ[Mars])</f>
        <v>0</v>
      </c>
      <c r="G43" s="53">
        <f>SUMIF(TSynServ[Regroupement],TSynRgpr[[#This Row],[Regroupement]],TSynServ[Avril])</f>
        <v>0</v>
      </c>
      <c r="H43" s="53">
        <f>SUMIF(TSynServ[Regroupement],TSynRgpr[[#This Row],[Regroupement]],TSynServ[Mai])</f>
        <v>0</v>
      </c>
      <c r="I43" s="53">
        <f>SUMIF(TSynServ[Regroupement],TSynRgpr[[#This Row],[Regroupement]],TSynServ[Juin])</f>
        <v>0</v>
      </c>
      <c r="J43" s="53">
        <f>SUMIF(TSynServ[Regroupement],TSynRgpr[[#This Row],[Regroupement]],TSynServ[Juillet])</f>
        <v>0</v>
      </c>
      <c r="K43" s="53">
        <f>SUMIF(TSynServ[Regroupement],TSynRgpr[[#This Row],[Regroupement]],TSynServ[Août])</f>
        <v>0</v>
      </c>
      <c r="L43" s="53">
        <f>SUMIF(TSynServ[Regroupement],TSynRgpr[[#This Row],[Regroupement]],TSynServ[Septembre])</f>
        <v>0</v>
      </c>
      <c r="M43" s="53">
        <f>SUMIF(TSynServ[Regroupement],TSynRgpr[[#This Row],[Regroupement]],TSynServ[Octobre])</f>
        <v>0</v>
      </c>
      <c r="N43" s="53">
        <f>SUMIF(TSynServ[Regroupement],TSynRgpr[[#This Row],[Regroupement]],TSynServ[Novembre])</f>
        <v>0</v>
      </c>
      <c r="O43" s="53">
        <f>SUMIF(TSynServ[Regroupement],TSynRgpr[[#This Row],[Regroupement]],TSynServ[Décembre])</f>
        <v>0</v>
      </c>
    </row>
    <row r="44" spans="1:15" x14ac:dyDescent="0.25">
      <c r="A44" s="45">
        <v>100103</v>
      </c>
      <c r="B44" s="52" t="str">
        <f>IFERROR(VLOOKUP(TSynRgpr[[#This Row],[Regroupement]],Regroupement,2,FALSE),"")</f>
        <v>Four</v>
      </c>
      <c r="C44" s="45" t="str">
        <f>+VLOOKUP(TSynRgpr[[#This Row],[Regroupement]],Regroupement,3,FALSE)</f>
        <v>IMPROD</v>
      </c>
      <c r="D44" s="53">
        <f t="array" ref="D44">SUMIF(TSynServ[Regroupement],TSynRgpr[[#This Row],[Regroupement]],TSynServ[Janvier])</f>
        <v>0</v>
      </c>
      <c r="E44" s="53">
        <f>SUMIF(TSynServ[Regroupement],TSynRgpr[[#This Row],[Regroupement]],TSynServ[Février])</f>
        <v>0</v>
      </c>
      <c r="F44" s="53">
        <f>SUMIF(TSynServ[Regroupement],TSynRgpr[[#This Row],[Regroupement]],TSynServ[Mars])</f>
        <v>0</v>
      </c>
      <c r="G44" s="53">
        <f>SUMIF(TSynServ[Regroupement],TSynRgpr[[#This Row],[Regroupement]],TSynServ[Avril])</f>
        <v>0</v>
      </c>
      <c r="H44" s="53">
        <f>SUMIF(TSynServ[Regroupement],TSynRgpr[[#This Row],[Regroupement]],TSynServ[Mai])</f>
        <v>0</v>
      </c>
      <c r="I44" s="53">
        <f>SUMIF(TSynServ[Regroupement],TSynRgpr[[#This Row],[Regroupement]],TSynServ[Juin])</f>
        <v>0</v>
      </c>
      <c r="J44" s="53">
        <f>SUMIF(TSynServ[Regroupement],TSynRgpr[[#This Row],[Regroupement]],TSynServ[Juillet])</f>
        <v>0</v>
      </c>
      <c r="K44" s="53">
        <f>SUMIF(TSynServ[Regroupement],TSynRgpr[[#This Row],[Regroupement]],TSynServ[Août])</f>
        <v>0</v>
      </c>
      <c r="L44" s="53">
        <f>SUMIF(TSynServ[Regroupement],TSynRgpr[[#This Row],[Regroupement]],TSynServ[Septembre])</f>
        <v>0</v>
      </c>
      <c r="M44" s="53">
        <f>SUMIF(TSynServ[Regroupement],TSynRgpr[[#This Row],[Regroupement]],TSynServ[Octobre])</f>
        <v>0</v>
      </c>
      <c r="N44" s="53">
        <f>SUMIF(TSynServ[Regroupement],TSynRgpr[[#This Row],[Regroupement]],TSynServ[Novembre])</f>
        <v>0</v>
      </c>
      <c r="O44" s="53">
        <f>SUMIF(TSynServ[Regroupement],TSynRgpr[[#This Row],[Regroupement]],TSynServ[Décembre])</f>
        <v>0</v>
      </c>
    </row>
    <row r="45" spans="1:15" x14ac:dyDescent="0.25">
      <c r="A45" s="45">
        <v>100104</v>
      </c>
      <c r="B45" s="52" t="str">
        <f>IFERROR(VLOOKUP(TSynRgpr[[#This Row],[Regroupement]],Regroupement,2,FALSE),"")</f>
        <v>Travaux SFIB</v>
      </c>
      <c r="C45" s="45" t="str">
        <f>+VLOOKUP(TSynRgpr[[#This Row],[Regroupement]],Regroupement,3,FALSE)</f>
        <v>IMPROD</v>
      </c>
      <c r="D45" s="53">
        <f t="array" ref="D45">SUMIF(TSynServ[Regroupement],TSynRgpr[[#This Row],[Regroupement]],TSynServ[Janvier])</f>
        <v>0</v>
      </c>
      <c r="E45" s="53">
        <f>SUMIF(TSynServ[Regroupement],TSynRgpr[[#This Row],[Regroupement]],TSynServ[Février])</f>
        <v>0</v>
      </c>
      <c r="F45" s="53">
        <f>SUMIF(TSynServ[Regroupement],TSynRgpr[[#This Row],[Regroupement]],TSynServ[Mars])</f>
        <v>0</v>
      </c>
      <c r="G45" s="53">
        <f>SUMIF(TSynServ[Regroupement],TSynRgpr[[#This Row],[Regroupement]],TSynServ[Avril])</f>
        <v>0</v>
      </c>
      <c r="H45" s="53">
        <f>SUMIF(TSynServ[Regroupement],TSynRgpr[[#This Row],[Regroupement]],TSynServ[Mai])</f>
        <v>0</v>
      </c>
      <c r="I45" s="53">
        <f>SUMIF(TSynServ[Regroupement],TSynRgpr[[#This Row],[Regroupement]],TSynServ[Juin])</f>
        <v>0</v>
      </c>
      <c r="J45" s="53">
        <f>SUMIF(TSynServ[Regroupement],TSynRgpr[[#This Row],[Regroupement]],TSynServ[Juillet])</f>
        <v>0</v>
      </c>
      <c r="K45" s="53">
        <f>SUMIF(TSynServ[Regroupement],TSynRgpr[[#This Row],[Regroupement]],TSynServ[Août])</f>
        <v>0</v>
      </c>
      <c r="L45" s="53">
        <f>SUMIF(TSynServ[Regroupement],TSynRgpr[[#This Row],[Regroupement]],TSynServ[Septembre])</f>
        <v>0</v>
      </c>
      <c r="M45" s="53">
        <f>SUMIF(TSynServ[Regroupement],TSynRgpr[[#This Row],[Regroupement]],TSynServ[Octobre])</f>
        <v>0</v>
      </c>
      <c r="N45" s="53">
        <f>SUMIF(TSynServ[Regroupement],TSynRgpr[[#This Row],[Regroupement]],TSynServ[Novembre])</f>
        <v>0</v>
      </c>
      <c r="O45" s="53">
        <f>SUMIF(TSynServ[Regroupement],TSynRgpr[[#This Row],[Regroupement]],TSynServ[Décembre])</f>
        <v>0</v>
      </c>
    </row>
    <row r="46" spans="1:15" x14ac:dyDescent="0.25">
      <c r="A46" s="45">
        <v>100105</v>
      </c>
      <c r="B46" s="52" t="str">
        <f>IFERROR(VLOOKUP(TSynRgpr[[#This Row],[Regroupement]],Regroupement,2,FALSE),"")</f>
        <v>Encadrement</v>
      </c>
      <c r="C46" s="45" t="str">
        <f>+VLOOKUP(TSynRgpr[[#This Row],[Regroupement]],Regroupement,3,FALSE)</f>
        <v>IMPROD</v>
      </c>
      <c r="D46" s="53">
        <f t="array" ref="D46">SUMIF(TSynServ[Regroupement],TSynRgpr[[#This Row],[Regroupement]],TSynServ[Janvier])</f>
        <v>0</v>
      </c>
      <c r="E46" s="53">
        <f>SUMIF(TSynServ[Regroupement],TSynRgpr[[#This Row],[Regroupement]],TSynServ[Février])</f>
        <v>0</v>
      </c>
      <c r="F46" s="53">
        <f>SUMIF(TSynServ[Regroupement],TSynRgpr[[#This Row],[Regroupement]],TSynServ[Mars])</f>
        <v>0</v>
      </c>
      <c r="G46" s="53">
        <f>SUMIF(TSynServ[Regroupement],TSynRgpr[[#This Row],[Regroupement]],TSynServ[Avril])</f>
        <v>0</v>
      </c>
      <c r="H46" s="53">
        <f>SUMIF(TSynServ[Regroupement],TSynRgpr[[#This Row],[Regroupement]],TSynServ[Mai])</f>
        <v>0</v>
      </c>
      <c r="I46" s="53">
        <f>SUMIF(TSynServ[Regroupement],TSynRgpr[[#This Row],[Regroupement]],TSynServ[Juin])</f>
        <v>0</v>
      </c>
      <c r="J46" s="53">
        <f>SUMIF(TSynServ[Regroupement],TSynRgpr[[#This Row],[Regroupement]],TSynServ[Juillet])</f>
        <v>0</v>
      </c>
      <c r="K46" s="53">
        <f>SUMIF(TSynServ[Regroupement],TSynRgpr[[#This Row],[Regroupement]],TSynServ[Août])</f>
        <v>0</v>
      </c>
      <c r="L46" s="53">
        <f>SUMIF(TSynServ[Regroupement],TSynRgpr[[#This Row],[Regroupement]],TSynServ[Septembre])</f>
        <v>0</v>
      </c>
      <c r="M46" s="53">
        <f>SUMIF(TSynServ[Regroupement],TSynRgpr[[#This Row],[Regroupement]],TSynServ[Octobre])</f>
        <v>0</v>
      </c>
      <c r="N46" s="53">
        <f>SUMIF(TSynServ[Regroupement],TSynRgpr[[#This Row],[Regroupement]],TSynServ[Novembre])</f>
        <v>0</v>
      </c>
      <c r="O46" s="53">
        <f>SUMIF(TSynServ[Regroupement],TSynRgpr[[#This Row],[Regroupement]],TSynServ[Décembre])</f>
        <v>0</v>
      </c>
    </row>
    <row r="47" spans="1:15" x14ac:dyDescent="0.25">
      <c r="A47" s="45">
        <v>100106</v>
      </c>
      <c r="B47" s="52" t="str">
        <f>IFERROR(VLOOKUP(TSynRgpr[[#This Row],[Regroupement]],Regroupement,2,FALSE),"")</f>
        <v>Marquage</v>
      </c>
      <c r="C47" s="45" t="str">
        <f>+VLOOKUP(TSynRgpr[[#This Row],[Regroupement]],Regroupement,3,FALSE)</f>
        <v>IMPROD</v>
      </c>
      <c r="D47" s="53">
        <f t="array" ref="D47">SUMIF(TSynServ[Regroupement],TSynRgpr[[#This Row],[Regroupement]],TSynServ[Janvier])</f>
        <v>0</v>
      </c>
      <c r="E47" s="53">
        <f>SUMIF(TSynServ[Regroupement],TSynRgpr[[#This Row],[Regroupement]],TSynServ[Février])</f>
        <v>0</v>
      </c>
      <c r="F47" s="53">
        <f>SUMIF(TSynServ[Regroupement],TSynRgpr[[#This Row],[Regroupement]],TSynServ[Mars])</f>
        <v>0</v>
      </c>
      <c r="G47" s="53">
        <f>SUMIF(TSynServ[Regroupement],TSynRgpr[[#This Row],[Regroupement]],TSynServ[Avril])</f>
        <v>0</v>
      </c>
      <c r="H47" s="53">
        <f>SUMIF(TSynServ[Regroupement],TSynRgpr[[#This Row],[Regroupement]],TSynServ[Mai])</f>
        <v>0</v>
      </c>
      <c r="I47" s="53">
        <f>SUMIF(TSynServ[Regroupement],TSynRgpr[[#This Row],[Regroupement]],TSynServ[Juin])</f>
        <v>0</v>
      </c>
      <c r="J47" s="53">
        <f>SUMIF(TSynServ[Regroupement],TSynRgpr[[#This Row],[Regroupement]],TSynServ[Juillet])</f>
        <v>0</v>
      </c>
      <c r="K47" s="53">
        <f>SUMIF(TSynServ[Regroupement],TSynRgpr[[#This Row],[Regroupement]],TSynServ[Août])</f>
        <v>0</v>
      </c>
      <c r="L47" s="53">
        <f>SUMIF(TSynServ[Regroupement],TSynRgpr[[#This Row],[Regroupement]],TSynServ[Septembre])</f>
        <v>0</v>
      </c>
      <c r="M47" s="53">
        <f>SUMIF(TSynServ[Regroupement],TSynRgpr[[#This Row],[Regroupement]],TSynServ[Octobre])</f>
        <v>0</v>
      </c>
      <c r="N47" s="53">
        <f>SUMIF(TSynServ[Regroupement],TSynRgpr[[#This Row],[Regroupement]],TSynServ[Novembre])</f>
        <v>0</v>
      </c>
      <c r="O47" s="53">
        <f>SUMIF(TSynServ[Regroupement],TSynRgpr[[#This Row],[Regroupement]],TSynServ[Décembre])</f>
        <v>0</v>
      </c>
    </row>
    <row r="48" spans="1:15" x14ac:dyDescent="0.25">
      <c r="A48" s="45">
        <v>100107</v>
      </c>
      <c r="B48" s="52" t="str">
        <f>IFERROR(VLOOKUP(TSynRgpr[[#This Row],[Regroupement]],Regroupement,2,FALSE),"")</f>
        <v>Décapage</v>
      </c>
      <c r="C48" s="45" t="str">
        <f>+VLOOKUP(TSynRgpr[[#This Row],[Regroupement]],Regroupement,3,FALSE)</f>
        <v>IMPROD</v>
      </c>
      <c r="D48" s="53">
        <f t="array" ref="D48">SUMIF(TSynServ[Regroupement],TSynRgpr[[#This Row],[Regroupement]],TSynServ[Janvier])</f>
        <v>0</v>
      </c>
      <c r="E48" s="53">
        <f>SUMIF(TSynServ[Regroupement],TSynRgpr[[#This Row],[Regroupement]],TSynServ[Février])</f>
        <v>0</v>
      </c>
      <c r="F48" s="53">
        <f>SUMIF(TSynServ[Regroupement],TSynRgpr[[#This Row],[Regroupement]],TSynServ[Mars])</f>
        <v>0</v>
      </c>
      <c r="G48" s="53">
        <f>SUMIF(TSynServ[Regroupement],TSynRgpr[[#This Row],[Regroupement]],TSynServ[Avril])</f>
        <v>0</v>
      </c>
      <c r="H48" s="53">
        <f>SUMIF(TSynServ[Regroupement],TSynRgpr[[#This Row],[Regroupement]],TSynServ[Mai])</f>
        <v>0</v>
      </c>
      <c r="I48" s="53">
        <f>SUMIF(TSynServ[Regroupement],TSynRgpr[[#This Row],[Regroupement]],TSynServ[Juin])</f>
        <v>0</v>
      </c>
      <c r="J48" s="53">
        <f>SUMIF(TSynServ[Regroupement],TSynRgpr[[#This Row],[Regroupement]],TSynServ[Juillet])</f>
        <v>0</v>
      </c>
      <c r="K48" s="53">
        <f>SUMIF(TSynServ[Regroupement],TSynRgpr[[#This Row],[Regroupement]],TSynServ[Août])</f>
        <v>0</v>
      </c>
      <c r="L48" s="53">
        <f>SUMIF(TSynServ[Regroupement],TSynRgpr[[#This Row],[Regroupement]],TSynServ[Septembre])</f>
        <v>0</v>
      </c>
      <c r="M48" s="53">
        <f>SUMIF(TSynServ[Regroupement],TSynRgpr[[#This Row],[Regroupement]],TSynServ[Octobre])</f>
        <v>0</v>
      </c>
      <c r="N48" s="53">
        <f>SUMIF(TSynServ[Regroupement],TSynRgpr[[#This Row],[Regroupement]],TSynServ[Novembre])</f>
        <v>0</v>
      </c>
      <c r="O48" s="53">
        <f>SUMIF(TSynServ[Regroupement],TSynRgpr[[#This Row],[Regroupement]],TSynServ[Décembre])</f>
        <v>0</v>
      </c>
    </row>
    <row r="49" spans="1:15" x14ac:dyDescent="0.25">
      <c r="A49" s="45">
        <v>100110</v>
      </c>
      <c r="B49" s="52" t="str">
        <f>IFERROR(VLOOKUP(TSynRgpr[[#This Row],[Regroupement]],Regroupement,2,FALSE),"")</f>
        <v>Travaux Gérard</v>
      </c>
      <c r="C49" s="45" t="str">
        <f>+VLOOKUP(TSynRgpr[[#This Row],[Regroupement]],Regroupement,3,FALSE)</f>
        <v>IMPROD</v>
      </c>
      <c r="D49" s="53">
        <f t="array" ref="D49">SUMIF(TSynServ[Regroupement],TSynRgpr[[#This Row],[Regroupement]],TSynServ[Janvier])</f>
        <v>0</v>
      </c>
      <c r="E49" s="53">
        <f>SUMIF(TSynServ[Regroupement],TSynRgpr[[#This Row],[Regroupement]],TSynServ[Février])</f>
        <v>0</v>
      </c>
      <c r="F49" s="53">
        <f>SUMIF(TSynServ[Regroupement],TSynRgpr[[#This Row],[Regroupement]],TSynServ[Mars])</f>
        <v>0</v>
      </c>
      <c r="G49" s="53">
        <f>SUMIF(TSynServ[Regroupement],TSynRgpr[[#This Row],[Regroupement]],TSynServ[Avril])</f>
        <v>0</v>
      </c>
      <c r="H49" s="53">
        <f>SUMIF(TSynServ[Regroupement],TSynRgpr[[#This Row],[Regroupement]],TSynServ[Mai])</f>
        <v>0</v>
      </c>
      <c r="I49" s="53">
        <f>SUMIF(TSynServ[Regroupement],TSynRgpr[[#This Row],[Regroupement]],TSynServ[Juin])</f>
        <v>0</v>
      </c>
      <c r="J49" s="53">
        <f>SUMIF(TSynServ[Regroupement],TSynRgpr[[#This Row],[Regroupement]],TSynServ[Juillet])</f>
        <v>0</v>
      </c>
      <c r="K49" s="53">
        <f>SUMIF(TSynServ[Regroupement],TSynRgpr[[#This Row],[Regroupement]],TSynServ[Août])</f>
        <v>0</v>
      </c>
      <c r="L49" s="53">
        <f>SUMIF(TSynServ[Regroupement],TSynRgpr[[#This Row],[Regroupement]],TSynServ[Septembre])</f>
        <v>0</v>
      </c>
      <c r="M49" s="53">
        <f>SUMIF(TSynServ[Regroupement],TSynRgpr[[#This Row],[Regroupement]],TSynServ[Octobre])</f>
        <v>0</v>
      </c>
      <c r="N49" s="53">
        <f>SUMIF(TSynServ[Regroupement],TSynRgpr[[#This Row],[Regroupement]],TSynServ[Novembre])</f>
        <v>0</v>
      </c>
      <c r="O49" s="53">
        <f>SUMIF(TSynServ[Regroupement],TSynRgpr[[#This Row],[Regroupement]],TSynServ[Décembre])</f>
        <v>0</v>
      </c>
    </row>
    <row r="50" spans="1:15" x14ac:dyDescent="0.25">
      <c r="A50" s="45">
        <v>100111</v>
      </c>
      <c r="B50" s="52" t="str">
        <f>IFERROR(VLOOKUP(TSynRgpr[[#This Row],[Regroupement]],Regroupement,2,FALSE),"")</f>
        <v>Retouches suite à défauts</v>
      </c>
      <c r="C50" s="45" t="str">
        <f>+VLOOKUP(TSynRgpr[[#This Row],[Regroupement]],Regroupement,3,FALSE)</f>
        <v>IMPROD</v>
      </c>
      <c r="D50" s="53">
        <f t="array" ref="D50">SUMIF(TSynServ[Regroupement],TSynRgpr[[#This Row],[Regroupement]],TSynServ[Janvier])</f>
        <v>0</v>
      </c>
      <c r="E50" s="53">
        <f>SUMIF(TSynServ[Regroupement],TSynRgpr[[#This Row],[Regroupement]],TSynServ[Février])</f>
        <v>0</v>
      </c>
      <c r="F50" s="53">
        <f>SUMIF(TSynServ[Regroupement],TSynRgpr[[#This Row],[Regroupement]],TSynServ[Mars])</f>
        <v>0</v>
      </c>
      <c r="G50" s="53">
        <f>SUMIF(TSynServ[Regroupement],TSynRgpr[[#This Row],[Regroupement]],TSynServ[Avril])</f>
        <v>0</v>
      </c>
      <c r="H50" s="53">
        <f>SUMIF(TSynServ[Regroupement],TSynRgpr[[#This Row],[Regroupement]],TSynServ[Mai])</f>
        <v>0</v>
      </c>
      <c r="I50" s="53">
        <f>SUMIF(TSynServ[Regroupement],TSynRgpr[[#This Row],[Regroupement]],TSynServ[Juin])</f>
        <v>0</v>
      </c>
      <c r="J50" s="53">
        <f>SUMIF(TSynServ[Regroupement],TSynRgpr[[#This Row],[Regroupement]],TSynServ[Juillet])</f>
        <v>0</v>
      </c>
      <c r="K50" s="53">
        <f>SUMIF(TSynServ[Regroupement],TSynRgpr[[#This Row],[Regroupement]],TSynServ[Août])</f>
        <v>0</v>
      </c>
      <c r="L50" s="53">
        <f>SUMIF(TSynServ[Regroupement],TSynRgpr[[#This Row],[Regroupement]],TSynServ[Septembre])</f>
        <v>0</v>
      </c>
      <c r="M50" s="53">
        <f>SUMIF(TSynServ[Regroupement],TSynRgpr[[#This Row],[Regroupement]],TSynServ[Octobre])</f>
        <v>0</v>
      </c>
      <c r="N50" s="53">
        <f>SUMIF(TSynServ[Regroupement],TSynRgpr[[#This Row],[Regroupement]],TSynServ[Novembre])</f>
        <v>0</v>
      </c>
      <c r="O50" s="53">
        <f>SUMIF(TSynServ[Regroupement],TSynRgpr[[#This Row],[Regroupement]],TSynServ[Décembre])</f>
        <v>0</v>
      </c>
    </row>
    <row r="51" spans="1:15" x14ac:dyDescent="0.25">
      <c r="A51" s="45">
        <v>100112</v>
      </c>
      <c r="B51" s="52" t="str">
        <f>IFERROR(VLOOKUP(TSynRgpr[[#This Row],[Regroupement]],Regroupement,2,FALSE),"")</f>
        <v>Emballage</v>
      </c>
      <c r="C51" s="45" t="str">
        <f>+VLOOKUP(TSynRgpr[[#This Row],[Regroupement]],Regroupement,3,FALSE)</f>
        <v>IMPROD</v>
      </c>
      <c r="D51" s="53">
        <f t="array" ref="D51">SUMIF(TSynServ[Regroupement],TSynRgpr[[#This Row],[Regroupement]],TSynServ[Janvier])</f>
        <v>0</v>
      </c>
      <c r="E51" s="53">
        <f>SUMIF(TSynServ[Regroupement],TSynRgpr[[#This Row],[Regroupement]],TSynServ[Février])</f>
        <v>0</v>
      </c>
      <c r="F51" s="53">
        <f>SUMIF(TSynServ[Regroupement],TSynRgpr[[#This Row],[Regroupement]],TSynServ[Mars])</f>
        <v>0</v>
      </c>
      <c r="G51" s="53">
        <f>SUMIF(TSynServ[Regroupement],TSynRgpr[[#This Row],[Regroupement]],TSynServ[Avril])</f>
        <v>0</v>
      </c>
      <c r="H51" s="53">
        <f>SUMIF(TSynServ[Regroupement],TSynRgpr[[#This Row],[Regroupement]],TSynServ[Mai])</f>
        <v>0</v>
      </c>
      <c r="I51" s="53">
        <f>SUMIF(TSynServ[Regroupement],TSynRgpr[[#This Row],[Regroupement]],TSynServ[Juin])</f>
        <v>0</v>
      </c>
      <c r="J51" s="53">
        <f>SUMIF(TSynServ[Regroupement],TSynRgpr[[#This Row],[Regroupement]],TSynServ[Juillet])</f>
        <v>0</v>
      </c>
      <c r="K51" s="53">
        <f>SUMIF(TSynServ[Regroupement],TSynRgpr[[#This Row],[Regroupement]],TSynServ[Août])</f>
        <v>0</v>
      </c>
      <c r="L51" s="53">
        <f>SUMIF(TSynServ[Regroupement],TSynRgpr[[#This Row],[Regroupement]],TSynServ[Septembre])</f>
        <v>0</v>
      </c>
      <c r="M51" s="53">
        <f>SUMIF(TSynServ[Regroupement],TSynRgpr[[#This Row],[Regroupement]],TSynServ[Octobre])</f>
        <v>0</v>
      </c>
      <c r="N51" s="53">
        <f>SUMIF(TSynServ[Regroupement],TSynRgpr[[#This Row],[Regroupement]],TSynServ[Novembre])</f>
        <v>0</v>
      </c>
      <c r="O51" s="53">
        <f>SUMIF(TSynServ[Regroupement],TSynRgpr[[#This Row],[Regroupement]],TSynServ[Décembre])</f>
        <v>0</v>
      </c>
    </row>
    <row r="52" spans="1:15" x14ac:dyDescent="0.25">
      <c r="A52" s="45">
        <v>100113</v>
      </c>
      <c r="B52" s="52" t="str">
        <f>IFERROR(VLOOKUP(TSynRgpr[[#This Row],[Regroupement]],Regroupement,2,FALSE),"")</f>
        <v>Délégation</v>
      </c>
      <c r="C52" s="45" t="str">
        <f>+VLOOKUP(TSynRgpr[[#This Row],[Regroupement]],Regroupement,3,FALSE)</f>
        <v>IMPROD</v>
      </c>
      <c r="D52" s="53">
        <f t="array" ref="D52">SUMIF(TSynServ[Regroupement],TSynRgpr[[#This Row],[Regroupement]],TSynServ[Janvier])</f>
        <v>0</v>
      </c>
      <c r="E52" s="53">
        <f>SUMIF(TSynServ[Regroupement],TSynRgpr[[#This Row],[Regroupement]],TSynServ[Février])</f>
        <v>0</v>
      </c>
      <c r="F52" s="53">
        <f>SUMIF(TSynServ[Regroupement],TSynRgpr[[#This Row],[Regroupement]],TSynServ[Mars])</f>
        <v>0</v>
      </c>
      <c r="G52" s="53">
        <f>SUMIF(TSynServ[Regroupement],TSynRgpr[[#This Row],[Regroupement]],TSynServ[Avril])</f>
        <v>0</v>
      </c>
      <c r="H52" s="53">
        <f>SUMIF(TSynServ[Regroupement],TSynRgpr[[#This Row],[Regroupement]],TSynServ[Mai])</f>
        <v>0</v>
      </c>
      <c r="I52" s="53">
        <f>SUMIF(TSynServ[Regroupement],TSynRgpr[[#This Row],[Regroupement]],TSynServ[Juin])</f>
        <v>0</v>
      </c>
      <c r="J52" s="53">
        <f>SUMIF(TSynServ[Regroupement],TSynRgpr[[#This Row],[Regroupement]],TSynServ[Juillet])</f>
        <v>0</v>
      </c>
      <c r="K52" s="53">
        <f>SUMIF(TSynServ[Regroupement],TSynRgpr[[#This Row],[Regroupement]],TSynServ[Août])</f>
        <v>0</v>
      </c>
      <c r="L52" s="53">
        <f>SUMIF(TSynServ[Regroupement],TSynRgpr[[#This Row],[Regroupement]],TSynServ[Septembre])</f>
        <v>0</v>
      </c>
      <c r="M52" s="53">
        <f>SUMIF(TSynServ[Regroupement],TSynRgpr[[#This Row],[Regroupement]],TSynServ[Octobre])</f>
        <v>0</v>
      </c>
      <c r="N52" s="53">
        <f>SUMIF(TSynServ[Regroupement],TSynRgpr[[#This Row],[Regroupement]],TSynServ[Novembre])</f>
        <v>0</v>
      </c>
      <c r="O52" s="53">
        <f>SUMIF(TSynServ[Regroupement],TSynRgpr[[#This Row],[Regroupement]],TSynServ[Décembre])</f>
        <v>0</v>
      </c>
    </row>
    <row r="53" spans="1:15" x14ac:dyDescent="0.25">
      <c r="A53" s="45">
        <v>100114</v>
      </c>
      <c r="B53" s="52" t="str">
        <f>IFERROR(VLOOKUP(TSynRgpr[[#This Row],[Regroupement]],Regroupement,2,FALSE),"")</f>
        <v>Nettoyage Atelier Montage</v>
      </c>
      <c r="C53" s="45" t="str">
        <f>+VLOOKUP(TSynRgpr[[#This Row],[Regroupement]],Regroupement,3,FALSE)</f>
        <v>MONTAGE</v>
      </c>
      <c r="D53" s="53">
        <f t="array" ref="D53">SUMIF(TSynServ[Regroupement],TSynRgpr[[#This Row],[Regroupement]],TSynServ[Janvier])</f>
        <v>0</v>
      </c>
      <c r="E53" s="53">
        <f>SUMIF(TSynServ[Regroupement],TSynRgpr[[#This Row],[Regroupement]],TSynServ[Février])</f>
        <v>0</v>
      </c>
      <c r="F53" s="53">
        <f>SUMIF(TSynServ[Regroupement],TSynRgpr[[#This Row],[Regroupement]],TSynServ[Mars])</f>
        <v>0</v>
      </c>
      <c r="G53" s="53">
        <f>SUMIF(TSynServ[Regroupement],TSynRgpr[[#This Row],[Regroupement]],TSynServ[Avril])</f>
        <v>0</v>
      </c>
      <c r="H53" s="53">
        <f>SUMIF(TSynServ[Regroupement],TSynRgpr[[#This Row],[Regroupement]],TSynServ[Mai])</f>
        <v>0</v>
      </c>
      <c r="I53" s="53">
        <f>SUMIF(TSynServ[Regroupement],TSynRgpr[[#This Row],[Regroupement]],TSynServ[Juin])</f>
        <v>0</v>
      </c>
      <c r="J53" s="53">
        <f>SUMIF(TSynServ[Regroupement],TSynRgpr[[#This Row],[Regroupement]],TSynServ[Juillet])</f>
        <v>0</v>
      </c>
      <c r="K53" s="53">
        <f>SUMIF(TSynServ[Regroupement],TSynRgpr[[#This Row],[Regroupement]],TSynServ[Août])</f>
        <v>0</v>
      </c>
      <c r="L53" s="53">
        <f>SUMIF(TSynServ[Regroupement],TSynRgpr[[#This Row],[Regroupement]],TSynServ[Septembre])</f>
        <v>0</v>
      </c>
      <c r="M53" s="53">
        <f>SUMIF(TSynServ[Regroupement],TSynRgpr[[#This Row],[Regroupement]],TSynServ[Octobre])</f>
        <v>0</v>
      </c>
      <c r="N53" s="53">
        <f>SUMIF(TSynServ[Regroupement],TSynRgpr[[#This Row],[Regroupement]],TSynServ[Novembre])</f>
        <v>0</v>
      </c>
      <c r="O53" s="53">
        <f>SUMIF(TSynServ[Regroupement],TSynRgpr[[#This Row],[Regroupement]],TSynServ[Décembre])</f>
        <v>0</v>
      </c>
    </row>
    <row r="54" spans="1:15" x14ac:dyDescent="0.25">
      <c r="A54" s="45">
        <v>100115</v>
      </c>
      <c r="B54" s="52" t="str">
        <f>IFERROR(VLOOKUP(TSynRgpr[[#This Row],[Regroupement]],Regroupement,2,FALSE),"")</f>
        <v>Courses Atelier Montage</v>
      </c>
      <c r="C54" s="45" t="str">
        <f>+VLOOKUP(TSynRgpr[[#This Row],[Regroupement]],Regroupement,3,FALSE)</f>
        <v>MONTAGE</v>
      </c>
      <c r="D54" s="53">
        <f t="array" ref="D54">SUMIF(TSynServ[Regroupement],TSynRgpr[[#This Row],[Regroupement]],TSynServ[Janvier])</f>
        <v>0</v>
      </c>
      <c r="E54" s="53">
        <f>SUMIF(TSynServ[Regroupement],TSynRgpr[[#This Row],[Regroupement]],TSynServ[Février])</f>
        <v>0</v>
      </c>
      <c r="F54" s="53">
        <f>SUMIF(TSynServ[Regroupement],TSynRgpr[[#This Row],[Regroupement]],TSynServ[Mars])</f>
        <v>0</v>
      </c>
      <c r="G54" s="53">
        <f>SUMIF(TSynServ[Regroupement],TSynRgpr[[#This Row],[Regroupement]],TSynServ[Avril])</f>
        <v>0</v>
      </c>
      <c r="H54" s="53">
        <f>SUMIF(TSynServ[Regroupement],TSynRgpr[[#This Row],[Regroupement]],TSynServ[Mai])</f>
        <v>0</v>
      </c>
      <c r="I54" s="53">
        <f>SUMIF(TSynServ[Regroupement],TSynRgpr[[#This Row],[Regroupement]],TSynServ[Juin])</f>
        <v>0</v>
      </c>
      <c r="J54" s="53">
        <f>SUMIF(TSynServ[Regroupement],TSynRgpr[[#This Row],[Regroupement]],TSynServ[Juillet])</f>
        <v>0</v>
      </c>
      <c r="K54" s="53">
        <f>SUMIF(TSynServ[Regroupement],TSynRgpr[[#This Row],[Regroupement]],TSynServ[Août])</f>
        <v>0</v>
      </c>
      <c r="L54" s="53">
        <f>SUMIF(TSynServ[Regroupement],TSynRgpr[[#This Row],[Regroupement]],TSynServ[Septembre])</f>
        <v>0</v>
      </c>
      <c r="M54" s="53">
        <f>SUMIF(TSynServ[Regroupement],TSynRgpr[[#This Row],[Regroupement]],TSynServ[Octobre])</f>
        <v>0</v>
      </c>
      <c r="N54" s="53">
        <f>SUMIF(TSynServ[Regroupement],TSynRgpr[[#This Row],[Regroupement]],TSynServ[Novembre])</f>
        <v>0</v>
      </c>
      <c r="O54" s="53">
        <f>SUMIF(TSynServ[Regroupement],TSynRgpr[[#This Row],[Regroupement]],TSynServ[Décembre])</f>
        <v>0</v>
      </c>
    </row>
    <row r="55" spans="1:15" x14ac:dyDescent="0.25">
      <c r="A55" s="45">
        <v>100116</v>
      </c>
      <c r="B55" s="52" t="str">
        <f>IFERROR(VLOOKUP(TSynRgpr[[#This Row],[Regroupement]],Regroupement,2,FALSE),"")</f>
        <v>Travaux pour Gérard Atelier Montage</v>
      </c>
      <c r="C55" s="45" t="str">
        <f>+VLOOKUP(TSynRgpr[[#This Row],[Regroupement]],Regroupement,3,FALSE)</f>
        <v>MONTAGE</v>
      </c>
      <c r="D55" s="53">
        <f t="array" ref="D55">SUMIF(TSynServ[Regroupement],TSynRgpr[[#This Row],[Regroupement]],TSynServ[Janvier])</f>
        <v>0</v>
      </c>
      <c r="E55" s="53">
        <f>SUMIF(TSynServ[Regroupement],TSynRgpr[[#This Row],[Regroupement]],TSynServ[Février])</f>
        <v>0</v>
      </c>
      <c r="F55" s="53">
        <f>SUMIF(TSynServ[Regroupement],TSynRgpr[[#This Row],[Regroupement]],TSynServ[Mars])</f>
        <v>0</v>
      </c>
      <c r="G55" s="53">
        <f>SUMIF(TSynServ[Regroupement],TSynRgpr[[#This Row],[Regroupement]],TSynServ[Avril])</f>
        <v>0</v>
      </c>
      <c r="H55" s="53">
        <f>SUMIF(TSynServ[Regroupement],TSynRgpr[[#This Row],[Regroupement]],TSynServ[Mai])</f>
        <v>0</v>
      </c>
      <c r="I55" s="53">
        <f>SUMIF(TSynServ[Regroupement],TSynRgpr[[#This Row],[Regroupement]],TSynServ[Juin])</f>
        <v>0</v>
      </c>
      <c r="J55" s="53">
        <f>SUMIF(TSynServ[Regroupement],TSynRgpr[[#This Row],[Regroupement]],TSynServ[Juillet])</f>
        <v>0</v>
      </c>
      <c r="K55" s="53">
        <f>SUMIF(TSynServ[Regroupement],TSynRgpr[[#This Row],[Regroupement]],TSynServ[Août])</f>
        <v>0</v>
      </c>
      <c r="L55" s="53">
        <f>SUMIF(TSynServ[Regroupement],TSynRgpr[[#This Row],[Regroupement]],TSynServ[Septembre])</f>
        <v>0</v>
      </c>
      <c r="M55" s="53">
        <f>SUMIF(TSynServ[Regroupement],TSynRgpr[[#This Row],[Regroupement]],TSynServ[Octobre])</f>
        <v>0</v>
      </c>
      <c r="N55" s="53">
        <f>SUMIF(TSynServ[Regroupement],TSynRgpr[[#This Row],[Regroupement]],TSynServ[Novembre])</f>
        <v>0</v>
      </c>
      <c r="O55" s="53">
        <f>SUMIF(TSynServ[Regroupement],TSynRgpr[[#This Row],[Regroupement]],TSynServ[Décembre])</f>
        <v>0</v>
      </c>
    </row>
    <row r="56" spans="1:15" x14ac:dyDescent="0.25">
      <c r="A56" s="45">
        <v>100117</v>
      </c>
      <c r="B56" s="52" t="str">
        <f>IFERROR(VLOOKUP(TSynRgpr[[#This Row],[Regroupement]],Regroupement,2,FALSE),"")</f>
        <v>Contrôle Atelier Montage</v>
      </c>
      <c r="C56" s="45" t="str">
        <f>+VLOOKUP(TSynRgpr[[#This Row],[Regroupement]],Regroupement,3,FALSE)</f>
        <v>MONTAGE</v>
      </c>
      <c r="D56" s="53">
        <f t="array" ref="D56">SUMIF(TSynServ[Regroupement],TSynRgpr[[#This Row],[Regroupement]],TSynServ[Janvier])</f>
        <v>0</v>
      </c>
      <c r="E56" s="53">
        <f>SUMIF(TSynServ[Regroupement],TSynRgpr[[#This Row],[Regroupement]],TSynServ[Février])</f>
        <v>0</v>
      </c>
      <c r="F56" s="53">
        <f>SUMIF(TSynServ[Regroupement],TSynRgpr[[#This Row],[Regroupement]],TSynServ[Mars])</f>
        <v>0</v>
      </c>
      <c r="G56" s="53">
        <f>SUMIF(TSynServ[Regroupement],TSynRgpr[[#This Row],[Regroupement]],TSynServ[Avril])</f>
        <v>0</v>
      </c>
      <c r="H56" s="53">
        <f>SUMIF(TSynServ[Regroupement],TSynRgpr[[#This Row],[Regroupement]],TSynServ[Mai])</f>
        <v>0</v>
      </c>
      <c r="I56" s="53">
        <f>SUMIF(TSynServ[Regroupement],TSynRgpr[[#This Row],[Regroupement]],TSynServ[Juin])</f>
        <v>0</v>
      </c>
      <c r="J56" s="53">
        <f>SUMIF(TSynServ[Regroupement],TSynRgpr[[#This Row],[Regroupement]],TSynServ[Juillet])</f>
        <v>0</v>
      </c>
      <c r="K56" s="53">
        <f>SUMIF(TSynServ[Regroupement],TSynRgpr[[#This Row],[Regroupement]],TSynServ[Août])</f>
        <v>0</v>
      </c>
      <c r="L56" s="53">
        <f>SUMIF(TSynServ[Regroupement],TSynRgpr[[#This Row],[Regroupement]],TSynServ[Septembre])</f>
        <v>0</v>
      </c>
      <c r="M56" s="53">
        <f>SUMIF(TSynServ[Regroupement],TSynRgpr[[#This Row],[Regroupement]],TSynServ[Octobre])</f>
        <v>0</v>
      </c>
      <c r="N56" s="53">
        <f>SUMIF(TSynServ[Regroupement],TSynRgpr[[#This Row],[Regroupement]],TSynServ[Novembre])</f>
        <v>0</v>
      </c>
      <c r="O56" s="53">
        <f>SUMIF(TSynServ[Regroupement],TSynRgpr[[#This Row],[Regroupement]],TSynServ[Décembre])</f>
        <v>0</v>
      </c>
    </row>
    <row r="57" spans="1:15" x14ac:dyDescent="0.25">
      <c r="A57" s="45">
        <v>100118</v>
      </c>
      <c r="B57" s="52" t="str">
        <f>IFERROR(VLOOKUP(TSynRgpr[[#This Row],[Regroupement]],Regroupement,2,FALSE),"")</f>
        <v>Réception kits Atelier Montage</v>
      </c>
      <c r="C57" s="45" t="str">
        <f>+VLOOKUP(TSynRgpr[[#This Row],[Regroupement]],Regroupement,3,FALSE)</f>
        <v>MONTAGE</v>
      </c>
      <c r="D57" s="53">
        <f t="array" ref="D57">SUMIF(TSynServ[Regroupement],TSynRgpr[[#This Row],[Regroupement]],TSynServ[Janvier])</f>
        <v>0</v>
      </c>
      <c r="E57" s="53">
        <f>SUMIF(TSynServ[Regroupement],TSynRgpr[[#This Row],[Regroupement]],TSynServ[Février])</f>
        <v>0</v>
      </c>
      <c r="F57" s="53">
        <f>SUMIF(TSynServ[Regroupement],TSynRgpr[[#This Row],[Regroupement]],TSynServ[Mars])</f>
        <v>0</v>
      </c>
      <c r="G57" s="53">
        <f>SUMIF(TSynServ[Regroupement],TSynRgpr[[#This Row],[Regroupement]],TSynServ[Avril])</f>
        <v>0</v>
      </c>
      <c r="H57" s="53">
        <f>SUMIF(TSynServ[Regroupement],TSynRgpr[[#This Row],[Regroupement]],TSynServ[Mai])</f>
        <v>0</v>
      </c>
      <c r="I57" s="53">
        <f>SUMIF(TSynServ[Regroupement],TSynRgpr[[#This Row],[Regroupement]],TSynServ[Juin])</f>
        <v>0</v>
      </c>
      <c r="J57" s="53">
        <f>SUMIF(TSynServ[Regroupement],TSynRgpr[[#This Row],[Regroupement]],TSynServ[Juillet])</f>
        <v>0</v>
      </c>
      <c r="K57" s="53">
        <f>SUMIF(TSynServ[Regroupement],TSynRgpr[[#This Row],[Regroupement]],TSynServ[Août])</f>
        <v>0</v>
      </c>
      <c r="L57" s="53">
        <f>SUMIF(TSynServ[Regroupement],TSynRgpr[[#This Row],[Regroupement]],TSynServ[Septembre])</f>
        <v>0</v>
      </c>
      <c r="M57" s="53">
        <f>SUMIF(TSynServ[Regroupement],TSynRgpr[[#This Row],[Regroupement]],TSynServ[Octobre])</f>
        <v>0</v>
      </c>
      <c r="N57" s="53">
        <f>SUMIF(TSynServ[Regroupement],TSynRgpr[[#This Row],[Regroupement]],TSynServ[Novembre])</f>
        <v>0</v>
      </c>
      <c r="O57" s="53">
        <f>SUMIF(TSynServ[Regroupement],TSynRgpr[[#This Row],[Regroupement]],TSynServ[Décembre])</f>
        <v>0</v>
      </c>
    </row>
    <row r="58" spans="1:15" x14ac:dyDescent="0.25">
      <c r="A58" s="45">
        <v>100120</v>
      </c>
      <c r="B58" s="52" t="str">
        <f>IFERROR(VLOOKUP(TSynRgpr[[#This Row],[Regroupement]],Regroupement,2,FALSE),"")</f>
        <v>Encadrement Atelier Montage</v>
      </c>
      <c r="C58" s="45" t="str">
        <f>+VLOOKUP(TSynRgpr[[#This Row],[Regroupement]],Regroupement,3,FALSE)</f>
        <v>MONTAGE</v>
      </c>
      <c r="D58" s="53">
        <f t="array" ref="D58">SUMIF(TSynServ[Regroupement],TSynRgpr[[#This Row],[Regroupement]],TSynServ[Janvier])</f>
        <v>0</v>
      </c>
      <c r="E58" s="53">
        <f>SUMIF(TSynServ[Regroupement],TSynRgpr[[#This Row],[Regroupement]],TSynServ[Février])</f>
        <v>0</v>
      </c>
      <c r="F58" s="53">
        <f>SUMIF(TSynServ[Regroupement],TSynRgpr[[#This Row],[Regroupement]],TSynServ[Mars])</f>
        <v>0</v>
      </c>
      <c r="G58" s="53">
        <f>SUMIF(TSynServ[Regroupement],TSynRgpr[[#This Row],[Regroupement]],TSynServ[Avril])</f>
        <v>0</v>
      </c>
      <c r="H58" s="53">
        <f>SUMIF(TSynServ[Regroupement],TSynRgpr[[#This Row],[Regroupement]],TSynServ[Mai])</f>
        <v>0</v>
      </c>
      <c r="I58" s="53">
        <f>SUMIF(TSynServ[Regroupement],TSynRgpr[[#This Row],[Regroupement]],TSynServ[Juin])</f>
        <v>0</v>
      </c>
      <c r="J58" s="53">
        <f>SUMIF(TSynServ[Regroupement],TSynRgpr[[#This Row],[Regroupement]],TSynServ[Juillet])</f>
        <v>0</v>
      </c>
      <c r="K58" s="53">
        <f>SUMIF(TSynServ[Regroupement],TSynRgpr[[#This Row],[Regroupement]],TSynServ[Août])</f>
        <v>0</v>
      </c>
      <c r="L58" s="53">
        <f>SUMIF(TSynServ[Regroupement],TSynRgpr[[#This Row],[Regroupement]],TSynServ[Septembre])</f>
        <v>0</v>
      </c>
      <c r="M58" s="53">
        <f>SUMIF(TSynServ[Regroupement],TSynRgpr[[#This Row],[Regroupement]],TSynServ[Octobre])</f>
        <v>0</v>
      </c>
      <c r="N58" s="53">
        <f>SUMIF(TSynServ[Regroupement],TSynRgpr[[#This Row],[Regroupement]],TSynServ[Novembre])</f>
        <v>0</v>
      </c>
      <c r="O58" s="53">
        <f>SUMIF(TSynServ[Regroupement],TSynRgpr[[#This Row],[Regroupement]],TSynServ[Décembre])</f>
        <v>0</v>
      </c>
    </row>
    <row r="60" spans="1:15" ht="23.25" x14ac:dyDescent="0.35">
      <c r="C60" s="54" t="s">
        <v>65</v>
      </c>
      <c r="D60" s="54"/>
    </row>
    <row r="61" spans="1:15" x14ac:dyDescent="0.25">
      <c r="C61" s="45" t="s">
        <v>69</v>
      </c>
      <c r="D61" s="45" t="s">
        <v>16</v>
      </c>
      <c r="E61" s="51" t="s">
        <v>17</v>
      </c>
      <c r="F61" s="51" t="s">
        <v>18</v>
      </c>
      <c r="G61" s="51" t="s">
        <v>19</v>
      </c>
      <c r="H61" s="51" t="s">
        <v>20</v>
      </c>
      <c r="I61" s="51" t="s">
        <v>21</v>
      </c>
      <c r="J61" s="51" t="s">
        <v>22</v>
      </c>
      <c r="K61" s="51" t="s">
        <v>23</v>
      </c>
      <c r="L61" s="51" t="s">
        <v>24</v>
      </c>
      <c r="M61" s="51" t="s">
        <v>25</v>
      </c>
      <c r="N61" s="51" t="s">
        <v>26</v>
      </c>
      <c r="O61" s="51" t="s">
        <v>27</v>
      </c>
    </row>
    <row r="62" spans="1:15" x14ac:dyDescent="0.25">
      <c r="C62" s="45" t="s">
        <v>71</v>
      </c>
      <c r="D62" s="55">
        <f t="array" ref="D62">SUMIF(TSynRgpr[Etat],TSynEtat[[#This Row],[ETAT]],TSynRgpr[Janvier])</f>
        <v>0</v>
      </c>
      <c r="E62" s="55">
        <f>SUMIF(TSynRgpr[Etat],TSynEtat[[#This Row],[ETAT]],TSynRgpr[Février])</f>
        <v>0</v>
      </c>
      <c r="F62" s="55">
        <f>SUMIF(TSynRgpr[Etat],TSynEtat[[#This Row],[ETAT]],TSynRgpr[Mars])</f>
        <v>0</v>
      </c>
      <c r="G62" s="55">
        <f>SUMIF(TSynRgpr[Etat],TSynEtat[[#This Row],[ETAT]],TSynRgpr[Avril])</f>
        <v>0</v>
      </c>
      <c r="H62" s="55">
        <f>SUMIF(TSynRgpr[Etat],TSynEtat[[#This Row],[ETAT]],TSynRgpr[Mai])</f>
        <v>0</v>
      </c>
      <c r="I62" s="55">
        <f>SUMIF(TSynRgpr[Etat],TSynEtat[[#This Row],[ETAT]],TSynRgpr[Juin])</f>
        <v>0</v>
      </c>
      <c r="J62" s="55">
        <f>SUMIF(TSynRgpr[Etat],TSynEtat[[#This Row],[ETAT]],TSynRgpr[Juillet])</f>
        <v>0</v>
      </c>
      <c r="K62" s="55">
        <f>SUMIF(TSynRgpr[Etat],TSynEtat[[#This Row],[ETAT]],TSynRgpr[Août])</f>
        <v>0</v>
      </c>
      <c r="L62" s="55">
        <f>SUMIF(TSynRgpr[Etat],TSynEtat[[#This Row],[ETAT]],TSynRgpr[Septembre])</f>
        <v>0</v>
      </c>
      <c r="M62" s="55">
        <f>SUMIF(TSynRgpr[Etat],TSynEtat[[#This Row],[ETAT]],TSynRgpr[Octobre])</f>
        <v>0</v>
      </c>
      <c r="N62" s="55">
        <f>SUMIF(TSynRgpr[Etat],TSynEtat[[#This Row],[ETAT]],TSynRgpr[Novembre])</f>
        <v>0</v>
      </c>
      <c r="O62" s="55">
        <f>SUMIF(TSynRgpr[Etat],TSynEtat[[#This Row],[ETAT]],TSynRgpr[Décembre])</f>
        <v>0</v>
      </c>
    </row>
    <row r="63" spans="1:15" x14ac:dyDescent="0.25">
      <c r="C63" s="45" t="s">
        <v>72</v>
      </c>
      <c r="D63" s="55">
        <f t="array" ref="D63">SUMIF(TSynRgpr[Etat],TSynEtat[[#This Row],[ETAT]],TSynRgpr[Janvier])</f>
        <v>0</v>
      </c>
      <c r="E63" s="55">
        <f>SUMIF(TSynRgpr[Etat],TSynEtat[[#This Row],[ETAT]],TSynRgpr[Février])</f>
        <v>0</v>
      </c>
      <c r="F63" s="55">
        <f>SUMIF(TSynRgpr[Etat],TSynEtat[[#This Row],[ETAT]],TSynRgpr[Mars])</f>
        <v>0</v>
      </c>
      <c r="G63" s="55">
        <f>SUMIF(TSynRgpr[Etat],TSynEtat[[#This Row],[ETAT]],TSynRgpr[Avril])</f>
        <v>1457.75</v>
      </c>
      <c r="H63" s="55">
        <f>SUMIF(TSynRgpr[Etat],TSynEtat[[#This Row],[ETAT]],TSynRgpr[Mai])</f>
        <v>0</v>
      </c>
      <c r="I63" s="55">
        <f>SUMIF(TSynRgpr[Etat],TSynEtat[[#This Row],[ETAT]],TSynRgpr[Juin])</f>
        <v>0</v>
      </c>
      <c r="J63" s="55">
        <f>SUMIF(TSynRgpr[Etat],TSynEtat[[#This Row],[ETAT]],TSynRgpr[Juillet])</f>
        <v>0</v>
      </c>
      <c r="K63" s="55">
        <f>SUMIF(TSynRgpr[Etat],TSynEtat[[#This Row],[ETAT]],TSynRgpr[Août])</f>
        <v>0</v>
      </c>
      <c r="L63" s="55">
        <f>SUMIF(TSynRgpr[Etat],TSynEtat[[#This Row],[ETAT]],TSynRgpr[Septembre])</f>
        <v>0</v>
      </c>
      <c r="M63" s="55">
        <f>SUMIF(TSynRgpr[Etat],TSynEtat[[#This Row],[ETAT]],TSynRgpr[Octobre])</f>
        <v>0</v>
      </c>
      <c r="N63" s="55">
        <f>SUMIF(TSynRgpr[Etat],TSynEtat[[#This Row],[ETAT]],TSynRgpr[Novembre])</f>
        <v>0</v>
      </c>
      <c r="O63" s="55">
        <f>SUMIF(TSynRgpr[Etat],TSynEtat[[#This Row],[ETAT]],TSynRgpr[Décembre])</f>
        <v>0</v>
      </c>
    </row>
    <row r="65" spans="2:15" ht="15.75" x14ac:dyDescent="0.3">
      <c r="B65" s="84" t="s">
        <v>74</v>
      </c>
      <c r="C65" s="85"/>
      <c r="D65" s="56">
        <f>'Relevé annuel'!B4-SUM(TSynEtat[Janvier])</f>
        <v>0</v>
      </c>
      <c r="E65" s="57">
        <f>'Relevé annuel'!C4-SUM(TSynEtat[Février])</f>
        <v>0</v>
      </c>
      <c r="F65" s="57">
        <f>'Relevé annuel'!D4-SUM(TSynEtat[Mars])</f>
        <v>0</v>
      </c>
      <c r="G65" s="57">
        <f>'Relevé annuel'!E4-SUM(TSynEtat[Avril])</f>
        <v>4753.95</v>
      </c>
      <c r="H65" s="57">
        <f>'Relevé annuel'!F4-SUM(TSynEtat[Mai])</f>
        <v>0</v>
      </c>
      <c r="I65" s="57">
        <f>'Relevé annuel'!G4-SUM(TSynEtat[Juin])</f>
        <v>0</v>
      </c>
      <c r="J65" s="57">
        <f>'Relevé annuel'!H4-SUM(TSynEtat[Juillet])</f>
        <v>0</v>
      </c>
      <c r="K65" s="57">
        <f>'Relevé annuel'!I4-SUM(TSynEtat[Août])</f>
        <v>0</v>
      </c>
      <c r="L65" s="57">
        <f>'Relevé annuel'!J4-SUM(TSynEtat[Septembre])</f>
        <v>0</v>
      </c>
      <c r="M65" s="57">
        <f>'Relevé annuel'!K4-SUM(TSynEtat[Octobre])</f>
        <v>0</v>
      </c>
      <c r="N65" s="57">
        <f>'Relevé annuel'!L4-SUM(TSynEtat[Novembre])</f>
        <v>0</v>
      </c>
      <c r="O65" s="58">
        <f>'Relevé annuel'!M4-SUM(TSynEtat[Décembre])</f>
        <v>0</v>
      </c>
    </row>
    <row r="66" spans="2:15" x14ac:dyDescent="0.25">
      <c r="B66" s="59"/>
      <c r="C66" s="59"/>
      <c r="D66" s="59"/>
    </row>
    <row r="67" spans="2:15" x14ac:dyDescent="0.25">
      <c r="B67" s="86" t="s">
        <v>75</v>
      </c>
      <c r="C67" s="87"/>
      <c r="D67" s="36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5"/>
    </row>
    <row r="68" spans="2:15" ht="16.5" thickBot="1" x14ac:dyDescent="0.35">
      <c r="B68" s="60"/>
      <c r="C68" s="59"/>
      <c r="D68" s="61"/>
    </row>
    <row r="69" spans="2:15" ht="15.75" thickTop="1" x14ac:dyDescent="0.25">
      <c r="B69" s="88" t="s">
        <v>76</v>
      </c>
      <c r="C69" s="89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</row>
    <row r="70" spans="2:15" x14ac:dyDescent="0.25">
      <c r="B70" s="90" t="s">
        <v>77</v>
      </c>
      <c r="C70" s="91"/>
      <c r="D70" s="62">
        <f>IFERROR(D69/D65,0)</f>
        <v>0</v>
      </c>
      <c r="E70" s="62">
        <f t="shared" ref="E70:O70" si="0">IFERROR(E69/E65,0)</f>
        <v>0</v>
      </c>
      <c r="F70" s="62">
        <f t="shared" si="0"/>
        <v>0</v>
      </c>
      <c r="G70" s="62">
        <f t="shared" si="0"/>
        <v>0</v>
      </c>
      <c r="H70" s="62">
        <f t="shared" si="0"/>
        <v>0</v>
      </c>
      <c r="I70" s="62">
        <f t="shared" si="0"/>
        <v>0</v>
      </c>
      <c r="J70" s="62">
        <f t="shared" si="0"/>
        <v>0</v>
      </c>
      <c r="K70" s="62">
        <f t="shared" si="0"/>
        <v>0</v>
      </c>
      <c r="L70" s="62">
        <f t="shared" si="0"/>
        <v>0</v>
      </c>
      <c r="M70" s="62">
        <f t="shared" si="0"/>
        <v>0</v>
      </c>
      <c r="N70" s="62">
        <f t="shared" si="0"/>
        <v>0</v>
      </c>
      <c r="O70" s="62">
        <f t="shared" si="0"/>
        <v>0</v>
      </c>
    </row>
    <row r="71" spans="2:15" ht="15.75" thickBot="1" x14ac:dyDescent="0.3">
      <c r="B71" s="92" t="s">
        <v>78</v>
      </c>
      <c r="C71" s="93"/>
      <c r="D71" s="63">
        <f>IFERROR(D69/'Relevé annuel'!B4,0)</f>
        <v>0</v>
      </c>
      <c r="E71" s="63">
        <f>IFERROR(E69/'Relevé annuel'!C4,0)</f>
        <v>0</v>
      </c>
      <c r="F71" s="63">
        <f>IFERROR(F69/'Relevé annuel'!D4,0)</f>
        <v>0</v>
      </c>
      <c r="G71" s="63">
        <f>IFERROR(G69/'Relevé annuel'!E4,0)</f>
        <v>0</v>
      </c>
      <c r="H71" s="63">
        <f>IFERROR(H69/'Relevé annuel'!F4,0)</f>
        <v>0</v>
      </c>
      <c r="I71" s="63">
        <f>IFERROR(I69/'Relevé annuel'!G4,0)</f>
        <v>0</v>
      </c>
      <c r="J71" s="63">
        <f>IFERROR(J69/'Relevé annuel'!H4,0)</f>
        <v>0</v>
      </c>
      <c r="K71" s="63">
        <f>IFERROR(K69/'Relevé annuel'!I4,0)</f>
        <v>0</v>
      </c>
      <c r="L71" s="63">
        <f>IFERROR(L69/'Relevé annuel'!J4,0)</f>
        <v>0</v>
      </c>
      <c r="M71" s="63">
        <f>IFERROR(M69/'Relevé annuel'!K4,0)</f>
        <v>0</v>
      </c>
      <c r="N71" s="63">
        <f>IFERROR(N69/'Relevé annuel'!L4,0)</f>
        <v>0</v>
      </c>
      <c r="O71" s="63">
        <f>IFERROR(O69/'Relevé annuel'!M4,0)</f>
        <v>0</v>
      </c>
    </row>
    <row r="72" spans="2:15" ht="15.75" thickTop="1" x14ac:dyDescent="0.25"/>
  </sheetData>
  <mergeCells count="10">
    <mergeCell ref="B65:C65"/>
    <mergeCell ref="B67:C67"/>
    <mergeCell ref="B69:C69"/>
    <mergeCell ref="B70:C70"/>
    <mergeCell ref="B71:C71"/>
    <mergeCell ref="A1:C1"/>
    <mergeCell ref="A2:C2"/>
    <mergeCell ref="E1:F1"/>
    <mergeCell ref="G1:H1"/>
    <mergeCell ref="A5:C5"/>
  </mergeCells>
  <phoneticPr fontId="5" type="noConversion"/>
  <pageMargins left="0.7" right="0.7" top="0.75" bottom="0.75" header="0.3" footer="0.3"/>
  <ignoredErrors>
    <ignoredError sqref="F7:O14" calculatedColumn="1"/>
  </ignoredErrors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58CFE-01F0-4CAF-8210-DE8672622FE3}">
  <sheetPr codeName="WsX"/>
  <dimension ref="B1:R37"/>
  <sheetViews>
    <sheetView workbookViewId="0">
      <selection activeCell="G3" sqref="G3"/>
    </sheetView>
  </sheetViews>
  <sheetFormatPr baseColWidth="10" defaultColWidth="12.5703125" defaultRowHeight="15.75" x14ac:dyDescent="0.25"/>
  <cols>
    <col min="1" max="1" width="2.42578125" style="1" customWidth="1"/>
    <col min="2" max="2" width="32.85546875" style="2" customWidth="1"/>
    <col min="3" max="3" width="26.42578125" style="1" customWidth="1"/>
    <col min="4" max="4" width="3.28515625" style="1" customWidth="1"/>
    <col min="5" max="5" width="12.5703125" style="1"/>
    <col min="6" max="6" width="12.85546875" style="1" hidden="1" customWidth="1"/>
    <col min="7" max="10" width="12.5703125" style="1"/>
    <col min="11" max="11" width="14" style="1" bestFit="1" customWidth="1"/>
    <col min="12" max="12" width="34.42578125" style="1" bestFit="1" customWidth="1"/>
    <col min="13" max="13" width="14" style="1" bestFit="1" customWidth="1"/>
    <col min="14" max="14" width="34.42578125" style="1" bestFit="1" customWidth="1"/>
    <col min="15" max="15" width="12.28515625" style="1" bestFit="1" customWidth="1"/>
    <col min="16" max="16" width="20.140625" style="1" customWidth="1"/>
    <col min="17" max="17" width="12.5703125" style="1"/>
    <col min="18" max="18" width="18.42578125" style="1" bestFit="1" customWidth="1"/>
    <col min="19" max="16384" width="12.5703125" style="1"/>
  </cols>
  <sheetData>
    <row r="1" spans="2:18" x14ac:dyDescent="0.25">
      <c r="B1" s="94">
        <f>Base!A2</f>
        <v>2021</v>
      </c>
      <c r="C1" s="94"/>
      <c r="D1" s="94"/>
      <c r="F1" s="17">
        <v>2000</v>
      </c>
      <c r="G1" s="95" t="s">
        <v>35</v>
      </c>
      <c r="H1" s="96"/>
      <c r="I1" s="1" t="s">
        <v>139</v>
      </c>
      <c r="K1" s="18" t="s">
        <v>79</v>
      </c>
      <c r="L1" s="18" t="s">
        <v>80</v>
      </c>
      <c r="M1" s="97" t="s">
        <v>67</v>
      </c>
      <c r="N1" s="97"/>
      <c r="O1" s="18" t="s">
        <v>68</v>
      </c>
      <c r="Q1" s="5" t="s">
        <v>50</v>
      </c>
      <c r="R1" s="5" t="s">
        <v>51</v>
      </c>
    </row>
    <row r="2" spans="2:18" x14ac:dyDescent="0.25">
      <c r="F2" s="17">
        <v>2001</v>
      </c>
      <c r="G2" s="4">
        <v>1</v>
      </c>
      <c r="H2" s="3" t="s">
        <v>16</v>
      </c>
      <c r="I2" s="1" t="s">
        <v>128</v>
      </c>
      <c r="K2" s="5" t="s">
        <v>36</v>
      </c>
      <c r="L2" s="19" t="s">
        <v>81</v>
      </c>
      <c r="M2" s="20"/>
      <c r="N2" s="21"/>
      <c r="O2" s="5" t="s">
        <v>82</v>
      </c>
      <c r="Q2" s="5" t="s">
        <v>41</v>
      </c>
      <c r="R2" s="6" t="s">
        <v>45</v>
      </c>
    </row>
    <row r="3" spans="2:18" x14ac:dyDescent="0.25">
      <c r="B3" s="22">
        <f>DATE(B1,1,1)</f>
        <v>44197</v>
      </c>
      <c r="C3" s="22" t="s">
        <v>0</v>
      </c>
      <c r="D3" s="22" t="s">
        <v>1</v>
      </c>
      <c r="F3" s="17">
        <v>2003</v>
      </c>
      <c r="G3" s="4">
        <v>2</v>
      </c>
      <c r="H3" s="3" t="s">
        <v>17</v>
      </c>
      <c r="I3" s="1" t="s">
        <v>129</v>
      </c>
      <c r="K3" s="5" t="s">
        <v>32</v>
      </c>
      <c r="L3" s="19" t="s">
        <v>83</v>
      </c>
      <c r="M3" s="5" t="s">
        <v>32</v>
      </c>
      <c r="N3" s="19" t="s">
        <v>83</v>
      </c>
      <c r="O3" s="5" t="s">
        <v>72</v>
      </c>
      <c r="Q3" s="5" t="s">
        <v>43</v>
      </c>
      <c r="R3" s="6" t="s">
        <v>47</v>
      </c>
    </row>
    <row r="4" spans="2:18" x14ac:dyDescent="0.25">
      <c r="B4" s="22">
        <f>FLOOR(DATE(B1,5,DAY(MINUTE(B1/38)/2+56)),7)-34+7*(B1=2079)</f>
        <v>44290</v>
      </c>
      <c r="C4" s="22" t="s">
        <v>2</v>
      </c>
      <c r="D4" s="22" t="s">
        <v>3</v>
      </c>
      <c r="F4" s="17">
        <v>2004</v>
      </c>
      <c r="G4" s="4">
        <v>3</v>
      </c>
      <c r="H4" s="3" t="s">
        <v>18</v>
      </c>
      <c r="I4" s="1" t="s">
        <v>130</v>
      </c>
      <c r="K4" s="5" t="s">
        <v>33</v>
      </c>
      <c r="L4" s="19" t="s">
        <v>84</v>
      </c>
      <c r="M4" s="20"/>
      <c r="N4" s="21"/>
      <c r="O4" s="5" t="s">
        <v>82</v>
      </c>
      <c r="Q4" s="5" t="s">
        <v>42</v>
      </c>
      <c r="R4" s="6" t="s">
        <v>46</v>
      </c>
    </row>
    <row r="5" spans="2:18" x14ac:dyDescent="0.25">
      <c r="B5" s="22">
        <f>B4+1</f>
        <v>44291</v>
      </c>
      <c r="C5" s="22" t="s">
        <v>4</v>
      </c>
      <c r="D5" s="22" t="s">
        <v>1</v>
      </c>
      <c r="F5" s="17">
        <v>2005</v>
      </c>
      <c r="G5" s="4">
        <v>4</v>
      </c>
      <c r="H5" s="3" t="s">
        <v>19</v>
      </c>
      <c r="I5" s="1" t="s">
        <v>133</v>
      </c>
      <c r="K5" s="5" t="s">
        <v>54</v>
      </c>
      <c r="L5" s="19" t="s">
        <v>85</v>
      </c>
      <c r="M5" s="5" t="s">
        <v>54</v>
      </c>
      <c r="N5" s="19" t="s">
        <v>85</v>
      </c>
      <c r="O5" s="5" t="s">
        <v>72</v>
      </c>
      <c r="Q5" s="5" t="s">
        <v>48</v>
      </c>
      <c r="R5" s="6" t="s">
        <v>52</v>
      </c>
    </row>
    <row r="6" spans="2:18" x14ac:dyDescent="0.25">
      <c r="B6" s="22">
        <f>DATE(B1,5,1)</f>
        <v>44317</v>
      </c>
      <c r="C6" s="22" t="s">
        <v>5</v>
      </c>
      <c r="D6" s="22" t="s">
        <v>1</v>
      </c>
      <c r="F6" s="17">
        <v>2006</v>
      </c>
      <c r="G6" s="4">
        <v>5</v>
      </c>
      <c r="H6" s="3" t="s">
        <v>20</v>
      </c>
      <c r="I6" s="1" t="s">
        <v>1</v>
      </c>
      <c r="K6" s="5" t="s">
        <v>37</v>
      </c>
      <c r="L6" s="19" t="s">
        <v>86</v>
      </c>
      <c r="M6" s="5" t="s">
        <v>70</v>
      </c>
      <c r="N6" s="19" t="s">
        <v>87</v>
      </c>
      <c r="O6" s="5" t="s">
        <v>72</v>
      </c>
      <c r="Q6" s="5" t="s">
        <v>44</v>
      </c>
      <c r="R6" s="6" t="s">
        <v>49</v>
      </c>
    </row>
    <row r="7" spans="2:18" x14ac:dyDescent="0.25">
      <c r="B7" s="22">
        <f>DATE(B1,5,8)</f>
        <v>44324</v>
      </c>
      <c r="C7" s="22" t="s">
        <v>6</v>
      </c>
      <c r="D7" s="22" t="s">
        <v>1</v>
      </c>
      <c r="F7" s="17">
        <v>2007</v>
      </c>
      <c r="G7" s="4">
        <v>6</v>
      </c>
      <c r="H7" s="3" t="s">
        <v>21</v>
      </c>
      <c r="I7" s="1" t="s">
        <v>134</v>
      </c>
      <c r="K7" s="5" t="s">
        <v>39</v>
      </c>
      <c r="L7" s="19" t="s">
        <v>88</v>
      </c>
      <c r="M7" s="5" t="s">
        <v>70</v>
      </c>
      <c r="N7" s="19" t="s">
        <v>87</v>
      </c>
      <c r="O7" s="5" t="s">
        <v>72</v>
      </c>
    </row>
    <row r="8" spans="2:18" x14ac:dyDescent="0.25">
      <c r="B8" s="22">
        <f>B4+39</f>
        <v>44329</v>
      </c>
      <c r="C8" s="22" t="s">
        <v>7</v>
      </c>
      <c r="D8" s="22" t="s">
        <v>1</v>
      </c>
      <c r="F8" s="17">
        <v>2008</v>
      </c>
      <c r="G8" s="4">
        <v>7</v>
      </c>
      <c r="H8" s="3" t="s">
        <v>22</v>
      </c>
      <c r="I8" s="1" t="s">
        <v>135</v>
      </c>
      <c r="K8" s="5" t="s">
        <v>40</v>
      </c>
      <c r="L8" s="19" t="s">
        <v>89</v>
      </c>
      <c r="M8" s="20"/>
      <c r="N8" s="21"/>
      <c r="O8" s="5" t="s">
        <v>82</v>
      </c>
    </row>
    <row r="9" spans="2:18" x14ac:dyDescent="0.25">
      <c r="B9" s="22">
        <f>B4+49</f>
        <v>44339</v>
      </c>
      <c r="C9" s="22" t="s">
        <v>8</v>
      </c>
      <c r="D9" s="22" t="s">
        <v>3</v>
      </c>
      <c r="F9" s="17">
        <v>2009</v>
      </c>
      <c r="G9" s="4">
        <v>8</v>
      </c>
      <c r="H9" s="3" t="s">
        <v>23</v>
      </c>
      <c r="I9" s="1" t="s">
        <v>131</v>
      </c>
      <c r="K9" s="5" t="s">
        <v>53</v>
      </c>
      <c r="L9" s="19" t="s">
        <v>90</v>
      </c>
      <c r="M9" s="5" t="s">
        <v>53</v>
      </c>
      <c r="N9" s="19" t="s">
        <v>90</v>
      </c>
      <c r="O9" s="5" t="s">
        <v>72</v>
      </c>
    </row>
    <row r="10" spans="2:18" x14ac:dyDescent="0.25">
      <c r="B10" s="22">
        <f>B9+1</f>
        <v>44340</v>
      </c>
      <c r="C10" s="22" t="s">
        <v>9</v>
      </c>
      <c r="D10" s="22" t="s">
        <v>15</v>
      </c>
      <c r="F10" s="17">
        <v>2010</v>
      </c>
      <c r="G10" s="4">
        <v>9</v>
      </c>
      <c r="H10" s="3" t="s">
        <v>24</v>
      </c>
      <c r="I10" s="1" t="s">
        <v>136</v>
      </c>
      <c r="K10" s="5" t="s">
        <v>55</v>
      </c>
      <c r="L10" s="19" t="s">
        <v>91</v>
      </c>
      <c r="M10" s="5" t="s">
        <v>70</v>
      </c>
      <c r="N10" s="19" t="s">
        <v>87</v>
      </c>
      <c r="O10" s="5" t="s">
        <v>72</v>
      </c>
    </row>
    <row r="11" spans="2:18" x14ac:dyDescent="0.25">
      <c r="B11" s="22">
        <f>DATE(B1,7,14)</f>
        <v>44391</v>
      </c>
      <c r="C11" s="22" t="s">
        <v>10</v>
      </c>
      <c r="D11" s="22" t="s">
        <v>1</v>
      </c>
      <c r="F11" s="17">
        <v>2011</v>
      </c>
      <c r="G11" s="4">
        <v>10</v>
      </c>
      <c r="H11" s="3" t="s">
        <v>25</v>
      </c>
      <c r="I11" s="1" t="s">
        <v>137</v>
      </c>
      <c r="K11" s="5" t="s">
        <v>34</v>
      </c>
      <c r="L11" s="19" t="s">
        <v>92</v>
      </c>
      <c r="M11" s="20"/>
      <c r="N11" s="21"/>
      <c r="O11" s="5" t="s">
        <v>82</v>
      </c>
    </row>
    <row r="12" spans="2:18" x14ac:dyDescent="0.25">
      <c r="B12" s="22">
        <f>DATE(B1,8,15)</f>
        <v>44423</v>
      </c>
      <c r="C12" s="22" t="s">
        <v>11</v>
      </c>
      <c r="D12" s="22" t="s">
        <v>1</v>
      </c>
      <c r="F12" s="17">
        <v>2012</v>
      </c>
      <c r="G12" s="4">
        <v>11</v>
      </c>
      <c r="H12" s="3" t="s">
        <v>26</v>
      </c>
      <c r="I12" s="1" t="s">
        <v>132</v>
      </c>
      <c r="K12" s="5" t="s">
        <v>58</v>
      </c>
      <c r="L12" s="19" t="s">
        <v>93</v>
      </c>
      <c r="M12" s="20"/>
      <c r="N12" s="21"/>
      <c r="O12" s="5" t="s">
        <v>72</v>
      </c>
    </row>
    <row r="13" spans="2:18" x14ac:dyDescent="0.25">
      <c r="B13" s="22">
        <f>DATE(B1,11,1)</f>
        <v>44501</v>
      </c>
      <c r="C13" s="22" t="s">
        <v>12</v>
      </c>
      <c r="D13" s="22" t="s">
        <v>1</v>
      </c>
      <c r="F13" s="17">
        <v>2013</v>
      </c>
      <c r="G13" s="4">
        <v>12</v>
      </c>
      <c r="H13" s="3" t="s">
        <v>27</v>
      </c>
      <c r="I13" s="1" t="s">
        <v>138</v>
      </c>
      <c r="K13" s="5" t="s">
        <v>30</v>
      </c>
      <c r="L13" s="19" t="s">
        <v>94</v>
      </c>
      <c r="M13" s="20"/>
      <c r="N13" s="21"/>
      <c r="O13" s="5" t="s">
        <v>82</v>
      </c>
    </row>
    <row r="14" spans="2:18" x14ac:dyDescent="0.25">
      <c r="B14" s="22">
        <f>DATE(B1,11,11)</f>
        <v>44511</v>
      </c>
      <c r="C14" s="22" t="s">
        <v>13</v>
      </c>
      <c r="D14" s="22" t="s">
        <v>1</v>
      </c>
      <c r="F14" s="17">
        <v>2014</v>
      </c>
      <c r="K14" s="5" t="s">
        <v>31</v>
      </c>
      <c r="L14" s="19" t="s">
        <v>95</v>
      </c>
      <c r="M14" s="20"/>
      <c r="N14" s="21"/>
      <c r="O14" s="5" t="s">
        <v>82</v>
      </c>
    </row>
    <row r="15" spans="2:18" x14ac:dyDescent="0.25">
      <c r="B15" s="22">
        <f>DATE(B1,12,25)</f>
        <v>44555</v>
      </c>
      <c r="C15" s="22" t="s">
        <v>14</v>
      </c>
      <c r="D15" s="22" t="s">
        <v>1</v>
      </c>
      <c r="F15" s="17">
        <v>2015</v>
      </c>
      <c r="K15" s="5" t="s">
        <v>57</v>
      </c>
      <c r="L15" s="19" t="s">
        <v>96</v>
      </c>
      <c r="M15" s="5" t="s">
        <v>73</v>
      </c>
      <c r="N15" s="19" t="s">
        <v>97</v>
      </c>
      <c r="O15" s="5" t="s">
        <v>72</v>
      </c>
    </row>
    <row r="16" spans="2:18" x14ac:dyDescent="0.25">
      <c r="K16" s="5" t="s">
        <v>38</v>
      </c>
      <c r="L16" s="19" t="s">
        <v>98</v>
      </c>
      <c r="M16" s="20"/>
      <c r="N16" s="21"/>
      <c r="O16" s="5" t="s">
        <v>82</v>
      </c>
    </row>
    <row r="17" spans="2:15" ht="20.25" customHeight="1" x14ac:dyDescent="0.25">
      <c r="B17" s="98" t="s">
        <v>60</v>
      </c>
      <c r="C17" s="98"/>
      <c r="D17" s="23"/>
      <c r="K17" s="5" t="s">
        <v>59</v>
      </c>
      <c r="L17" s="19" t="s">
        <v>99</v>
      </c>
      <c r="M17" s="20"/>
      <c r="N17" s="21"/>
      <c r="O17" s="5" t="s">
        <v>82</v>
      </c>
    </row>
    <row r="18" spans="2:15" x14ac:dyDescent="0.25">
      <c r="B18" s="98"/>
      <c r="C18" s="98"/>
      <c r="K18" s="5" t="s">
        <v>56</v>
      </c>
      <c r="L18" s="19" t="s">
        <v>100</v>
      </c>
      <c r="M18" s="5" t="s">
        <v>70</v>
      </c>
      <c r="N18" s="19" t="s">
        <v>87</v>
      </c>
      <c r="O18" s="5" t="s">
        <v>72</v>
      </c>
    </row>
    <row r="19" spans="2:15" x14ac:dyDescent="0.25">
      <c r="B19" s="98"/>
      <c r="C19" s="98"/>
      <c r="K19" s="5">
        <v>100101</v>
      </c>
      <c r="L19" s="19" t="s">
        <v>101</v>
      </c>
      <c r="M19" s="5">
        <v>100101</v>
      </c>
      <c r="N19" s="19" t="s">
        <v>101</v>
      </c>
      <c r="O19" s="5" t="s">
        <v>72</v>
      </c>
    </row>
    <row r="20" spans="2:15" x14ac:dyDescent="0.25">
      <c r="B20" s="98"/>
      <c r="C20" s="98"/>
      <c r="K20" s="5">
        <v>100102</v>
      </c>
      <c r="L20" s="19" t="s">
        <v>102</v>
      </c>
      <c r="M20" s="5">
        <v>100102</v>
      </c>
      <c r="N20" s="19" t="s">
        <v>102</v>
      </c>
      <c r="O20" s="5" t="s">
        <v>72</v>
      </c>
    </row>
    <row r="21" spans="2:15" x14ac:dyDescent="0.25">
      <c r="K21" s="5">
        <v>100103</v>
      </c>
      <c r="L21" s="19" t="s">
        <v>103</v>
      </c>
      <c r="M21" s="5">
        <v>100103</v>
      </c>
      <c r="N21" s="19" t="s">
        <v>103</v>
      </c>
      <c r="O21" s="5" t="s">
        <v>72</v>
      </c>
    </row>
    <row r="22" spans="2:15" x14ac:dyDescent="0.25">
      <c r="K22" s="5">
        <v>100104</v>
      </c>
      <c r="L22" s="19" t="s">
        <v>104</v>
      </c>
      <c r="M22" s="5">
        <v>100104</v>
      </c>
      <c r="N22" s="19" t="s">
        <v>104</v>
      </c>
      <c r="O22" s="5" t="s">
        <v>72</v>
      </c>
    </row>
    <row r="23" spans="2:15" x14ac:dyDescent="0.25">
      <c r="K23" s="5">
        <v>100105</v>
      </c>
      <c r="L23" s="19" t="s">
        <v>105</v>
      </c>
      <c r="M23" s="5">
        <v>100105</v>
      </c>
      <c r="N23" s="19" t="s">
        <v>105</v>
      </c>
      <c r="O23" s="5" t="s">
        <v>72</v>
      </c>
    </row>
    <row r="24" spans="2:15" x14ac:dyDescent="0.25">
      <c r="K24" s="5">
        <v>100106</v>
      </c>
      <c r="L24" s="19" t="s">
        <v>106</v>
      </c>
      <c r="M24" s="5">
        <v>100106</v>
      </c>
      <c r="N24" s="19" t="s">
        <v>106</v>
      </c>
      <c r="O24" s="5" t="s">
        <v>72</v>
      </c>
    </row>
    <row r="25" spans="2:15" x14ac:dyDescent="0.25">
      <c r="K25" s="5">
        <v>100107</v>
      </c>
      <c r="L25" s="19" t="s">
        <v>107</v>
      </c>
      <c r="M25" s="5">
        <v>100107</v>
      </c>
      <c r="N25" s="19" t="s">
        <v>107</v>
      </c>
      <c r="O25" s="5" t="s">
        <v>72</v>
      </c>
    </row>
    <row r="26" spans="2:15" x14ac:dyDescent="0.25">
      <c r="K26" s="5">
        <v>100108</v>
      </c>
      <c r="L26" s="19" t="s">
        <v>108</v>
      </c>
      <c r="M26" s="5" t="s">
        <v>54</v>
      </c>
      <c r="N26" s="19" t="s">
        <v>85</v>
      </c>
      <c r="O26" s="5" t="s">
        <v>72</v>
      </c>
    </row>
    <row r="27" spans="2:15" x14ac:dyDescent="0.25">
      <c r="K27" s="5">
        <v>100109</v>
      </c>
      <c r="L27" s="19" t="s">
        <v>109</v>
      </c>
      <c r="M27" s="5" t="s">
        <v>73</v>
      </c>
      <c r="N27" s="19" t="s">
        <v>97</v>
      </c>
      <c r="O27" s="5" t="s">
        <v>72</v>
      </c>
    </row>
    <row r="28" spans="2:15" x14ac:dyDescent="0.25">
      <c r="K28" s="5">
        <v>100110</v>
      </c>
      <c r="L28" s="19" t="s">
        <v>110</v>
      </c>
      <c r="M28" s="5">
        <v>100110</v>
      </c>
      <c r="N28" s="19" t="s">
        <v>110</v>
      </c>
      <c r="O28" s="5" t="s">
        <v>72</v>
      </c>
    </row>
    <row r="29" spans="2:15" x14ac:dyDescent="0.25">
      <c r="K29" s="5">
        <v>100111</v>
      </c>
      <c r="L29" s="19" t="s">
        <v>111</v>
      </c>
      <c r="M29" s="5">
        <v>100111</v>
      </c>
      <c r="N29" s="19" t="s">
        <v>111</v>
      </c>
      <c r="O29" s="5" t="s">
        <v>72</v>
      </c>
    </row>
    <row r="30" spans="2:15" x14ac:dyDescent="0.25">
      <c r="K30" s="5">
        <v>100112</v>
      </c>
      <c r="L30" s="19" t="s">
        <v>112</v>
      </c>
      <c r="M30" s="5">
        <v>100112</v>
      </c>
      <c r="N30" s="19" t="s">
        <v>112</v>
      </c>
      <c r="O30" s="5" t="s">
        <v>72</v>
      </c>
    </row>
    <row r="31" spans="2:15" x14ac:dyDescent="0.25">
      <c r="K31" s="5">
        <v>100113</v>
      </c>
      <c r="L31" s="19" t="s">
        <v>113</v>
      </c>
      <c r="M31" s="5">
        <v>100113</v>
      </c>
      <c r="N31" s="19" t="s">
        <v>113</v>
      </c>
      <c r="O31" s="5" t="s">
        <v>72</v>
      </c>
    </row>
    <row r="32" spans="2:15" x14ac:dyDescent="0.25">
      <c r="K32" s="5">
        <v>100114</v>
      </c>
      <c r="L32" s="19" t="s">
        <v>114</v>
      </c>
      <c r="M32" s="5">
        <v>100114</v>
      </c>
      <c r="N32" s="19" t="s">
        <v>114</v>
      </c>
      <c r="O32" s="5" t="s">
        <v>71</v>
      </c>
    </row>
    <row r="33" spans="11:15" x14ac:dyDescent="0.25">
      <c r="K33" s="5">
        <v>100115</v>
      </c>
      <c r="L33" s="19" t="s">
        <v>115</v>
      </c>
      <c r="M33" s="5">
        <v>100115</v>
      </c>
      <c r="N33" s="19" t="s">
        <v>115</v>
      </c>
      <c r="O33" s="5" t="s">
        <v>71</v>
      </c>
    </row>
    <row r="34" spans="11:15" x14ac:dyDescent="0.25">
      <c r="K34" s="5">
        <v>100116</v>
      </c>
      <c r="L34" s="19" t="s">
        <v>116</v>
      </c>
      <c r="M34" s="5">
        <v>100116</v>
      </c>
      <c r="N34" s="19" t="s">
        <v>116</v>
      </c>
      <c r="O34" s="5" t="s">
        <v>71</v>
      </c>
    </row>
    <row r="35" spans="11:15" x14ac:dyDescent="0.25">
      <c r="K35" s="5">
        <v>100117</v>
      </c>
      <c r="L35" s="19" t="s">
        <v>117</v>
      </c>
      <c r="M35" s="5">
        <v>100117</v>
      </c>
      <c r="N35" s="19" t="s">
        <v>117</v>
      </c>
      <c r="O35" s="5" t="s">
        <v>71</v>
      </c>
    </row>
    <row r="36" spans="11:15" x14ac:dyDescent="0.25">
      <c r="K36" s="5">
        <v>100118</v>
      </c>
      <c r="L36" s="19" t="s">
        <v>118</v>
      </c>
      <c r="M36" s="5">
        <v>100118</v>
      </c>
      <c r="N36" s="19" t="s">
        <v>118</v>
      </c>
      <c r="O36" s="5" t="s">
        <v>71</v>
      </c>
    </row>
    <row r="37" spans="11:15" x14ac:dyDescent="0.25">
      <c r="K37" s="5">
        <v>100120</v>
      </c>
      <c r="L37" s="19" t="s">
        <v>119</v>
      </c>
      <c r="M37" s="5">
        <v>100120</v>
      </c>
      <c r="N37" s="19" t="s">
        <v>119</v>
      </c>
      <c r="O37" s="5" t="s">
        <v>71</v>
      </c>
    </row>
  </sheetData>
  <mergeCells count="4">
    <mergeCell ref="B1:D1"/>
    <mergeCell ref="G1:H1"/>
    <mergeCell ref="M1:N1"/>
    <mergeCell ref="B17:C20"/>
  </mergeCells>
  <conditionalFormatting sqref="B3:D15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Base</vt:lpstr>
      <vt:lpstr>Relevé annuel</vt:lpstr>
      <vt:lpstr>Synthèse annuelle</vt:lpstr>
      <vt:lpstr>Index</vt:lpstr>
      <vt:lpstr>Index!An</vt:lpstr>
      <vt:lpstr>Index!Fériés</vt:lpstr>
      <vt:lpstr>'Synthèse annuelle'!Fériés</vt:lpstr>
      <vt:lpstr>Index!Horaires</vt:lpstr>
      <vt:lpstr>'Relevé annuel'!Impression_des_titres</vt:lpstr>
      <vt:lpstr>Index!Mois</vt:lpstr>
      <vt:lpstr>'Synthèse annuelle'!Mois</vt:lpstr>
      <vt:lpstr>Regroupement</vt:lpstr>
      <vt:lpstr>Services</vt:lpstr>
      <vt:lpstr>'Relevé annuel'!Zone_d_impression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cp:lastPrinted>2021-06-23T12:58:26Z</cp:lastPrinted>
  <dcterms:created xsi:type="dcterms:W3CDTF">2017-02-22T15:11:04Z</dcterms:created>
  <dcterms:modified xsi:type="dcterms:W3CDTF">2021-07-01T07:22:01Z</dcterms:modified>
</cp:coreProperties>
</file>