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jpeg" ContentType="image/jpeg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slicerCaches/slicerCache4.xml" ContentType="application/vnd.ms-excel.slicerCache+xml"/>
  <Override PartName="/xl/slicerCaches/slicerCache5.xml" ContentType="application/vnd.ms-excel.slicerCache+xml"/>
  <Override PartName="/xl/slicerCaches/slicerCache6.xml" ContentType="application/vnd.ms-excel.slicerCache+xml"/>
  <Override PartName="/xl/slicerCaches/slicerCache7.xml" ContentType="application/vnd.ms-excel.slicerCache+xml"/>
  <Override PartName="/xl/slicerCaches/slicerCache8.xml" ContentType="application/vnd.ms-excel.slicerCache+xml"/>
  <Override PartName="/xl/slicerCaches/slicerCache9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tables/table1.xml" ContentType="application/vnd.openxmlformats-officedocument.spreadsheetml.table+xml"/>
  <Override PartName="/xl/drawings/drawing3.xml" ContentType="application/vnd.openxmlformats-officedocument.drawing+xml"/>
  <Override PartName="/xl/activeX/activeX3.xml" ContentType="application/vnd.ms-office.activeX+xml"/>
  <Override PartName="/xl/activeX/activeX3.bin" ContentType="application/vnd.ms-office.activeX"/>
  <Override PartName="/xl/tables/table2.xml" ContentType="application/vnd.openxmlformats-officedocument.spreadsheetml.table+xml"/>
  <Override PartName="/xl/slicers/slicer1.xml" ContentType="application/vnd.ms-excel.slicer+xml"/>
  <Override PartName="/xl/pivotTables/pivotTable1.xml" ContentType="application/vnd.openxmlformats-officedocument.spreadsheetml.pivotTable+xml"/>
  <Override PartName="/xl/drawings/drawing4.xml" ContentType="application/vnd.openxmlformats-officedocument.drawing+xml"/>
  <Override PartName="/xl/slicers/slicer2.xml" ContentType="application/vnd.ms-excel.slicer+xml"/>
  <Override PartName="/xl/drawings/drawing5.xml" ContentType="application/vnd.openxmlformats-officedocument.drawing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pivotTables/pivotTable2.xml" ContentType="application/vnd.openxmlformats-officedocument.spreadsheetml.pivotTable+xml"/>
  <Override PartName="/xl/drawings/drawing6.xml" ContentType="application/vnd.openxmlformats-officedocument.drawing+xml"/>
  <Override PartName="/xl/slicers/slicer3.xml" ContentType="application/vnd.ms-excel.slicer+xml"/>
  <Override PartName="/xl/drawings/drawing7.xml" ContentType="application/vnd.openxmlformats-officedocument.drawing+xml"/>
  <Override PartName="/xl/activeX/activeX4.xml" ContentType="application/vnd.ms-office.activeX+xml"/>
  <Override PartName="/xl/activeX/activeX4.bin" ContentType="application/vnd.ms-office.activeX"/>
  <Override PartName="/xl/tables/table6.xml" ContentType="application/vnd.openxmlformats-officedocument.spreadsheetml.table+xml"/>
  <Override PartName="/xl/slicers/slicer4.xml" ContentType="application/vnd.ms-excel.slicer+xml"/>
  <Override PartName="/xl/pivotTables/pivotTable3.xml" ContentType="application/vnd.openxmlformats-officedocument.spreadsheetml.pivotTable+xml"/>
  <Override PartName="/xl/drawings/drawing8.xml" ContentType="application/vnd.openxmlformats-officedocument.drawing+xml"/>
  <Override PartName="/xl/slicers/slicer5.xml" ContentType="application/vnd.ms-excel.slicer+xml"/>
  <Override PartName="/xl/drawings/drawing9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 codeName="{4D1C537B-E38A-612A-F078-A93A15B4B7F4}"/>
  <workbookPr codeName="ThisWorkbook"/>
  <mc:AlternateContent xmlns:mc="http://schemas.openxmlformats.org/markup-compatibility/2006">
    <mc:Choice Requires="x15">
      <x15ac:absPath xmlns:x15ac="http://schemas.microsoft.com/office/spreadsheetml/2010/11/ac" url="E:\01_SocieteL'Avenir\01_Inventaire\En cours\2021\"/>
    </mc:Choice>
  </mc:AlternateContent>
  <xr:revisionPtr revIDLastSave="0" documentId="13_ncr:1_{1E0699F5-D73B-4600-9CF3-FB851CCEA29D}" xr6:coauthVersionLast="47" xr6:coauthVersionMax="47" xr10:uidLastSave="{00000000-0000-0000-0000-000000000000}"/>
  <bookViews>
    <workbookView xWindow="-120" yWindow="-120" windowWidth="29040" windowHeight="15840" activeTab="6" xr2:uid="{00000000-000D-0000-FFFF-FFFF00000000}"/>
  </bookViews>
  <sheets>
    <sheet name="Accueil" sheetId="3" r:id="rId1"/>
    <sheet name="stock" sheetId="1" r:id="rId2"/>
    <sheet name="Mouvements" sheetId="4" r:id="rId3"/>
    <sheet name="TcdMouvements" sheetId="9" r:id="rId4"/>
    <sheet name="Listes" sheetId="2" r:id="rId5"/>
    <sheet name="Config" sheetId="5" r:id="rId6"/>
    <sheet name="Conso" sheetId="6" r:id="rId7"/>
    <sheet name="TcdConso" sheetId="7" r:id="rId8"/>
    <sheet name="Accueil2" sheetId="8" r:id="rId9"/>
  </sheets>
  <definedNames>
    <definedName name="boissons">TabListeProduits[Produit]</definedName>
    <definedName name="equipes">Tab_Equipes[Equipe]</definedName>
    <definedName name="Mouvement">Tableau5[Mouvement]</definedName>
    <definedName name="Segment_Année">#N/A</definedName>
    <definedName name="Segment_Année1">#N/A</definedName>
    <definedName name="Segment_Année2">#N/A</definedName>
    <definedName name="Segment_Année3">#N/A</definedName>
    <definedName name="Segment_Année4">#N/A</definedName>
    <definedName name="Segment_Mois">#N/A</definedName>
    <definedName name="Segment_Mois1">#N/A</definedName>
    <definedName name="Segment_Mois2">#N/A</definedName>
    <definedName name="Segment_Mois3">#N/A</definedName>
  </definedNames>
  <calcPr calcId="191029"/>
  <pivotCaches>
    <pivotCache cacheId="0" r:id="rId10"/>
    <pivotCache cacheId="7" r:id="rId11"/>
  </pivotCaches>
  <extLst>
    <ext xmlns:x14="http://schemas.microsoft.com/office/spreadsheetml/2009/9/main" uri="{BBE1A952-AA13-448e-AADC-164F8A28A991}">
      <x14:slicerCaches>
        <x14:slicerCache r:id="rId12"/>
        <x14:slicerCache r:id="rId13"/>
        <x14:slicerCache r:id="rId14"/>
        <x14:slicerCache r:id="rId15"/>
        <x14:slicerCache r:id="rId16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46BE6895-7355-4a93-B00E-2C351335B9C9}">
      <x15:slicerCaches xmlns:x14="http://schemas.microsoft.com/office/spreadsheetml/2009/9/main">
        <x14:slicerCache r:id="rId17"/>
        <x14:slicerCache r:id="rId18"/>
        <x14:slicerCache r:id="rId19"/>
        <x14:slicerCache r:id="rId20"/>
      </x15:slicerCaches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92" i="4" l="1"/>
  <c r="G92" i="4"/>
  <c r="H92" i="4"/>
  <c r="I92" i="4"/>
  <c r="F91" i="4"/>
  <c r="G91" i="4"/>
  <c r="H91" i="4"/>
  <c r="I91" i="4"/>
  <c r="F90" i="4"/>
  <c r="G90" i="4"/>
  <c r="H90" i="4"/>
  <c r="I90" i="4"/>
  <c r="F89" i="4"/>
  <c r="G89" i="4"/>
  <c r="H89" i="4"/>
  <c r="I89" i="4"/>
  <c r="F88" i="4"/>
  <c r="G88" i="4"/>
  <c r="H88" i="4"/>
  <c r="I88" i="4"/>
  <c r="F87" i="4"/>
  <c r="G87" i="4"/>
  <c r="H87" i="4"/>
  <c r="I87" i="4"/>
  <c r="F86" i="4"/>
  <c r="G86" i="4"/>
  <c r="H86" i="4"/>
  <c r="I86" i="4"/>
  <c r="F85" i="4"/>
  <c r="G85" i="4"/>
  <c r="H85" i="4"/>
  <c r="I85" i="4"/>
  <c r="F84" i="4"/>
  <c r="G84" i="4"/>
  <c r="H84" i="4"/>
  <c r="I84" i="4"/>
  <c r="F83" i="4"/>
  <c r="G83" i="4"/>
  <c r="H83" i="4"/>
  <c r="I83" i="4"/>
  <c r="F82" i="4"/>
  <c r="G82" i="4"/>
  <c r="H82" i="4"/>
  <c r="I82" i="4"/>
  <c r="F81" i="4"/>
  <c r="G81" i="4"/>
  <c r="H81" i="4"/>
  <c r="I81" i="4"/>
  <c r="F80" i="4"/>
  <c r="G80" i="4"/>
  <c r="H80" i="4"/>
  <c r="I80" i="4"/>
  <c r="F79" i="4"/>
  <c r="G79" i="4"/>
  <c r="H79" i="4"/>
  <c r="I79" i="4"/>
  <c r="F78" i="4"/>
  <c r="G78" i="4"/>
  <c r="H78" i="4"/>
  <c r="I78" i="4"/>
  <c r="F77" i="4"/>
  <c r="G77" i="4"/>
  <c r="H77" i="4"/>
  <c r="I77" i="4"/>
  <c r="F76" i="4"/>
  <c r="G76" i="4"/>
  <c r="H76" i="4"/>
  <c r="I76" i="4"/>
  <c r="F75" i="4"/>
  <c r="G75" i="4"/>
  <c r="H75" i="4"/>
  <c r="I75" i="4"/>
  <c r="F74" i="4"/>
  <c r="G74" i="4"/>
  <c r="H74" i="4"/>
  <c r="I74" i="4"/>
  <c r="F73" i="4"/>
  <c r="G73" i="4"/>
  <c r="H73" i="4"/>
  <c r="I73" i="4"/>
  <c r="F72" i="4"/>
  <c r="G72" i="4"/>
  <c r="H72" i="4"/>
  <c r="I72" i="4"/>
  <c r="F71" i="4"/>
  <c r="G71" i="4"/>
  <c r="H71" i="4"/>
  <c r="I71" i="4"/>
  <c r="F70" i="4"/>
  <c r="G70" i="4"/>
  <c r="H70" i="4"/>
  <c r="I70" i="4"/>
  <c r="F69" i="4" l="1"/>
  <c r="G69" i="4"/>
  <c r="H69" i="4"/>
  <c r="I69" i="4"/>
  <c r="F68" i="4"/>
  <c r="G68" i="4"/>
  <c r="H68" i="4"/>
  <c r="I68" i="4"/>
  <c r="F67" i="4"/>
  <c r="G67" i="4"/>
  <c r="H67" i="4"/>
  <c r="I67" i="4"/>
  <c r="F66" i="4"/>
  <c r="G66" i="4"/>
  <c r="H66" i="4"/>
  <c r="I66" i="4"/>
  <c r="F65" i="4"/>
  <c r="G65" i="4"/>
  <c r="H65" i="4"/>
  <c r="I65" i="4"/>
  <c r="F64" i="4"/>
  <c r="G64" i="4"/>
  <c r="H64" i="4"/>
  <c r="I64" i="4"/>
  <c r="F63" i="4"/>
  <c r="G63" i="4"/>
  <c r="H63" i="4"/>
  <c r="I63" i="4"/>
  <c r="F62" i="4"/>
  <c r="G62" i="4"/>
  <c r="H62" i="4"/>
  <c r="I62" i="4"/>
  <c r="F61" i="4"/>
  <c r="G61" i="4"/>
  <c r="H61" i="4"/>
  <c r="I61" i="4"/>
  <c r="F60" i="4"/>
  <c r="G60" i="4"/>
  <c r="H60" i="4"/>
  <c r="I60" i="4"/>
  <c r="F59" i="4"/>
  <c r="G59" i="4"/>
  <c r="H59" i="4"/>
  <c r="I59" i="4"/>
  <c r="F58" i="4"/>
  <c r="G58" i="4"/>
  <c r="H58" i="4"/>
  <c r="I58" i="4"/>
  <c r="F57" i="4"/>
  <c r="G57" i="4"/>
  <c r="H57" i="4"/>
  <c r="I57" i="4"/>
  <c r="D127" i="6"/>
  <c r="E127" i="6"/>
  <c r="I127" i="6"/>
  <c r="J127" i="6"/>
  <c r="K127" i="6"/>
  <c r="D126" i="6"/>
  <c r="E126" i="6"/>
  <c r="I126" i="6"/>
  <c r="J126" i="6"/>
  <c r="K126" i="6"/>
  <c r="D125" i="6"/>
  <c r="E125" i="6"/>
  <c r="I125" i="6"/>
  <c r="J125" i="6"/>
  <c r="K125" i="6"/>
  <c r="D124" i="6"/>
  <c r="E124" i="6"/>
  <c r="I124" i="6"/>
  <c r="J124" i="6"/>
  <c r="K124" i="6"/>
  <c r="D123" i="6"/>
  <c r="E123" i="6"/>
  <c r="I123" i="6"/>
  <c r="J123" i="6"/>
  <c r="K123" i="6"/>
  <c r="D122" i="6"/>
  <c r="E122" i="6"/>
  <c r="I122" i="6"/>
  <c r="J122" i="6"/>
  <c r="K122" i="6"/>
  <c r="D121" i="6"/>
  <c r="E121" i="6"/>
  <c r="I121" i="6"/>
  <c r="J121" i="6"/>
  <c r="K121" i="6"/>
  <c r="D120" i="6"/>
  <c r="E120" i="6"/>
  <c r="I120" i="6"/>
  <c r="J120" i="6"/>
  <c r="K120" i="6"/>
  <c r="D119" i="6"/>
  <c r="E119" i="6"/>
  <c r="I119" i="6"/>
  <c r="J119" i="6"/>
  <c r="K119" i="6"/>
  <c r="D118" i="6"/>
  <c r="E118" i="6"/>
  <c r="I118" i="6"/>
  <c r="J118" i="6"/>
  <c r="K118" i="6"/>
  <c r="D117" i="6"/>
  <c r="E117" i="6"/>
  <c r="I117" i="6"/>
  <c r="J117" i="6"/>
  <c r="K117" i="6"/>
  <c r="D116" i="6"/>
  <c r="E116" i="6"/>
  <c r="I116" i="6"/>
  <c r="J116" i="6"/>
  <c r="K116" i="6"/>
  <c r="D115" i="6"/>
  <c r="E115" i="6"/>
  <c r="I115" i="6"/>
  <c r="J115" i="6"/>
  <c r="K115" i="6"/>
  <c r="D114" i="6"/>
  <c r="E114" i="6"/>
  <c r="I114" i="6"/>
  <c r="J114" i="6"/>
  <c r="K114" i="6"/>
  <c r="D113" i="6"/>
  <c r="E113" i="6"/>
  <c r="I113" i="6"/>
  <c r="J113" i="6"/>
  <c r="K113" i="6"/>
  <c r="D112" i="6"/>
  <c r="E112" i="6"/>
  <c r="I112" i="6"/>
  <c r="J112" i="6"/>
  <c r="K112" i="6"/>
  <c r="D111" i="6"/>
  <c r="E111" i="6"/>
  <c r="I111" i="6"/>
  <c r="J111" i="6"/>
  <c r="K111" i="6"/>
  <c r="D110" i="6"/>
  <c r="E110" i="6"/>
  <c r="I110" i="6"/>
  <c r="J110" i="6"/>
  <c r="K110" i="6"/>
  <c r="D109" i="6"/>
  <c r="E109" i="6"/>
  <c r="I109" i="6"/>
  <c r="J109" i="6"/>
  <c r="K109" i="6"/>
  <c r="D108" i="6"/>
  <c r="E108" i="6"/>
  <c r="I108" i="6"/>
  <c r="J108" i="6"/>
  <c r="K108" i="6"/>
  <c r="D107" i="6"/>
  <c r="E107" i="6"/>
  <c r="I107" i="6"/>
  <c r="J107" i="6"/>
  <c r="K107" i="6"/>
  <c r="D106" i="6"/>
  <c r="E106" i="6"/>
  <c r="I106" i="6"/>
  <c r="J106" i="6"/>
  <c r="K106" i="6"/>
  <c r="D105" i="6"/>
  <c r="E105" i="6"/>
  <c r="I105" i="6"/>
  <c r="J105" i="6"/>
  <c r="K105" i="6"/>
  <c r="D104" i="6"/>
  <c r="E104" i="6"/>
  <c r="I104" i="6"/>
  <c r="J104" i="6"/>
  <c r="K104" i="6"/>
  <c r="D103" i="6"/>
  <c r="E103" i="6"/>
  <c r="I103" i="6"/>
  <c r="J103" i="6"/>
  <c r="K103" i="6"/>
  <c r="D102" i="6"/>
  <c r="E102" i="6"/>
  <c r="I102" i="6"/>
  <c r="J102" i="6"/>
  <c r="K102" i="6"/>
  <c r="D101" i="6"/>
  <c r="E101" i="6"/>
  <c r="I101" i="6"/>
  <c r="J101" i="6"/>
  <c r="K101" i="6"/>
  <c r="D100" i="6"/>
  <c r="E100" i="6"/>
  <c r="I100" i="6"/>
  <c r="J100" i="6"/>
  <c r="K100" i="6"/>
  <c r="D99" i="6"/>
  <c r="E99" i="6"/>
  <c r="I99" i="6"/>
  <c r="J99" i="6"/>
  <c r="K99" i="6"/>
  <c r="D98" i="6"/>
  <c r="E98" i="6"/>
  <c r="I98" i="6"/>
  <c r="J98" i="6"/>
  <c r="K98" i="6"/>
  <c r="D97" i="6"/>
  <c r="E97" i="6"/>
  <c r="I97" i="6"/>
  <c r="J97" i="6"/>
  <c r="K97" i="6"/>
  <c r="D96" i="6"/>
  <c r="E96" i="6"/>
  <c r="I96" i="6"/>
  <c r="J96" i="6"/>
  <c r="K96" i="6"/>
  <c r="D95" i="6"/>
  <c r="E95" i="6"/>
  <c r="I95" i="6"/>
  <c r="J95" i="6"/>
  <c r="K95" i="6"/>
  <c r="D94" i="6"/>
  <c r="E94" i="6"/>
  <c r="I94" i="6"/>
  <c r="J94" i="6"/>
  <c r="K94" i="6"/>
  <c r="D93" i="6"/>
  <c r="E93" i="6"/>
  <c r="I93" i="6"/>
  <c r="J93" i="6"/>
  <c r="K93" i="6"/>
  <c r="D92" i="6"/>
  <c r="E92" i="6"/>
  <c r="I92" i="6"/>
  <c r="J92" i="6"/>
  <c r="K92" i="6"/>
  <c r="D91" i="6"/>
  <c r="E91" i="6"/>
  <c r="I91" i="6"/>
  <c r="J91" i="6"/>
  <c r="K91" i="6"/>
  <c r="D90" i="6"/>
  <c r="E90" i="6"/>
  <c r="I90" i="6"/>
  <c r="J90" i="6"/>
  <c r="K90" i="6"/>
  <c r="D89" i="6"/>
  <c r="E89" i="6"/>
  <c r="I89" i="6"/>
  <c r="J89" i="6"/>
  <c r="K89" i="6"/>
  <c r="D88" i="6"/>
  <c r="E88" i="6"/>
  <c r="I88" i="6"/>
  <c r="J88" i="6"/>
  <c r="K88" i="6"/>
  <c r="D87" i="6"/>
  <c r="E87" i="6"/>
  <c r="I87" i="6"/>
  <c r="J87" i="6"/>
  <c r="K87" i="6"/>
  <c r="D86" i="6"/>
  <c r="E86" i="6"/>
  <c r="I86" i="6"/>
  <c r="J86" i="6"/>
  <c r="K86" i="6"/>
  <c r="D85" i="6"/>
  <c r="E85" i="6"/>
  <c r="I85" i="6"/>
  <c r="J85" i="6"/>
  <c r="K85" i="6"/>
  <c r="D84" i="6"/>
  <c r="E84" i="6"/>
  <c r="I84" i="6"/>
  <c r="J84" i="6"/>
  <c r="K84" i="6"/>
  <c r="D83" i="6"/>
  <c r="E83" i="6"/>
  <c r="I83" i="6"/>
  <c r="J83" i="6"/>
  <c r="K83" i="6"/>
  <c r="D82" i="6"/>
  <c r="E82" i="6"/>
  <c r="I82" i="6"/>
  <c r="J82" i="6"/>
  <c r="K82" i="6"/>
  <c r="D81" i="6"/>
  <c r="E81" i="6"/>
  <c r="I81" i="6"/>
  <c r="J81" i="6"/>
  <c r="K81" i="6"/>
  <c r="D80" i="6"/>
  <c r="E80" i="6"/>
  <c r="I80" i="6"/>
  <c r="J80" i="6"/>
  <c r="K80" i="6"/>
  <c r="D79" i="6"/>
  <c r="E79" i="6"/>
  <c r="I79" i="6"/>
  <c r="J79" i="6"/>
  <c r="K79" i="6"/>
  <c r="D78" i="6"/>
  <c r="E78" i="6"/>
  <c r="I78" i="6"/>
  <c r="J78" i="6"/>
  <c r="K78" i="6"/>
  <c r="D77" i="6"/>
  <c r="E77" i="6"/>
  <c r="I77" i="6"/>
  <c r="J77" i="6"/>
  <c r="K77" i="6"/>
  <c r="D76" i="6"/>
  <c r="E76" i="6"/>
  <c r="I76" i="6"/>
  <c r="J76" i="6"/>
  <c r="K76" i="6"/>
  <c r="D75" i="6"/>
  <c r="E75" i="6"/>
  <c r="I75" i="6"/>
  <c r="J75" i="6"/>
  <c r="K75" i="6"/>
  <c r="D74" i="6"/>
  <c r="E74" i="6"/>
  <c r="I74" i="6"/>
  <c r="J74" i="6"/>
  <c r="K74" i="6"/>
  <c r="D73" i="6"/>
  <c r="E73" i="6"/>
  <c r="I73" i="6"/>
  <c r="J73" i="6"/>
  <c r="K73" i="6"/>
  <c r="D72" i="6"/>
  <c r="E72" i="6"/>
  <c r="I72" i="6"/>
  <c r="J72" i="6"/>
  <c r="K72" i="6"/>
  <c r="D71" i="6"/>
  <c r="E71" i="6"/>
  <c r="I71" i="6"/>
  <c r="J71" i="6"/>
  <c r="K71" i="6"/>
  <c r="D70" i="6"/>
  <c r="E70" i="6"/>
  <c r="I70" i="6"/>
  <c r="J70" i="6"/>
  <c r="K70" i="6"/>
  <c r="D69" i="6"/>
  <c r="E69" i="6"/>
  <c r="I69" i="6"/>
  <c r="J69" i="6"/>
  <c r="K69" i="6"/>
  <c r="D68" i="6"/>
  <c r="E68" i="6"/>
  <c r="I68" i="6"/>
  <c r="J68" i="6"/>
  <c r="K68" i="6"/>
  <c r="D67" i="6"/>
  <c r="E67" i="6"/>
  <c r="I67" i="6"/>
  <c r="J67" i="6"/>
  <c r="K67" i="6"/>
  <c r="D66" i="6"/>
  <c r="E66" i="6"/>
  <c r="I66" i="6"/>
  <c r="J66" i="6"/>
  <c r="K66" i="6"/>
  <c r="D65" i="6"/>
  <c r="E65" i="6"/>
  <c r="I65" i="6"/>
  <c r="J65" i="6"/>
  <c r="K65" i="6"/>
  <c r="D64" i="6"/>
  <c r="E64" i="6"/>
  <c r="I64" i="6"/>
  <c r="J64" i="6"/>
  <c r="K64" i="6"/>
  <c r="D63" i="6"/>
  <c r="E63" i="6"/>
  <c r="I63" i="6"/>
  <c r="J63" i="6"/>
  <c r="K63" i="6"/>
  <c r="D62" i="6"/>
  <c r="E62" i="6"/>
  <c r="I62" i="6"/>
  <c r="J62" i="6"/>
  <c r="K62" i="6"/>
  <c r="D61" i="6"/>
  <c r="E61" i="6"/>
  <c r="I61" i="6"/>
  <c r="J61" i="6"/>
  <c r="K61" i="6"/>
  <c r="D60" i="6"/>
  <c r="E60" i="6"/>
  <c r="I60" i="6"/>
  <c r="J60" i="6"/>
  <c r="K60" i="6"/>
  <c r="D59" i="6"/>
  <c r="E59" i="6"/>
  <c r="I59" i="6"/>
  <c r="J59" i="6"/>
  <c r="K59" i="6"/>
  <c r="D58" i="6"/>
  <c r="E58" i="6"/>
  <c r="I58" i="6"/>
  <c r="J58" i="6"/>
  <c r="K58" i="6"/>
  <c r="D57" i="6"/>
  <c r="E57" i="6"/>
  <c r="I57" i="6"/>
  <c r="J57" i="6"/>
  <c r="K57" i="6"/>
  <c r="D56" i="6"/>
  <c r="E56" i="6"/>
  <c r="I56" i="6"/>
  <c r="J56" i="6"/>
  <c r="K56" i="6"/>
  <c r="D55" i="6"/>
  <c r="E55" i="6"/>
  <c r="I55" i="6"/>
  <c r="J55" i="6"/>
  <c r="K55" i="6"/>
  <c r="D54" i="6"/>
  <c r="E54" i="6"/>
  <c r="I54" i="6"/>
  <c r="J54" i="6"/>
  <c r="K54" i="6"/>
  <c r="D53" i="6"/>
  <c r="E53" i="6"/>
  <c r="I53" i="6"/>
  <c r="J53" i="6"/>
  <c r="K53" i="6"/>
  <c r="D52" i="6"/>
  <c r="E52" i="6"/>
  <c r="I52" i="6"/>
  <c r="J52" i="6"/>
  <c r="K52" i="6"/>
  <c r="D51" i="6"/>
  <c r="E51" i="6"/>
  <c r="I51" i="6"/>
  <c r="J51" i="6"/>
  <c r="K51" i="6"/>
  <c r="M127" i="6" l="1"/>
  <c r="L127" i="6"/>
  <c r="L126" i="6"/>
  <c r="M126" i="6"/>
  <c r="L125" i="6"/>
  <c r="M125" i="6"/>
  <c r="M124" i="6"/>
  <c r="L124" i="6"/>
  <c r="L123" i="6"/>
  <c r="M123" i="6"/>
  <c r="M122" i="6"/>
  <c r="L122" i="6"/>
  <c r="L121" i="6"/>
  <c r="M121" i="6"/>
  <c r="L120" i="6"/>
  <c r="M120" i="6"/>
  <c r="L119" i="6"/>
  <c r="M119" i="6"/>
  <c r="L118" i="6"/>
  <c r="M118" i="6"/>
  <c r="M117" i="6"/>
  <c r="L117" i="6"/>
  <c r="L116" i="6"/>
  <c r="M116" i="6"/>
  <c r="L115" i="6"/>
  <c r="M115" i="6"/>
  <c r="L114" i="6"/>
  <c r="M114" i="6"/>
  <c r="M113" i="6"/>
  <c r="L113" i="6"/>
  <c r="M112" i="6"/>
  <c r="L112" i="6"/>
  <c r="M111" i="6"/>
  <c r="L111" i="6"/>
  <c r="M110" i="6"/>
  <c r="L110" i="6"/>
  <c r="M109" i="6"/>
  <c r="L109" i="6"/>
  <c r="M108" i="6"/>
  <c r="L108" i="6"/>
  <c r="M107" i="6"/>
  <c r="L107" i="6"/>
  <c r="M106" i="6"/>
  <c r="L106" i="6"/>
  <c r="M105" i="6"/>
  <c r="L105" i="6"/>
  <c r="M104" i="6"/>
  <c r="L104" i="6"/>
  <c r="M103" i="6"/>
  <c r="L103" i="6"/>
  <c r="M102" i="6"/>
  <c r="L102" i="6"/>
  <c r="M101" i="6"/>
  <c r="L101" i="6"/>
  <c r="M100" i="6"/>
  <c r="L100" i="6"/>
  <c r="M99" i="6"/>
  <c r="L99" i="6"/>
  <c r="M98" i="6"/>
  <c r="L98" i="6"/>
  <c r="L97" i="6"/>
  <c r="M97" i="6"/>
  <c r="M96" i="6"/>
  <c r="L96" i="6"/>
  <c r="M95" i="6"/>
  <c r="L95" i="6"/>
  <c r="M94" i="6"/>
  <c r="L94" i="6"/>
  <c r="M93" i="6"/>
  <c r="L93" i="6"/>
  <c r="M92" i="6"/>
  <c r="L92" i="6"/>
  <c r="L91" i="6"/>
  <c r="M91" i="6"/>
  <c r="M90" i="6"/>
  <c r="L90" i="6"/>
  <c r="M89" i="6"/>
  <c r="L89" i="6"/>
  <c r="M88" i="6"/>
  <c r="L88" i="6"/>
  <c r="L87" i="6"/>
  <c r="M87" i="6"/>
  <c r="L86" i="6"/>
  <c r="M86" i="6"/>
  <c r="L85" i="6"/>
  <c r="M85" i="6"/>
  <c r="M84" i="6"/>
  <c r="L84" i="6"/>
  <c r="L83" i="6"/>
  <c r="M83" i="6"/>
  <c r="L82" i="6"/>
  <c r="M82" i="6"/>
  <c r="L81" i="6"/>
  <c r="M81" i="6"/>
  <c r="L80" i="6"/>
  <c r="M80" i="6"/>
  <c r="M79" i="6"/>
  <c r="L79" i="6"/>
  <c r="M78" i="6"/>
  <c r="L78" i="6"/>
  <c r="M77" i="6"/>
  <c r="L77" i="6"/>
  <c r="M76" i="6"/>
  <c r="L76" i="6"/>
  <c r="M75" i="6"/>
  <c r="L75" i="6"/>
  <c r="L74" i="6"/>
  <c r="M74" i="6"/>
  <c r="M73" i="6"/>
  <c r="L73" i="6"/>
  <c r="M72" i="6"/>
  <c r="L72" i="6"/>
  <c r="M71" i="6"/>
  <c r="L71" i="6"/>
  <c r="M70" i="6"/>
  <c r="L70" i="6"/>
  <c r="M69" i="6"/>
  <c r="L69" i="6"/>
  <c r="M68" i="6"/>
  <c r="L68" i="6"/>
  <c r="M67" i="6"/>
  <c r="L67" i="6"/>
  <c r="M66" i="6"/>
  <c r="L66" i="6"/>
  <c r="L65" i="6"/>
  <c r="M65" i="6"/>
  <c r="M64" i="6"/>
  <c r="L64" i="6"/>
  <c r="M63" i="6"/>
  <c r="L63" i="6"/>
  <c r="M62" i="6"/>
  <c r="L62" i="6"/>
  <c r="M61" i="6"/>
  <c r="L61" i="6"/>
  <c r="M60" i="6"/>
  <c r="L60" i="6"/>
  <c r="M59" i="6"/>
  <c r="L59" i="6"/>
  <c r="M58" i="6"/>
  <c r="L58" i="6"/>
  <c r="M57" i="6"/>
  <c r="L57" i="6"/>
  <c r="M56" i="6"/>
  <c r="L56" i="6"/>
  <c r="L55" i="6"/>
  <c r="M55" i="6"/>
  <c r="M54" i="6"/>
  <c r="L54" i="6"/>
  <c r="M53" i="6"/>
  <c r="L53" i="6"/>
  <c r="L52" i="6"/>
  <c r="M52" i="6"/>
  <c r="M51" i="6"/>
  <c r="L51" i="6"/>
  <c r="N126" i="6" l="1"/>
  <c r="N127" i="6"/>
  <c r="N125" i="6"/>
  <c r="N118" i="6"/>
  <c r="N120" i="6"/>
  <c r="N124" i="6"/>
  <c r="N123" i="6"/>
  <c r="N122" i="6"/>
  <c r="N121" i="6"/>
  <c r="N119" i="6"/>
  <c r="N117" i="6"/>
  <c r="N116" i="6"/>
  <c r="N115" i="6"/>
  <c r="N114" i="6"/>
  <c r="N113" i="6"/>
  <c r="N112" i="6"/>
  <c r="N111" i="6"/>
  <c r="N110" i="6"/>
  <c r="N109" i="6"/>
  <c r="N108" i="6"/>
  <c r="N107" i="6"/>
  <c r="N106" i="6"/>
  <c r="N105" i="6"/>
  <c r="N104" i="6"/>
  <c r="N103" i="6"/>
  <c r="N102" i="6"/>
  <c r="N101" i="6"/>
  <c r="N100" i="6"/>
  <c r="N99" i="6"/>
  <c r="N98" i="6"/>
  <c r="N97" i="6"/>
  <c r="N96" i="6"/>
  <c r="N95" i="6"/>
  <c r="N94" i="6"/>
  <c r="N93" i="6"/>
  <c r="N92" i="6"/>
  <c r="N91" i="6"/>
  <c r="N90" i="6"/>
  <c r="N89" i="6"/>
  <c r="N88" i="6"/>
  <c r="N87" i="6"/>
  <c r="N86" i="6"/>
  <c r="N85" i="6"/>
  <c r="N84" i="6"/>
  <c r="N83" i="6"/>
  <c r="N82" i="6"/>
  <c r="N81" i="6"/>
  <c r="N80" i="6"/>
  <c r="N79" i="6"/>
  <c r="N78" i="6"/>
  <c r="N77" i="6"/>
  <c r="N76" i="6"/>
  <c r="N75" i="6"/>
  <c r="N74" i="6"/>
  <c r="N73" i="6"/>
  <c r="N72" i="6"/>
  <c r="N71" i="6"/>
  <c r="N70" i="6"/>
  <c r="N69" i="6"/>
  <c r="N68" i="6"/>
  <c r="N67" i="6"/>
  <c r="N66" i="6"/>
  <c r="N65" i="6"/>
  <c r="N64" i="6"/>
  <c r="N63" i="6"/>
  <c r="N62" i="6"/>
  <c r="N61" i="6"/>
  <c r="N60" i="6"/>
  <c r="N59" i="6"/>
  <c r="N58" i="6"/>
  <c r="N57" i="6"/>
  <c r="N56" i="6"/>
  <c r="N55" i="6"/>
  <c r="N54" i="6"/>
  <c r="N53" i="6"/>
  <c r="N52" i="6"/>
  <c r="N51" i="6"/>
  <c r="D50" i="6" l="1"/>
  <c r="E50" i="6"/>
  <c r="I50" i="6"/>
  <c r="J50" i="6"/>
  <c r="K50" i="6"/>
  <c r="D49" i="6"/>
  <c r="E49" i="6"/>
  <c r="I49" i="6"/>
  <c r="J49" i="6"/>
  <c r="K49" i="6"/>
  <c r="D48" i="6"/>
  <c r="E48" i="6"/>
  <c r="I48" i="6"/>
  <c r="J48" i="6"/>
  <c r="K48" i="6"/>
  <c r="D47" i="6"/>
  <c r="E47" i="6"/>
  <c r="I47" i="6"/>
  <c r="J47" i="6"/>
  <c r="K47" i="6"/>
  <c r="D46" i="6"/>
  <c r="E46" i="6"/>
  <c r="I46" i="6"/>
  <c r="J46" i="6"/>
  <c r="K46" i="6"/>
  <c r="D45" i="6"/>
  <c r="E45" i="6"/>
  <c r="I45" i="6"/>
  <c r="J45" i="6"/>
  <c r="K45" i="6"/>
  <c r="D44" i="6"/>
  <c r="E44" i="6"/>
  <c r="I44" i="6"/>
  <c r="J44" i="6"/>
  <c r="K44" i="6"/>
  <c r="D43" i="6"/>
  <c r="E43" i="6"/>
  <c r="I43" i="6"/>
  <c r="J43" i="6"/>
  <c r="K43" i="6"/>
  <c r="D42" i="6"/>
  <c r="E42" i="6"/>
  <c r="I42" i="6"/>
  <c r="J42" i="6"/>
  <c r="K42" i="6"/>
  <c r="D41" i="6"/>
  <c r="E41" i="6"/>
  <c r="I41" i="6"/>
  <c r="J41" i="6"/>
  <c r="K41" i="6"/>
  <c r="D40" i="6"/>
  <c r="E40" i="6"/>
  <c r="I40" i="6"/>
  <c r="J40" i="6"/>
  <c r="K40" i="6"/>
  <c r="D39" i="6"/>
  <c r="E39" i="6"/>
  <c r="I39" i="6"/>
  <c r="J39" i="6"/>
  <c r="K39" i="6"/>
  <c r="D38" i="6"/>
  <c r="E38" i="6"/>
  <c r="I38" i="6"/>
  <c r="J38" i="6"/>
  <c r="K38" i="6"/>
  <c r="D37" i="6"/>
  <c r="E37" i="6"/>
  <c r="I37" i="6"/>
  <c r="J37" i="6"/>
  <c r="K37" i="6"/>
  <c r="K6" i="6"/>
  <c r="K7" i="6"/>
  <c r="K8" i="6"/>
  <c r="K9" i="6"/>
  <c r="K10" i="6"/>
  <c r="K11" i="6"/>
  <c r="K12" i="6"/>
  <c r="K13" i="6"/>
  <c r="K14" i="6"/>
  <c r="K15" i="6"/>
  <c r="K16" i="6"/>
  <c r="K17" i="6"/>
  <c r="K18" i="6"/>
  <c r="K19" i="6"/>
  <c r="K20" i="6"/>
  <c r="K21" i="6"/>
  <c r="K22" i="6"/>
  <c r="K23" i="6"/>
  <c r="K24" i="6"/>
  <c r="K25" i="6"/>
  <c r="K26" i="6"/>
  <c r="K27" i="6"/>
  <c r="K28" i="6"/>
  <c r="K29" i="6"/>
  <c r="K30" i="6"/>
  <c r="K31" i="6"/>
  <c r="K32" i="6"/>
  <c r="K33" i="6"/>
  <c r="K34" i="6"/>
  <c r="K35" i="6"/>
  <c r="K36" i="6"/>
  <c r="J6" i="6"/>
  <c r="J7" i="6"/>
  <c r="J8" i="6"/>
  <c r="J9" i="6"/>
  <c r="J10" i="6"/>
  <c r="J11" i="6"/>
  <c r="J12" i="6"/>
  <c r="J13" i="6"/>
  <c r="J14" i="6"/>
  <c r="J15" i="6"/>
  <c r="J16" i="6"/>
  <c r="J17" i="6"/>
  <c r="J18" i="6"/>
  <c r="J19" i="6"/>
  <c r="J20" i="6"/>
  <c r="J21" i="6"/>
  <c r="J22" i="6"/>
  <c r="J23" i="6"/>
  <c r="J24" i="6"/>
  <c r="J25" i="6"/>
  <c r="J26" i="6"/>
  <c r="J27" i="6"/>
  <c r="J28" i="6"/>
  <c r="J29" i="6"/>
  <c r="J30" i="6"/>
  <c r="J31" i="6"/>
  <c r="J32" i="6"/>
  <c r="J33" i="6"/>
  <c r="J34" i="6"/>
  <c r="J35" i="6"/>
  <c r="J36" i="6"/>
  <c r="I6" i="6"/>
  <c r="I7" i="6"/>
  <c r="I8" i="6"/>
  <c r="I9" i="6"/>
  <c r="I10" i="6"/>
  <c r="I11" i="6"/>
  <c r="I12" i="6"/>
  <c r="I13" i="6"/>
  <c r="I14" i="6"/>
  <c r="I15" i="6"/>
  <c r="I16" i="6"/>
  <c r="I17" i="6"/>
  <c r="I18" i="6"/>
  <c r="I19" i="6"/>
  <c r="I20" i="6"/>
  <c r="I21" i="6"/>
  <c r="I22" i="6"/>
  <c r="I23" i="6"/>
  <c r="I24" i="6"/>
  <c r="I25" i="6"/>
  <c r="I26" i="6"/>
  <c r="I27" i="6"/>
  <c r="I28" i="6"/>
  <c r="I29" i="6"/>
  <c r="I30" i="6"/>
  <c r="I31" i="6"/>
  <c r="I32" i="6"/>
  <c r="I33" i="6"/>
  <c r="I34" i="6"/>
  <c r="I35" i="6"/>
  <c r="I36" i="6"/>
  <c r="E6" i="6"/>
  <c r="E7" i="6"/>
  <c r="E8" i="6"/>
  <c r="E9" i="6"/>
  <c r="E10" i="6"/>
  <c r="E11" i="6"/>
  <c r="E12" i="6"/>
  <c r="E13" i="6"/>
  <c r="E14" i="6"/>
  <c r="E15" i="6"/>
  <c r="E16" i="6"/>
  <c r="E17" i="6"/>
  <c r="E18" i="6"/>
  <c r="E19" i="6"/>
  <c r="E20" i="6"/>
  <c r="E21" i="6"/>
  <c r="E22" i="6"/>
  <c r="E23" i="6"/>
  <c r="E24" i="6"/>
  <c r="E25" i="6"/>
  <c r="E26" i="6"/>
  <c r="E27" i="6"/>
  <c r="E28" i="6"/>
  <c r="E29" i="6"/>
  <c r="E30" i="6"/>
  <c r="E31" i="6"/>
  <c r="E32" i="6"/>
  <c r="E33" i="6"/>
  <c r="E34" i="6"/>
  <c r="E35" i="6"/>
  <c r="E36" i="6"/>
  <c r="D6" i="6"/>
  <c r="D7" i="6"/>
  <c r="D8" i="6"/>
  <c r="D9" i="6"/>
  <c r="D10" i="6"/>
  <c r="D11" i="6"/>
  <c r="D12" i="6"/>
  <c r="D13" i="6"/>
  <c r="D14" i="6"/>
  <c r="D15" i="6"/>
  <c r="D16" i="6"/>
  <c r="D17" i="6"/>
  <c r="D18" i="6"/>
  <c r="D19" i="6"/>
  <c r="D20" i="6"/>
  <c r="D21" i="6"/>
  <c r="D22" i="6"/>
  <c r="D23" i="6"/>
  <c r="D24" i="6"/>
  <c r="D25" i="6"/>
  <c r="D26" i="6"/>
  <c r="D27" i="6"/>
  <c r="D28" i="6"/>
  <c r="D29" i="6"/>
  <c r="D30" i="6"/>
  <c r="D31" i="6"/>
  <c r="D32" i="6"/>
  <c r="D33" i="6"/>
  <c r="D34" i="6"/>
  <c r="D35" i="6"/>
  <c r="D36" i="6"/>
  <c r="D30" i="5" l="1"/>
  <c r="L34" i="6"/>
  <c r="L26" i="6"/>
  <c r="L18" i="6"/>
  <c r="M50" i="6"/>
  <c r="L50" i="6"/>
  <c r="M49" i="6"/>
  <c r="L49" i="6"/>
  <c r="M48" i="6"/>
  <c r="L48" i="6"/>
  <c r="M47" i="6"/>
  <c r="L47" i="6"/>
  <c r="L10" i="6"/>
  <c r="L46" i="6"/>
  <c r="M46" i="6"/>
  <c r="L45" i="6"/>
  <c r="M45" i="6"/>
  <c r="L44" i="6"/>
  <c r="M44" i="6"/>
  <c r="L36" i="6"/>
  <c r="L28" i="6"/>
  <c r="L20" i="6"/>
  <c r="L12" i="6"/>
  <c r="L43" i="6"/>
  <c r="M43" i="6"/>
  <c r="L42" i="6"/>
  <c r="M42" i="6"/>
  <c r="M30" i="6"/>
  <c r="M22" i="6"/>
  <c r="M14" i="6"/>
  <c r="M6" i="6"/>
  <c r="L30" i="6"/>
  <c r="L22" i="6"/>
  <c r="L14" i="6"/>
  <c r="L6" i="6"/>
  <c r="L41" i="6"/>
  <c r="M41" i="6"/>
  <c r="L35" i="6"/>
  <c r="L40" i="6"/>
  <c r="M40" i="6"/>
  <c r="M31" i="6"/>
  <c r="M23" i="6"/>
  <c r="M15" i="6"/>
  <c r="M7" i="6"/>
  <c r="L31" i="6"/>
  <c r="L23" i="6"/>
  <c r="L15" i="6"/>
  <c r="L7" i="6"/>
  <c r="M13" i="6"/>
  <c r="M36" i="6"/>
  <c r="M28" i="6"/>
  <c r="M20" i="6"/>
  <c r="M12" i="6"/>
  <c r="M34" i="6"/>
  <c r="M26" i="6"/>
  <c r="M18" i="6"/>
  <c r="L39" i="6"/>
  <c r="M39" i="6"/>
  <c r="M35" i="6"/>
  <c r="M27" i="6"/>
  <c r="M19" i="6"/>
  <c r="L27" i="6"/>
  <c r="L19" i="6"/>
  <c r="L11" i="6"/>
  <c r="M10" i="6"/>
  <c r="M32" i="6"/>
  <c r="M24" i="6"/>
  <c r="M16" i="6"/>
  <c r="M8" i="6"/>
  <c r="L32" i="6"/>
  <c r="L24" i="6"/>
  <c r="L16" i="6"/>
  <c r="L8" i="6"/>
  <c r="M38" i="6"/>
  <c r="L38" i="6"/>
  <c r="M33" i="6"/>
  <c r="M25" i="6"/>
  <c r="M17" i="6"/>
  <c r="L33" i="6"/>
  <c r="L25" i="6"/>
  <c r="L17" i="6"/>
  <c r="L9" i="6"/>
  <c r="M29" i="6"/>
  <c r="M21" i="6"/>
  <c r="M11" i="6"/>
  <c r="M37" i="6"/>
  <c r="L37" i="6"/>
  <c r="L29" i="6"/>
  <c r="L21" i="6"/>
  <c r="L13" i="6"/>
  <c r="M9" i="6"/>
  <c r="I6" i="4"/>
  <c r="D32" i="5" l="1"/>
  <c r="D31" i="5"/>
  <c r="N26" i="6"/>
  <c r="N18" i="6"/>
  <c r="N34" i="6"/>
  <c r="N28" i="6"/>
  <c r="N49" i="6"/>
  <c r="N10" i="6"/>
  <c r="N19" i="6"/>
  <c r="N50" i="6"/>
  <c r="N45" i="6"/>
  <c r="N48" i="6"/>
  <c r="N46" i="6"/>
  <c r="N44" i="6"/>
  <c r="N47" i="6"/>
  <c r="N12" i="6"/>
  <c r="N22" i="6"/>
  <c r="N20" i="6"/>
  <c r="N35" i="6"/>
  <c r="N43" i="6"/>
  <c r="N36" i="6"/>
  <c r="N14" i="6"/>
  <c r="N13" i="6"/>
  <c r="N27" i="6"/>
  <c r="N30" i="6"/>
  <c r="N6" i="6"/>
  <c r="N23" i="6"/>
  <c r="N8" i="6"/>
  <c r="N42" i="6"/>
  <c r="N31" i="6"/>
  <c r="N41" i="6"/>
  <c r="N7" i="6"/>
  <c r="N15" i="6"/>
  <c r="N16" i="6"/>
  <c r="N40" i="6"/>
  <c r="N24" i="6"/>
  <c r="N32" i="6"/>
  <c r="N39" i="6"/>
  <c r="N25" i="6"/>
  <c r="N33" i="6"/>
  <c r="N11" i="6"/>
  <c r="N29" i="6"/>
  <c r="N21" i="6"/>
  <c r="N38" i="6"/>
  <c r="N9" i="6"/>
  <c r="N17" i="6"/>
  <c r="N37" i="6"/>
  <c r="E25" i="5"/>
  <c r="H6" i="4"/>
  <c r="F56" i="4"/>
  <c r="G56" i="4"/>
  <c r="H56" i="4"/>
  <c r="I56" i="4"/>
  <c r="F55" i="4"/>
  <c r="G55" i="4"/>
  <c r="H55" i="4"/>
  <c r="I55" i="4"/>
  <c r="F54" i="4"/>
  <c r="G54" i="4"/>
  <c r="H54" i="4"/>
  <c r="I54" i="4"/>
  <c r="F53" i="4"/>
  <c r="G53" i="4"/>
  <c r="H53" i="4"/>
  <c r="I53" i="4"/>
  <c r="F52" i="4"/>
  <c r="G52" i="4"/>
  <c r="H52" i="4"/>
  <c r="I52" i="4"/>
  <c r="F51" i="4"/>
  <c r="G51" i="4"/>
  <c r="H51" i="4"/>
  <c r="I51" i="4"/>
  <c r="F50" i="4"/>
  <c r="G50" i="4"/>
  <c r="H50" i="4"/>
  <c r="I50" i="4"/>
  <c r="F49" i="4"/>
  <c r="G49" i="4"/>
  <c r="H49" i="4"/>
  <c r="I49" i="4"/>
  <c r="F48" i="4"/>
  <c r="G48" i="4"/>
  <c r="H48" i="4"/>
  <c r="I48" i="4"/>
  <c r="F47" i="4"/>
  <c r="G47" i="4"/>
  <c r="H47" i="4"/>
  <c r="I47" i="4"/>
  <c r="F46" i="4"/>
  <c r="G46" i="4"/>
  <c r="H46" i="4"/>
  <c r="I46" i="4"/>
  <c r="F45" i="4"/>
  <c r="G45" i="4"/>
  <c r="H45" i="4"/>
  <c r="I45" i="4"/>
  <c r="F44" i="4"/>
  <c r="G44" i="4"/>
  <c r="H44" i="4"/>
  <c r="I44" i="4"/>
  <c r="F43" i="4"/>
  <c r="G43" i="4"/>
  <c r="H43" i="4"/>
  <c r="I43" i="4"/>
  <c r="D33" i="5" l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F42" i="4" l="1"/>
  <c r="G42" i="4"/>
  <c r="H42" i="4"/>
  <c r="I42" i="4"/>
  <c r="F41" i="4"/>
  <c r="G41" i="4"/>
  <c r="H41" i="4"/>
  <c r="I41" i="4"/>
  <c r="F40" i="4"/>
  <c r="G40" i="4"/>
  <c r="H40" i="4"/>
  <c r="I40" i="4"/>
  <c r="F39" i="4"/>
  <c r="G39" i="4"/>
  <c r="H39" i="4"/>
  <c r="I39" i="4"/>
  <c r="F38" i="4"/>
  <c r="G38" i="4"/>
  <c r="H38" i="4"/>
  <c r="I38" i="4"/>
  <c r="F37" i="4"/>
  <c r="G37" i="4"/>
  <c r="H37" i="4"/>
  <c r="I37" i="4"/>
  <c r="F36" i="4"/>
  <c r="G36" i="4"/>
  <c r="H36" i="4"/>
  <c r="I36" i="4"/>
  <c r="F35" i="4"/>
  <c r="G35" i="4"/>
  <c r="H35" i="4"/>
  <c r="I35" i="4"/>
  <c r="F34" i="4"/>
  <c r="G34" i="4"/>
  <c r="H34" i="4"/>
  <c r="I34" i="4"/>
  <c r="F33" i="4"/>
  <c r="G33" i="4"/>
  <c r="H33" i="4"/>
  <c r="I33" i="4"/>
  <c r="F32" i="4"/>
  <c r="G32" i="4"/>
  <c r="H32" i="4"/>
  <c r="I32" i="4"/>
  <c r="F31" i="4"/>
  <c r="G31" i="4"/>
  <c r="H31" i="4"/>
  <c r="I31" i="4"/>
  <c r="F30" i="4" l="1"/>
  <c r="G30" i="4"/>
  <c r="H30" i="4"/>
  <c r="I30" i="4"/>
  <c r="F29" i="4"/>
  <c r="G29" i="4"/>
  <c r="H29" i="4"/>
  <c r="I29" i="4"/>
  <c r="F28" i="4"/>
  <c r="G28" i="4"/>
  <c r="H28" i="4"/>
  <c r="I28" i="4"/>
  <c r="F27" i="4"/>
  <c r="G27" i="4"/>
  <c r="H27" i="4"/>
  <c r="I27" i="4"/>
  <c r="F26" i="4"/>
  <c r="G26" i="4"/>
  <c r="H26" i="4"/>
  <c r="I26" i="4"/>
  <c r="F25" i="4"/>
  <c r="G25" i="4"/>
  <c r="H25" i="4"/>
  <c r="I25" i="4"/>
  <c r="F24" i="4"/>
  <c r="G24" i="4"/>
  <c r="H24" i="4"/>
  <c r="I24" i="4"/>
  <c r="F23" i="4"/>
  <c r="G23" i="4"/>
  <c r="H23" i="4"/>
  <c r="I23" i="4"/>
  <c r="F22" i="4"/>
  <c r="G22" i="4"/>
  <c r="H22" i="4"/>
  <c r="I22" i="4"/>
  <c r="F21" i="4"/>
  <c r="G21" i="4"/>
  <c r="H21" i="4"/>
  <c r="I21" i="4"/>
  <c r="F20" i="4"/>
  <c r="G20" i="4"/>
  <c r="H20" i="4"/>
  <c r="I20" i="4"/>
  <c r="F19" i="4"/>
  <c r="G19" i="4"/>
  <c r="H19" i="4"/>
  <c r="I19" i="4"/>
  <c r="F18" i="4"/>
  <c r="G18" i="4"/>
  <c r="H18" i="4"/>
  <c r="I18" i="4"/>
  <c r="F17" i="4"/>
  <c r="G17" i="4"/>
  <c r="H17" i="4"/>
  <c r="I17" i="4"/>
  <c r="F16" i="4"/>
  <c r="G16" i="4"/>
  <c r="H16" i="4"/>
  <c r="I16" i="4"/>
  <c r="F15" i="4"/>
  <c r="G15" i="4"/>
  <c r="H15" i="4"/>
  <c r="I15" i="4"/>
  <c r="F14" i="4"/>
  <c r="G14" i="4"/>
  <c r="H14" i="4"/>
  <c r="I14" i="4"/>
  <c r="F13" i="4"/>
  <c r="G13" i="4"/>
  <c r="H13" i="4"/>
  <c r="I13" i="4"/>
  <c r="F12" i="4"/>
  <c r="G12" i="4"/>
  <c r="H12" i="4"/>
  <c r="I12" i="4"/>
  <c r="F11" i="4"/>
  <c r="G11" i="4"/>
  <c r="H11" i="4"/>
  <c r="I11" i="4"/>
  <c r="F10" i="4"/>
  <c r="G10" i="4"/>
  <c r="H10" i="4"/>
  <c r="I10" i="4"/>
  <c r="F9" i="4"/>
  <c r="G9" i="4"/>
  <c r="H9" i="4"/>
  <c r="I9" i="4"/>
  <c r="F8" i="4"/>
  <c r="G8" i="4"/>
  <c r="H8" i="4"/>
  <c r="I8" i="4"/>
  <c r="F7" i="4"/>
  <c r="G7" i="4"/>
  <c r="H7" i="4"/>
  <c r="I7" i="4"/>
  <c r="F6" i="4"/>
  <c r="G6" i="4"/>
  <c r="D12" i="5" l="1"/>
  <c r="F10" i="5"/>
  <c r="E12" i="5" l="1"/>
  <c r="B24" i="1"/>
  <c r="F24" i="1"/>
  <c r="G24" i="1"/>
  <c r="B23" i="1"/>
  <c r="F23" i="1"/>
  <c r="G23" i="1"/>
  <c r="B22" i="1"/>
  <c r="F22" i="1"/>
  <c r="G22" i="1"/>
  <c r="B21" i="1"/>
  <c r="F21" i="1"/>
  <c r="G21" i="1"/>
  <c r="B20" i="1"/>
  <c r="F20" i="1"/>
  <c r="G20" i="1"/>
  <c r="B19" i="1"/>
  <c r="F19" i="1"/>
  <c r="G19" i="1"/>
  <c r="B18" i="1"/>
  <c r="F18" i="1"/>
  <c r="G18" i="1"/>
  <c r="B17" i="1"/>
  <c r="F17" i="1"/>
  <c r="G17" i="1"/>
  <c r="B16" i="1"/>
  <c r="F16" i="1"/>
  <c r="G16" i="1"/>
  <c r="B15" i="1"/>
  <c r="F15" i="1"/>
  <c r="G15" i="1"/>
  <c r="B14" i="1"/>
  <c r="F14" i="1"/>
  <c r="G14" i="1"/>
  <c r="B13" i="1"/>
  <c r="F13" i="1"/>
  <c r="G13" i="1"/>
  <c r="B12" i="1"/>
  <c r="F12" i="1"/>
  <c r="G12" i="1"/>
  <c r="B11" i="1"/>
  <c r="F11" i="1"/>
  <c r="G11" i="1"/>
  <c r="B10" i="1"/>
  <c r="F10" i="1"/>
  <c r="G10" i="1"/>
  <c r="B9" i="1"/>
  <c r="F9" i="1"/>
  <c r="G9" i="1"/>
  <c r="D10" i="5" l="1"/>
  <c r="E10" i="5"/>
  <c r="D11" i="5"/>
  <c r="F12" i="5"/>
  <c r="H23" i="1"/>
  <c r="H24" i="1"/>
  <c r="K24" i="1"/>
  <c r="H20" i="1"/>
  <c r="H22" i="1"/>
  <c r="I24" i="1"/>
  <c r="K23" i="1"/>
  <c r="H21" i="1"/>
  <c r="I23" i="1"/>
  <c r="K22" i="1"/>
  <c r="I22" i="1"/>
  <c r="K21" i="1"/>
  <c r="H19" i="1"/>
  <c r="I21" i="1"/>
  <c r="K20" i="1"/>
  <c r="H18" i="1"/>
  <c r="I20" i="1"/>
  <c r="K19" i="1"/>
  <c r="H17" i="1"/>
  <c r="I19" i="1"/>
  <c r="K18" i="1"/>
  <c r="I16" i="1"/>
  <c r="I18" i="1"/>
  <c r="K17" i="1"/>
  <c r="H15" i="1"/>
  <c r="I17" i="1"/>
  <c r="K16" i="1"/>
  <c r="H16" i="1"/>
  <c r="H14" i="1"/>
  <c r="K15" i="1"/>
  <c r="I15" i="1"/>
  <c r="H13" i="1"/>
  <c r="K14" i="1"/>
  <c r="H12" i="1"/>
  <c r="I14" i="1"/>
  <c r="K13" i="1"/>
  <c r="H11" i="1"/>
  <c r="I13" i="1"/>
  <c r="K12" i="1"/>
  <c r="I12" i="1"/>
  <c r="K11" i="1"/>
  <c r="I11" i="1"/>
  <c r="H10" i="1"/>
  <c r="I10" i="1"/>
  <c r="H9" i="1"/>
  <c r="K10" i="1"/>
  <c r="K9" i="1"/>
  <c r="I9" i="1"/>
  <c r="B8" i="1"/>
  <c r="F8" i="1"/>
  <c r="H8" i="1" s="1"/>
  <c r="G8" i="1"/>
  <c r="I8" i="1" s="1"/>
  <c r="K8" i="1"/>
  <c r="B7" i="1"/>
  <c r="F7" i="1"/>
  <c r="H7" i="1" s="1"/>
  <c r="G7" i="1"/>
  <c r="I7" i="1" s="1"/>
  <c r="K7" i="1"/>
  <c r="J23" i="1" l="1"/>
  <c r="J21" i="1"/>
  <c r="J24" i="1"/>
  <c r="J20" i="1"/>
  <c r="J22" i="1"/>
  <c r="J16" i="1"/>
  <c r="J19" i="1"/>
  <c r="J15" i="1"/>
  <c r="J18" i="1"/>
  <c r="J17" i="1"/>
  <c r="J14" i="1"/>
  <c r="J13" i="1"/>
  <c r="J12" i="1"/>
  <c r="J11" i="1"/>
  <c r="J10" i="1"/>
  <c r="J9" i="1"/>
  <c r="J8" i="1"/>
  <c r="J7" i="1"/>
  <c r="K6" i="1"/>
  <c r="D9" i="5" s="1"/>
  <c r="G6" i="1"/>
  <c r="F6" i="1"/>
  <c r="B6" i="1" l="1"/>
  <c r="I6" i="1" l="1"/>
  <c r="D8" i="5" s="1"/>
  <c r="H6" i="1"/>
  <c r="D7" i="5" s="1"/>
  <c r="J6" i="1" l="1"/>
</calcChain>
</file>

<file path=xl/sharedStrings.xml><?xml version="1.0" encoding="utf-8"?>
<sst xmlns="http://schemas.openxmlformats.org/spreadsheetml/2006/main" count="714" uniqueCount="139">
  <si>
    <t>Produit</t>
  </si>
  <si>
    <t>Prix TTC</t>
  </si>
  <si>
    <t>Prix Vente</t>
  </si>
  <si>
    <t>Equipe</t>
  </si>
  <si>
    <t>Blanc</t>
  </si>
  <si>
    <t>Audebault Noel</t>
  </si>
  <si>
    <t>Champigny</t>
  </si>
  <si>
    <t>Equipe  3</t>
  </si>
  <si>
    <t>Rosé</t>
  </si>
  <si>
    <t>Equipe 1</t>
  </si>
  <si>
    <t>Saumur Rouge</t>
  </si>
  <si>
    <t>Equipe 2</t>
  </si>
  <si>
    <t>Saint Nicolas</t>
  </si>
  <si>
    <t>Equipe 4</t>
  </si>
  <si>
    <t>Bières</t>
  </si>
  <si>
    <t>Equipe 5</t>
  </si>
  <si>
    <t>Perrier</t>
  </si>
  <si>
    <t>Equipe 6</t>
  </si>
  <si>
    <t>Schweppes</t>
  </si>
  <si>
    <t>Equipe 7</t>
  </si>
  <si>
    <t>Coca</t>
  </si>
  <si>
    <t xml:space="preserve">Equipe 7 </t>
  </si>
  <si>
    <t>Eau Alix</t>
  </si>
  <si>
    <t>Equipe Divers</t>
  </si>
  <si>
    <t>Gélineau Jacky</t>
  </si>
  <si>
    <t>Mousseux</t>
  </si>
  <si>
    <t>Pidou Michel</t>
  </si>
  <si>
    <t>Orangina</t>
  </si>
  <si>
    <t>Pranic Michel</t>
  </si>
  <si>
    <t>Café</t>
  </si>
  <si>
    <t>Eau 1,5</t>
  </si>
  <si>
    <t>Cidre</t>
  </si>
  <si>
    <t>Bieres sup</t>
  </si>
  <si>
    <t>Panaché</t>
  </si>
  <si>
    <t>Ricqles</t>
  </si>
  <si>
    <t>Bière Pression</t>
  </si>
  <si>
    <t>Ref</t>
  </si>
  <si>
    <t>Boissons</t>
  </si>
  <si>
    <t>Stock Réel</t>
  </si>
  <si>
    <t>Stock Min</t>
  </si>
  <si>
    <t>Prix Achat</t>
  </si>
  <si>
    <t>Valeur Stock Achat</t>
  </si>
  <si>
    <t>Valeur Stock Vente</t>
  </si>
  <si>
    <t>Bénefice</t>
  </si>
  <si>
    <t>Alerte</t>
  </si>
  <si>
    <t>Type</t>
  </si>
  <si>
    <t>Date</t>
  </si>
  <si>
    <t>Quantité</t>
  </si>
  <si>
    <t>Entrée</t>
  </si>
  <si>
    <t>Tableau de Bord</t>
  </si>
  <si>
    <t>Widget 1</t>
  </si>
  <si>
    <t>Widget 2</t>
  </si>
  <si>
    <t>Widget 3</t>
  </si>
  <si>
    <t>Widget 4</t>
  </si>
  <si>
    <t>Widget 5</t>
  </si>
  <si>
    <t>Widget 6</t>
  </si>
  <si>
    <t>Volume du Stock</t>
  </si>
  <si>
    <t>Valeur du Stock Achat</t>
  </si>
  <si>
    <t>Valeur du Stock Vente</t>
  </si>
  <si>
    <t>Nbr d'Articles à commander</t>
  </si>
  <si>
    <t>Classement Sortie</t>
  </si>
  <si>
    <t>Classement Entrée</t>
  </si>
  <si>
    <t>Top 3 Des Sorties</t>
  </si>
  <si>
    <t>Top 3 des Entrées</t>
  </si>
  <si>
    <t>Page 1</t>
  </si>
  <si>
    <t>Page 2</t>
  </si>
  <si>
    <t>Page 3</t>
  </si>
  <si>
    <t>Page 4</t>
  </si>
  <si>
    <t>Page 5</t>
  </si>
  <si>
    <t>Page 6</t>
  </si>
  <si>
    <t>Page 7</t>
  </si>
  <si>
    <t>Page 8</t>
  </si>
  <si>
    <t>Accueil</t>
  </si>
  <si>
    <t>Stock</t>
  </si>
  <si>
    <t>Mouvement</t>
  </si>
  <si>
    <t>Listes</t>
  </si>
  <si>
    <t>Config</t>
  </si>
  <si>
    <t>Navigation</t>
  </si>
  <si>
    <t>Étiquettes de lignes</t>
  </si>
  <si>
    <t>Année</t>
  </si>
  <si>
    <t>Mois</t>
  </si>
  <si>
    <t>31/03/2020</t>
  </si>
  <si>
    <t>Sortie</t>
  </si>
  <si>
    <t>Mise à Niveau</t>
  </si>
  <si>
    <t>31/01/2020</t>
  </si>
  <si>
    <t>28/02/2020</t>
  </si>
  <si>
    <t/>
  </si>
  <si>
    <t>Mise à Jour</t>
  </si>
  <si>
    <t>ConsoBar</t>
  </si>
  <si>
    <t>Début</t>
  </si>
  <si>
    <t>Fin</t>
  </si>
  <si>
    <t>Conso</t>
  </si>
  <si>
    <t>Numero d'Ordre</t>
  </si>
  <si>
    <t>Conso-</t>
  </si>
  <si>
    <t>Conso Bar</t>
  </si>
  <si>
    <t>22,5</t>
  </si>
  <si>
    <t>6,5</t>
  </si>
  <si>
    <t>4,5</t>
  </si>
  <si>
    <t>29/02/2020</t>
  </si>
  <si>
    <t>40,5</t>
  </si>
  <si>
    <t>27,5</t>
  </si>
  <si>
    <t>9,5</t>
  </si>
  <si>
    <t>TcdConso</t>
  </si>
  <si>
    <t>Somme de Conso</t>
  </si>
  <si>
    <t>Total Achat</t>
  </si>
  <si>
    <t>Total Vente</t>
  </si>
  <si>
    <t>Bénéfice</t>
  </si>
  <si>
    <t>18,5</t>
  </si>
  <si>
    <t>30/04/2020</t>
  </si>
  <si>
    <t>Inventaire Frigo</t>
  </si>
  <si>
    <t>Top 3 des Conso</t>
  </si>
  <si>
    <t>Accueil 2</t>
  </si>
  <si>
    <t>31/05/21</t>
  </si>
  <si>
    <t>13,5</t>
  </si>
  <si>
    <t>31/08/2020</t>
  </si>
  <si>
    <t>35,5</t>
  </si>
  <si>
    <t>30/05/2020</t>
  </si>
  <si>
    <t>15,5</t>
  </si>
  <si>
    <t>30/06/2021</t>
  </si>
  <si>
    <t>21,5</t>
  </si>
  <si>
    <t>30/07/2021</t>
  </si>
  <si>
    <t>30/06/2020</t>
  </si>
  <si>
    <t>36,5</t>
  </si>
  <si>
    <t>mai</t>
  </si>
  <si>
    <t>Total mai</t>
  </si>
  <si>
    <t>juin</t>
  </si>
  <si>
    <t>Total juin</t>
  </si>
  <si>
    <t>juillet</t>
  </si>
  <si>
    <t>Total juillet</t>
  </si>
  <si>
    <t>Valeur conso</t>
  </si>
  <si>
    <t>Valeur total achat</t>
  </si>
  <si>
    <t>Valeur total vente</t>
  </si>
  <si>
    <t>Valueur total bénéfice</t>
  </si>
  <si>
    <t>Pas d'entrée</t>
  </si>
  <si>
    <t>Total général</t>
  </si>
  <si>
    <t>Somme de Quantité</t>
  </si>
  <si>
    <t>Étiquettes de colonnes</t>
  </si>
  <si>
    <t>30/05/2021</t>
  </si>
  <si>
    <t>30/08/2021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</si>
</sst>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_(&quot;€&quot;* #,##0.00_);_(&quot;€&quot;* \(#,##0.00\);_(&quot;€&quot;* &quot;-&quot;??_);_(@_)"/>
    <numFmt numFmtId="165" formatCode="&quot;Besoin&quot;"/>
    <numFmt numFmtId="166" formatCode="0.0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scheme val="minor"/>
    </font>
    <font>
      <sz val="8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5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39997558519241921"/>
        <bgColor indexed="64"/>
      </patternFill>
    </fill>
  </fills>
  <borders count="10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41">
    <xf numFmtId="0" fontId="0" fillId="0" borderId="0" xfId="0"/>
    <xf numFmtId="0" fontId="0" fillId="0" borderId="0" xfId="0" applyAlignment="1">
      <alignment horizontal="center"/>
    </xf>
    <xf numFmtId="164" fontId="0" fillId="0" borderId="0" xfId="1" applyFont="1"/>
    <xf numFmtId="0" fontId="0" fillId="0" borderId="0" xfId="0" applyAlignment="1">
      <alignment horizontal="center" vertical="center" wrapText="1"/>
    </xf>
    <xf numFmtId="165" fontId="0" fillId="0" borderId="0" xfId="0" applyNumberFormat="1"/>
    <xf numFmtId="164" fontId="2" fillId="0" borderId="0" xfId="1" applyFont="1"/>
    <xf numFmtId="0" fontId="0" fillId="2" borderId="1" xfId="0" applyFill="1" applyBorder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6" xfId="0" applyBorder="1"/>
    <xf numFmtId="0" fontId="0" fillId="0" borderId="8" xfId="0" applyBorder="1"/>
    <xf numFmtId="0" fontId="0" fillId="0" borderId="9" xfId="0" applyBorder="1"/>
    <xf numFmtId="164" fontId="0" fillId="0" borderId="5" xfId="1" applyFont="1" applyBorder="1"/>
    <xf numFmtId="164" fontId="0" fillId="0" borderId="7" xfId="1" applyFont="1" applyBorder="1"/>
    <xf numFmtId="0" fontId="0" fillId="0" borderId="7" xfId="0" applyBorder="1" applyAlignment="1">
      <alignment horizontal="center"/>
    </xf>
    <xf numFmtId="0" fontId="0" fillId="0" borderId="9" xfId="0" applyBorder="1" applyAlignment="1">
      <alignment horizontal="center"/>
    </xf>
    <xf numFmtId="0" fontId="3" fillId="2" borderId="1" xfId="0" applyFont="1" applyFill="1" applyBorder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 applyAlignment="1">
      <alignment horizontal="center"/>
    </xf>
    <xf numFmtId="166" fontId="0" fillId="0" borderId="0" xfId="0" applyNumberFormat="1"/>
    <xf numFmtId="0" fontId="0" fillId="0" borderId="0" xfId="0" applyFill="1"/>
    <xf numFmtId="0" fontId="0" fillId="0" borderId="0" xfId="0" applyFill="1" applyAlignment="1">
      <alignment horizontal="center" vertical="center"/>
    </xf>
    <xf numFmtId="0" fontId="0" fillId="0" borderId="0" xfId="0" applyNumberFormat="1" applyFill="1" applyAlignment="1">
      <alignment horizontal="center" vertical="center"/>
    </xf>
    <xf numFmtId="0" fontId="0" fillId="2" borderId="0" xfId="0" applyFill="1" applyBorder="1"/>
    <xf numFmtId="164" fontId="4" fillId="0" borderId="0" xfId="1" applyFont="1" applyAlignment="1">
      <alignment horizontal="center"/>
    </xf>
    <xf numFmtId="0" fontId="0" fillId="0" borderId="0" xfId="0" applyNumberFormat="1"/>
    <xf numFmtId="14" fontId="0" fillId="0" borderId="0" xfId="0" applyNumberFormat="1" applyAlignment="1">
      <alignment horizontal="center"/>
    </xf>
    <xf numFmtId="164" fontId="0" fillId="0" borderId="0" xfId="1" applyFont="1" applyAlignment="1">
      <alignment horizontal="center"/>
    </xf>
    <xf numFmtId="164" fontId="0" fillId="0" borderId="0" xfId="1" applyNumberFormat="1" applyFont="1" applyAlignment="1">
      <alignment horizontal="center"/>
    </xf>
    <xf numFmtId="164" fontId="5" fillId="0" borderId="0" xfId="1" applyNumberFormat="1" applyFont="1" applyAlignment="1">
      <alignment horizontal="center"/>
    </xf>
    <xf numFmtId="0" fontId="0" fillId="0" borderId="2" xfId="0" applyFill="1" applyBorder="1"/>
    <xf numFmtId="164" fontId="0" fillId="0" borderId="2" xfId="0" applyNumberFormat="1" applyBorder="1"/>
    <xf numFmtId="14" fontId="0" fillId="0" borderId="0" xfId="0" applyNumberFormat="1" applyFill="1"/>
    <xf numFmtId="14" fontId="0" fillId="0" borderId="0" xfId="0" applyNumberFormat="1" applyFill="1" applyAlignment="1">
      <alignment horizontal="center" vertical="center"/>
    </xf>
    <xf numFmtId="0" fontId="0" fillId="4" borderId="0" xfId="0" applyFill="1" applyAlignment="1">
      <alignment horizontal="center"/>
    </xf>
    <xf numFmtId="0" fontId="0" fillId="6" borderId="0" xfId="0" applyFill="1" applyAlignment="1">
      <alignment horizontal="center"/>
    </xf>
    <xf numFmtId="0" fontId="0" fillId="3" borderId="0" xfId="0" applyFill="1" applyAlignment="1">
      <alignment horizontal="center"/>
    </xf>
    <xf numFmtId="0" fontId="0" fillId="5" borderId="0" xfId="0" applyFill="1" applyAlignment="1">
      <alignment horizontal="center"/>
    </xf>
  </cellXfs>
  <cellStyles count="2">
    <cellStyle name="Monétaire" xfId="1" builtinId="4"/>
    <cellStyle name="Normal" xfId="0" builtinId="0"/>
  </cellStyles>
  <dxfs count="45">
    <dxf>
      <alignment horizontal="center" readingOrder="0"/>
    </dxf>
    <dxf>
      <alignment horizontal="center" readingOrder="0"/>
    </dxf>
    <dxf>
      <alignment horizontal="center"/>
    </dxf>
    <dxf>
      <alignment horizontal="center"/>
    </dxf>
    <dxf>
      <alignment horizontal="center"/>
    </dxf>
    <dxf>
      <numFmt numFmtId="0" formatCode="General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_(&quot;€&quot;* #,##0.00_);_(&quot;€&quot;* \(#,##0.00\);_(&quot;€&quot;* &quot;-&quot;??_);_(@_)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_(&quot;€&quot;* #,##0.00_);_(&quot;€&quot;* \(#,##0.00\);_(&quot;€&quot;* &quot;-&quot;??_);_(@_)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readingOrder="0"/>
    </dxf>
    <dxf>
      <alignment horizontal="center" readingOrder="0"/>
    </dxf>
    <dxf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alignment horizontal="center" vertical="bottom" textRotation="0" wrapText="0" indent="0" justifyLastLine="0" shrinkToFit="0" readingOrder="0"/>
    </dxf>
    <dxf>
      <alignment horizontal="center"/>
    </dxf>
    <dxf>
      <alignment horizontal="center"/>
    </dxf>
    <dxf>
      <alignment horizontal="center"/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numFmt numFmtId="19" formatCode="dd/mm/yyyy"/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numFmt numFmtId="165" formatCode="&quot;Besoin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numFmt numFmtId="166" formatCode="0.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colors>
    <mruColors>
      <color rgb="FFFFFF00"/>
      <color rgb="FF62F070"/>
      <color rgb="FFDAE9F6"/>
      <color rgb="FFA9CBE9"/>
      <color rgb="FF0558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7/relationships/slicerCache" Target="slicerCaches/slicerCache2.xml"/><Relationship Id="rId18" Type="http://schemas.microsoft.com/office/2007/relationships/slicerCache" Target="slicerCaches/slicerCache7.xml"/><Relationship Id="rId3" Type="http://schemas.openxmlformats.org/officeDocument/2006/relationships/worksheet" Target="worksheets/sheet3.xml"/><Relationship Id="rId21" Type="http://schemas.openxmlformats.org/officeDocument/2006/relationships/theme" Target="theme/theme1.xml"/><Relationship Id="rId7" Type="http://schemas.openxmlformats.org/officeDocument/2006/relationships/worksheet" Target="worksheets/sheet7.xml"/><Relationship Id="rId12" Type="http://schemas.microsoft.com/office/2007/relationships/slicerCache" Target="slicerCaches/slicerCache1.xml"/><Relationship Id="rId17" Type="http://schemas.microsoft.com/office/2007/relationships/slicerCache" Target="slicerCaches/slicerCache6.xml"/><Relationship Id="rId25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microsoft.com/office/2007/relationships/slicerCache" Target="slicerCaches/slicerCache5.xml"/><Relationship Id="rId20" Type="http://schemas.microsoft.com/office/2007/relationships/slicerCache" Target="slicerCaches/slicerCache9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pivotCacheDefinition" Target="pivotCache/pivotCacheDefinition2.xml"/><Relationship Id="rId24" Type="http://schemas.openxmlformats.org/officeDocument/2006/relationships/calcChain" Target="calcChain.xml"/><Relationship Id="rId5" Type="http://schemas.openxmlformats.org/officeDocument/2006/relationships/worksheet" Target="worksheets/sheet5.xml"/><Relationship Id="rId15" Type="http://schemas.microsoft.com/office/2007/relationships/slicerCache" Target="slicerCaches/slicerCache4.xml"/><Relationship Id="rId23" Type="http://schemas.openxmlformats.org/officeDocument/2006/relationships/sharedStrings" Target="sharedStrings.xml"/><Relationship Id="rId10" Type="http://schemas.openxmlformats.org/officeDocument/2006/relationships/pivotCacheDefinition" Target="pivotCache/pivotCacheDefinition1.xml"/><Relationship Id="rId19" Type="http://schemas.microsoft.com/office/2007/relationships/slicerCache" Target="slicerCaches/slicerCache8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microsoft.com/office/2007/relationships/slicerCache" Target="slicerCaches/slicerCache3.xml"/><Relationship Id="rId22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jpeg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4" Type="http://schemas.openxmlformats.org/officeDocument/2006/relationships/image" Target="../media/image4.png"/></Relationships>
</file>

<file path=xl/drawings/_rels/drawing9.xml.rels><?xml version="1.0" encoding="UTF-8" standalone="yes"?>
<Relationships xmlns="http://schemas.openxmlformats.org/package/2006/relationships"><Relationship Id="rId1" Type="http://schemas.openxmlformats.org/officeDocument/2006/relationships/hyperlink" Target="#Conso!A1"/></Relationships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6.emf"/><Relationship Id="rId1" Type="http://schemas.openxmlformats.org/officeDocument/2006/relationships/image" Target="../media/image5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7.emf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8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3</xdr:row>
      <xdr:rowOff>0</xdr:rowOff>
    </xdr:from>
    <xdr:to>
      <xdr:col>15</xdr:col>
      <xdr:colOff>413888</xdr:colOff>
      <xdr:row>24</xdr:row>
      <xdr:rowOff>154200</xdr:rowOff>
    </xdr:to>
    <xdr:grpSp>
      <xdr:nvGrpSpPr>
        <xdr:cNvPr id="43" name="Groupe 42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GrpSpPr/>
      </xdr:nvGrpSpPr>
      <xdr:grpSpPr>
        <a:xfrm>
          <a:off x="762000" y="762000"/>
          <a:ext cx="11081888" cy="4154700"/>
          <a:chOff x="1562100" y="571500"/>
          <a:chExt cx="11081888" cy="4154700"/>
        </a:xfrm>
      </xdr:grpSpPr>
      <xdr:grpSp>
        <xdr:nvGrpSpPr>
          <xdr:cNvPr id="3" name="Groupe 2">
            <a:extLst>
              <a:ext uri="{FF2B5EF4-FFF2-40B4-BE49-F238E27FC236}">
                <a16:creationId xmlns:a16="http://schemas.microsoft.com/office/drawing/2014/main" id="{00000000-0008-0000-0000-000003000000}"/>
              </a:ext>
            </a:extLst>
          </xdr:cNvPr>
          <xdr:cNvGrpSpPr/>
        </xdr:nvGrpSpPr>
        <xdr:grpSpPr>
          <a:xfrm>
            <a:off x="1567088" y="571500"/>
            <a:ext cx="3600000" cy="1944000"/>
            <a:chOff x="762000" y="2837550"/>
            <a:chExt cx="3600000" cy="1944000"/>
          </a:xfrm>
        </xdr:grpSpPr>
        <xdr:sp macro="" textlink="">
          <xdr:nvSpPr>
            <xdr:cNvPr id="36" name="Rectangle 35">
              <a:extLst>
                <a:ext uri="{FF2B5EF4-FFF2-40B4-BE49-F238E27FC236}">
                  <a16:creationId xmlns:a16="http://schemas.microsoft.com/office/drawing/2014/main" id="{00000000-0008-0000-0000-000024000000}"/>
                </a:ext>
              </a:extLst>
            </xdr:cNvPr>
            <xdr:cNvSpPr/>
          </xdr:nvSpPr>
          <xdr:spPr>
            <a:xfrm>
              <a:off x="762000" y="2837550"/>
              <a:ext cx="3600000" cy="1944000"/>
            </a:xfrm>
            <a:prstGeom prst="rect">
              <a:avLst/>
            </a:prstGeom>
            <a:solidFill>
              <a:srgbClr val="002060"/>
            </a:solidFill>
            <a:ln>
              <a:noFill/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  <xdr:sp macro="" textlink="">
          <xdr:nvSpPr>
            <xdr:cNvPr id="37" name="Rectangle 36">
              <a:extLst>
                <a:ext uri="{FF2B5EF4-FFF2-40B4-BE49-F238E27FC236}">
                  <a16:creationId xmlns:a16="http://schemas.microsoft.com/office/drawing/2014/main" id="{00000000-0008-0000-0000-000025000000}"/>
                </a:ext>
              </a:extLst>
            </xdr:cNvPr>
            <xdr:cNvSpPr/>
          </xdr:nvSpPr>
          <xdr:spPr>
            <a:xfrm>
              <a:off x="762000" y="4410075"/>
              <a:ext cx="3600000" cy="360000"/>
            </a:xfrm>
            <a:prstGeom prst="rect">
              <a:avLst/>
            </a:prstGeom>
            <a:solidFill>
              <a:srgbClr val="0558FF"/>
            </a:solidFill>
            <a:ln>
              <a:noFill/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  <xdr:sp macro="" textlink="Config!$D$7">
          <xdr:nvSpPr>
            <xdr:cNvPr id="38" name="ZoneTexte 37">
              <a:extLst>
                <a:ext uri="{FF2B5EF4-FFF2-40B4-BE49-F238E27FC236}">
                  <a16:creationId xmlns:a16="http://schemas.microsoft.com/office/drawing/2014/main" id="{00000000-0008-0000-0000-000026000000}"/>
                </a:ext>
              </a:extLst>
            </xdr:cNvPr>
            <xdr:cNvSpPr txBox="1"/>
          </xdr:nvSpPr>
          <xdr:spPr>
            <a:xfrm>
              <a:off x="895350" y="3019425"/>
              <a:ext cx="1781175" cy="1190625"/>
            </a:xfrm>
            <a:prstGeom prst="rect">
              <a:avLst/>
            </a:prstGeom>
            <a:noFill/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rtlCol="0" anchor="ctr"/>
            <a:lstStyle/>
            <a:p>
              <a:pPr algn="ctr"/>
              <a:fld id="{0B378599-6B18-4A6F-BA9D-63D0060D417D}" type="TxLink">
                <a:rPr lang="en-US" sz="2400" b="0" i="0" u="none" strike="noStrike">
                  <a:solidFill>
                    <a:schemeClr val="bg1"/>
                  </a:solidFill>
                  <a:latin typeface="Calibri"/>
                  <a:cs typeface="Calibri"/>
                </a:rPr>
                <a:pPr algn="ctr"/>
                <a:t> €3 592,78 </a:t>
              </a:fld>
              <a:endParaRPr lang="fr-FR" sz="2400">
                <a:solidFill>
                  <a:schemeClr val="bg1"/>
                </a:solidFill>
              </a:endParaRPr>
            </a:p>
          </xdr:txBody>
        </xdr:sp>
        <xdr:sp macro="" textlink="Config!$C$7">
          <xdr:nvSpPr>
            <xdr:cNvPr id="39" name="ZoneTexte 38">
              <a:extLst>
                <a:ext uri="{FF2B5EF4-FFF2-40B4-BE49-F238E27FC236}">
                  <a16:creationId xmlns:a16="http://schemas.microsoft.com/office/drawing/2014/main" id="{00000000-0008-0000-0000-000027000000}"/>
                </a:ext>
              </a:extLst>
            </xdr:cNvPr>
            <xdr:cNvSpPr txBox="1"/>
          </xdr:nvSpPr>
          <xdr:spPr>
            <a:xfrm>
              <a:off x="942975" y="4419600"/>
              <a:ext cx="3238499" cy="333376"/>
            </a:xfrm>
            <a:prstGeom prst="rect">
              <a:avLst/>
            </a:prstGeom>
            <a:noFill/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rtlCol="0" anchor="ctr"/>
            <a:lstStyle/>
            <a:p>
              <a:pPr algn="ctr"/>
              <a:fld id="{CEFE1E08-D217-48A6-8FAD-1132D7736572}" type="TxLink">
                <a:rPr lang="en-US" sz="2400" b="0" i="0" u="none" strike="noStrike">
                  <a:solidFill>
                    <a:schemeClr val="bg1"/>
                  </a:solidFill>
                  <a:latin typeface="Calibri"/>
                  <a:cs typeface="Calibri"/>
                </a:rPr>
                <a:pPr algn="ctr"/>
                <a:t>Valeur du Stock Achat</a:t>
              </a:fld>
              <a:endParaRPr lang="fr-FR" sz="2400">
                <a:solidFill>
                  <a:schemeClr val="bg1"/>
                </a:solidFill>
              </a:endParaRPr>
            </a:p>
          </xdr:txBody>
        </xdr:sp>
        <xdr:pic>
          <xdr:nvPicPr>
            <xdr:cNvPr id="40" name="Image 39" descr="Monete euro dei Paesi Bassi - Wikipedia">
              <a:extLst>
                <a:ext uri="{FF2B5EF4-FFF2-40B4-BE49-F238E27FC236}">
                  <a16:creationId xmlns:a16="http://schemas.microsoft.com/office/drawing/2014/main" id="{00000000-0008-0000-0000-000028000000}"/>
                </a:ext>
              </a:extLst>
            </xdr:cNvPr>
            <xdr:cNvPicPr>
              <a:picLocks noChangeAspect="1"/>
            </xdr:cNvPicPr>
          </xdr:nvPicPr>
          <xdr:blipFill>
            <a:blip xmlns:r="http://schemas.openxmlformats.org/officeDocument/2006/relationships" r:embed="rId1">
              <a:clrChange>
                <a:clrFrom>
                  <a:srgbClr val="FFFFFF"/>
                </a:clrFrom>
                <a:clrTo>
                  <a:srgbClr val="FFFFFF">
                    <a:alpha val="0"/>
                  </a:srgbClr>
                </a:clrTo>
              </a:clrChange>
              <a:extLst>
                <a:ext uri="{28A0092B-C50C-407E-A947-70E740481C1C}">
                  <a14:useLocalDpi xmlns:a14="http://schemas.microsoft.com/office/drawing/2010/main" val="0"/>
                </a:ext>
              </a:extLst>
            </a:blip>
            <a:stretch>
              <a:fillRect/>
            </a:stretch>
          </xdr:blipFill>
          <xdr:spPr>
            <a:xfrm>
              <a:off x="3067050" y="3057525"/>
              <a:ext cx="1152525" cy="1152525"/>
            </a:xfrm>
            <a:prstGeom prst="rect">
              <a:avLst/>
            </a:prstGeom>
          </xdr:spPr>
        </xdr:pic>
      </xdr:grpSp>
      <xdr:grpSp>
        <xdr:nvGrpSpPr>
          <xdr:cNvPr id="4" name="Groupe 3">
            <a:extLst>
              <a:ext uri="{FF2B5EF4-FFF2-40B4-BE49-F238E27FC236}">
                <a16:creationId xmlns:a16="http://schemas.microsoft.com/office/drawing/2014/main" id="{00000000-0008-0000-0000-000004000000}"/>
              </a:ext>
            </a:extLst>
          </xdr:cNvPr>
          <xdr:cNvGrpSpPr/>
        </xdr:nvGrpSpPr>
        <xdr:grpSpPr>
          <a:xfrm>
            <a:off x="5314950" y="571500"/>
            <a:ext cx="3600000" cy="1944000"/>
            <a:chOff x="5133975" y="2647050"/>
            <a:chExt cx="3600000" cy="1944000"/>
          </a:xfrm>
        </xdr:grpSpPr>
        <xdr:sp macro="" textlink="">
          <xdr:nvSpPr>
            <xdr:cNvPr id="31" name="Rectangle 30">
              <a:extLst>
                <a:ext uri="{FF2B5EF4-FFF2-40B4-BE49-F238E27FC236}">
                  <a16:creationId xmlns:a16="http://schemas.microsoft.com/office/drawing/2014/main" id="{00000000-0008-0000-0000-00001F000000}"/>
                </a:ext>
              </a:extLst>
            </xdr:cNvPr>
            <xdr:cNvSpPr/>
          </xdr:nvSpPr>
          <xdr:spPr>
            <a:xfrm>
              <a:off x="5133975" y="2647050"/>
              <a:ext cx="3600000" cy="1944000"/>
            </a:xfrm>
            <a:prstGeom prst="rect">
              <a:avLst/>
            </a:prstGeom>
            <a:ln>
              <a:noFill/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  <xdr:sp macro="" textlink="">
          <xdr:nvSpPr>
            <xdr:cNvPr id="32" name="Rectangle 31">
              <a:extLst>
                <a:ext uri="{FF2B5EF4-FFF2-40B4-BE49-F238E27FC236}">
                  <a16:creationId xmlns:a16="http://schemas.microsoft.com/office/drawing/2014/main" id="{00000000-0008-0000-0000-000020000000}"/>
                </a:ext>
              </a:extLst>
            </xdr:cNvPr>
            <xdr:cNvSpPr/>
          </xdr:nvSpPr>
          <xdr:spPr>
            <a:xfrm>
              <a:off x="5133975" y="4231050"/>
              <a:ext cx="3600000" cy="360000"/>
            </a:xfrm>
            <a:prstGeom prst="rect">
              <a:avLst/>
            </a:prstGeom>
            <a:solidFill>
              <a:srgbClr val="A9CBE9"/>
            </a:solidFill>
            <a:ln>
              <a:noFill/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en-US" sz="1100"/>
            </a:p>
          </xdr:txBody>
        </xdr:sp>
        <xdr:sp macro="" textlink="Config!$C$8">
          <xdr:nvSpPr>
            <xdr:cNvPr id="33" name="ZoneTexte 32">
              <a:extLst>
                <a:ext uri="{FF2B5EF4-FFF2-40B4-BE49-F238E27FC236}">
                  <a16:creationId xmlns:a16="http://schemas.microsoft.com/office/drawing/2014/main" id="{00000000-0008-0000-0000-000021000000}"/>
                </a:ext>
              </a:extLst>
            </xdr:cNvPr>
            <xdr:cNvSpPr txBox="1"/>
          </xdr:nvSpPr>
          <xdr:spPr>
            <a:xfrm>
              <a:off x="5257800" y="4267200"/>
              <a:ext cx="3390900" cy="266700"/>
            </a:xfrm>
            <a:prstGeom prst="rect">
              <a:avLst/>
            </a:prstGeom>
            <a:noFill/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rtlCol="0" anchor="ctr"/>
            <a:lstStyle/>
            <a:p>
              <a:pPr algn="ctr"/>
              <a:fld id="{3C90DC81-9574-4A9D-9DC1-8DA030BF0CBE}" type="TxLink">
                <a:rPr lang="en-US" sz="2400" b="0" i="0" u="none" strike="noStrike">
                  <a:solidFill>
                    <a:schemeClr val="bg1"/>
                  </a:solidFill>
                  <a:latin typeface="Calibri"/>
                  <a:cs typeface="Calibri"/>
                </a:rPr>
                <a:pPr algn="ctr"/>
                <a:t>Valeur du Stock Vente</a:t>
              </a:fld>
              <a:endParaRPr lang="fr-FR" sz="2400">
                <a:solidFill>
                  <a:schemeClr val="bg1"/>
                </a:solidFill>
              </a:endParaRPr>
            </a:p>
          </xdr:txBody>
        </xdr:sp>
        <xdr:sp macro="" textlink="Config!$D$8">
          <xdr:nvSpPr>
            <xdr:cNvPr id="34" name="ZoneTexte 33">
              <a:extLst>
                <a:ext uri="{FF2B5EF4-FFF2-40B4-BE49-F238E27FC236}">
                  <a16:creationId xmlns:a16="http://schemas.microsoft.com/office/drawing/2014/main" id="{00000000-0008-0000-0000-000022000000}"/>
                </a:ext>
              </a:extLst>
            </xdr:cNvPr>
            <xdr:cNvSpPr txBox="1"/>
          </xdr:nvSpPr>
          <xdr:spPr>
            <a:xfrm>
              <a:off x="5305424" y="3048000"/>
              <a:ext cx="2352675" cy="895350"/>
            </a:xfrm>
            <a:prstGeom prst="rect">
              <a:avLst/>
            </a:prstGeom>
            <a:noFill/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rtlCol="0" anchor="ctr"/>
            <a:lstStyle/>
            <a:p>
              <a:pPr algn="ctr"/>
              <a:fld id="{BFF2BB65-B9C8-47B3-A7EA-0EFE653B47EE}" type="TxLink">
                <a:rPr lang="en-US" sz="3200" b="0" i="0" u="none" strike="noStrike">
                  <a:solidFill>
                    <a:schemeClr val="bg1"/>
                  </a:solidFill>
                  <a:latin typeface="Calibri"/>
                  <a:cs typeface="Calibri"/>
                </a:rPr>
                <a:pPr algn="ctr"/>
                <a:t> €6 199,00 </a:t>
              </a:fld>
              <a:endParaRPr lang="fr-FR" sz="3200">
                <a:solidFill>
                  <a:schemeClr val="bg1"/>
                </a:solidFill>
              </a:endParaRPr>
            </a:p>
          </xdr:txBody>
        </xdr:sp>
        <xdr:pic>
          <xdr:nvPicPr>
            <xdr:cNvPr id="35" name="Image 34" descr="Monete euro dei Paesi Bassi - Wikipedia">
              <a:extLst>
                <a:ext uri="{FF2B5EF4-FFF2-40B4-BE49-F238E27FC236}">
                  <a16:creationId xmlns:a16="http://schemas.microsoft.com/office/drawing/2014/main" id="{00000000-0008-0000-0000-000023000000}"/>
                </a:ext>
              </a:extLst>
            </xdr:cNvPr>
            <xdr:cNvPicPr>
              <a:picLocks noChangeAspect="1"/>
            </xdr:cNvPicPr>
          </xdr:nvPicPr>
          <xdr:blipFill>
            <a:blip xmlns:r="http://schemas.openxmlformats.org/officeDocument/2006/relationships" r:embed="rId1">
              <a:clrChange>
                <a:clrFrom>
                  <a:srgbClr val="FFFFFF"/>
                </a:clrFrom>
                <a:clrTo>
                  <a:srgbClr val="FFFFFF">
                    <a:alpha val="0"/>
                  </a:srgbClr>
                </a:clrTo>
              </a:clrChange>
              <a:extLst>
                <a:ext uri="{28A0092B-C50C-407E-A947-70E740481C1C}">
                  <a14:useLocalDpi xmlns:a14="http://schemas.microsoft.com/office/drawing/2010/main" val="0"/>
                </a:ext>
              </a:extLst>
            </a:blip>
            <a:stretch>
              <a:fillRect/>
            </a:stretch>
          </xdr:blipFill>
          <xdr:spPr>
            <a:xfrm>
              <a:off x="7591425" y="2962275"/>
              <a:ext cx="1009650" cy="1009650"/>
            </a:xfrm>
            <a:prstGeom prst="rect">
              <a:avLst/>
            </a:prstGeom>
          </xdr:spPr>
        </xdr:pic>
      </xdr:grpSp>
      <xdr:grpSp>
        <xdr:nvGrpSpPr>
          <xdr:cNvPr id="5" name="Groupe 4">
            <a:extLst>
              <a:ext uri="{FF2B5EF4-FFF2-40B4-BE49-F238E27FC236}">
                <a16:creationId xmlns:a16="http://schemas.microsoft.com/office/drawing/2014/main" id="{00000000-0008-0000-0000-000005000000}"/>
              </a:ext>
            </a:extLst>
          </xdr:cNvPr>
          <xdr:cNvGrpSpPr/>
        </xdr:nvGrpSpPr>
        <xdr:grpSpPr>
          <a:xfrm>
            <a:off x="9039225" y="571500"/>
            <a:ext cx="3600000" cy="1944000"/>
            <a:chOff x="9001125" y="1123050"/>
            <a:chExt cx="3600000" cy="1944000"/>
          </a:xfrm>
        </xdr:grpSpPr>
        <xdr:sp macro="" textlink="">
          <xdr:nvSpPr>
            <xdr:cNvPr id="27" name="Rectangle 26">
              <a:extLst>
                <a:ext uri="{FF2B5EF4-FFF2-40B4-BE49-F238E27FC236}">
                  <a16:creationId xmlns:a16="http://schemas.microsoft.com/office/drawing/2014/main" id="{00000000-0008-0000-0000-00001B000000}"/>
                </a:ext>
              </a:extLst>
            </xdr:cNvPr>
            <xdr:cNvSpPr/>
          </xdr:nvSpPr>
          <xdr:spPr>
            <a:xfrm>
              <a:off x="9001125" y="1123050"/>
              <a:ext cx="3600000" cy="1944000"/>
            </a:xfrm>
            <a:prstGeom prst="rect">
              <a:avLst/>
            </a:prstGeom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  <xdr:sp macro="" textlink="Config!$C$9">
          <xdr:nvSpPr>
            <xdr:cNvPr id="28" name="ZoneTexte 27">
              <a:extLst>
                <a:ext uri="{FF2B5EF4-FFF2-40B4-BE49-F238E27FC236}">
                  <a16:creationId xmlns:a16="http://schemas.microsoft.com/office/drawing/2014/main" id="{00000000-0008-0000-0000-00001C000000}"/>
                </a:ext>
              </a:extLst>
            </xdr:cNvPr>
            <xdr:cNvSpPr txBox="1"/>
          </xdr:nvSpPr>
          <xdr:spPr>
            <a:xfrm>
              <a:off x="9020176" y="2714626"/>
              <a:ext cx="3486150" cy="304800"/>
            </a:xfrm>
            <a:prstGeom prst="rect">
              <a:avLst/>
            </a:prstGeom>
            <a:noFill/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rtlCol="0" anchor="ctr"/>
            <a:lstStyle/>
            <a:p>
              <a:pPr algn="ctr"/>
              <a:fld id="{5983089B-B4E4-4BE5-ADCB-F8DBC04DE454}" type="TxLink">
                <a:rPr lang="en-US" sz="1600" b="0" i="0" u="none" strike="noStrike">
                  <a:solidFill>
                    <a:schemeClr val="bg1">
                      <a:lumMod val="50000"/>
                    </a:schemeClr>
                  </a:solidFill>
                  <a:latin typeface="Calibri"/>
                  <a:cs typeface="Calibri"/>
                </a:rPr>
                <a:pPr algn="ctr"/>
                <a:t>Nbr d'Articles à commander</a:t>
              </a:fld>
              <a:endParaRPr lang="fr-FR" sz="1600">
                <a:solidFill>
                  <a:schemeClr val="bg1">
                    <a:lumMod val="50000"/>
                  </a:schemeClr>
                </a:solidFill>
              </a:endParaRPr>
            </a:p>
          </xdr:txBody>
        </xdr:sp>
        <xdr:sp macro="" textlink="Config!$D$9">
          <xdr:nvSpPr>
            <xdr:cNvPr id="29" name="ZoneTexte 28">
              <a:extLst>
                <a:ext uri="{FF2B5EF4-FFF2-40B4-BE49-F238E27FC236}">
                  <a16:creationId xmlns:a16="http://schemas.microsoft.com/office/drawing/2014/main" id="{00000000-0008-0000-0000-00001D000000}"/>
                </a:ext>
              </a:extLst>
            </xdr:cNvPr>
            <xdr:cNvSpPr txBox="1"/>
          </xdr:nvSpPr>
          <xdr:spPr>
            <a:xfrm>
              <a:off x="9105900" y="1390650"/>
              <a:ext cx="1733550" cy="1009650"/>
            </a:xfrm>
            <a:prstGeom prst="rect">
              <a:avLst/>
            </a:prstGeom>
            <a:noFill/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rtlCol="0" anchor="ctr"/>
            <a:lstStyle/>
            <a:p>
              <a:pPr algn="ctr"/>
              <a:fld id="{15851364-6710-40C2-A810-EEF491CA2F27}" type="TxLink">
                <a:rPr lang="en-US" sz="6000" b="0" i="0" u="none" strike="noStrike">
                  <a:solidFill>
                    <a:schemeClr val="bg1"/>
                  </a:solidFill>
                  <a:latin typeface="Calibri"/>
                  <a:cs typeface="Calibri"/>
                </a:rPr>
                <a:pPr algn="ctr"/>
                <a:t>5</a:t>
              </a:fld>
              <a:endParaRPr lang="fr-FR" sz="6000">
                <a:solidFill>
                  <a:schemeClr val="bg1"/>
                </a:solidFill>
              </a:endParaRPr>
            </a:p>
          </xdr:txBody>
        </xdr:sp>
        <xdr:pic>
          <xdr:nvPicPr>
            <xdr:cNvPr id="30" name="Image 29" descr="Cultiver 11 légumes, aromatiques et fleurs d’été | La ...">
              <a:extLst>
                <a:ext uri="{FF2B5EF4-FFF2-40B4-BE49-F238E27FC236}">
                  <a16:creationId xmlns:a16="http://schemas.microsoft.com/office/drawing/2014/main" id="{00000000-0008-0000-0000-00001E000000}"/>
                </a:ext>
              </a:extLst>
            </xdr:cNvPr>
            <xdr:cNvPicPr>
              <a:picLocks noChangeAspect="1"/>
            </xdr:cNvPicPr>
          </xdr:nvPicPr>
          <xdr:blipFill>
            <a:blip xmlns:r="http://schemas.openxmlformats.org/officeDocument/2006/relationships" r:embed="rId2">
              <a:duotone>
                <a:prstClr val="black"/>
                <a:schemeClr val="accent1">
                  <a:tint val="45000"/>
                  <a:satMod val="400000"/>
                </a:schemeClr>
              </a:duotone>
              <a:extLst>
                <a:ext uri="{28A0092B-C50C-407E-A947-70E740481C1C}">
                  <a14:useLocalDpi xmlns:a14="http://schemas.microsoft.com/office/drawing/2010/main" val="0"/>
                </a:ext>
              </a:extLst>
            </a:blip>
            <a:stretch>
              <a:fillRect/>
            </a:stretch>
          </xdr:blipFill>
          <xdr:spPr>
            <a:xfrm>
              <a:off x="11020424" y="1209675"/>
              <a:ext cx="1383903" cy="1383903"/>
            </a:xfrm>
            <a:prstGeom prst="rect">
              <a:avLst/>
            </a:prstGeom>
          </xdr:spPr>
        </xdr:pic>
      </xdr:grpSp>
      <xdr:grpSp>
        <xdr:nvGrpSpPr>
          <xdr:cNvPr id="6" name="Groupe 5">
            <a:extLst>
              <a:ext uri="{FF2B5EF4-FFF2-40B4-BE49-F238E27FC236}">
                <a16:creationId xmlns:a16="http://schemas.microsoft.com/office/drawing/2014/main" id="{00000000-0008-0000-0000-000006000000}"/>
              </a:ext>
            </a:extLst>
          </xdr:cNvPr>
          <xdr:cNvGrpSpPr/>
        </xdr:nvGrpSpPr>
        <xdr:grpSpPr>
          <a:xfrm>
            <a:off x="1562100" y="2782200"/>
            <a:ext cx="3600000" cy="1944000"/>
            <a:chOff x="762000" y="4724400"/>
            <a:chExt cx="3600000" cy="1944000"/>
          </a:xfrm>
        </xdr:grpSpPr>
        <xdr:sp macro="" textlink="">
          <xdr:nvSpPr>
            <xdr:cNvPr id="22" name="Rectangle 21">
              <a:extLst>
                <a:ext uri="{FF2B5EF4-FFF2-40B4-BE49-F238E27FC236}">
                  <a16:creationId xmlns:a16="http://schemas.microsoft.com/office/drawing/2014/main" id="{00000000-0008-0000-0000-000016000000}"/>
                </a:ext>
              </a:extLst>
            </xdr:cNvPr>
            <xdr:cNvSpPr/>
          </xdr:nvSpPr>
          <xdr:spPr>
            <a:xfrm>
              <a:off x="762000" y="4724400"/>
              <a:ext cx="3600000" cy="1944000"/>
            </a:xfrm>
            <a:prstGeom prst="rect">
              <a:avLst/>
            </a:prstGeom>
          </xdr:spPr>
          <xdr:style>
            <a:lnRef idx="2">
              <a:schemeClr val="accent4">
                <a:shade val="50000"/>
              </a:schemeClr>
            </a:lnRef>
            <a:fillRef idx="1">
              <a:schemeClr val="accent4"/>
            </a:fillRef>
            <a:effectRef idx="0">
              <a:schemeClr val="accent4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  <xdr:sp macro="" textlink="">
          <xdr:nvSpPr>
            <xdr:cNvPr id="23" name="Rectangle 22">
              <a:extLst>
                <a:ext uri="{FF2B5EF4-FFF2-40B4-BE49-F238E27FC236}">
                  <a16:creationId xmlns:a16="http://schemas.microsoft.com/office/drawing/2014/main" id="{00000000-0008-0000-0000-000017000000}"/>
                </a:ext>
              </a:extLst>
            </xdr:cNvPr>
            <xdr:cNvSpPr/>
          </xdr:nvSpPr>
          <xdr:spPr>
            <a:xfrm>
              <a:off x="762000" y="6305550"/>
              <a:ext cx="3600000" cy="360000"/>
            </a:xfrm>
            <a:prstGeom prst="rect">
              <a:avLst/>
            </a:prstGeom>
            <a:solidFill>
              <a:schemeClr val="accent4">
                <a:lumMod val="75000"/>
              </a:schemeClr>
            </a:solidFill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  <xdr:sp macro="" textlink="Config!$D$11">
          <xdr:nvSpPr>
            <xdr:cNvPr id="24" name="ZoneTexte 23">
              <a:extLst>
                <a:ext uri="{FF2B5EF4-FFF2-40B4-BE49-F238E27FC236}">
                  <a16:creationId xmlns:a16="http://schemas.microsoft.com/office/drawing/2014/main" id="{00000000-0008-0000-0000-000018000000}"/>
                </a:ext>
              </a:extLst>
            </xdr:cNvPr>
            <xdr:cNvSpPr txBox="1"/>
          </xdr:nvSpPr>
          <xdr:spPr>
            <a:xfrm>
              <a:off x="942974" y="4933950"/>
              <a:ext cx="1933575" cy="1028700"/>
            </a:xfrm>
            <a:prstGeom prst="rect">
              <a:avLst/>
            </a:prstGeom>
            <a:noFill/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rtlCol="0" anchor="ctr"/>
            <a:lstStyle/>
            <a:p>
              <a:pPr algn="ctr"/>
              <a:fld id="{68134E05-0BED-4145-BC5F-8C91938E0F16}" type="TxLink">
                <a:rPr lang="en-US" sz="4800" b="0" i="0" u="none" strike="noStrike">
                  <a:solidFill>
                    <a:schemeClr val="bg1"/>
                  </a:solidFill>
                  <a:latin typeface="Calibri"/>
                  <a:cs typeface="Calibri"/>
                </a:rPr>
                <a:pPr algn="ctr"/>
                <a:t>2339</a:t>
              </a:fld>
              <a:endParaRPr lang="fr-FR" sz="4800">
                <a:solidFill>
                  <a:schemeClr val="bg1"/>
                </a:solidFill>
              </a:endParaRPr>
            </a:p>
          </xdr:txBody>
        </xdr:sp>
        <xdr:sp macro="" textlink="Config!$C$11">
          <xdr:nvSpPr>
            <xdr:cNvPr id="25" name="ZoneTexte 24">
              <a:extLst>
                <a:ext uri="{FF2B5EF4-FFF2-40B4-BE49-F238E27FC236}">
                  <a16:creationId xmlns:a16="http://schemas.microsoft.com/office/drawing/2014/main" id="{00000000-0008-0000-0000-000019000000}"/>
                </a:ext>
              </a:extLst>
            </xdr:cNvPr>
            <xdr:cNvSpPr txBox="1"/>
          </xdr:nvSpPr>
          <xdr:spPr>
            <a:xfrm>
              <a:off x="838200" y="6353175"/>
              <a:ext cx="3400425" cy="285750"/>
            </a:xfrm>
            <a:prstGeom prst="rect">
              <a:avLst/>
            </a:prstGeom>
            <a:noFill/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rtlCol="0" anchor="ctr"/>
            <a:lstStyle/>
            <a:p>
              <a:pPr algn="ctr"/>
              <a:fld id="{E93F38A9-B2A5-45A8-91B3-57611DA2CE41}" type="TxLink">
                <a:rPr lang="en-US" sz="2800" b="0" i="0" u="none" strike="noStrike">
                  <a:solidFill>
                    <a:schemeClr val="bg1"/>
                  </a:solidFill>
                  <a:latin typeface="Calibri"/>
                  <a:cs typeface="Calibri"/>
                </a:rPr>
                <a:pPr algn="ctr"/>
                <a:t>Volume du Stock</a:t>
              </a:fld>
              <a:endParaRPr lang="fr-FR" sz="2800">
                <a:solidFill>
                  <a:schemeClr val="bg1"/>
                </a:solidFill>
              </a:endParaRPr>
            </a:p>
          </xdr:txBody>
        </xdr:sp>
        <xdr:pic>
          <xdr:nvPicPr>
            <xdr:cNvPr id="26" name="Image 25" descr="Caption the Moment #2 | The Palladian Traveler">
              <a:extLst>
                <a:ext uri="{FF2B5EF4-FFF2-40B4-BE49-F238E27FC236}">
                  <a16:creationId xmlns:a16="http://schemas.microsoft.com/office/drawing/2014/main" id="{00000000-0008-0000-0000-00001A000000}"/>
                </a:ext>
              </a:extLst>
            </xdr:cNvPr>
            <xdr:cNvPicPr>
              <a:picLocks noChangeAspect="1"/>
            </xdr:cNvPicPr>
          </xdr:nvPicPr>
          <xdr:blipFill>
            <a:blip xmlns:r="http://schemas.openxmlformats.org/officeDocument/2006/relationships" r:embed="rId3" cstate="print">
              <a:extLst>
                <a:ext uri="{28A0092B-C50C-407E-A947-70E740481C1C}">
                  <a14:useLocalDpi xmlns:a14="http://schemas.microsoft.com/office/drawing/2010/main" val="0"/>
                </a:ext>
              </a:extLst>
            </a:blip>
            <a:stretch>
              <a:fillRect/>
            </a:stretch>
          </xdr:blipFill>
          <xdr:spPr>
            <a:xfrm>
              <a:off x="2981325" y="5067520"/>
              <a:ext cx="1314450" cy="825665"/>
            </a:xfrm>
            <a:prstGeom prst="rect">
              <a:avLst/>
            </a:prstGeom>
          </xdr:spPr>
        </xdr:pic>
      </xdr:grpSp>
      <xdr:grpSp>
        <xdr:nvGrpSpPr>
          <xdr:cNvPr id="7" name="Groupe 6">
            <a:extLst>
              <a:ext uri="{FF2B5EF4-FFF2-40B4-BE49-F238E27FC236}">
                <a16:creationId xmlns:a16="http://schemas.microsoft.com/office/drawing/2014/main" id="{00000000-0008-0000-0000-000007000000}"/>
              </a:ext>
            </a:extLst>
          </xdr:cNvPr>
          <xdr:cNvGrpSpPr/>
        </xdr:nvGrpSpPr>
        <xdr:grpSpPr>
          <a:xfrm>
            <a:off x="5314950" y="2782200"/>
            <a:ext cx="3600000" cy="1944000"/>
            <a:chOff x="4781550" y="4886325"/>
            <a:chExt cx="3600000" cy="1944000"/>
          </a:xfrm>
        </xdr:grpSpPr>
        <xdr:sp macro="" textlink="">
          <xdr:nvSpPr>
            <xdr:cNvPr id="15" name="Rectangle 14">
              <a:extLst>
                <a:ext uri="{FF2B5EF4-FFF2-40B4-BE49-F238E27FC236}">
                  <a16:creationId xmlns:a16="http://schemas.microsoft.com/office/drawing/2014/main" id="{00000000-0008-0000-0000-00000F000000}"/>
                </a:ext>
              </a:extLst>
            </xdr:cNvPr>
            <xdr:cNvSpPr/>
          </xdr:nvSpPr>
          <xdr:spPr>
            <a:xfrm>
              <a:off x="4781550" y="4886325"/>
              <a:ext cx="3600000" cy="1944000"/>
            </a:xfrm>
            <a:prstGeom prst="rect">
              <a:avLst/>
            </a:prstGeom>
            <a:solidFill>
              <a:srgbClr val="00B050"/>
            </a:solidFill>
            <a:ln>
              <a:noFill/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  <xdr:sp macro="" textlink="">
          <xdr:nvSpPr>
            <xdr:cNvPr id="16" name="Rectangle 15">
              <a:extLst>
                <a:ext uri="{FF2B5EF4-FFF2-40B4-BE49-F238E27FC236}">
                  <a16:creationId xmlns:a16="http://schemas.microsoft.com/office/drawing/2014/main" id="{00000000-0008-0000-0000-000010000000}"/>
                </a:ext>
              </a:extLst>
            </xdr:cNvPr>
            <xdr:cNvSpPr/>
          </xdr:nvSpPr>
          <xdr:spPr>
            <a:xfrm>
              <a:off x="4781550" y="6467475"/>
              <a:ext cx="3600000" cy="360000"/>
            </a:xfrm>
            <a:prstGeom prst="rect">
              <a:avLst/>
            </a:prstGeom>
            <a:solidFill>
              <a:srgbClr val="62F070"/>
            </a:solidFill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  <xdr:sp macro="" textlink="Config!$D$12">
          <xdr:nvSpPr>
            <xdr:cNvPr id="17" name="ZoneTexte 16">
              <a:extLst>
                <a:ext uri="{FF2B5EF4-FFF2-40B4-BE49-F238E27FC236}">
                  <a16:creationId xmlns:a16="http://schemas.microsoft.com/office/drawing/2014/main" id="{00000000-0008-0000-0000-000011000000}"/>
                </a:ext>
              </a:extLst>
            </xdr:cNvPr>
            <xdr:cNvSpPr txBox="1"/>
          </xdr:nvSpPr>
          <xdr:spPr>
            <a:xfrm>
              <a:off x="4991100" y="5114925"/>
              <a:ext cx="1304925" cy="247650"/>
            </a:xfrm>
            <a:prstGeom prst="rect">
              <a:avLst/>
            </a:prstGeom>
            <a:noFill/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rtlCol="0" anchor="ctr"/>
            <a:lstStyle/>
            <a:p>
              <a:fld id="{6138BDC4-31B4-44BC-ADA9-338E38BE0619}" type="TxLink">
                <a:rPr lang="en-US" sz="1600" b="0" i="0" u="none" strike="noStrike">
                  <a:solidFill>
                    <a:schemeClr val="bg1"/>
                  </a:solidFill>
                  <a:latin typeface="Calibri"/>
                  <a:cs typeface="Calibri"/>
                </a:rPr>
                <a:pPr/>
                <a:t>Saint Nicolas</a:t>
              </a:fld>
              <a:endParaRPr lang="fr-FR" sz="1600">
                <a:solidFill>
                  <a:schemeClr val="bg1"/>
                </a:solidFill>
              </a:endParaRPr>
            </a:p>
          </xdr:txBody>
        </xdr:sp>
        <xdr:sp macro="" textlink="Config!$E$12">
          <xdr:nvSpPr>
            <xdr:cNvPr id="18" name="ZoneTexte 17">
              <a:extLst>
                <a:ext uri="{FF2B5EF4-FFF2-40B4-BE49-F238E27FC236}">
                  <a16:creationId xmlns:a16="http://schemas.microsoft.com/office/drawing/2014/main" id="{00000000-0008-0000-0000-000012000000}"/>
                </a:ext>
              </a:extLst>
            </xdr:cNvPr>
            <xdr:cNvSpPr txBox="1"/>
          </xdr:nvSpPr>
          <xdr:spPr>
            <a:xfrm>
              <a:off x="4962525" y="5553075"/>
              <a:ext cx="1647825" cy="219075"/>
            </a:xfrm>
            <a:prstGeom prst="rect">
              <a:avLst/>
            </a:prstGeom>
            <a:noFill/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rtlCol="0" anchor="ctr"/>
            <a:lstStyle/>
            <a:p>
              <a:fld id="{95069DA1-89FD-4958-B384-ABA8909E9233}" type="TxLink">
                <a:rPr lang="en-US" sz="1600" b="0" i="0" u="none" strike="noStrike">
                  <a:solidFill>
                    <a:schemeClr val="bg1"/>
                  </a:solidFill>
                  <a:latin typeface="Calibri"/>
                  <a:cs typeface="Calibri"/>
                </a:rPr>
                <a:pPr/>
                <a:t>Saint Nicolas</a:t>
              </a:fld>
              <a:endParaRPr lang="fr-FR" sz="1600">
                <a:solidFill>
                  <a:schemeClr val="bg1"/>
                </a:solidFill>
              </a:endParaRPr>
            </a:p>
          </xdr:txBody>
        </xdr:sp>
        <xdr:sp macro="" textlink="Config!$F$12">
          <xdr:nvSpPr>
            <xdr:cNvPr id="19" name="ZoneTexte 18">
              <a:extLst>
                <a:ext uri="{FF2B5EF4-FFF2-40B4-BE49-F238E27FC236}">
                  <a16:creationId xmlns:a16="http://schemas.microsoft.com/office/drawing/2014/main" id="{00000000-0008-0000-0000-000013000000}"/>
                </a:ext>
              </a:extLst>
            </xdr:cNvPr>
            <xdr:cNvSpPr txBox="1"/>
          </xdr:nvSpPr>
          <xdr:spPr>
            <a:xfrm>
              <a:off x="4962526" y="5934075"/>
              <a:ext cx="1638300" cy="276225"/>
            </a:xfrm>
            <a:prstGeom prst="rect">
              <a:avLst/>
            </a:prstGeom>
            <a:noFill/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rtlCol="0" anchor="ctr"/>
            <a:lstStyle/>
            <a:p>
              <a:fld id="{43BB7832-DF59-457D-B3E2-C133C97568F8}" type="TxLink">
                <a:rPr lang="en-US" sz="1600" b="0" i="0" u="none" strike="noStrike">
                  <a:solidFill>
                    <a:schemeClr val="bg1"/>
                  </a:solidFill>
                  <a:latin typeface="Calibri"/>
                  <a:cs typeface="Calibri"/>
                </a:rPr>
                <a:pPr/>
                <a:t>Rosé</a:t>
              </a:fld>
              <a:endParaRPr lang="fr-FR" sz="1600">
                <a:solidFill>
                  <a:schemeClr val="bg1"/>
                </a:solidFill>
              </a:endParaRPr>
            </a:p>
          </xdr:txBody>
        </xdr:sp>
        <xdr:sp macro="" textlink="Config!$C$12">
          <xdr:nvSpPr>
            <xdr:cNvPr id="20" name="ZoneTexte 19">
              <a:extLst>
                <a:ext uri="{FF2B5EF4-FFF2-40B4-BE49-F238E27FC236}">
                  <a16:creationId xmlns:a16="http://schemas.microsoft.com/office/drawing/2014/main" id="{00000000-0008-0000-0000-000014000000}"/>
                </a:ext>
              </a:extLst>
            </xdr:cNvPr>
            <xdr:cNvSpPr txBox="1"/>
          </xdr:nvSpPr>
          <xdr:spPr>
            <a:xfrm>
              <a:off x="4933950" y="6496050"/>
              <a:ext cx="3371850" cy="285750"/>
            </a:xfrm>
            <a:prstGeom prst="rect">
              <a:avLst/>
            </a:prstGeom>
            <a:noFill/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rtlCol="0" anchor="ctr"/>
            <a:lstStyle/>
            <a:p>
              <a:pPr algn="ctr"/>
              <a:fld id="{FC0E043B-60D5-495D-A2F1-C5E78EBE3F4C}" type="TxLink">
                <a:rPr lang="en-US" sz="2400" b="0" i="0" u="none" strike="noStrike">
                  <a:solidFill>
                    <a:schemeClr val="accent6">
                      <a:lumMod val="50000"/>
                    </a:schemeClr>
                  </a:solidFill>
                  <a:latin typeface="Calibri"/>
                  <a:cs typeface="Calibri"/>
                </a:rPr>
                <a:pPr algn="ctr"/>
                <a:t>Top 3 des Entrées</a:t>
              </a:fld>
              <a:endParaRPr lang="fr-FR" sz="2400">
                <a:solidFill>
                  <a:schemeClr val="accent6">
                    <a:lumMod val="50000"/>
                  </a:schemeClr>
                </a:solidFill>
              </a:endParaRPr>
            </a:p>
          </xdr:txBody>
        </xdr:sp>
        <xdr:pic>
          <xdr:nvPicPr>
            <xdr:cNvPr id="21" name="Image 20" descr="Category:Trophy icons - Wikimedia Commons">
              <a:extLst>
                <a:ext uri="{FF2B5EF4-FFF2-40B4-BE49-F238E27FC236}">
                  <a16:creationId xmlns:a16="http://schemas.microsoft.com/office/drawing/2014/main" id="{00000000-0008-0000-0000-000015000000}"/>
                </a:ext>
              </a:extLst>
            </xdr:cNvPr>
            <xdr:cNvPicPr>
              <a:picLocks noChangeAspect="1"/>
            </xdr:cNvPicPr>
          </xdr:nvPicPr>
          <xdr:blipFill>
            <a:blip xmlns:r="http://schemas.openxmlformats.org/officeDocument/2006/relationships" r:embed="rId4">
              <a:extLst>
                <a:ext uri="{28A0092B-C50C-407E-A947-70E740481C1C}">
                  <a14:useLocalDpi xmlns:a14="http://schemas.microsoft.com/office/drawing/2010/main" val="0"/>
                </a:ext>
              </a:extLst>
            </a:blip>
            <a:stretch>
              <a:fillRect/>
            </a:stretch>
          </xdr:blipFill>
          <xdr:spPr>
            <a:xfrm>
              <a:off x="7143750" y="5067300"/>
              <a:ext cx="1143000" cy="1143000"/>
            </a:xfrm>
            <a:prstGeom prst="rect">
              <a:avLst/>
            </a:prstGeom>
          </xdr:spPr>
        </xdr:pic>
      </xdr:grpSp>
      <xdr:grpSp>
        <xdr:nvGrpSpPr>
          <xdr:cNvPr id="42" name="Groupe 41">
            <a:extLst>
              <a:ext uri="{FF2B5EF4-FFF2-40B4-BE49-F238E27FC236}">
                <a16:creationId xmlns:a16="http://schemas.microsoft.com/office/drawing/2014/main" id="{00000000-0008-0000-0000-00002A000000}"/>
              </a:ext>
            </a:extLst>
          </xdr:cNvPr>
          <xdr:cNvGrpSpPr/>
        </xdr:nvGrpSpPr>
        <xdr:grpSpPr>
          <a:xfrm>
            <a:off x="9034463" y="2782200"/>
            <a:ext cx="3609525" cy="1944000"/>
            <a:chOff x="9034463" y="2782200"/>
            <a:chExt cx="3609525" cy="1944000"/>
          </a:xfrm>
        </xdr:grpSpPr>
        <xdr:sp macro="" textlink="">
          <xdr:nvSpPr>
            <xdr:cNvPr id="9" name="Rectangle 8">
              <a:extLst>
                <a:ext uri="{FF2B5EF4-FFF2-40B4-BE49-F238E27FC236}">
                  <a16:creationId xmlns:a16="http://schemas.microsoft.com/office/drawing/2014/main" id="{00000000-0008-0000-0000-000009000000}"/>
                </a:ext>
              </a:extLst>
            </xdr:cNvPr>
            <xdr:cNvSpPr/>
          </xdr:nvSpPr>
          <xdr:spPr>
            <a:xfrm>
              <a:off x="9043988" y="2782200"/>
              <a:ext cx="3600000" cy="1944000"/>
            </a:xfrm>
            <a:prstGeom prst="rect">
              <a:avLst/>
            </a:prstGeom>
            <a:solidFill>
              <a:srgbClr val="00B050"/>
            </a:solidFill>
            <a:ln>
              <a:noFill/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  <xdr:sp macro="" textlink="">
          <xdr:nvSpPr>
            <xdr:cNvPr id="10" name="Rectangle 9">
              <a:extLst>
                <a:ext uri="{FF2B5EF4-FFF2-40B4-BE49-F238E27FC236}">
                  <a16:creationId xmlns:a16="http://schemas.microsoft.com/office/drawing/2014/main" id="{00000000-0008-0000-0000-00000A000000}"/>
                </a:ext>
              </a:extLst>
            </xdr:cNvPr>
            <xdr:cNvSpPr/>
          </xdr:nvSpPr>
          <xdr:spPr>
            <a:xfrm>
              <a:off x="9034463" y="4353825"/>
              <a:ext cx="3600000" cy="360000"/>
            </a:xfrm>
            <a:prstGeom prst="rect">
              <a:avLst/>
            </a:prstGeom>
            <a:solidFill>
              <a:srgbClr val="62F070"/>
            </a:solidFill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  <xdr:sp macro="" textlink="Config!$D$10">
          <xdr:nvSpPr>
            <xdr:cNvPr id="11" name="ZoneTexte 10">
              <a:extLst>
                <a:ext uri="{FF2B5EF4-FFF2-40B4-BE49-F238E27FC236}">
                  <a16:creationId xmlns:a16="http://schemas.microsoft.com/office/drawing/2014/main" id="{00000000-0008-0000-0000-00000B000000}"/>
                </a:ext>
              </a:extLst>
            </xdr:cNvPr>
            <xdr:cNvSpPr txBox="1"/>
          </xdr:nvSpPr>
          <xdr:spPr>
            <a:xfrm>
              <a:off x="9215438" y="3001275"/>
              <a:ext cx="1304925" cy="247650"/>
            </a:xfrm>
            <a:prstGeom prst="rect">
              <a:avLst/>
            </a:prstGeom>
            <a:noFill/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rtlCol="0" anchor="ctr"/>
            <a:lstStyle/>
            <a:p>
              <a:fld id="{2A603AF5-3C85-49DF-97E9-576E601B3E54}" type="TxLink">
                <a:rPr lang="en-US" sz="1100" b="0" i="0" u="none" strike="noStrike">
                  <a:solidFill>
                    <a:srgbClr val="000000"/>
                  </a:solidFill>
                  <a:latin typeface="Calibri"/>
                  <a:cs typeface="Calibri"/>
                </a:rPr>
                <a:pPr/>
                <a:t>Saint Nicolas</a:t>
              </a:fld>
              <a:endParaRPr lang="fr-FR" sz="1600">
                <a:solidFill>
                  <a:schemeClr val="bg1"/>
                </a:solidFill>
              </a:endParaRPr>
            </a:p>
          </xdr:txBody>
        </xdr:sp>
        <xdr:sp macro="" textlink="Config!$E$10">
          <xdr:nvSpPr>
            <xdr:cNvPr id="12" name="ZoneTexte 11">
              <a:extLst>
                <a:ext uri="{FF2B5EF4-FFF2-40B4-BE49-F238E27FC236}">
                  <a16:creationId xmlns:a16="http://schemas.microsoft.com/office/drawing/2014/main" id="{00000000-0008-0000-0000-00000C000000}"/>
                </a:ext>
              </a:extLst>
            </xdr:cNvPr>
            <xdr:cNvSpPr txBox="1"/>
          </xdr:nvSpPr>
          <xdr:spPr>
            <a:xfrm>
              <a:off x="9215438" y="3439425"/>
              <a:ext cx="1647825" cy="219075"/>
            </a:xfrm>
            <a:prstGeom prst="rect">
              <a:avLst/>
            </a:prstGeom>
            <a:noFill/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rtlCol="0" anchor="ctr"/>
            <a:lstStyle/>
            <a:p>
              <a:fld id="{EA71F40B-46BE-42B0-B0BE-3559894E5B7B}" type="TxLink">
                <a:rPr lang="en-US" sz="1100" b="0" i="0" u="none" strike="noStrike">
                  <a:solidFill>
                    <a:srgbClr val="000000"/>
                  </a:solidFill>
                  <a:latin typeface="Calibri"/>
                  <a:cs typeface="Calibri"/>
                </a:rPr>
                <a:pPr/>
                <a:t>Saint Nicolas</a:t>
              </a:fld>
              <a:endParaRPr lang="fr-FR" sz="1600">
                <a:solidFill>
                  <a:schemeClr val="bg1"/>
                </a:solidFill>
              </a:endParaRPr>
            </a:p>
          </xdr:txBody>
        </xdr:sp>
        <xdr:sp macro="" textlink="Config!$F$10">
          <xdr:nvSpPr>
            <xdr:cNvPr id="13" name="ZoneTexte 12">
              <a:extLst>
                <a:ext uri="{FF2B5EF4-FFF2-40B4-BE49-F238E27FC236}">
                  <a16:creationId xmlns:a16="http://schemas.microsoft.com/office/drawing/2014/main" id="{00000000-0008-0000-0000-00000D000000}"/>
                </a:ext>
              </a:extLst>
            </xdr:cNvPr>
            <xdr:cNvSpPr txBox="1"/>
          </xdr:nvSpPr>
          <xdr:spPr>
            <a:xfrm>
              <a:off x="9215439" y="3820425"/>
              <a:ext cx="1638300" cy="276225"/>
            </a:xfrm>
            <a:prstGeom prst="rect">
              <a:avLst/>
            </a:prstGeom>
            <a:noFill/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rtlCol="0" anchor="ctr"/>
            <a:lstStyle/>
            <a:p>
              <a:fld id="{48422A77-6676-4B13-812C-3DEE6F58DD51}" type="TxLink">
                <a:rPr lang="en-US" sz="1100" b="0" i="0" u="none" strike="noStrike">
                  <a:solidFill>
                    <a:srgbClr val="000000"/>
                  </a:solidFill>
                  <a:latin typeface="Calibri"/>
                  <a:cs typeface="Calibri"/>
                </a:rPr>
                <a:pPr/>
                <a:t>Saint Nicolas</a:t>
              </a:fld>
              <a:endParaRPr lang="fr-FR" sz="1600">
                <a:solidFill>
                  <a:schemeClr val="bg1"/>
                </a:solidFill>
              </a:endParaRPr>
            </a:p>
          </xdr:txBody>
        </xdr:sp>
        <xdr:pic>
          <xdr:nvPicPr>
            <xdr:cNvPr id="14" name="Image 13" descr="Category:Trophy icons - Wikimedia Commons">
              <a:extLst>
                <a:ext uri="{FF2B5EF4-FFF2-40B4-BE49-F238E27FC236}">
                  <a16:creationId xmlns:a16="http://schemas.microsoft.com/office/drawing/2014/main" id="{00000000-0008-0000-0000-00000E000000}"/>
                </a:ext>
              </a:extLst>
            </xdr:cNvPr>
            <xdr:cNvPicPr>
              <a:picLocks noChangeAspect="1"/>
            </xdr:cNvPicPr>
          </xdr:nvPicPr>
          <xdr:blipFill>
            <a:blip xmlns:r="http://schemas.openxmlformats.org/officeDocument/2006/relationships" r:embed="rId4">
              <a:extLst>
                <a:ext uri="{28A0092B-C50C-407E-A947-70E740481C1C}">
                  <a14:useLocalDpi xmlns:a14="http://schemas.microsoft.com/office/drawing/2010/main" val="0"/>
                </a:ext>
              </a:extLst>
            </a:blip>
            <a:stretch>
              <a:fillRect/>
            </a:stretch>
          </xdr:blipFill>
          <xdr:spPr>
            <a:xfrm>
              <a:off x="11396663" y="2953650"/>
              <a:ext cx="1143000" cy="1143000"/>
            </a:xfrm>
            <a:prstGeom prst="rect">
              <a:avLst/>
            </a:prstGeom>
          </xdr:spPr>
        </xdr:pic>
        <xdr:sp macro="" textlink="Config!C10">
          <xdr:nvSpPr>
            <xdr:cNvPr id="41" name="ZoneTexte 40">
              <a:extLst>
                <a:ext uri="{FF2B5EF4-FFF2-40B4-BE49-F238E27FC236}">
                  <a16:creationId xmlns:a16="http://schemas.microsoft.com/office/drawing/2014/main" id="{00000000-0008-0000-0000-000029000000}"/>
                </a:ext>
              </a:extLst>
            </xdr:cNvPr>
            <xdr:cNvSpPr txBox="1"/>
          </xdr:nvSpPr>
          <xdr:spPr>
            <a:xfrm>
              <a:off x="9267825" y="4400550"/>
              <a:ext cx="3124200" cy="285750"/>
            </a:xfrm>
            <a:prstGeom prst="rect">
              <a:avLst/>
            </a:prstGeom>
            <a:noFill/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rtlCol="0" anchor="ctr"/>
            <a:lstStyle/>
            <a:p>
              <a:pPr algn="ctr"/>
              <a:fld id="{BFC5D5FE-0486-4D3D-AF43-51B2DF5D20E2}" type="TxLink">
                <a:rPr lang="en-US" sz="1800" b="0" i="0" u="none" strike="noStrike">
                  <a:solidFill>
                    <a:srgbClr val="000000"/>
                  </a:solidFill>
                  <a:latin typeface="Calibri"/>
                  <a:cs typeface="Calibri"/>
                </a:rPr>
                <a:pPr algn="ctr"/>
                <a:t>Top 3 Des Sorties</a:t>
              </a:fld>
              <a:endParaRPr lang="fr-FR" sz="1800"/>
            </a:p>
          </xdr:txBody>
        </xdr:sp>
      </xdr:grpSp>
    </xdr:grpSp>
    <xdr:clientData/>
  </xdr:twoCellAnchor>
  <xdr:twoCellAnchor>
    <xdr:from>
      <xdr:col>1</xdr:col>
      <xdr:colOff>266700</xdr:colOff>
      <xdr:row>0</xdr:row>
      <xdr:rowOff>114299</xdr:rowOff>
    </xdr:from>
    <xdr:to>
      <xdr:col>15</xdr:col>
      <xdr:colOff>362700</xdr:colOff>
      <xdr:row>1</xdr:row>
      <xdr:rowOff>180974</xdr:rowOff>
    </xdr:to>
    <xdr:grpSp>
      <xdr:nvGrpSpPr>
        <xdr:cNvPr id="91" name="Groupe 90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GrpSpPr/>
      </xdr:nvGrpSpPr>
      <xdr:grpSpPr>
        <a:xfrm>
          <a:off x="1028700" y="114299"/>
          <a:ext cx="10764000" cy="447675"/>
          <a:chOff x="762000" y="0"/>
          <a:chExt cx="10764000" cy="396000"/>
        </a:xfrm>
      </xdr:grpSpPr>
      <xdr:sp macro="" textlink="">
        <xdr:nvSpPr>
          <xdr:cNvPr id="92" name="nav">
            <a:extLst>
              <a:ext uri="{FF2B5EF4-FFF2-40B4-BE49-F238E27FC236}">
                <a16:creationId xmlns:a16="http://schemas.microsoft.com/office/drawing/2014/main" id="{00000000-0008-0000-0000-00005C000000}"/>
              </a:ext>
            </a:extLst>
          </xdr:cNvPr>
          <xdr:cNvSpPr/>
        </xdr:nvSpPr>
        <xdr:spPr>
          <a:xfrm>
            <a:off x="762000" y="0"/>
            <a:ext cx="10764000" cy="396000"/>
          </a:xfrm>
          <a:prstGeom prst="rect">
            <a:avLst/>
          </a:prstGeom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[0]!Page_accueil" textlink="Config!$C$15">
        <xdr:nvSpPr>
          <xdr:cNvPr id="93" name="page1">
            <a:extLst>
              <a:ext uri="{FF2B5EF4-FFF2-40B4-BE49-F238E27FC236}">
                <a16:creationId xmlns:a16="http://schemas.microsoft.com/office/drawing/2014/main" id="{00000000-0008-0000-0000-00005D000000}"/>
              </a:ext>
            </a:extLst>
          </xdr:cNvPr>
          <xdr:cNvSpPr/>
        </xdr:nvSpPr>
        <xdr:spPr>
          <a:xfrm>
            <a:off x="913582" y="33476"/>
            <a:ext cx="1152000" cy="288000"/>
          </a:xfrm>
          <a:prstGeom prst="rect">
            <a:avLst/>
          </a:prstGeom>
        </xdr:spPr>
        <xdr:style>
          <a:lnRef idx="2">
            <a:schemeClr val="accent4">
              <a:shade val="50000"/>
            </a:schemeClr>
          </a:lnRef>
          <a:fillRef idx="1">
            <a:schemeClr val="accent4"/>
          </a:fillRef>
          <a:effectRef idx="0">
            <a:schemeClr val="accent4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313F896E-686B-4FD6-8658-434D45AC8A80}" type="TxLink">
              <a:rPr lang="en-US" sz="1400" b="1" i="0" u="none" strike="noStrike">
                <a:solidFill>
                  <a:schemeClr val="bg1"/>
                </a:solidFill>
                <a:latin typeface="Calibri"/>
                <a:cs typeface="Calibri"/>
              </a:rPr>
              <a:pPr algn="ctr"/>
              <a:t>Accueil</a:t>
            </a:fld>
            <a:endParaRPr lang="fr-FR" sz="1400" b="1">
              <a:solidFill>
                <a:schemeClr val="bg1"/>
              </a:solidFill>
            </a:endParaRPr>
          </a:p>
        </xdr:txBody>
      </xdr:sp>
      <xdr:sp macro="[0]!Page_stock" textlink="Config!$C$16">
        <xdr:nvSpPr>
          <xdr:cNvPr id="94" name="page2">
            <a:extLst>
              <a:ext uri="{FF2B5EF4-FFF2-40B4-BE49-F238E27FC236}">
                <a16:creationId xmlns:a16="http://schemas.microsoft.com/office/drawing/2014/main" id="{00000000-0008-0000-0000-00005E000000}"/>
              </a:ext>
            </a:extLst>
          </xdr:cNvPr>
          <xdr:cNvSpPr/>
        </xdr:nvSpPr>
        <xdr:spPr>
          <a:xfrm>
            <a:off x="2233743" y="33476"/>
            <a:ext cx="1152000" cy="288000"/>
          </a:xfrm>
          <a:prstGeom prst="rect">
            <a:avLst/>
          </a:prstGeom>
        </xdr:spPr>
        <xdr:style>
          <a:lnRef idx="2">
            <a:schemeClr val="accent4">
              <a:shade val="50000"/>
            </a:schemeClr>
          </a:lnRef>
          <a:fillRef idx="1">
            <a:schemeClr val="accent4"/>
          </a:fillRef>
          <a:effectRef idx="0">
            <a:schemeClr val="accent4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7348BA01-FE82-4EE7-BC21-F67BC2004387}" type="TxLink">
              <a:rPr lang="en-US" sz="1400" b="1" i="0" u="none" strike="noStrike">
                <a:solidFill>
                  <a:schemeClr val="bg1"/>
                </a:solidFill>
                <a:latin typeface="Calibri"/>
                <a:cs typeface="Calibri"/>
              </a:rPr>
              <a:pPr algn="ctr"/>
              <a:t>Stock</a:t>
            </a:fld>
            <a:endParaRPr lang="fr-FR" sz="1400" b="1">
              <a:solidFill>
                <a:schemeClr val="bg1"/>
              </a:solidFill>
            </a:endParaRPr>
          </a:p>
        </xdr:txBody>
      </xdr:sp>
      <xdr:sp macro="[0]!Page_Mouvements" textlink="Config!$C$17">
        <xdr:nvSpPr>
          <xdr:cNvPr id="95" name="page3">
            <a:extLst>
              <a:ext uri="{FF2B5EF4-FFF2-40B4-BE49-F238E27FC236}">
                <a16:creationId xmlns:a16="http://schemas.microsoft.com/office/drawing/2014/main" id="{00000000-0008-0000-0000-00005F000000}"/>
              </a:ext>
            </a:extLst>
          </xdr:cNvPr>
          <xdr:cNvSpPr/>
        </xdr:nvSpPr>
        <xdr:spPr>
          <a:xfrm>
            <a:off x="3563430" y="33476"/>
            <a:ext cx="1152000" cy="288000"/>
          </a:xfrm>
          <a:prstGeom prst="rect">
            <a:avLst/>
          </a:prstGeom>
        </xdr:spPr>
        <xdr:style>
          <a:lnRef idx="2">
            <a:schemeClr val="accent4">
              <a:shade val="50000"/>
            </a:schemeClr>
          </a:lnRef>
          <a:fillRef idx="1">
            <a:schemeClr val="accent4"/>
          </a:fillRef>
          <a:effectRef idx="0">
            <a:schemeClr val="accent4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6BFAFA03-0C5B-4C34-8EA7-86F2E2DEF200}" type="TxLink">
              <a:rPr lang="en-US" sz="1400" b="1" i="0" u="none" strike="noStrike">
                <a:solidFill>
                  <a:schemeClr val="bg1"/>
                </a:solidFill>
                <a:latin typeface="Calibri"/>
                <a:cs typeface="Calibri"/>
              </a:rPr>
              <a:pPr algn="ctr"/>
              <a:t>Mouvement</a:t>
            </a:fld>
            <a:endParaRPr lang="fr-FR" sz="1400" b="1">
              <a:solidFill>
                <a:schemeClr val="bg1"/>
              </a:solidFill>
            </a:endParaRPr>
          </a:p>
        </xdr:txBody>
      </xdr:sp>
      <xdr:sp macro="[0]!Page_Listes" textlink="Config!$C$18">
        <xdr:nvSpPr>
          <xdr:cNvPr id="96" name="page4">
            <a:extLst>
              <a:ext uri="{FF2B5EF4-FFF2-40B4-BE49-F238E27FC236}">
                <a16:creationId xmlns:a16="http://schemas.microsoft.com/office/drawing/2014/main" id="{00000000-0008-0000-0000-000060000000}"/>
              </a:ext>
            </a:extLst>
          </xdr:cNvPr>
          <xdr:cNvSpPr/>
        </xdr:nvSpPr>
        <xdr:spPr>
          <a:xfrm>
            <a:off x="4845376" y="33476"/>
            <a:ext cx="1152000" cy="288000"/>
          </a:xfrm>
          <a:prstGeom prst="rect">
            <a:avLst/>
          </a:prstGeom>
        </xdr:spPr>
        <xdr:style>
          <a:lnRef idx="2">
            <a:schemeClr val="accent4">
              <a:shade val="50000"/>
            </a:schemeClr>
          </a:lnRef>
          <a:fillRef idx="1">
            <a:schemeClr val="accent4"/>
          </a:fillRef>
          <a:effectRef idx="0">
            <a:schemeClr val="accent4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56E4DDC2-15C3-4242-BA27-68B76357DEBD}" type="TxLink">
              <a:rPr lang="en-US" sz="1400" b="1" i="0" u="none" strike="noStrike">
                <a:solidFill>
                  <a:schemeClr val="bg1"/>
                </a:solidFill>
                <a:latin typeface="Calibri"/>
                <a:cs typeface="Calibri"/>
              </a:rPr>
              <a:pPr algn="ctr"/>
              <a:t>Listes</a:t>
            </a:fld>
            <a:endParaRPr lang="fr-FR" sz="1400" b="1">
              <a:solidFill>
                <a:schemeClr val="bg1"/>
              </a:solidFill>
            </a:endParaRPr>
          </a:p>
        </xdr:txBody>
      </xdr:sp>
      <xdr:sp macro="[0]!Page_config" textlink="Config!$C$19">
        <xdr:nvSpPr>
          <xdr:cNvPr id="97" name="page5">
            <a:extLst>
              <a:ext uri="{FF2B5EF4-FFF2-40B4-BE49-F238E27FC236}">
                <a16:creationId xmlns:a16="http://schemas.microsoft.com/office/drawing/2014/main" id="{00000000-0008-0000-0000-000061000000}"/>
              </a:ext>
            </a:extLst>
          </xdr:cNvPr>
          <xdr:cNvSpPr/>
        </xdr:nvSpPr>
        <xdr:spPr>
          <a:xfrm>
            <a:off x="6165537" y="33476"/>
            <a:ext cx="1152000" cy="288000"/>
          </a:xfrm>
          <a:prstGeom prst="rect">
            <a:avLst/>
          </a:prstGeom>
        </xdr:spPr>
        <xdr:style>
          <a:lnRef idx="2">
            <a:schemeClr val="accent4">
              <a:shade val="50000"/>
            </a:schemeClr>
          </a:lnRef>
          <a:fillRef idx="1">
            <a:schemeClr val="accent4"/>
          </a:fillRef>
          <a:effectRef idx="0">
            <a:schemeClr val="accent4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marL="0" indent="0" algn="ctr"/>
            <a:fld id="{0C6EC2AF-A27A-4C77-BB4B-ACBD7D0EE214}" type="TxLink">
              <a:rPr lang="en-US" sz="1400" b="1" i="0" u="none" strike="noStrike">
                <a:solidFill>
                  <a:schemeClr val="bg1"/>
                </a:solidFill>
                <a:latin typeface="Calibri"/>
                <a:ea typeface="+mn-ea"/>
                <a:cs typeface="Calibri"/>
              </a:rPr>
              <a:pPr marL="0" indent="0" algn="ctr"/>
              <a:t>Config</a:t>
            </a:fld>
            <a:endParaRPr lang="fr-FR" sz="1400" b="1" i="0" u="none" strike="noStrike">
              <a:solidFill>
                <a:schemeClr val="bg1"/>
              </a:solidFill>
              <a:latin typeface="Calibri"/>
              <a:ea typeface="+mn-ea"/>
              <a:cs typeface="Calibri"/>
            </a:endParaRPr>
          </a:p>
        </xdr:txBody>
      </xdr:sp>
      <xdr:sp macro="[0]!Page_Conso" textlink="Config!$C$20">
        <xdr:nvSpPr>
          <xdr:cNvPr id="98" name="page6">
            <a:extLst>
              <a:ext uri="{FF2B5EF4-FFF2-40B4-BE49-F238E27FC236}">
                <a16:creationId xmlns:a16="http://schemas.microsoft.com/office/drawing/2014/main" id="{00000000-0008-0000-0000-000062000000}"/>
              </a:ext>
            </a:extLst>
          </xdr:cNvPr>
          <xdr:cNvSpPr/>
        </xdr:nvSpPr>
        <xdr:spPr>
          <a:xfrm>
            <a:off x="7466649" y="33476"/>
            <a:ext cx="1152000" cy="288000"/>
          </a:xfrm>
          <a:prstGeom prst="rect">
            <a:avLst/>
          </a:prstGeom>
        </xdr:spPr>
        <xdr:style>
          <a:lnRef idx="2">
            <a:schemeClr val="accent4">
              <a:shade val="50000"/>
            </a:schemeClr>
          </a:lnRef>
          <a:fillRef idx="1">
            <a:schemeClr val="accent4"/>
          </a:fillRef>
          <a:effectRef idx="0">
            <a:schemeClr val="accent4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BCDA6C1E-A283-4100-B72A-FBB9949A1217}" type="TxLink">
              <a:rPr lang="en-US" sz="1400" b="1" i="0" u="none" strike="noStrike">
                <a:solidFill>
                  <a:schemeClr val="bg1"/>
                </a:solidFill>
                <a:latin typeface="Calibri"/>
                <a:cs typeface="Calibri"/>
              </a:rPr>
              <a:pPr algn="ctr"/>
              <a:t>Conso Bar</a:t>
            </a:fld>
            <a:endParaRPr lang="fr-FR" sz="1400" b="1">
              <a:solidFill>
                <a:schemeClr val="bg1"/>
              </a:solidFill>
            </a:endParaRPr>
          </a:p>
        </xdr:txBody>
      </xdr:sp>
      <xdr:sp macro="[0]!Page_TcdConso" textlink="Config!$C$21">
        <xdr:nvSpPr>
          <xdr:cNvPr id="99" name="page7">
            <a:extLst>
              <a:ext uri="{FF2B5EF4-FFF2-40B4-BE49-F238E27FC236}">
                <a16:creationId xmlns:a16="http://schemas.microsoft.com/office/drawing/2014/main" id="{00000000-0008-0000-0000-000063000000}"/>
              </a:ext>
            </a:extLst>
          </xdr:cNvPr>
          <xdr:cNvSpPr/>
        </xdr:nvSpPr>
        <xdr:spPr>
          <a:xfrm>
            <a:off x="8786810" y="33476"/>
            <a:ext cx="1152000" cy="288000"/>
          </a:xfrm>
          <a:prstGeom prst="rect">
            <a:avLst/>
          </a:prstGeom>
        </xdr:spPr>
        <xdr:style>
          <a:lnRef idx="2">
            <a:schemeClr val="accent4">
              <a:shade val="50000"/>
            </a:schemeClr>
          </a:lnRef>
          <a:fillRef idx="1">
            <a:schemeClr val="accent4"/>
          </a:fillRef>
          <a:effectRef idx="0">
            <a:schemeClr val="accent4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30355429-B129-4BD6-98C6-BCDDBB486952}" type="TxLink">
              <a:rPr lang="en-US" sz="1400" b="1" i="0" u="none" strike="noStrike">
                <a:solidFill>
                  <a:schemeClr val="bg1"/>
                </a:solidFill>
                <a:latin typeface="Calibri"/>
                <a:cs typeface="Calibri"/>
              </a:rPr>
              <a:pPr algn="ctr"/>
              <a:t>TcdConso</a:t>
            </a:fld>
            <a:endParaRPr lang="fr-FR" sz="1400" b="1">
              <a:solidFill>
                <a:schemeClr val="bg1"/>
              </a:solidFill>
            </a:endParaRPr>
          </a:p>
        </xdr:txBody>
      </xdr:sp>
      <xdr:sp macro="[0]!Page_Accueil2" textlink="Config!$C$22">
        <xdr:nvSpPr>
          <xdr:cNvPr id="100" name="page8">
            <a:extLst>
              <a:ext uri="{FF2B5EF4-FFF2-40B4-BE49-F238E27FC236}">
                <a16:creationId xmlns:a16="http://schemas.microsoft.com/office/drawing/2014/main" id="{00000000-0008-0000-0000-000064000000}"/>
              </a:ext>
            </a:extLst>
          </xdr:cNvPr>
          <xdr:cNvSpPr/>
        </xdr:nvSpPr>
        <xdr:spPr>
          <a:xfrm>
            <a:off x="10116496" y="33476"/>
            <a:ext cx="1152000" cy="288000"/>
          </a:xfrm>
          <a:prstGeom prst="rect">
            <a:avLst/>
          </a:prstGeom>
        </xdr:spPr>
        <xdr:style>
          <a:lnRef idx="2">
            <a:schemeClr val="accent4">
              <a:shade val="50000"/>
            </a:schemeClr>
          </a:lnRef>
          <a:fillRef idx="1">
            <a:schemeClr val="accent4"/>
          </a:fillRef>
          <a:effectRef idx="0">
            <a:schemeClr val="accent4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E12E1474-1667-4FD0-AB5C-737639717003}" type="TxLink">
              <a:rPr lang="en-US" sz="1200" b="1" i="0" u="none" strike="noStrike">
                <a:solidFill>
                  <a:schemeClr val="bg1"/>
                </a:solidFill>
                <a:latin typeface="Calibri"/>
                <a:cs typeface="Calibri"/>
              </a:rPr>
              <a:pPr algn="ctr"/>
              <a:t>Accueil 2</a:t>
            </a:fld>
            <a:endParaRPr lang="fr-FR" sz="1600" b="1">
              <a:solidFill>
                <a:schemeClr val="bg1"/>
              </a:solidFill>
            </a:endParaRPr>
          </a:p>
        </xdr:txBody>
      </xdr:sp>
    </xdr:grp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752475</xdr:colOff>
          <xdr:row>2</xdr:row>
          <xdr:rowOff>66675</xdr:rowOff>
        </xdr:from>
        <xdr:to>
          <xdr:col>2</xdr:col>
          <xdr:colOff>600075</xdr:colOff>
          <xdr:row>3</xdr:row>
          <xdr:rowOff>161925</xdr:rowOff>
        </xdr:to>
        <xdr:sp macro="" textlink="">
          <xdr:nvSpPr>
            <xdr:cNvPr id="1026" name="BtnAjout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1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66675</xdr:colOff>
          <xdr:row>2</xdr:row>
          <xdr:rowOff>38100</xdr:rowOff>
        </xdr:from>
        <xdr:to>
          <xdr:col>10</xdr:col>
          <xdr:colOff>542925</xdr:colOff>
          <xdr:row>3</xdr:row>
          <xdr:rowOff>133350</xdr:rowOff>
        </xdr:to>
        <xdr:sp macro="" textlink="">
          <xdr:nvSpPr>
            <xdr:cNvPr id="1029" name="AjoutMvt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id="{00000000-0008-0000-0100-00000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1</xdr:col>
      <xdr:colOff>152400</xdr:colOff>
      <xdr:row>0</xdr:row>
      <xdr:rowOff>152400</xdr:rowOff>
    </xdr:from>
    <xdr:to>
      <xdr:col>13</xdr:col>
      <xdr:colOff>181725</xdr:colOff>
      <xdr:row>1</xdr:row>
      <xdr:rowOff>167400</xdr:rowOff>
    </xdr:to>
    <xdr:grpSp>
      <xdr:nvGrpSpPr>
        <xdr:cNvPr id="53" name="Groupe 52">
          <a:extLst>
            <a:ext uri="{FF2B5EF4-FFF2-40B4-BE49-F238E27FC236}">
              <a16:creationId xmlns:a16="http://schemas.microsoft.com/office/drawing/2014/main" id="{00000000-0008-0000-0100-000035000000}"/>
            </a:ext>
          </a:extLst>
        </xdr:cNvPr>
        <xdr:cNvGrpSpPr/>
      </xdr:nvGrpSpPr>
      <xdr:grpSpPr>
        <a:xfrm>
          <a:off x="914400" y="152400"/>
          <a:ext cx="10764000" cy="396000"/>
          <a:chOff x="762000" y="0"/>
          <a:chExt cx="10764000" cy="396000"/>
        </a:xfrm>
      </xdr:grpSpPr>
      <xdr:sp macro="" textlink="">
        <xdr:nvSpPr>
          <xdr:cNvPr id="54" name="nav">
            <a:extLst>
              <a:ext uri="{FF2B5EF4-FFF2-40B4-BE49-F238E27FC236}">
                <a16:creationId xmlns:a16="http://schemas.microsoft.com/office/drawing/2014/main" id="{00000000-0008-0000-0100-000036000000}"/>
              </a:ext>
            </a:extLst>
          </xdr:cNvPr>
          <xdr:cNvSpPr/>
        </xdr:nvSpPr>
        <xdr:spPr>
          <a:xfrm>
            <a:off x="762000" y="0"/>
            <a:ext cx="10764000" cy="396000"/>
          </a:xfrm>
          <a:prstGeom prst="rect">
            <a:avLst/>
          </a:prstGeom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[0]!Page_accueil" textlink="Config!$C$15">
        <xdr:nvSpPr>
          <xdr:cNvPr id="55" name="page1">
            <a:extLst>
              <a:ext uri="{FF2B5EF4-FFF2-40B4-BE49-F238E27FC236}">
                <a16:creationId xmlns:a16="http://schemas.microsoft.com/office/drawing/2014/main" id="{00000000-0008-0000-0100-000037000000}"/>
              </a:ext>
            </a:extLst>
          </xdr:cNvPr>
          <xdr:cNvSpPr/>
        </xdr:nvSpPr>
        <xdr:spPr>
          <a:xfrm>
            <a:off x="913582" y="33476"/>
            <a:ext cx="1152000" cy="288000"/>
          </a:xfrm>
          <a:prstGeom prst="rect">
            <a:avLst/>
          </a:prstGeom>
        </xdr:spPr>
        <xdr:style>
          <a:lnRef idx="2">
            <a:schemeClr val="accent4">
              <a:shade val="50000"/>
            </a:schemeClr>
          </a:lnRef>
          <a:fillRef idx="1">
            <a:schemeClr val="accent4"/>
          </a:fillRef>
          <a:effectRef idx="0">
            <a:schemeClr val="accent4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313F896E-686B-4FD6-8658-434D45AC8A80}" type="TxLink">
              <a:rPr lang="en-US" sz="1400" b="1" i="0" u="none" strike="noStrike">
                <a:solidFill>
                  <a:schemeClr val="bg1"/>
                </a:solidFill>
                <a:latin typeface="Calibri"/>
                <a:cs typeface="Calibri"/>
              </a:rPr>
              <a:pPr algn="ctr"/>
              <a:t>Accueil</a:t>
            </a:fld>
            <a:endParaRPr lang="fr-FR" sz="1400" b="1">
              <a:solidFill>
                <a:schemeClr val="bg1"/>
              </a:solidFill>
            </a:endParaRPr>
          </a:p>
        </xdr:txBody>
      </xdr:sp>
      <xdr:sp macro="[0]!Page_stock" textlink="Config!$C$16">
        <xdr:nvSpPr>
          <xdr:cNvPr id="56" name="page2">
            <a:extLst>
              <a:ext uri="{FF2B5EF4-FFF2-40B4-BE49-F238E27FC236}">
                <a16:creationId xmlns:a16="http://schemas.microsoft.com/office/drawing/2014/main" id="{00000000-0008-0000-0100-000038000000}"/>
              </a:ext>
            </a:extLst>
          </xdr:cNvPr>
          <xdr:cNvSpPr/>
        </xdr:nvSpPr>
        <xdr:spPr>
          <a:xfrm>
            <a:off x="2233743" y="33476"/>
            <a:ext cx="1152000" cy="288000"/>
          </a:xfrm>
          <a:prstGeom prst="rect">
            <a:avLst/>
          </a:prstGeom>
        </xdr:spPr>
        <xdr:style>
          <a:lnRef idx="2">
            <a:schemeClr val="accent4">
              <a:shade val="50000"/>
            </a:schemeClr>
          </a:lnRef>
          <a:fillRef idx="1">
            <a:schemeClr val="accent4"/>
          </a:fillRef>
          <a:effectRef idx="0">
            <a:schemeClr val="accent4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7348BA01-FE82-4EE7-BC21-F67BC2004387}" type="TxLink">
              <a:rPr lang="en-US" sz="1400" b="1" i="0" u="none" strike="noStrike">
                <a:solidFill>
                  <a:schemeClr val="bg1"/>
                </a:solidFill>
                <a:latin typeface="Calibri"/>
                <a:cs typeface="Calibri"/>
              </a:rPr>
              <a:pPr algn="ctr"/>
              <a:t>Stock</a:t>
            </a:fld>
            <a:endParaRPr lang="fr-FR" sz="1400" b="1">
              <a:solidFill>
                <a:schemeClr val="bg1"/>
              </a:solidFill>
            </a:endParaRPr>
          </a:p>
        </xdr:txBody>
      </xdr:sp>
      <xdr:sp macro="[0]!Page_Mouvements" textlink="Config!$C$17">
        <xdr:nvSpPr>
          <xdr:cNvPr id="57" name="page3">
            <a:extLst>
              <a:ext uri="{FF2B5EF4-FFF2-40B4-BE49-F238E27FC236}">
                <a16:creationId xmlns:a16="http://schemas.microsoft.com/office/drawing/2014/main" id="{00000000-0008-0000-0100-000039000000}"/>
              </a:ext>
            </a:extLst>
          </xdr:cNvPr>
          <xdr:cNvSpPr/>
        </xdr:nvSpPr>
        <xdr:spPr>
          <a:xfrm>
            <a:off x="3563430" y="33476"/>
            <a:ext cx="1152000" cy="288000"/>
          </a:xfrm>
          <a:prstGeom prst="rect">
            <a:avLst/>
          </a:prstGeom>
        </xdr:spPr>
        <xdr:style>
          <a:lnRef idx="2">
            <a:schemeClr val="accent4">
              <a:shade val="50000"/>
            </a:schemeClr>
          </a:lnRef>
          <a:fillRef idx="1">
            <a:schemeClr val="accent4"/>
          </a:fillRef>
          <a:effectRef idx="0">
            <a:schemeClr val="accent4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6BFAFA03-0C5B-4C34-8EA7-86F2E2DEF200}" type="TxLink">
              <a:rPr lang="en-US" sz="1400" b="1" i="0" u="none" strike="noStrike">
                <a:solidFill>
                  <a:schemeClr val="bg1"/>
                </a:solidFill>
                <a:latin typeface="Calibri"/>
                <a:cs typeface="Calibri"/>
              </a:rPr>
              <a:pPr algn="ctr"/>
              <a:t>Mouvement</a:t>
            </a:fld>
            <a:endParaRPr lang="fr-FR" sz="1400" b="1">
              <a:solidFill>
                <a:schemeClr val="bg1"/>
              </a:solidFill>
            </a:endParaRPr>
          </a:p>
        </xdr:txBody>
      </xdr:sp>
      <xdr:sp macro="[0]!Page_Listes" textlink="Config!$C$18">
        <xdr:nvSpPr>
          <xdr:cNvPr id="58" name="page4">
            <a:extLst>
              <a:ext uri="{FF2B5EF4-FFF2-40B4-BE49-F238E27FC236}">
                <a16:creationId xmlns:a16="http://schemas.microsoft.com/office/drawing/2014/main" id="{00000000-0008-0000-0100-00003A000000}"/>
              </a:ext>
            </a:extLst>
          </xdr:cNvPr>
          <xdr:cNvSpPr/>
        </xdr:nvSpPr>
        <xdr:spPr>
          <a:xfrm>
            <a:off x="4845376" y="33476"/>
            <a:ext cx="1152000" cy="288000"/>
          </a:xfrm>
          <a:prstGeom prst="rect">
            <a:avLst/>
          </a:prstGeom>
        </xdr:spPr>
        <xdr:style>
          <a:lnRef idx="2">
            <a:schemeClr val="accent4">
              <a:shade val="50000"/>
            </a:schemeClr>
          </a:lnRef>
          <a:fillRef idx="1">
            <a:schemeClr val="accent4"/>
          </a:fillRef>
          <a:effectRef idx="0">
            <a:schemeClr val="accent4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56E4DDC2-15C3-4242-BA27-68B76357DEBD}" type="TxLink">
              <a:rPr lang="en-US" sz="1400" b="1" i="0" u="none" strike="noStrike">
                <a:solidFill>
                  <a:schemeClr val="bg1"/>
                </a:solidFill>
                <a:latin typeface="Calibri"/>
                <a:cs typeface="Calibri"/>
              </a:rPr>
              <a:pPr algn="ctr"/>
              <a:t>Listes</a:t>
            </a:fld>
            <a:endParaRPr lang="fr-FR" sz="1400" b="1">
              <a:solidFill>
                <a:schemeClr val="bg1"/>
              </a:solidFill>
            </a:endParaRPr>
          </a:p>
        </xdr:txBody>
      </xdr:sp>
      <xdr:sp macro="[0]!Page_config" textlink="Config!$C$19">
        <xdr:nvSpPr>
          <xdr:cNvPr id="59" name="page5">
            <a:extLst>
              <a:ext uri="{FF2B5EF4-FFF2-40B4-BE49-F238E27FC236}">
                <a16:creationId xmlns:a16="http://schemas.microsoft.com/office/drawing/2014/main" id="{00000000-0008-0000-0100-00003B000000}"/>
              </a:ext>
            </a:extLst>
          </xdr:cNvPr>
          <xdr:cNvSpPr/>
        </xdr:nvSpPr>
        <xdr:spPr>
          <a:xfrm>
            <a:off x="6165537" y="33476"/>
            <a:ext cx="1152000" cy="288000"/>
          </a:xfrm>
          <a:prstGeom prst="rect">
            <a:avLst/>
          </a:prstGeom>
        </xdr:spPr>
        <xdr:style>
          <a:lnRef idx="2">
            <a:schemeClr val="accent4">
              <a:shade val="50000"/>
            </a:schemeClr>
          </a:lnRef>
          <a:fillRef idx="1">
            <a:schemeClr val="accent4"/>
          </a:fillRef>
          <a:effectRef idx="0">
            <a:schemeClr val="accent4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marL="0" indent="0" algn="ctr"/>
            <a:fld id="{0C6EC2AF-A27A-4C77-BB4B-ACBD7D0EE214}" type="TxLink">
              <a:rPr lang="en-US" sz="1400" b="1" i="0" u="none" strike="noStrike">
                <a:solidFill>
                  <a:schemeClr val="bg1"/>
                </a:solidFill>
                <a:latin typeface="Calibri"/>
                <a:ea typeface="+mn-ea"/>
                <a:cs typeface="Calibri"/>
              </a:rPr>
              <a:pPr marL="0" indent="0" algn="ctr"/>
              <a:t>Config</a:t>
            </a:fld>
            <a:endParaRPr lang="fr-FR" sz="1400" b="1" i="0" u="none" strike="noStrike">
              <a:solidFill>
                <a:schemeClr val="bg1"/>
              </a:solidFill>
              <a:latin typeface="Calibri"/>
              <a:ea typeface="+mn-ea"/>
              <a:cs typeface="Calibri"/>
            </a:endParaRPr>
          </a:p>
        </xdr:txBody>
      </xdr:sp>
      <xdr:sp macro="[0]!Page_Conso" textlink="Config!$C$20">
        <xdr:nvSpPr>
          <xdr:cNvPr id="60" name="page6">
            <a:extLst>
              <a:ext uri="{FF2B5EF4-FFF2-40B4-BE49-F238E27FC236}">
                <a16:creationId xmlns:a16="http://schemas.microsoft.com/office/drawing/2014/main" id="{00000000-0008-0000-0100-00003C000000}"/>
              </a:ext>
            </a:extLst>
          </xdr:cNvPr>
          <xdr:cNvSpPr/>
        </xdr:nvSpPr>
        <xdr:spPr>
          <a:xfrm>
            <a:off x="7466649" y="33476"/>
            <a:ext cx="1152000" cy="288000"/>
          </a:xfrm>
          <a:prstGeom prst="rect">
            <a:avLst/>
          </a:prstGeom>
        </xdr:spPr>
        <xdr:style>
          <a:lnRef idx="2">
            <a:schemeClr val="accent4">
              <a:shade val="50000"/>
            </a:schemeClr>
          </a:lnRef>
          <a:fillRef idx="1">
            <a:schemeClr val="accent4"/>
          </a:fillRef>
          <a:effectRef idx="0">
            <a:schemeClr val="accent4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BCDA6C1E-A283-4100-B72A-FBB9949A1217}" type="TxLink">
              <a:rPr lang="en-US" sz="1400" b="1" i="0" u="none" strike="noStrike">
                <a:solidFill>
                  <a:schemeClr val="bg1"/>
                </a:solidFill>
                <a:latin typeface="Calibri"/>
                <a:cs typeface="Calibri"/>
              </a:rPr>
              <a:pPr algn="ctr"/>
              <a:t>Conso Bar</a:t>
            </a:fld>
            <a:endParaRPr lang="fr-FR" sz="1400" b="1">
              <a:solidFill>
                <a:schemeClr val="bg1"/>
              </a:solidFill>
            </a:endParaRPr>
          </a:p>
        </xdr:txBody>
      </xdr:sp>
      <xdr:sp macro="[0]!Page_TcdConso" textlink="Config!$C$21">
        <xdr:nvSpPr>
          <xdr:cNvPr id="61" name="page7">
            <a:extLst>
              <a:ext uri="{FF2B5EF4-FFF2-40B4-BE49-F238E27FC236}">
                <a16:creationId xmlns:a16="http://schemas.microsoft.com/office/drawing/2014/main" id="{00000000-0008-0000-0100-00003D000000}"/>
              </a:ext>
            </a:extLst>
          </xdr:cNvPr>
          <xdr:cNvSpPr/>
        </xdr:nvSpPr>
        <xdr:spPr>
          <a:xfrm>
            <a:off x="8786810" y="33476"/>
            <a:ext cx="1152000" cy="288000"/>
          </a:xfrm>
          <a:prstGeom prst="rect">
            <a:avLst/>
          </a:prstGeom>
        </xdr:spPr>
        <xdr:style>
          <a:lnRef idx="2">
            <a:schemeClr val="accent4">
              <a:shade val="50000"/>
            </a:schemeClr>
          </a:lnRef>
          <a:fillRef idx="1">
            <a:schemeClr val="accent4"/>
          </a:fillRef>
          <a:effectRef idx="0">
            <a:schemeClr val="accent4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30355429-B129-4BD6-98C6-BCDDBB486952}" type="TxLink">
              <a:rPr lang="en-US" sz="1400" b="1" i="0" u="none" strike="noStrike">
                <a:solidFill>
                  <a:schemeClr val="bg1"/>
                </a:solidFill>
                <a:latin typeface="Calibri"/>
                <a:cs typeface="Calibri"/>
              </a:rPr>
              <a:pPr algn="ctr"/>
              <a:t>TcdConso</a:t>
            </a:fld>
            <a:endParaRPr lang="fr-FR" sz="1400" b="1">
              <a:solidFill>
                <a:schemeClr val="bg1"/>
              </a:solidFill>
            </a:endParaRPr>
          </a:p>
        </xdr:txBody>
      </xdr:sp>
      <xdr:sp macro="[0]!Page_Accueil2" textlink="Config!$C$22">
        <xdr:nvSpPr>
          <xdr:cNvPr id="62" name="page8">
            <a:extLst>
              <a:ext uri="{FF2B5EF4-FFF2-40B4-BE49-F238E27FC236}">
                <a16:creationId xmlns:a16="http://schemas.microsoft.com/office/drawing/2014/main" id="{00000000-0008-0000-0100-00003E000000}"/>
              </a:ext>
            </a:extLst>
          </xdr:cNvPr>
          <xdr:cNvSpPr/>
        </xdr:nvSpPr>
        <xdr:spPr>
          <a:xfrm>
            <a:off x="10116496" y="33476"/>
            <a:ext cx="1152000" cy="288000"/>
          </a:xfrm>
          <a:prstGeom prst="rect">
            <a:avLst/>
          </a:prstGeom>
        </xdr:spPr>
        <xdr:style>
          <a:lnRef idx="2">
            <a:schemeClr val="accent4">
              <a:shade val="50000"/>
            </a:schemeClr>
          </a:lnRef>
          <a:fillRef idx="1">
            <a:schemeClr val="accent4"/>
          </a:fillRef>
          <a:effectRef idx="0">
            <a:schemeClr val="accent4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E12E1474-1667-4FD0-AB5C-737639717003}" type="TxLink">
              <a:rPr lang="en-US" sz="1200" b="1" i="0" u="none" strike="noStrike">
                <a:solidFill>
                  <a:schemeClr val="bg1"/>
                </a:solidFill>
                <a:latin typeface="Calibri"/>
                <a:cs typeface="Calibri"/>
              </a:rPr>
              <a:pPr algn="ctr"/>
              <a:t>Accueil 2</a:t>
            </a:fld>
            <a:endParaRPr lang="fr-FR" sz="1600" b="1">
              <a:solidFill>
                <a:schemeClr val="bg1"/>
              </a:solidFill>
            </a:endParaRPr>
          </a:p>
        </xdr:txBody>
      </xdr:sp>
    </xdr:grp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742950</xdr:colOff>
          <xdr:row>2</xdr:row>
          <xdr:rowOff>19050</xdr:rowOff>
        </xdr:from>
        <xdr:to>
          <xdr:col>1</xdr:col>
          <xdr:colOff>742950</xdr:colOff>
          <xdr:row>3</xdr:row>
          <xdr:rowOff>152400</xdr:rowOff>
        </xdr:to>
        <xdr:sp macro="" textlink="">
          <xdr:nvSpPr>
            <xdr:cNvPr id="4098" name="BtnAjoutMouv" hidden="1">
              <a:extLst>
                <a:ext uri="{63B3BB69-23CF-44E3-9099-C40C66FF867C}">
                  <a14:compatExt spid="_x0000_s4098"/>
                </a:ext>
                <a:ext uri="{FF2B5EF4-FFF2-40B4-BE49-F238E27FC236}">
                  <a16:creationId xmlns:a16="http://schemas.microsoft.com/office/drawing/2014/main" id="{00000000-0008-0000-0200-000002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 editAs="absolute">
    <xdr:from>
      <xdr:col>9</xdr:col>
      <xdr:colOff>542925</xdr:colOff>
      <xdr:row>3</xdr:row>
      <xdr:rowOff>161925</xdr:rowOff>
    </xdr:from>
    <xdr:to>
      <xdr:col>12</xdr:col>
      <xdr:colOff>85725</xdr:colOff>
      <xdr:row>74</xdr:row>
      <xdr:rowOff>19050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2" name="Mois 2">
              <a:extLst>
                <a:ext uri="{FF2B5EF4-FFF2-40B4-BE49-F238E27FC236}">
                  <a16:creationId xmlns:a16="http://schemas.microsoft.com/office/drawing/2014/main" id="{00000000-0008-0000-0200-000002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ois 2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9201150" y="1171575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  <xdr:twoCellAnchor>
    <xdr:from>
      <xdr:col>1</xdr:col>
      <xdr:colOff>152400</xdr:colOff>
      <xdr:row>0</xdr:row>
      <xdr:rowOff>152400</xdr:rowOff>
    </xdr:from>
    <xdr:to>
      <xdr:col>12</xdr:col>
      <xdr:colOff>734175</xdr:colOff>
      <xdr:row>0</xdr:row>
      <xdr:rowOff>548400</xdr:rowOff>
    </xdr:to>
    <xdr:grpSp>
      <xdr:nvGrpSpPr>
        <xdr:cNvPr id="34" name="Groupe 33">
          <a:extLst>
            <a:ext uri="{FF2B5EF4-FFF2-40B4-BE49-F238E27FC236}">
              <a16:creationId xmlns:a16="http://schemas.microsoft.com/office/drawing/2014/main" id="{00000000-0008-0000-0200-000022000000}"/>
            </a:ext>
          </a:extLst>
        </xdr:cNvPr>
        <xdr:cNvGrpSpPr/>
      </xdr:nvGrpSpPr>
      <xdr:grpSpPr>
        <a:xfrm>
          <a:off x="914400" y="152400"/>
          <a:ext cx="10764000" cy="396000"/>
          <a:chOff x="762000" y="0"/>
          <a:chExt cx="10764000" cy="396000"/>
        </a:xfrm>
      </xdr:grpSpPr>
      <xdr:sp macro="" textlink="">
        <xdr:nvSpPr>
          <xdr:cNvPr id="35" name="nav">
            <a:extLst>
              <a:ext uri="{FF2B5EF4-FFF2-40B4-BE49-F238E27FC236}">
                <a16:creationId xmlns:a16="http://schemas.microsoft.com/office/drawing/2014/main" id="{00000000-0008-0000-0200-000023000000}"/>
              </a:ext>
            </a:extLst>
          </xdr:cNvPr>
          <xdr:cNvSpPr/>
        </xdr:nvSpPr>
        <xdr:spPr>
          <a:xfrm>
            <a:off x="762000" y="0"/>
            <a:ext cx="10764000" cy="396000"/>
          </a:xfrm>
          <a:prstGeom prst="rect">
            <a:avLst/>
          </a:prstGeom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[0]!Page_accueil" textlink="Config!$C$15">
        <xdr:nvSpPr>
          <xdr:cNvPr id="36" name="page1">
            <a:extLst>
              <a:ext uri="{FF2B5EF4-FFF2-40B4-BE49-F238E27FC236}">
                <a16:creationId xmlns:a16="http://schemas.microsoft.com/office/drawing/2014/main" id="{00000000-0008-0000-0200-000024000000}"/>
              </a:ext>
            </a:extLst>
          </xdr:cNvPr>
          <xdr:cNvSpPr/>
        </xdr:nvSpPr>
        <xdr:spPr>
          <a:xfrm>
            <a:off x="913582" y="33476"/>
            <a:ext cx="1152000" cy="288000"/>
          </a:xfrm>
          <a:prstGeom prst="rect">
            <a:avLst/>
          </a:prstGeom>
        </xdr:spPr>
        <xdr:style>
          <a:lnRef idx="2">
            <a:schemeClr val="accent4">
              <a:shade val="50000"/>
            </a:schemeClr>
          </a:lnRef>
          <a:fillRef idx="1">
            <a:schemeClr val="accent4"/>
          </a:fillRef>
          <a:effectRef idx="0">
            <a:schemeClr val="accent4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313F896E-686B-4FD6-8658-434D45AC8A80}" type="TxLink">
              <a:rPr lang="en-US" sz="1400" b="1" i="0" u="none" strike="noStrike">
                <a:solidFill>
                  <a:schemeClr val="bg1"/>
                </a:solidFill>
                <a:latin typeface="Calibri"/>
                <a:cs typeface="Calibri"/>
              </a:rPr>
              <a:pPr algn="ctr"/>
              <a:t>Accueil</a:t>
            </a:fld>
            <a:endParaRPr lang="fr-FR" sz="1400" b="1">
              <a:solidFill>
                <a:schemeClr val="bg1"/>
              </a:solidFill>
            </a:endParaRPr>
          </a:p>
        </xdr:txBody>
      </xdr:sp>
      <xdr:sp macro="[0]!Page_stock" textlink="Config!$C$16">
        <xdr:nvSpPr>
          <xdr:cNvPr id="37" name="page2">
            <a:extLst>
              <a:ext uri="{FF2B5EF4-FFF2-40B4-BE49-F238E27FC236}">
                <a16:creationId xmlns:a16="http://schemas.microsoft.com/office/drawing/2014/main" id="{00000000-0008-0000-0200-000025000000}"/>
              </a:ext>
            </a:extLst>
          </xdr:cNvPr>
          <xdr:cNvSpPr/>
        </xdr:nvSpPr>
        <xdr:spPr>
          <a:xfrm>
            <a:off x="2233743" y="33476"/>
            <a:ext cx="1152000" cy="288000"/>
          </a:xfrm>
          <a:prstGeom prst="rect">
            <a:avLst/>
          </a:prstGeom>
        </xdr:spPr>
        <xdr:style>
          <a:lnRef idx="2">
            <a:schemeClr val="accent4">
              <a:shade val="50000"/>
            </a:schemeClr>
          </a:lnRef>
          <a:fillRef idx="1">
            <a:schemeClr val="accent4"/>
          </a:fillRef>
          <a:effectRef idx="0">
            <a:schemeClr val="accent4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7348BA01-FE82-4EE7-BC21-F67BC2004387}" type="TxLink">
              <a:rPr lang="en-US" sz="1400" b="1" i="0" u="none" strike="noStrike">
                <a:solidFill>
                  <a:schemeClr val="bg1"/>
                </a:solidFill>
                <a:latin typeface="Calibri"/>
                <a:cs typeface="Calibri"/>
              </a:rPr>
              <a:pPr algn="ctr"/>
              <a:t>Stock</a:t>
            </a:fld>
            <a:endParaRPr lang="fr-FR" sz="1400" b="1">
              <a:solidFill>
                <a:schemeClr val="bg1"/>
              </a:solidFill>
            </a:endParaRPr>
          </a:p>
        </xdr:txBody>
      </xdr:sp>
      <xdr:sp macro="[0]!Page_Mouvements" textlink="Config!$C$17">
        <xdr:nvSpPr>
          <xdr:cNvPr id="38" name="page3">
            <a:extLst>
              <a:ext uri="{FF2B5EF4-FFF2-40B4-BE49-F238E27FC236}">
                <a16:creationId xmlns:a16="http://schemas.microsoft.com/office/drawing/2014/main" id="{00000000-0008-0000-0200-000026000000}"/>
              </a:ext>
            </a:extLst>
          </xdr:cNvPr>
          <xdr:cNvSpPr/>
        </xdr:nvSpPr>
        <xdr:spPr>
          <a:xfrm>
            <a:off x="3563430" y="33476"/>
            <a:ext cx="1152000" cy="288000"/>
          </a:xfrm>
          <a:prstGeom prst="rect">
            <a:avLst/>
          </a:prstGeom>
        </xdr:spPr>
        <xdr:style>
          <a:lnRef idx="2">
            <a:schemeClr val="accent4">
              <a:shade val="50000"/>
            </a:schemeClr>
          </a:lnRef>
          <a:fillRef idx="1">
            <a:schemeClr val="accent4"/>
          </a:fillRef>
          <a:effectRef idx="0">
            <a:schemeClr val="accent4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6BFAFA03-0C5B-4C34-8EA7-86F2E2DEF200}" type="TxLink">
              <a:rPr lang="en-US" sz="1400" b="1" i="0" u="none" strike="noStrike">
                <a:solidFill>
                  <a:schemeClr val="bg1"/>
                </a:solidFill>
                <a:latin typeface="Calibri"/>
                <a:cs typeface="Calibri"/>
              </a:rPr>
              <a:pPr algn="ctr"/>
              <a:t>Mouvement</a:t>
            </a:fld>
            <a:endParaRPr lang="fr-FR" sz="1400" b="1">
              <a:solidFill>
                <a:schemeClr val="bg1"/>
              </a:solidFill>
            </a:endParaRPr>
          </a:p>
        </xdr:txBody>
      </xdr:sp>
      <xdr:sp macro="[0]!Page_Listes" textlink="Config!$C$18">
        <xdr:nvSpPr>
          <xdr:cNvPr id="39" name="page4">
            <a:extLst>
              <a:ext uri="{FF2B5EF4-FFF2-40B4-BE49-F238E27FC236}">
                <a16:creationId xmlns:a16="http://schemas.microsoft.com/office/drawing/2014/main" id="{00000000-0008-0000-0200-000027000000}"/>
              </a:ext>
            </a:extLst>
          </xdr:cNvPr>
          <xdr:cNvSpPr/>
        </xdr:nvSpPr>
        <xdr:spPr>
          <a:xfrm>
            <a:off x="4845376" y="33476"/>
            <a:ext cx="1152000" cy="288000"/>
          </a:xfrm>
          <a:prstGeom prst="rect">
            <a:avLst/>
          </a:prstGeom>
        </xdr:spPr>
        <xdr:style>
          <a:lnRef idx="2">
            <a:schemeClr val="accent4">
              <a:shade val="50000"/>
            </a:schemeClr>
          </a:lnRef>
          <a:fillRef idx="1">
            <a:schemeClr val="accent4"/>
          </a:fillRef>
          <a:effectRef idx="0">
            <a:schemeClr val="accent4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56E4DDC2-15C3-4242-BA27-68B76357DEBD}" type="TxLink">
              <a:rPr lang="en-US" sz="1400" b="1" i="0" u="none" strike="noStrike">
                <a:solidFill>
                  <a:schemeClr val="bg1"/>
                </a:solidFill>
                <a:latin typeface="Calibri"/>
                <a:cs typeface="Calibri"/>
              </a:rPr>
              <a:pPr algn="ctr"/>
              <a:t>Listes</a:t>
            </a:fld>
            <a:endParaRPr lang="fr-FR" sz="1400" b="1">
              <a:solidFill>
                <a:schemeClr val="bg1"/>
              </a:solidFill>
            </a:endParaRPr>
          </a:p>
        </xdr:txBody>
      </xdr:sp>
      <xdr:sp macro="[0]!Page_config" textlink="Config!$C$19">
        <xdr:nvSpPr>
          <xdr:cNvPr id="40" name="page5">
            <a:extLst>
              <a:ext uri="{FF2B5EF4-FFF2-40B4-BE49-F238E27FC236}">
                <a16:creationId xmlns:a16="http://schemas.microsoft.com/office/drawing/2014/main" id="{00000000-0008-0000-0200-000028000000}"/>
              </a:ext>
            </a:extLst>
          </xdr:cNvPr>
          <xdr:cNvSpPr/>
        </xdr:nvSpPr>
        <xdr:spPr>
          <a:xfrm>
            <a:off x="6165537" y="33476"/>
            <a:ext cx="1152000" cy="288000"/>
          </a:xfrm>
          <a:prstGeom prst="rect">
            <a:avLst/>
          </a:prstGeom>
        </xdr:spPr>
        <xdr:style>
          <a:lnRef idx="2">
            <a:schemeClr val="accent4">
              <a:shade val="50000"/>
            </a:schemeClr>
          </a:lnRef>
          <a:fillRef idx="1">
            <a:schemeClr val="accent4"/>
          </a:fillRef>
          <a:effectRef idx="0">
            <a:schemeClr val="accent4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marL="0" indent="0" algn="ctr"/>
            <a:fld id="{0C6EC2AF-A27A-4C77-BB4B-ACBD7D0EE214}" type="TxLink">
              <a:rPr lang="en-US" sz="1400" b="1" i="0" u="none" strike="noStrike">
                <a:solidFill>
                  <a:schemeClr val="bg1"/>
                </a:solidFill>
                <a:latin typeface="Calibri"/>
                <a:ea typeface="+mn-ea"/>
                <a:cs typeface="Calibri"/>
              </a:rPr>
              <a:pPr marL="0" indent="0" algn="ctr"/>
              <a:t>Config</a:t>
            </a:fld>
            <a:endParaRPr lang="fr-FR" sz="1400" b="1" i="0" u="none" strike="noStrike">
              <a:solidFill>
                <a:schemeClr val="bg1"/>
              </a:solidFill>
              <a:latin typeface="Calibri"/>
              <a:ea typeface="+mn-ea"/>
              <a:cs typeface="Calibri"/>
            </a:endParaRPr>
          </a:p>
        </xdr:txBody>
      </xdr:sp>
      <xdr:sp macro="[0]!Page_Conso" textlink="Config!$C$20">
        <xdr:nvSpPr>
          <xdr:cNvPr id="41" name="page6">
            <a:extLst>
              <a:ext uri="{FF2B5EF4-FFF2-40B4-BE49-F238E27FC236}">
                <a16:creationId xmlns:a16="http://schemas.microsoft.com/office/drawing/2014/main" id="{00000000-0008-0000-0200-000029000000}"/>
              </a:ext>
            </a:extLst>
          </xdr:cNvPr>
          <xdr:cNvSpPr/>
        </xdr:nvSpPr>
        <xdr:spPr>
          <a:xfrm>
            <a:off x="7466649" y="33476"/>
            <a:ext cx="1152000" cy="288000"/>
          </a:xfrm>
          <a:prstGeom prst="rect">
            <a:avLst/>
          </a:prstGeom>
        </xdr:spPr>
        <xdr:style>
          <a:lnRef idx="2">
            <a:schemeClr val="accent4">
              <a:shade val="50000"/>
            </a:schemeClr>
          </a:lnRef>
          <a:fillRef idx="1">
            <a:schemeClr val="accent4"/>
          </a:fillRef>
          <a:effectRef idx="0">
            <a:schemeClr val="accent4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BCDA6C1E-A283-4100-B72A-FBB9949A1217}" type="TxLink">
              <a:rPr lang="en-US" sz="1400" b="1" i="0" u="none" strike="noStrike">
                <a:solidFill>
                  <a:schemeClr val="bg1"/>
                </a:solidFill>
                <a:latin typeface="Calibri"/>
                <a:cs typeface="Calibri"/>
              </a:rPr>
              <a:pPr algn="ctr"/>
              <a:t>Conso Bar</a:t>
            </a:fld>
            <a:endParaRPr lang="fr-FR" sz="1400" b="1">
              <a:solidFill>
                <a:schemeClr val="bg1"/>
              </a:solidFill>
            </a:endParaRPr>
          </a:p>
        </xdr:txBody>
      </xdr:sp>
      <xdr:sp macro="[0]!Page_TcdConso" textlink="Config!$C$21">
        <xdr:nvSpPr>
          <xdr:cNvPr id="42" name="page7">
            <a:extLst>
              <a:ext uri="{FF2B5EF4-FFF2-40B4-BE49-F238E27FC236}">
                <a16:creationId xmlns:a16="http://schemas.microsoft.com/office/drawing/2014/main" id="{00000000-0008-0000-0200-00002A000000}"/>
              </a:ext>
            </a:extLst>
          </xdr:cNvPr>
          <xdr:cNvSpPr/>
        </xdr:nvSpPr>
        <xdr:spPr>
          <a:xfrm>
            <a:off x="8786810" y="33476"/>
            <a:ext cx="1152000" cy="288000"/>
          </a:xfrm>
          <a:prstGeom prst="rect">
            <a:avLst/>
          </a:prstGeom>
        </xdr:spPr>
        <xdr:style>
          <a:lnRef idx="2">
            <a:schemeClr val="accent4">
              <a:shade val="50000"/>
            </a:schemeClr>
          </a:lnRef>
          <a:fillRef idx="1">
            <a:schemeClr val="accent4"/>
          </a:fillRef>
          <a:effectRef idx="0">
            <a:schemeClr val="accent4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30355429-B129-4BD6-98C6-BCDDBB486952}" type="TxLink">
              <a:rPr lang="en-US" sz="1400" b="1" i="0" u="none" strike="noStrike">
                <a:solidFill>
                  <a:schemeClr val="bg1"/>
                </a:solidFill>
                <a:latin typeface="Calibri"/>
                <a:cs typeface="Calibri"/>
              </a:rPr>
              <a:pPr algn="ctr"/>
              <a:t>TcdConso</a:t>
            </a:fld>
            <a:endParaRPr lang="fr-FR" sz="1400" b="1">
              <a:solidFill>
                <a:schemeClr val="bg1"/>
              </a:solidFill>
            </a:endParaRPr>
          </a:p>
        </xdr:txBody>
      </xdr:sp>
      <xdr:sp macro="[0]!Page_Accueil2" textlink="Config!$C$22">
        <xdr:nvSpPr>
          <xdr:cNvPr id="43" name="page8">
            <a:extLst>
              <a:ext uri="{FF2B5EF4-FFF2-40B4-BE49-F238E27FC236}">
                <a16:creationId xmlns:a16="http://schemas.microsoft.com/office/drawing/2014/main" id="{00000000-0008-0000-0200-00002B000000}"/>
              </a:ext>
            </a:extLst>
          </xdr:cNvPr>
          <xdr:cNvSpPr/>
        </xdr:nvSpPr>
        <xdr:spPr>
          <a:xfrm>
            <a:off x="10116496" y="33476"/>
            <a:ext cx="1152000" cy="288000"/>
          </a:xfrm>
          <a:prstGeom prst="rect">
            <a:avLst/>
          </a:prstGeom>
        </xdr:spPr>
        <xdr:style>
          <a:lnRef idx="2">
            <a:schemeClr val="accent4">
              <a:shade val="50000"/>
            </a:schemeClr>
          </a:lnRef>
          <a:fillRef idx="1">
            <a:schemeClr val="accent4"/>
          </a:fillRef>
          <a:effectRef idx="0">
            <a:schemeClr val="accent4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E12E1474-1667-4FD0-AB5C-737639717003}" type="TxLink">
              <a:rPr lang="en-US" sz="1200" b="1" i="0" u="none" strike="noStrike">
                <a:solidFill>
                  <a:schemeClr val="bg1"/>
                </a:solidFill>
                <a:latin typeface="Calibri"/>
                <a:cs typeface="Calibri"/>
              </a:rPr>
              <a:pPr algn="ctr"/>
              <a:t>Accueil 2</a:t>
            </a:fld>
            <a:endParaRPr lang="fr-FR" sz="1600" b="1">
              <a:solidFill>
                <a:schemeClr val="bg1"/>
              </a:solidFill>
            </a:endParaRPr>
          </a:p>
        </xdr:txBody>
      </xdr:sp>
    </xdr:grpSp>
    <xdr:clientData/>
  </xdr:twoCellAnchor>
  <xdr:twoCellAnchor editAs="absolute">
    <xdr:from>
      <xdr:col>12</xdr:col>
      <xdr:colOff>171450</xdr:colOff>
      <xdr:row>3</xdr:row>
      <xdr:rowOff>142875</xdr:rowOff>
    </xdr:from>
    <xdr:to>
      <xdr:col>14</xdr:col>
      <xdr:colOff>476250</xdr:colOff>
      <xdr:row>74</xdr:row>
      <xdr:rowOff>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3" name="Année 3">
              <a:extLst>
                <a:ext uri="{FF2B5EF4-FFF2-40B4-BE49-F238E27FC236}">
                  <a16:creationId xmlns:a16="http://schemas.microsoft.com/office/drawing/2014/main" id="{00000000-0008-0000-0200-000003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nnée 3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1115675" y="1152525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352425</xdr:colOff>
      <xdr:row>11</xdr:row>
      <xdr:rowOff>152400</xdr:rowOff>
    </xdr:from>
    <xdr:to>
      <xdr:col>9</xdr:col>
      <xdr:colOff>657225</xdr:colOff>
      <xdr:row>25</xdr:row>
      <xdr:rowOff>9525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2" name="Année 4">
              <a:extLst>
                <a:ext uri="{FF2B5EF4-FFF2-40B4-BE49-F238E27FC236}">
                  <a16:creationId xmlns:a16="http://schemas.microsoft.com/office/drawing/2014/main" id="{00000000-0008-0000-0300-000002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nnée 4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7038975" y="2247900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10</xdr:col>
      <xdr:colOff>190500</xdr:colOff>
      <xdr:row>11</xdr:row>
      <xdr:rowOff>114300</xdr:rowOff>
    </xdr:from>
    <xdr:to>
      <xdr:col>12</xdr:col>
      <xdr:colOff>495300</xdr:colOff>
      <xdr:row>24</xdr:row>
      <xdr:rowOff>161925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3" name="Mois 3">
              <a:extLst>
                <a:ext uri="{FF2B5EF4-FFF2-40B4-BE49-F238E27FC236}">
                  <a16:creationId xmlns:a16="http://schemas.microsoft.com/office/drawing/2014/main" id="{00000000-0008-0000-0300-000003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ois 3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9163050" y="2209800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0</xdr:row>
      <xdr:rowOff>0</xdr:rowOff>
    </xdr:from>
    <xdr:to>
      <xdr:col>14</xdr:col>
      <xdr:colOff>438900</xdr:colOff>
      <xdr:row>0</xdr:row>
      <xdr:rowOff>396000</xdr:rowOff>
    </xdr:to>
    <xdr:grpSp>
      <xdr:nvGrpSpPr>
        <xdr:cNvPr id="41" name="Groupe 40">
          <a:extLst>
            <a:ext uri="{FF2B5EF4-FFF2-40B4-BE49-F238E27FC236}">
              <a16:creationId xmlns:a16="http://schemas.microsoft.com/office/drawing/2014/main" id="{00000000-0008-0000-0400-000029000000}"/>
            </a:ext>
          </a:extLst>
        </xdr:cNvPr>
        <xdr:cNvGrpSpPr/>
      </xdr:nvGrpSpPr>
      <xdr:grpSpPr>
        <a:xfrm>
          <a:off x="914400" y="0"/>
          <a:ext cx="10764000" cy="396000"/>
          <a:chOff x="762000" y="0"/>
          <a:chExt cx="10764000" cy="396000"/>
        </a:xfrm>
      </xdr:grpSpPr>
      <xdr:sp macro="" textlink="">
        <xdr:nvSpPr>
          <xdr:cNvPr id="42" name="nav">
            <a:extLst>
              <a:ext uri="{FF2B5EF4-FFF2-40B4-BE49-F238E27FC236}">
                <a16:creationId xmlns:a16="http://schemas.microsoft.com/office/drawing/2014/main" id="{00000000-0008-0000-0400-00002A000000}"/>
              </a:ext>
            </a:extLst>
          </xdr:cNvPr>
          <xdr:cNvSpPr/>
        </xdr:nvSpPr>
        <xdr:spPr>
          <a:xfrm>
            <a:off x="762000" y="0"/>
            <a:ext cx="10764000" cy="396000"/>
          </a:xfrm>
          <a:prstGeom prst="rect">
            <a:avLst/>
          </a:prstGeom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[0]!Page_accueil" textlink="Config!$C$15">
        <xdr:nvSpPr>
          <xdr:cNvPr id="43" name="page1">
            <a:extLst>
              <a:ext uri="{FF2B5EF4-FFF2-40B4-BE49-F238E27FC236}">
                <a16:creationId xmlns:a16="http://schemas.microsoft.com/office/drawing/2014/main" id="{00000000-0008-0000-0400-00002B000000}"/>
              </a:ext>
            </a:extLst>
          </xdr:cNvPr>
          <xdr:cNvSpPr/>
        </xdr:nvSpPr>
        <xdr:spPr>
          <a:xfrm>
            <a:off x="913582" y="33476"/>
            <a:ext cx="1152000" cy="288000"/>
          </a:xfrm>
          <a:prstGeom prst="rect">
            <a:avLst/>
          </a:prstGeom>
        </xdr:spPr>
        <xdr:style>
          <a:lnRef idx="2">
            <a:schemeClr val="accent4">
              <a:shade val="50000"/>
            </a:schemeClr>
          </a:lnRef>
          <a:fillRef idx="1">
            <a:schemeClr val="accent4"/>
          </a:fillRef>
          <a:effectRef idx="0">
            <a:schemeClr val="accent4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313F896E-686B-4FD6-8658-434D45AC8A80}" type="TxLink">
              <a:rPr lang="en-US" sz="1400" b="1" i="0" u="none" strike="noStrike">
                <a:solidFill>
                  <a:schemeClr val="bg1"/>
                </a:solidFill>
                <a:latin typeface="Calibri"/>
                <a:cs typeface="Calibri"/>
              </a:rPr>
              <a:pPr algn="ctr"/>
              <a:t>Accueil</a:t>
            </a:fld>
            <a:endParaRPr lang="fr-FR" sz="1400" b="1">
              <a:solidFill>
                <a:schemeClr val="bg1"/>
              </a:solidFill>
            </a:endParaRPr>
          </a:p>
        </xdr:txBody>
      </xdr:sp>
      <xdr:sp macro="[0]!Page_stock" textlink="Config!$C$16">
        <xdr:nvSpPr>
          <xdr:cNvPr id="44" name="page2">
            <a:extLst>
              <a:ext uri="{FF2B5EF4-FFF2-40B4-BE49-F238E27FC236}">
                <a16:creationId xmlns:a16="http://schemas.microsoft.com/office/drawing/2014/main" id="{00000000-0008-0000-0400-00002C000000}"/>
              </a:ext>
            </a:extLst>
          </xdr:cNvPr>
          <xdr:cNvSpPr/>
        </xdr:nvSpPr>
        <xdr:spPr>
          <a:xfrm>
            <a:off x="2233743" y="33476"/>
            <a:ext cx="1152000" cy="288000"/>
          </a:xfrm>
          <a:prstGeom prst="rect">
            <a:avLst/>
          </a:prstGeom>
        </xdr:spPr>
        <xdr:style>
          <a:lnRef idx="2">
            <a:schemeClr val="accent4">
              <a:shade val="50000"/>
            </a:schemeClr>
          </a:lnRef>
          <a:fillRef idx="1">
            <a:schemeClr val="accent4"/>
          </a:fillRef>
          <a:effectRef idx="0">
            <a:schemeClr val="accent4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7348BA01-FE82-4EE7-BC21-F67BC2004387}" type="TxLink">
              <a:rPr lang="en-US" sz="1400" b="1" i="0" u="none" strike="noStrike">
                <a:solidFill>
                  <a:schemeClr val="bg1"/>
                </a:solidFill>
                <a:latin typeface="Calibri"/>
                <a:cs typeface="Calibri"/>
              </a:rPr>
              <a:pPr algn="ctr"/>
              <a:t>Stock</a:t>
            </a:fld>
            <a:endParaRPr lang="fr-FR" sz="1400" b="1">
              <a:solidFill>
                <a:schemeClr val="bg1"/>
              </a:solidFill>
            </a:endParaRPr>
          </a:p>
        </xdr:txBody>
      </xdr:sp>
      <xdr:sp macro="[0]!Page_Mouvements" textlink="Config!$C$17">
        <xdr:nvSpPr>
          <xdr:cNvPr id="45" name="page3">
            <a:extLst>
              <a:ext uri="{FF2B5EF4-FFF2-40B4-BE49-F238E27FC236}">
                <a16:creationId xmlns:a16="http://schemas.microsoft.com/office/drawing/2014/main" id="{00000000-0008-0000-0400-00002D000000}"/>
              </a:ext>
            </a:extLst>
          </xdr:cNvPr>
          <xdr:cNvSpPr/>
        </xdr:nvSpPr>
        <xdr:spPr>
          <a:xfrm>
            <a:off x="3563430" y="33476"/>
            <a:ext cx="1152000" cy="288000"/>
          </a:xfrm>
          <a:prstGeom prst="rect">
            <a:avLst/>
          </a:prstGeom>
        </xdr:spPr>
        <xdr:style>
          <a:lnRef idx="2">
            <a:schemeClr val="accent4">
              <a:shade val="50000"/>
            </a:schemeClr>
          </a:lnRef>
          <a:fillRef idx="1">
            <a:schemeClr val="accent4"/>
          </a:fillRef>
          <a:effectRef idx="0">
            <a:schemeClr val="accent4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6BFAFA03-0C5B-4C34-8EA7-86F2E2DEF200}" type="TxLink">
              <a:rPr lang="en-US" sz="1400" b="1" i="0" u="none" strike="noStrike">
                <a:solidFill>
                  <a:schemeClr val="bg1"/>
                </a:solidFill>
                <a:latin typeface="Calibri"/>
                <a:cs typeface="Calibri"/>
              </a:rPr>
              <a:pPr algn="ctr"/>
              <a:t>Mouvement</a:t>
            </a:fld>
            <a:endParaRPr lang="fr-FR" sz="1400" b="1">
              <a:solidFill>
                <a:schemeClr val="bg1"/>
              </a:solidFill>
            </a:endParaRPr>
          </a:p>
        </xdr:txBody>
      </xdr:sp>
      <xdr:sp macro="[0]!Page_Listes" textlink="Config!$C$18">
        <xdr:nvSpPr>
          <xdr:cNvPr id="46" name="page4">
            <a:extLst>
              <a:ext uri="{FF2B5EF4-FFF2-40B4-BE49-F238E27FC236}">
                <a16:creationId xmlns:a16="http://schemas.microsoft.com/office/drawing/2014/main" id="{00000000-0008-0000-0400-00002E000000}"/>
              </a:ext>
            </a:extLst>
          </xdr:cNvPr>
          <xdr:cNvSpPr/>
        </xdr:nvSpPr>
        <xdr:spPr>
          <a:xfrm>
            <a:off x="4845376" y="33476"/>
            <a:ext cx="1152000" cy="288000"/>
          </a:xfrm>
          <a:prstGeom prst="rect">
            <a:avLst/>
          </a:prstGeom>
        </xdr:spPr>
        <xdr:style>
          <a:lnRef idx="2">
            <a:schemeClr val="accent4">
              <a:shade val="50000"/>
            </a:schemeClr>
          </a:lnRef>
          <a:fillRef idx="1">
            <a:schemeClr val="accent4"/>
          </a:fillRef>
          <a:effectRef idx="0">
            <a:schemeClr val="accent4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56E4DDC2-15C3-4242-BA27-68B76357DEBD}" type="TxLink">
              <a:rPr lang="en-US" sz="1400" b="1" i="0" u="none" strike="noStrike">
                <a:solidFill>
                  <a:schemeClr val="bg1"/>
                </a:solidFill>
                <a:latin typeface="Calibri"/>
                <a:cs typeface="Calibri"/>
              </a:rPr>
              <a:pPr algn="ctr"/>
              <a:t>Listes</a:t>
            </a:fld>
            <a:endParaRPr lang="fr-FR" sz="1400" b="1">
              <a:solidFill>
                <a:schemeClr val="bg1"/>
              </a:solidFill>
            </a:endParaRPr>
          </a:p>
        </xdr:txBody>
      </xdr:sp>
      <xdr:sp macro="[0]!Page_config" textlink="Config!$C$19">
        <xdr:nvSpPr>
          <xdr:cNvPr id="47" name="page5">
            <a:extLst>
              <a:ext uri="{FF2B5EF4-FFF2-40B4-BE49-F238E27FC236}">
                <a16:creationId xmlns:a16="http://schemas.microsoft.com/office/drawing/2014/main" id="{00000000-0008-0000-0400-00002F000000}"/>
              </a:ext>
            </a:extLst>
          </xdr:cNvPr>
          <xdr:cNvSpPr/>
        </xdr:nvSpPr>
        <xdr:spPr>
          <a:xfrm>
            <a:off x="6165537" y="33476"/>
            <a:ext cx="1152000" cy="288000"/>
          </a:xfrm>
          <a:prstGeom prst="rect">
            <a:avLst/>
          </a:prstGeom>
        </xdr:spPr>
        <xdr:style>
          <a:lnRef idx="2">
            <a:schemeClr val="accent4">
              <a:shade val="50000"/>
            </a:schemeClr>
          </a:lnRef>
          <a:fillRef idx="1">
            <a:schemeClr val="accent4"/>
          </a:fillRef>
          <a:effectRef idx="0">
            <a:schemeClr val="accent4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marL="0" indent="0" algn="ctr"/>
            <a:fld id="{0C6EC2AF-A27A-4C77-BB4B-ACBD7D0EE214}" type="TxLink">
              <a:rPr lang="en-US" sz="1400" b="1" i="0" u="none" strike="noStrike">
                <a:solidFill>
                  <a:schemeClr val="bg1"/>
                </a:solidFill>
                <a:latin typeface="Calibri"/>
                <a:ea typeface="+mn-ea"/>
                <a:cs typeface="Calibri"/>
              </a:rPr>
              <a:pPr marL="0" indent="0" algn="ctr"/>
              <a:t>Config</a:t>
            </a:fld>
            <a:endParaRPr lang="fr-FR" sz="1400" b="1" i="0" u="none" strike="noStrike">
              <a:solidFill>
                <a:schemeClr val="bg1"/>
              </a:solidFill>
              <a:latin typeface="Calibri"/>
              <a:ea typeface="+mn-ea"/>
              <a:cs typeface="Calibri"/>
            </a:endParaRPr>
          </a:p>
        </xdr:txBody>
      </xdr:sp>
      <xdr:sp macro="[0]!Page_Conso" textlink="Config!$C$20">
        <xdr:nvSpPr>
          <xdr:cNvPr id="48" name="page6">
            <a:extLst>
              <a:ext uri="{FF2B5EF4-FFF2-40B4-BE49-F238E27FC236}">
                <a16:creationId xmlns:a16="http://schemas.microsoft.com/office/drawing/2014/main" id="{00000000-0008-0000-0400-000030000000}"/>
              </a:ext>
            </a:extLst>
          </xdr:cNvPr>
          <xdr:cNvSpPr/>
        </xdr:nvSpPr>
        <xdr:spPr>
          <a:xfrm>
            <a:off x="7466649" y="33476"/>
            <a:ext cx="1152000" cy="288000"/>
          </a:xfrm>
          <a:prstGeom prst="rect">
            <a:avLst/>
          </a:prstGeom>
        </xdr:spPr>
        <xdr:style>
          <a:lnRef idx="2">
            <a:schemeClr val="accent4">
              <a:shade val="50000"/>
            </a:schemeClr>
          </a:lnRef>
          <a:fillRef idx="1">
            <a:schemeClr val="accent4"/>
          </a:fillRef>
          <a:effectRef idx="0">
            <a:schemeClr val="accent4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BCDA6C1E-A283-4100-B72A-FBB9949A1217}" type="TxLink">
              <a:rPr lang="en-US" sz="1400" b="1" i="0" u="none" strike="noStrike">
                <a:solidFill>
                  <a:schemeClr val="bg1"/>
                </a:solidFill>
                <a:latin typeface="Calibri"/>
                <a:cs typeface="Calibri"/>
              </a:rPr>
              <a:pPr algn="ctr"/>
              <a:t>Conso Bar</a:t>
            </a:fld>
            <a:endParaRPr lang="fr-FR" sz="1400" b="1">
              <a:solidFill>
                <a:schemeClr val="bg1"/>
              </a:solidFill>
            </a:endParaRPr>
          </a:p>
        </xdr:txBody>
      </xdr:sp>
      <xdr:sp macro="[0]!Page_TcdConso" textlink="Config!$C$21">
        <xdr:nvSpPr>
          <xdr:cNvPr id="49" name="page7">
            <a:extLst>
              <a:ext uri="{FF2B5EF4-FFF2-40B4-BE49-F238E27FC236}">
                <a16:creationId xmlns:a16="http://schemas.microsoft.com/office/drawing/2014/main" id="{00000000-0008-0000-0400-000031000000}"/>
              </a:ext>
            </a:extLst>
          </xdr:cNvPr>
          <xdr:cNvSpPr/>
        </xdr:nvSpPr>
        <xdr:spPr>
          <a:xfrm>
            <a:off x="8786810" y="33476"/>
            <a:ext cx="1152000" cy="288000"/>
          </a:xfrm>
          <a:prstGeom prst="rect">
            <a:avLst/>
          </a:prstGeom>
        </xdr:spPr>
        <xdr:style>
          <a:lnRef idx="2">
            <a:schemeClr val="accent4">
              <a:shade val="50000"/>
            </a:schemeClr>
          </a:lnRef>
          <a:fillRef idx="1">
            <a:schemeClr val="accent4"/>
          </a:fillRef>
          <a:effectRef idx="0">
            <a:schemeClr val="accent4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30355429-B129-4BD6-98C6-BCDDBB486952}" type="TxLink">
              <a:rPr lang="en-US" sz="1400" b="1" i="0" u="none" strike="noStrike">
                <a:solidFill>
                  <a:schemeClr val="bg1"/>
                </a:solidFill>
                <a:latin typeface="Calibri"/>
                <a:cs typeface="Calibri"/>
              </a:rPr>
              <a:pPr algn="ctr"/>
              <a:t>TcdConso</a:t>
            </a:fld>
            <a:endParaRPr lang="fr-FR" sz="1400" b="1">
              <a:solidFill>
                <a:schemeClr val="bg1"/>
              </a:solidFill>
            </a:endParaRPr>
          </a:p>
        </xdr:txBody>
      </xdr:sp>
      <xdr:sp macro="[0]!Page_Accueil2" textlink="Config!$C$22">
        <xdr:nvSpPr>
          <xdr:cNvPr id="50" name="page8">
            <a:extLst>
              <a:ext uri="{FF2B5EF4-FFF2-40B4-BE49-F238E27FC236}">
                <a16:creationId xmlns:a16="http://schemas.microsoft.com/office/drawing/2014/main" id="{00000000-0008-0000-0400-000032000000}"/>
              </a:ext>
            </a:extLst>
          </xdr:cNvPr>
          <xdr:cNvSpPr/>
        </xdr:nvSpPr>
        <xdr:spPr>
          <a:xfrm>
            <a:off x="10116496" y="33476"/>
            <a:ext cx="1152000" cy="288000"/>
          </a:xfrm>
          <a:prstGeom prst="rect">
            <a:avLst/>
          </a:prstGeom>
        </xdr:spPr>
        <xdr:style>
          <a:lnRef idx="2">
            <a:schemeClr val="accent4">
              <a:shade val="50000"/>
            </a:schemeClr>
          </a:lnRef>
          <a:fillRef idx="1">
            <a:schemeClr val="accent4"/>
          </a:fillRef>
          <a:effectRef idx="0">
            <a:schemeClr val="accent4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E12E1474-1667-4FD0-AB5C-737639717003}" type="TxLink">
              <a:rPr lang="en-US" sz="1200" b="1" i="0" u="none" strike="noStrike">
                <a:solidFill>
                  <a:schemeClr val="bg1"/>
                </a:solidFill>
                <a:latin typeface="Calibri"/>
                <a:cs typeface="Calibri"/>
              </a:rPr>
              <a:pPr algn="ctr"/>
              <a:t>Accueil 2</a:t>
            </a:fld>
            <a:endParaRPr lang="fr-FR" sz="1600" b="1">
              <a:solidFill>
                <a:schemeClr val="bg1"/>
              </a:solidFill>
            </a:endParaRPr>
          </a:p>
        </xdr:txBody>
      </xdr:sp>
    </xdr:grp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34</xdr:row>
      <xdr:rowOff>59100</xdr:rowOff>
    </xdr:from>
    <xdr:to>
      <xdr:col>4</xdr:col>
      <xdr:colOff>142425</xdr:colOff>
      <xdr:row>36</xdr:row>
      <xdr:rowOff>38100</xdr:rowOff>
    </xdr:to>
    <xdr:sp macro="" textlink="">
      <xdr:nvSpPr>
        <xdr:cNvPr id="23" name="Rectangle 22">
          <a:extLst>
            <a:ext uri="{FF2B5EF4-FFF2-40B4-BE49-F238E27FC236}">
              <a16:creationId xmlns:a16="http://schemas.microsoft.com/office/drawing/2014/main" id="{00000000-0008-0000-0500-000017000000}"/>
            </a:ext>
          </a:extLst>
        </xdr:cNvPr>
        <xdr:cNvSpPr/>
      </xdr:nvSpPr>
      <xdr:spPr>
        <a:xfrm>
          <a:off x="762000" y="6364650"/>
          <a:ext cx="3600000" cy="360000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152400</xdr:colOff>
      <xdr:row>29</xdr:row>
      <xdr:rowOff>57150</xdr:rowOff>
    </xdr:from>
    <xdr:to>
      <xdr:col>8</xdr:col>
      <xdr:colOff>314325</xdr:colOff>
      <xdr:row>30</xdr:row>
      <xdr:rowOff>152400</xdr:rowOff>
    </xdr:to>
    <xdr:sp macro="" textlink="">
      <xdr:nvSpPr>
        <xdr:cNvPr id="31" name="Rectangle 30">
          <a:extLst>
            <a:ext uri="{FF2B5EF4-FFF2-40B4-BE49-F238E27FC236}">
              <a16:creationId xmlns:a16="http://schemas.microsoft.com/office/drawing/2014/main" id="{00000000-0008-0000-0500-00001F000000}"/>
            </a:ext>
          </a:extLst>
        </xdr:cNvPr>
        <xdr:cNvSpPr/>
      </xdr:nvSpPr>
      <xdr:spPr>
        <a:xfrm>
          <a:off x="5286375" y="5410200"/>
          <a:ext cx="2505075" cy="285750"/>
        </a:xfrm>
        <a:prstGeom prst="rect">
          <a:avLst/>
        </a:prstGeom>
        <a:noFill/>
        <a:ln>
          <a:noFill/>
        </a:ln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152400</xdr:colOff>
      <xdr:row>27</xdr:row>
      <xdr:rowOff>28575</xdr:rowOff>
    </xdr:from>
    <xdr:to>
      <xdr:col>8</xdr:col>
      <xdr:colOff>314325</xdr:colOff>
      <xdr:row>28</xdr:row>
      <xdr:rowOff>123825</xdr:rowOff>
    </xdr:to>
    <xdr:sp macro="" textlink="">
      <xdr:nvSpPr>
        <xdr:cNvPr id="33" name="Rectangle 32">
          <a:extLst>
            <a:ext uri="{FF2B5EF4-FFF2-40B4-BE49-F238E27FC236}">
              <a16:creationId xmlns:a16="http://schemas.microsoft.com/office/drawing/2014/main" id="{00000000-0008-0000-0500-000021000000}"/>
            </a:ext>
          </a:extLst>
        </xdr:cNvPr>
        <xdr:cNvSpPr/>
      </xdr:nvSpPr>
      <xdr:spPr>
        <a:xfrm>
          <a:off x="5286375" y="5000625"/>
          <a:ext cx="2505075" cy="285750"/>
        </a:xfrm>
        <a:prstGeom prst="rect">
          <a:avLst/>
        </a:prstGeom>
        <a:noFill/>
        <a:ln>
          <a:noFill/>
        </a:ln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152400</xdr:colOff>
      <xdr:row>31</xdr:row>
      <xdr:rowOff>85725</xdr:rowOff>
    </xdr:from>
    <xdr:to>
      <xdr:col>8</xdr:col>
      <xdr:colOff>314325</xdr:colOff>
      <xdr:row>32</xdr:row>
      <xdr:rowOff>180975</xdr:rowOff>
    </xdr:to>
    <xdr:sp macro="" textlink="">
      <xdr:nvSpPr>
        <xdr:cNvPr id="35" name="Rectangle 34">
          <a:extLst>
            <a:ext uri="{FF2B5EF4-FFF2-40B4-BE49-F238E27FC236}">
              <a16:creationId xmlns:a16="http://schemas.microsoft.com/office/drawing/2014/main" id="{00000000-0008-0000-0500-000023000000}"/>
            </a:ext>
          </a:extLst>
        </xdr:cNvPr>
        <xdr:cNvSpPr/>
      </xdr:nvSpPr>
      <xdr:spPr>
        <a:xfrm>
          <a:off x="5286375" y="5819775"/>
          <a:ext cx="2505075" cy="285750"/>
        </a:xfrm>
        <a:prstGeom prst="rect">
          <a:avLst/>
        </a:prstGeom>
        <a:noFill/>
        <a:ln>
          <a:noFill/>
        </a:ln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14</xdr:col>
      <xdr:colOff>619125</xdr:colOff>
      <xdr:row>2</xdr:row>
      <xdr:rowOff>142875</xdr:rowOff>
    </xdr:from>
    <xdr:to>
      <xdr:col>17</xdr:col>
      <xdr:colOff>161925</xdr:colOff>
      <xdr:row>15</xdr:row>
      <xdr:rowOff>171450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3" name="Année">
              <a:extLst>
                <a:ext uri="{FF2B5EF4-FFF2-40B4-BE49-F238E27FC236}">
                  <a16:creationId xmlns:a16="http://schemas.microsoft.com/office/drawing/2014/main" id="{00000000-0008-0000-0500-000003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nné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2630150" y="895350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12</xdr:col>
      <xdr:colOff>104775</xdr:colOff>
      <xdr:row>2</xdr:row>
      <xdr:rowOff>180975</xdr:rowOff>
    </xdr:from>
    <xdr:to>
      <xdr:col>14</xdr:col>
      <xdr:colOff>409575</xdr:colOff>
      <xdr:row>16</xdr:row>
      <xdr:rowOff>19050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4" name="Mois">
              <a:extLst>
                <a:ext uri="{FF2B5EF4-FFF2-40B4-BE49-F238E27FC236}">
                  <a16:creationId xmlns:a16="http://schemas.microsoft.com/office/drawing/2014/main" id="{00000000-0008-0000-0500-000004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ois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0591800" y="933450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>
    <xdr:from>
      <xdr:col>1</xdr:col>
      <xdr:colOff>0</xdr:colOff>
      <xdr:row>0</xdr:row>
      <xdr:rowOff>0</xdr:rowOff>
    </xdr:from>
    <xdr:to>
      <xdr:col>13</xdr:col>
      <xdr:colOff>276975</xdr:colOff>
      <xdr:row>0</xdr:row>
      <xdr:rowOff>396000</xdr:rowOff>
    </xdr:to>
    <xdr:grpSp>
      <xdr:nvGrpSpPr>
        <xdr:cNvPr id="2" name="Groupe 1">
          <a:extLst>
            <a:ext uri="{FF2B5EF4-FFF2-40B4-BE49-F238E27FC236}">
              <a16:creationId xmlns:a16="http://schemas.microsoft.com/office/drawing/2014/main" id="{00000000-0008-0000-0500-000002000000}"/>
            </a:ext>
          </a:extLst>
        </xdr:cNvPr>
        <xdr:cNvGrpSpPr/>
      </xdr:nvGrpSpPr>
      <xdr:grpSpPr>
        <a:xfrm>
          <a:off x="762000" y="0"/>
          <a:ext cx="10802100" cy="396000"/>
          <a:chOff x="762000" y="0"/>
          <a:chExt cx="10764000" cy="396000"/>
        </a:xfrm>
      </xdr:grpSpPr>
      <xdr:sp macro="" textlink="">
        <xdr:nvSpPr>
          <xdr:cNvPr id="30" name="nav">
            <a:extLst>
              <a:ext uri="{FF2B5EF4-FFF2-40B4-BE49-F238E27FC236}">
                <a16:creationId xmlns:a16="http://schemas.microsoft.com/office/drawing/2014/main" id="{00000000-0008-0000-0500-00001E000000}"/>
              </a:ext>
            </a:extLst>
          </xdr:cNvPr>
          <xdr:cNvSpPr/>
        </xdr:nvSpPr>
        <xdr:spPr>
          <a:xfrm>
            <a:off x="762000" y="0"/>
            <a:ext cx="10764000" cy="396000"/>
          </a:xfrm>
          <a:prstGeom prst="rect">
            <a:avLst/>
          </a:prstGeom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[0]!Page_accueil" textlink="Config!$C$15">
        <xdr:nvSpPr>
          <xdr:cNvPr id="32" name="page1">
            <a:extLst>
              <a:ext uri="{FF2B5EF4-FFF2-40B4-BE49-F238E27FC236}">
                <a16:creationId xmlns:a16="http://schemas.microsoft.com/office/drawing/2014/main" id="{00000000-0008-0000-0500-000020000000}"/>
              </a:ext>
            </a:extLst>
          </xdr:cNvPr>
          <xdr:cNvSpPr/>
        </xdr:nvSpPr>
        <xdr:spPr>
          <a:xfrm>
            <a:off x="913582" y="33476"/>
            <a:ext cx="1152000" cy="288000"/>
          </a:xfrm>
          <a:prstGeom prst="rect">
            <a:avLst/>
          </a:prstGeom>
        </xdr:spPr>
        <xdr:style>
          <a:lnRef idx="2">
            <a:schemeClr val="accent4">
              <a:shade val="50000"/>
            </a:schemeClr>
          </a:lnRef>
          <a:fillRef idx="1">
            <a:schemeClr val="accent4"/>
          </a:fillRef>
          <a:effectRef idx="0">
            <a:schemeClr val="accent4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313F896E-686B-4FD6-8658-434D45AC8A80}" type="TxLink">
              <a:rPr lang="en-US" sz="1400" b="1" i="0" u="none" strike="noStrike">
                <a:solidFill>
                  <a:schemeClr val="bg1"/>
                </a:solidFill>
                <a:latin typeface="Calibri"/>
                <a:cs typeface="Calibri"/>
              </a:rPr>
              <a:pPr algn="ctr"/>
              <a:t>Accueil</a:t>
            </a:fld>
            <a:endParaRPr lang="fr-FR" sz="1400" b="1">
              <a:solidFill>
                <a:schemeClr val="bg1"/>
              </a:solidFill>
            </a:endParaRPr>
          </a:p>
        </xdr:txBody>
      </xdr:sp>
      <xdr:sp macro="[0]!Page_stock" textlink="Config!$C$16">
        <xdr:nvSpPr>
          <xdr:cNvPr id="34" name="page2">
            <a:extLst>
              <a:ext uri="{FF2B5EF4-FFF2-40B4-BE49-F238E27FC236}">
                <a16:creationId xmlns:a16="http://schemas.microsoft.com/office/drawing/2014/main" id="{00000000-0008-0000-0500-000022000000}"/>
              </a:ext>
            </a:extLst>
          </xdr:cNvPr>
          <xdr:cNvSpPr/>
        </xdr:nvSpPr>
        <xdr:spPr>
          <a:xfrm>
            <a:off x="2233743" y="33476"/>
            <a:ext cx="1152000" cy="288000"/>
          </a:xfrm>
          <a:prstGeom prst="rect">
            <a:avLst/>
          </a:prstGeom>
        </xdr:spPr>
        <xdr:style>
          <a:lnRef idx="2">
            <a:schemeClr val="accent4">
              <a:shade val="50000"/>
            </a:schemeClr>
          </a:lnRef>
          <a:fillRef idx="1">
            <a:schemeClr val="accent4"/>
          </a:fillRef>
          <a:effectRef idx="0">
            <a:schemeClr val="accent4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7348BA01-FE82-4EE7-BC21-F67BC2004387}" type="TxLink">
              <a:rPr lang="en-US" sz="1400" b="1" i="0" u="none" strike="noStrike">
                <a:solidFill>
                  <a:schemeClr val="bg1"/>
                </a:solidFill>
                <a:latin typeface="Calibri"/>
                <a:cs typeface="Calibri"/>
              </a:rPr>
              <a:pPr algn="ctr"/>
              <a:t>Stock</a:t>
            </a:fld>
            <a:endParaRPr lang="fr-FR" sz="1400" b="1">
              <a:solidFill>
                <a:schemeClr val="bg1"/>
              </a:solidFill>
            </a:endParaRPr>
          </a:p>
        </xdr:txBody>
      </xdr:sp>
      <xdr:sp macro="[0]!Page_Mouvements" textlink="Config!$C$17">
        <xdr:nvSpPr>
          <xdr:cNvPr id="36" name="page3">
            <a:extLst>
              <a:ext uri="{FF2B5EF4-FFF2-40B4-BE49-F238E27FC236}">
                <a16:creationId xmlns:a16="http://schemas.microsoft.com/office/drawing/2014/main" id="{00000000-0008-0000-0500-000024000000}"/>
              </a:ext>
            </a:extLst>
          </xdr:cNvPr>
          <xdr:cNvSpPr/>
        </xdr:nvSpPr>
        <xdr:spPr>
          <a:xfrm>
            <a:off x="3563430" y="33476"/>
            <a:ext cx="1152000" cy="288000"/>
          </a:xfrm>
          <a:prstGeom prst="rect">
            <a:avLst/>
          </a:prstGeom>
        </xdr:spPr>
        <xdr:style>
          <a:lnRef idx="2">
            <a:schemeClr val="accent4">
              <a:shade val="50000"/>
            </a:schemeClr>
          </a:lnRef>
          <a:fillRef idx="1">
            <a:schemeClr val="accent4"/>
          </a:fillRef>
          <a:effectRef idx="0">
            <a:schemeClr val="accent4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6BFAFA03-0C5B-4C34-8EA7-86F2E2DEF200}" type="TxLink">
              <a:rPr lang="en-US" sz="1400" b="1" i="0" u="none" strike="noStrike">
                <a:solidFill>
                  <a:schemeClr val="bg1"/>
                </a:solidFill>
                <a:latin typeface="Calibri"/>
                <a:cs typeface="Calibri"/>
              </a:rPr>
              <a:pPr algn="ctr"/>
              <a:t>Mouvement</a:t>
            </a:fld>
            <a:endParaRPr lang="fr-FR" sz="1400" b="1">
              <a:solidFill>
                <a:schemeClr val="bg1"/>
              </a:solidFill>
            </a:endParaRPr>
          </a:p>
        </xdr:txBody>
      </xdr:sp>
      <xdr:sp macro="[0]!Page_Listes" textlink="Config!$C$18">
        <xdr:nvSpPr>
          <xdr:cNvPr id="37" name="page4">
            <a:extLst>
              <a:ext uri="{FF2B5EF4-FFF2-40B4-BE49-F238E27FC236}">
                <a16:creationId xmlns:a16="http://schemas.microsoft.com/office/drawing/2014/main" id="{00000000-0008-0000-0500-000025000000}"/>
              </a:ext>
            </a:extLst>
          </xdr:cNvPr>
          <xdr:cNvSpPr/>
        </xdr:nvSpPr>
        <xdr:spPr>
          <a:xfrm>
            <a:off x="4845376" y="33476"/>
            <a:ext cx="1152000" cy="288000"/>
          </a:xfrm>
          <a:prstGeom prst="rect">
            <a:avLst/>
          </a:prstGeom>
        </xdr:spPr>
        <xdr:style>
          <a:lnRef idx="2">
            <a:schemeClr val="accent4">
              <a:shade val="50000"/>
            </a:schemeClr>
          </a:lnRef>
          <a:fillRef idx="1">
            <a:schemeClr val="accent4"/>
          </a:fillRef>
          <a:effectRef idx="0">
            <a:schemeClr val="accent4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56E4DDC2-15C3-4242-BA27-68B76357DEBD}" type="TxLink">
              <a:rPr lang="en-US" sz="1400" b="1" i="0" u="none" strike="noStrike">
                <a:solidFill>
                  <a:schemeClr val="bg1"/>
                </a:solidFill>
                <a:latin typeface="Calibri"/>
                <a:cs typeface="Calibri"/>
              </a:rPr>
              <a:pPr algn="ctr"/>
              <a:t>Listes</a:t>
            </a:fld>
            <a:endParaRPr lang="fr-FR" sz="1400" b="1">
              <a:solidFill>
                <a:schemeClr val="bg1"/>
              </a:solidFill>
            </a:endParaRPr>
          </a:p>
        </xdr:txBody>
      </xdr:sp>
      <xdr:sp macro="[0]!Page_config" textlink="Config!$C$19">
        <xdr:nvSpPr>
          <xdr:cNvPr id="38" name="page5">
            <a:extLst>
              <a:ext uri="{FF2B5EF4-FFF2-40B4-BE49-F238E27FC236}">
                <a16:creationId xmlns:a16="http://schemas.microsoft.com/office/drawing/2014/main" id="{00000000-0008-0000-0500-000026000000}"/>
              </a:ext>
            </a:extLst>
          </xdr:cNvPr>
          <xdr:cNvSpPr/>
        </xdr:nvSpPr>
        <xdr:spPr>
          <a:xfrm>
            <a:off x="6165537" y="33476"/>
            <a:ext cx="1152000" cy="288000"/>
          </a:xfrm>
          <a:prstGeom prst="rect">
            <a:avLst/>
          </a:prstGeom>
        </xdr:spPr>
        <xdr:style>
          <a:lnRef idx="2">
            <a:schemeClr val="accent4">
              <a:shade val="50000"/>
            </a:schemeClr>
          </a:lnRef>
          <a:fillRef idx="1">
            <a:schemeClr val="accent4"/>
          </a:fillRef>
          <a:effectRef idx="0">
            <a:schemeClr val="accent4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marL="0" indent="0" algn="ctr"/>
            <a:fld id="{0C6EC2AF-A27A-4C77-BB4B-ACBD7D0EE214}" type="TxLink">
              <a:rPr lang="en-US" sz="1400" b="1" i="0" u="none" strike="noStrike">
                <a:solidFill>
                  <a:schemeClr val="bg1"/>
                </a:solidFill>
                <a:latin typeface="Calibri"/>
                <a:ea typeface="+mn-ea"/>
                <a:cs typeface="Calibri"/>
              </a:rPr>
              <a:pPr marL="0" indent="0" algn="ctr"/>
              <a:t>Config</a:t>
            </a:fld>
            <a:endParaRPr lang="fr-FR" sz="1400" b="1" i="0" u="none" strike="noStrike">
              <a:solidFill>
                <a:schemeClr val="bg1"/>
              </a:solidFill>
              <a:latin typeface="Calibri"/>
              <a:ea typeface="+mn-ea"/>
              <a:cs typeface="Calibri"/>
            </a:endParaRPr>
          </a:p>
        </xdr:txBody>
      </xdr:sp>
      <xdr:sp macro="[0]!Page_Conso" textlink="Config!$C$20">
        <xdr:nvSpPr>
          <xdr:cNvPr id="39" name="page6">
            <a:extLst>
              <a:ext uri="{FF2B5EF4-FFF2-40B4-BE49-F238E27FC236}">
                <a16:creationId xmlns:a16="http://schemas.microsoft.com/office/drawing/2014/main" id="{00000000-0008-0000-0500-000027000000}"/>
              </a:ext>
            </a:extLst>
          </xdr:cNvPr>
          <xdr:cNvSpPr/>
        </xdr:nvSpPr>
        <xdr:spPr>
          <a:xfrm>
            <a:off x="7466649" y="33476"/>
            <a:ext cx="1152000" cy="288000"/>
          </a:xfrm>
          <a:prstGeom prst="rect">
            <a:avLst/>
          </a:prstGeom>
        </xdr:spPr>
        <xdr:style>
          <a:lnRef idx="2">
            <a:schemeClr val="accent4">
              <a:shade val="50000"/>
            </a:schemeClr>
          </a:lnRef>
          <a:fillRef idx="1">
            <a:schemeClr val="accent4"/>
          </a:fillRef>
          <a:effectRef idx="0">
            <a:schemeClr val="accent4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BCDA6C1E-A283-4100-B72A-FBB9949A1217}" type="TxLink">
              <a:rPr lang="en-US" sz="1400" b="1" i="0" u="none" strike="noStrike">
                <a:solidFill>
                  <a:schemeClr val="bg1"/>
                </a:solidFill>
                <a:latin typeface="Calibri"/>
                <a:cs typeface="Calibri"/>
              </a:rPr>
              <a:pPr algn="ctr"/>
              <a:t>Conso Bar</a:t>
            </a:fld>
            <a:endParaRPr lang="fr-FR" sz="1400" b="1">
              <a:solidFill>
                <a:schemeClr val="bg1"/>
              </a:solidFill>
            </a:endParaRPr>
          </a:p>
        </xdr:txBody>
      </xdr:sp>
      <xdr:sp macro="[0]!Page_TcdConso" textlink="Config!$C$21">
        <xdr:nvSpPr>
          <xdr:cNvPr id="40" name="page7">
            <a:extLst>
              <a:ext uri="{FF2B5EF4-FFF2-40B4-BE49-F238E27FC236}">
                <a16:creationId xmlns:a16="http://schemas.microsoft.com/office/drawing/2014/main" id="{00000000-0008-0000-0500-000028000000}"/>
              </a:ext>
            </a:extLst>
          </xdr:cNvPr>
          <xdr:cNvSpPr/>
        </xdr:nvSpPr>
        <xdr:spPr>
          <a:xfrm>
            <a:off x="8786810" y="33476"/>
            <a:ext cx="1152000" cy="288000"/>
          </a:xfrm>
          <a:prstGeom prst="rect">
            <a:avLst/>
          </a:prstGeom>
        </xdr:spPr>
        <xdr:style>
          <a:lnRef idx="2">
            <a:schemeClr val="accent4">
              <a:shade val="50000"/>
            </a:schemeClr>
          </a:lnRef>
          <a:fillRef idx="1">
            <a:schemeClr val="accent4"/>
          </a:fillRef>
          <a:effectRef idx="0">
            <a:schemeClr val="accent4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30355429-B129-4BD6-98C6-BCDDBB486952}" type="TxLink">
              <a:rPr lang="en-US" sz="1400" b="1" i="0" u="none" strike="noStrike">
                <a:solidFill>
                  <a:schemeClr val="bg1"/>
                </a:solidFill>
                <a:latin typeface="Calibri"/>
                <a:cs typeface="Calibri"/>
              </a:rPr>
              <a:pPr algn="ctr"/>
              <a:t>TcdConso</a:t>
            </a:fld>
            <a:endParaRPr lang="fr-FR" sz="1400" b="1">
              <a:solidFill>
                <a:schemeClr val="bg1"/>
              </a:solidFill>
            </a:endParaRPr>
          </a:p>
        </xdr:txBody>
      </xdr:sp>
      <xdr:sp macro="[0]!Page_Accueil2" textlink="Config!$C$22">
        <xdr:nvSpPr>
          <xdr:cNvPr id="51" name="page8">
            <a:extLst>
              <a:ext uri="{FF2B5EF4-FFF2-40B4-BE49-F238E27FC236}">
                <a16:creationId xmlns:a16="http://schemas.microsoft.com/office/drawing/2014/main" id="{00000000-0008-0000-0500-000033000000}"/>
              </a:ext>
            </a:extLst>
          </xdr:cNvPr>
          <xdr:cNvSpPr/>
        </xdr:nvSpPr>
        <xdr:spPr>
          <a:xfrm>
            <a:off x="10116496" y="33476"/>
            <a:ext cx="1152000" cy="288000"/>
          </a:xfrm>
          <a:prstGeom prst="rect">
            <a:avLst/>
          </a:prstGeom>
        </xdr:spPr>
        <xdr:style>
          <a:lnRef idx="2">
            <a:schemeClr val="accent4">
              <a:shade val="50000"/>
            </a:schemeClr>
          </a:lnRef>
          <a:fillRef idx="1">
            <a:schemeClr val="accent4"/>
          </a:fillRef>
          <a:effectRef idx="0">
            <a:schemeClr val="accent4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E12E1474-1667-4FD0-AB5C-737639717003}" type="TxLink">
              <a:rPr lang="en-US" sz="1200" b="1" i="0" u="none" strike="noStrike">
                <a:solidFill>
                  <a:schemeClr val="bg1"/>
                </a:solidFill>
                <a:latin typeface="Calibri"/>
                <a:cs typeface="Calibri"/>
              </a:rPr>
              <a:pPr algn="ctr"/>
              <a:t>Accueil 2</a:t>
            </a:fld>
            <a:endParaRPr lang="fr-FR" sz="1600" b="1">
              <a:solidFill>
                <a:schemeClr val="bg1"/>
              </a:solidFill>
            </a:endParaRPr>
          </a:p>
        </xdr:txBody>
      </xdr:sp>
    </xdr:grp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666750</xdr:colOff>
          <xdr:row>1</xdr:row>
          <xdr:rowOff>9525</xdr:rowOff>
        </xdr:from>
        <xdr:to>
          <xdr:col>10</xdr:col>
          <xdr:colOff>542925</xdr:colOff>
          <xdr:row>2</xdr:row>
          <xdr:rowOff>114300</xdr:rowOff>
        </xdr:to>
        <xdr:sp macro="" textlink="">
          <xdr:nvSpPr>
            <xdr:cNvPr id="5124" name="BtnInventaireBar" hidden="1">
              <a:extLst>
                <a:ext uri="{63B3BB69-23CF-44E3-9099-C40C66FF867C}">
                  <a14:compatExt spid="_x0000_s5124"/>
                </a:ext>
                <a:ext uri="{FF2B5EF4-FFF2-40B4-BE49-F238E27FC236}">
                  <a16:creationId xmlns:a16="http://schemas.microsoft.com/office/drawing/2014/main" id="{00000000-0008-0000-0600-000004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1</xdr:col>
      <xdr:colOff>152400</xdr:colOff>
      <xdr:row>0</xdr:row>
      <xdr:rowOff>152400</xdr:rowOff>
    </xdr:from>
    <xdr:to>
      <xdr:col>14</xdr:col>
      <xdr:colOff>705600</xdr:colOff>
      <xdr:row>0</xdr:row>
      <xdr:rowOff>548400</xdr:rowOff>
    </xdr:to>
    <xdr:grpSp>
      <xdr:nvGrpSpPr>
        <xdr:cNvPr id="43" name="Groupe 42">
          <a:extLst>
            <a:ext uri="{FF2B5EF4-FFF2-40B4-BE49-F238E27FC236}">
              <a16:creationId xmlns:a16="http://schemas.microsoft.com/office/drawing/2014/main" id="{00000000-0008-0000-0600-00002B000000}"/>
            </a:ext>
          </a:extLst>
        </xdr:cNvPr>
        <xdr:cNvGrpSpPr/>
      </xdr:nvGrpSpPr>
      <xdr:grpSpPr>
        <a:xfrm>
          <a:off x="914400" y="152400"/>
          <a:ext cx="10764000" cy="396000"/>
          <a:chOff x="762000" y="0"/>
          <a:chExt cx="10764000" cy="396000"/>
        </a:xfrm>
      </xdr:grpSpPr>
      <xdr:sp macro="" textlink="">
        <xdr:nvSpPr>
          <xdr:cNvPr id="44" name="nav">
            <a:extLst>
              <a:ext uri="{FF2B5EF4-FFF2-40B4-BE49-F238E27FC236}">
                <a16:creationId xmlns:a16="http://schemas.microsoft.com/office/drawing/2014/main" id="{00000000-0008-0000-0600-00002C000000}"/>
              </a:ext>
            </a:extLst>
          </xdr:cNvPr>
          <xdr:cNvSpPr/>
        </xdr:nvSpPr>
        <xdr:spPr>
          <a:xfrm>
            <a:off x="762000" y="0"/>
            <a:ext cx="10764000" cy="396000"/>
          </a:xfrm>
          <a:prstGeom prst="rect">
            <a:avLst/>
          </a:prstGeom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[0]!Page_accueil" textlink="Config!$C$15">
        <xdr:nvSpPr>
          <xdr:cNvPr id="45" name="page1">
            <a:extLst>
              <a:ext uri="{FF2B5EF4-FFF2-40B4-BE49-F238E27FC236}">
                <a16:creationId xmlns:a16="http://schemas.microsoft.com/office/drawing/2014/main" id="{00000000-0008-0000-0600-00002D000000}"/>
              </a:ext>
            </a:extLst>
          </xdr:cNvPr>
          <xdr:cNvSpPr/>
        </xdr:nvSpPr>
        <xdr:spPr>
          <a:xfrm>
            <a:off x="913582" y="33476"/>
            <a:ext cx="1152000" cy="288000"/>
          </a:xfrm>
          <a:prstGeom prst="rect">
            <a:avLst/>
          </a:prstGeom>
        </xdr:spPr>
        <xdr:style>
          <a:lnRef idx="2">
            <a:schemeClr val="accent4">
              <a:shade val="50000"/>
            </a:schemeClr>
          </a:lnRef>
          <a:fillRef idx="1">
            <a:schemeClr val="accent4"/>
          </a:fillRef>
          <a:effectRef idx="0">
            <a:schemeClr val="accent4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313F896E-686B-4FD6-8658-434D45AC8A80}" type="TxLink">
              <a:rPr lang="en-US" sz="1400" b="1" i="0" u="none" strike="noStrike">
                <a:solidFill>
                  <a:schemeClr val="bg1"/>
                </a:solidFill>
                <a:latin typeface="Calibri"/>
                <a:cs typeface="Calibri"/>
              </a:rPr>
              <a:pPr algn="ctr"/>
              <a:t>Accueil</a:t>
            </a:fld>
            <a:endParaRPr lang="fr-FR" sz="1400" b="1">
              <a:solidFill>
                <a:schemeClr val="bg1"/>
              </a:solidFill>
            </a:endParaRPr>
          </a:p>
        </xdr:txBody>
      </xdr:sp>
      <xdr:sp macro="[0]!Page_stock" textlink="Config!$C$16">
        <xdr:nvSpPr>
          <xdr:cNvPr id="46" name="page2">
            <a:extLst>
              <a:ext uri="{FF2B5EF4-FFF2-40B4-BE49-F238E27FC236}">
                <a16:creationId xmlns:a16="http://schemas.microsoft.com/office/drawing/2014/main" id="{00000000-0008-0000-0600-00002E000000}"/>
              </a:ext>
            </a:extLst>
          </xdr:cNvPr>
          <xdr:cNvSpPr/>
        </xdr:nvSpPr>
        <xdr:spPr>
          <a:xfrm>
            <a:off x="2233743" y="33476"/>
            <a:ext cx="1152000" cy="288000"/>
          </a:xfrm>
          <a:prstGeom prst="rect">
            <a:avLst/>
          </a:prstGeom>
        </xdr:spPr>
        <xdr:style>
          <a:lnRef idx="2">
            <a:schemeClr val="accent4">
              <a:shade val="50000"/>
            </a:schemeClr>
          </a:lnRef>
          <a:fillRef idx="1">
            <a:schemeClr val="accent4"/>
          </a:fillRef>
          <a:effectRef idx="0">
            <a:schemeClr val="accent4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7348BA01-FE82-4EE7-BC21-F67BC2004387}" type="TxLink">
              <a:rPr lang="en-US" sz="1400" b="1" i="0" u="none" strike="noStrike">
                <a:solidFill>
                  <a:schemeClr val="bg1"/>
                </a:solidFill>
                <a:latin typeface="Calibri"/>
                <a:cs typeface="Calibri"/>
              </a:rPr>
              <a:pPr algn="ctr"/>
              <a:t>Stock</a:t>
            </a:fld>
            <a:endParaRPr lang="fr-FR" sz="1400" b="1">
              <a:solidFill>
                <a:schemeClr val="bg1"/>
              </a:solidFill>
            </a:endParaRPr>
          </a:p>
        </xdr:txBody>
      </xdr:sp>
      <xdr:sp macro="[0]!Page_Mouvements" textlink="Config!$C$17">
        <xdr:nvSpPr>
          <xdr:cNvPr id="47" name="page3">
            <a:extLst>
              <a:ext uri="{FF2B5EF4-FFF2-40B4-BE49-F238E27FC236}">
                <a16:creationId xmlns:a16="http://schemas.microsoft.com/office/drawing/2014/main" id="{00000000-0008-0000-0600-00002F000000}"/>
              </a:ext>
            </a:extLst>
          </xdr:cNvPr>
          <xdr:cNvSpPr/>
        </xdr:nvSpPr>
        <xdr:spPr>
          <a:xfrm>
            <a:off x="3563430" y="33476"/>
            <a:ext cx="1152000" cy="288000"/>
          </a:xfrm>
          <a:prstGeom prst="rect">
            <a:avLst/>
          </a:prstGeom>
        </xdr:spPr>
        <xdr:style>
          <a:lnRef idx="2">
            <a:schemeClr val="accent4">
              <a:shade val="50000"/>
            </a:schemeClr>
          </a:lnRef>
          <a:fillRef idx="1">
            <a:schemeClr val="accent4"/>
          </a:fillRef>
          <a:effectRef idx="0">
            <a:schemeClr val="accent4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6BFAFA03-0C5B-4C34-8EA7-86F2E2DEF200}" type="TxLink">
              <a:rPr lang="en-US" sz="1400" b="1" i="0" u="none" strike="noStrike">
                <a:solidFill>
                  <a:schemeClr val="bg1"/>
                </a:solidFill>
                <a:latin typeface="Calibri"/>
                <a:cs typeface="Calibri"/>
              </a:rPr>
              <a:pPr algn="ctr"/>
              <a:t>Mouvement</a:t>
            </a:fld>
            <a:endParaRPr lang="fr-FR" sz="1400" b="1">
              <a:solidFill>
                <a:schemeClr val="bg1"/>
              </a:solidFill>
            </a:endParaRPr>
          </a:p>
        </xdr:txBody>
      </xdr:sp>
      <xdr:sp macro="[0]!Page_Listes" textlink="Config!$C$18">
        <xdr:nvSpPr>
          <xdr:cNvPr id="48" name="page4">
            <a:extLst>
              <a:ext uri="{FF2B5EF4-FFF2-40B4-BE49-F238E27FC236}">
                <a16:creationId xmlns:a16="http://schemas.microsoft.com/office/drawing/2014/main" id="{00000000-0008-0000-0600-000030000000}"/>
              </a:ext>
            </a:extLst>
          </xdr:cNvPr>
          <xdr:cNvSpPr/>
        </xdr:nvSpPr>
        <xdr:spPr>
          <a:xfrm>
            <a:off x="4845376" y="33476"/>
            <a:ext cx="1152000" cy="288000"/>
          </a:xfrm>
          <a:prstGeom prst="rect">
            <a:avLst/>
          </a:prstGeom>
        </xdr:spPr>
        <xdr:style>
          <a:lnRef idx="2">
            <a:schemeClr val="accent4">
              <a:shade val="50000"/>
            </a:schemeClr>
          </a:lnRef>
          <a:fillRef idx="1">
            <a:schemeClr val="accent4"/>
          </a:fillRef>
          <a:effectRef idx="0">
            <a:schemeClr val="accent4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56E4DDC2-15C3-4242-BA27-68B76357DEBD}" type="TxLink">
              <a:rPr lang="en-US" sz="1400" b="1" i="0" u="none" strike="noStrike">
                <a:solidFill>
                  <a:schemeClr val="bg1"/>
                </a:solidFill>
                <a:latin typeface="Calibri"/>
                <a:cs typeface="Calibri"/>
              </a:rPr>
              <a:pPr algn="ctr"/>
              <a:t>Listes</a:t>
            </a:fld>
            <a:endParaRPr lang="fr-FR" sz="1400" b="1">
              <a:solidFill>
                <a:schemeClr val="bg1"/>
              </a:solidFill>
            </a:endParaRPr>
          </a:p>
        </xdr:txBody>
      </xdr:sp>
      <xdr:sp macro="[0]!Page_config" textlink="Config!$C$19">
        <xdr:nvSpPr>
          <xdr:cNvPr id="49" name="page5">
            <a:extLst>
              <a:ext uri="{FF2B5EF4-FFF2-40B4-BE49-F238E27FC236}">
                <a16:creationId xmlns:a16="http://schemas.microsoft.com/office/drawing/2014/main" id="{00000000-0008-0000-0600-000031000000}"/>
              </a:ext>
            </a:extLst>
          </xdr:cNvPr>
          <xdr:cNvSpPr/>
        </xdr:nvSpPr>
        <xdr:spPr>
          <a:xfrm>
            <a:off x="6165537" y="33476"/>
            <a:ext cx="1152000" cy="288000"/>
          </a:xfrm>
          <a:prstGeom prst="rect">
            <a:avLst/>
          </a:prstGeom>
        </xdr:spPr>
        <xdr:style>
          <a:lnRef idx="2">
            <a:schemeClr val="accent4">
              <a:shade val="50000"/>
            </a:schemeClr>
          </a:lnRef>
          <a:fillRef idx="1">
            <a:schemeClr val="accent4"/>
          </a:fillRef>
          <a:effectRef idx="0">
            <a:schemeClr val="accent4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marL="0" indent="0" algn="ctr"/>
            <a:fld id="{0C6EC2AF-A27A-4C77-BB4B-ACBD7D0EE214}" type="TxLink">
              <a:rPr lang="en-US" sz="1400" b="1" i="0" u="none" strike="noStrike">
                <a:solidFill>
                  <a:schemeClr val="bg1"/>
                </a:solidFill>
                <a:latin typeface="Calibri"/>
                <a:ea typeface="+mn-ea"/>
                <a:cs typeface="Calibri"/>
              </a:rPr>
              <a:pPr marL="0" indent="0" algn="ctr"/>
              <a:t>Config</a:t>
            </a:fld>
            <a:endParaRPr lang="fr-FR" sz="1400" b="1" i="0" u="none" strike="noStrike">
              <a:solidFill>
                <a:schemeClr val="bg1"/>
              </a:solidFill>
              <a:latin typeface="Calibri"/>
              <a:ea typeface="+mn-ea"/>
              <a:cs typeface="Calibri"/>
            </a:endParaRPr>
          </a:p>
        </xdr:txBody>
      </xdr:sp>
      <xdr:sp macro="[0]!Page_Conso" textlink="Config!$C$20">
        <xdr:nvSpPr>
          <xdr:cNvPr id="50" name="page6">
            <a:extLst>
              <a:ext uri="{FF2B5EF4-FFF2-40B4-BE49-F238E27FC236}">
                <a16:creationId xmlns:a16="http://schemas.microsoft.com/office/drawing/2014/main" id="{00000000-0008-0000-0600-000032000000}"/>
              </a:ext>
            </a:extLst>
          </xdr:cNvPr>
          <xdr:cNvSpPr/>
        </xdr:nvSpPr>
        <xdr:spPr>
          <a:xfrm>
            <a:off x="7466649" y="33476"/>
            <a:ext cx="1152000" cy="288000"/>
          </a:xfrm>
          <a:prstGeom prst="rect">
            <a:avLst/>
          </a:prstGeom>
        </xdr:spPr>
        <xdr:style>
          <a:lnRef idx="2">
            <a:schemeClr val="accent4">
              <a:shade val="50000"/>
            </a:schemeClr>
          </a:lnRef>
          <a:fillRef idx="1">
            <a:schemeClr val="accent4"/>
          </a:fillRef>
          <a:effectRef idx="0">
            <a:schemeClr val="accent4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BCDA6C1E-A283-4100-B72A-FBB9949A1217}" type="TxLink">
              <a:rPr lang="en-US" sz="1400" b="1" i="0" u="none" strike="noStrike">
                <a:solidFill>
                  <a:schemeClr val="bg1"/>
                </a:solidFill>
                <a:latin typeface="Calibri"/>
                <a:cs typeface="Calibri"/>
              </a:rPr>
              <a:pPr algn="ctr"/>
              <a:t>Conso Bar</a:t>
            </a:fld>
            <a:endParaRPr lang="fr-FR" sz="1400" b="1">
              <a:solidFill>
                <a:schemeClr val="bg1"/>
              </a:solidFill>
            </a:endParaRPr>
          </a:p>
        </xdr:txBody>
      </xdr:sp>
      <xdr:sp macro="[0]!Page_TcdConso" textlink="Config!$C$21">
        <xdr:nvSpPr>
          <xdr:cNvPr id="51" name="page7">
            <a:extLst>
              <a:ext uri="{FF2B5EF4-FFF2-40B4-BE49-F238E27FC236}">
                <a16:creationId xmlns:a16="http://schemas.microsoft.com/office/drawing/2014/main" id="{00000000-0008-0000-0600-000033000000}"/>
              </a:ext>
            </a:extLst>
          </xdr:cNvPr>
          <xdr:cNvSpPr/>
        </xdr:nvSpPr>
        <xdr:spPr>
          <a:xfrm>
            <a:off x="8786810" y="33476"/>
            <a:ext cx="1152000" cy="288000"/>
          </a:xfrm>
          <a:prstGeom prst="rect">
            <a:avLst/>
          </a:prstGeom>
        </xdr:spPr>
        <xdr:style>
          <a:lnRef idx="2">
            <a:schemeClr val="accent4">
              <a:shade val="50000"/>
            </a:schemeClr>
          </a:lnRef>
          <a:fillRef idx="1">
            <a:schemeClr val="accent4"/>
          </a:fillRef>
          <a:effectRef idx="0">
            <a:schemeClr val="accent4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30355429-B129-4BD6-98C6-BCDDBB486952}" type="TxLink">
              <a:rPr lang="en-US" sz="1400" b="1" i="0" u="none" strike="noStrike">
                <a:solidFill>
                  <a:schemeClr val="bg1"/>
                </a:solidFill>
                <a:latin typeface="Calibri"/>
                <a:cs typeface="Calibri"/>
              </a:rPr>
              <a:pPr algn="ctr"/>
              <a:t>TcdConso</a:t>
            </a:fld>
            <a:endParaRPr lang="fr-FR" sz="1400" b="1">
              <a:solidFill>
                <a:schemeClr val="bg1"/>
              </a:solidFill>
            </a:endParaRPr>
          </a:p>
        </xdr:txBody>
      </xdr:sp>
      <xdr:sp macro="[0]!Page_Accueil2" textlink="Config!$C$22">
        <xdr:nvSpPr>
          <xdr:cNvPr id="52" name="page8">
            <a:extLst>
              <a:ext uri="{FF2B5EF4-FFF2-40B4-BE49-F238E27FC236}">
                <a16:creationId xmlns:a16="http://schemas.microsoft.com/office/drawing/2014/main" id="{00000000-0008-0000-0600-000034000000}"/>
              </a:ext>
            </a:extLst>
          </xdr:cNvPr>
          <xdr:cNvSpPr/>
        </xdr:nvSpPr>
        <xdr:spPr>
          <a:xfrm>
            <a:off x="10116496" y="33476"/>
            <a:ext cx="1152000" cy="288000"/>
          </a:xfrm>
          <a:prstGeom prst="rect">
            <a:avLst/>
          </a:prstGeom>
        </xdr:spPr>
        <xdr:style>
          <a:lnRef idx="2">
            <a:schemeClr val="accent4">
              <a:shade val="50000"/>
            </a:schemeClr>
          </a:lnRef>
          <a:fillRef idx="1">
            <a:schemeClr val="accent4"/>
          </a:fillRef>
          <a:effectRef idx="0">
            <a:schemeClr val="accent4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E12E1474-1667-4FD0-AB5C-737639717003}" type="TxLink">
              <a:rPr lang="en-US" sz="1200" b="1" i="0" u="none" strike="noStrike">
                <a:solidFill>
                  <a:schemeClr val="bg1"/>
                </a:solidFill>
                <a:latin typeface="Calibri"/>
                <a:cs typeface="Calibri"/>
              </a:rPr>
              <a:pPr algn="ctr"/>
              <a:t>Accueil 2</a:t>
            </a:fld>
            <a:endParaRPr lang="fr-FR" sz="1600" b="1">
              <a:solidFill>
                <a:schemeClr val="bg1"/>
              </a:solidFill>
            </a:endParaRPr>
          </a:p>
        </xdr:txBody>
      </xdr:sp>
    </xdr:grpSp>
    <xdr:clientData/>
  </xdr:twoCellAnchor>
  <xdr:twoCellAnchor editAs="absolute">
    <xdr:from>
      <xdr:col>17</xdr:col>
      <xdr:colOff>0</xdr:colOff>
      <xdr:row>3</xdr:row>
      <xdr:rowOff>76200</xdr:rowOff>
    </xdr:from>
    <xdr:to>
      <xdr:col>18</xdr:col>
      <xdr:colOff>428625</xdr:colOff>
      <xdr:row>111</xdr:row>
      <xdr:rowOff>123825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4" name="Année 2">
              <a:extLst>
                <a:ext uri="{FF2B5EF4-FFF2-40B4-BE49-F238E27FC236}">
                  <a16:creationId xmlns:a16="http://schemas.microsoft.com/office/drawing/2014/main" id="{00000000-0008-0000-0600-000004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nnée 2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3258800" y="1057275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18</xdr:col>
      <xdr:colOff>895350</xdr:colOff>
      <xdr:row>3</xdr:row>
      <xdr:rowOff>114300</xdr:rowOff>
    </xdr:from>
    <xdr:to>
      <xdr:col>21</xdr:col>
      <xdr:colOff>314325</xdr:colOff>
      <xdr:row>111</xdr:row>
      <xdr:rowOff>161925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5" name="Mois 1">
              <a:extLst>
                <a:ext uri="{FF2B5EF4-FFF2-40B4-BE49-F238E27FC236}">
                  <a16:creationId xmlns:a16="http://schemas.microsoft.com/office/drawing/2014/main" id="{00000000-0008-0000-0600-000005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ois 1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5554325" y="1095375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0</xdr:row>
      <xdr:rowOff>0</xdr:rowOff>
    </xdr:from>
    <xdr:to>
      <xdr:col>16</xdr:col>
      <xdr:colOff>648450</xdr:colOff>
      <xdr:row>0</xdr:row>
      <xdr:rowOff>396000</xdr:rowOff>
    </xdr:to>
    <xdr:grpSp>
      <xdr:nvGrpSpPr>
        <xdr:cNvPr id="24" name="Groupe 23">
          <a:extLst>
            <a:ext uri="{FF2B5EF4-FFF2-40B4-BE49-F238E27FC236}">
              <a16:creationId xmlns:a16="http://schemas.microsoft.com/office/drawing/2014/main" id="{00000000-0008-0000-0700-000018000000}"/>
            </a:ext>
          </a:extLst>
        </xdr:cNvPr>
        <xdr:cNvGrpSpPr/>
      </xdr:nvGrpSpPr>
      <xdr:grpSpPr>
        <a:xfrm>
          <a:off x="1400175" y="0"/>
          <a:ext cx="8468475" cy="396000"/>
          <a:chOff x="762000" y="0"/>
          <a:chExt cx="10764000" cy="396000"/>
        </a:xfrm>
      </xdr:grpSpPr>
      <xdr:sp macro="" textlink="">
        <xdr:nvSpPr>
          <xdr:cNvPr id="25" name="nav">
            <a:extLst>
              <a:ext uri="{FF2B5EF4-FFF2-40B4-BE49-F238E27FC236}">
                <a16:creationId xmlns:a16="http://schemas.microsoft.com/office/drawing/2014/main" id="{00000000-0008-0000-0700-000019000000}"/>
              </a:ext>
            </a:extLst>
          </xdr:cNvPr>
          <xdr:cNvSpPr/>
        </xdr:nvSpPr>
        <xdr:spPr>
          <a:xfrm>
            <a:off x="762000" y="0"/>
            <a:ext cx="10764000" cy="396000"/>
          </a:xfrm>
          <a:prstGeom prst="rect">
            <a:avLst/>
          </a:prstGeom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[0]!Page_accueil" textlink="Config!$C$15">
        <xdr:nvSpPr>
          <xdr:cNvPr id="26" name="page1">
            <a:extLst>
              <a:ext uri="{FF2B5EF4-FFF2-40B4-BE49-F238E27FC236}">
                <a16:creationId xmlns:a16="http://schemas.microsoft.com/office/drawing/2014/main" id="{00000000-0008-0000-0700-00001A000000}"/>
              </a:ext>
            </a:extLst>
          </xdr:cNvPr>
          <xdr:cNvSpPr/>
        </xdr:nvSpPr>
        <xdr:spPr>
          <a:xfrm>
            <a:off x="913582" y="33476"/>
            <a:ext cx="1152000" cy="288000"/>
          </a:xfrm>
          <a:prstGeom prst="rect">
            <a:avLst/>
          </a:prstGeom>
        </xdr:spPr>
        <xdr:style>
          <a:lnRef idx="2">
            <a:schemeClr val="accent4">
              <a:shade val="50000"/>
            </a:schemeClr>
          </a:lnRef>
          <a:fillRef idx="1">
            <a:schemeClr val="accent4"/>
          </a:fillRef>
          <a:effectRef idx="0">
            <a:schemeClr val="accent4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313F896E-686B-4FD6-8658-434D45AC8A80}" type="TxLink">
              <a:rPr lang="en-US" sz="1400" b="1" i="0" u="none" strike="noStrike">
                <a:solidFill>
                  <a:schemeClr val="bg1"/>
                </a:solidFill>
                <a:latin typeface="Calibri"/>
                <a:cs typeface="Calibri"/>
              </a:rPr>
              <a:pPr algn="ctr"/>
              <a:t>Accueil</a:t>
            </a:fld>
            <a:endParaRPr lang="fr-FR" sz="1400" b="1">
              <a:solidFill>
                <a:schemeClr val="bg1"/>
              </a:solidFill>
            </a:endParaRPr>
          </a:p>
        </xdr:txBody>
      </xdr:sp>
      <xdr:sp macro="[0]!Page_stock" textlink="Config!$C$16">
        <xdr:nvSpPr>
          <xdr:cNvPr id="27" name="page2">
            <a:extLst>
              <a:ext uri="{FF2B5EF4-FFF2-40B4-BE49-F238E27FC236}">
                <a16:creationId xmlns:a16="http://schemas.microsoft.com/office/drawing/2014/main" id="{00000000-0008-0000-0700-00001B000000}"/>
              </a:ext>
            </a:extLst>
          </xdr:cNvPr>
          <xdr:cNvSpPr/>
        </xdr:nvSpPr>
        <xdr:spPr>
          <a:xfrm>
            <a:off x="2233743" y="33476"/>
            <a:ext cx="1152000" cy="288000"/>
          </a:xfrm>
          <a:prstGeom prst="rect">
            <a:avLst/>
          </a:prstGeom>
        </xdr:spPr>
        <xdr:style>
          <a:lnRef idx="2">
            <a:schemeClr val="accent4">
              <a:shade val="50000"/>
            </a:schemeClr>
          </a:lnRef>
          <a:fillRef idx="1">
            <a:schemeClr val="accent4"/>
          </a:fillRef>
          <a:effectRef idx="0">
            <a:schemeClr val="accent4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7348BA01-FE82-4EE7-BC21-F67BC2004387}" type="TxLink">
              <a:rPr lang="en-US" sz="1400" b="1" i="0" u="none" strike="noStrike">
                <a:solidFill>
                  <a:schemeClr val="bg1"/>
                </a:solidFill>
                <a:latin typeface="Calibri"/>
                <a:cs typeface="Calibri"/>
              </a:rPr>
              <a:pPr algn="ctr"/>
              <a:t>Stock</a:t>
            </a:fld>
            <a:endParaRPr lang="fr-FR" sz="1400" b="1">
              <a:solidFill>
                <a:schemeClr val="bg1"/>
              </a:solidFill>
            </a:endParaRPr>
          </a:p>
        </xdr:txBody>
      </xdr:sp>
      <xdr:sp macro="[0]!Page_Mouvements" textlink="Config!$C$17">
        <xdr:nvSpPr>
          <xdr:cNvPr id="28" name="page3">
            <a:extLst>
              <a:ext uri="{FF2B5EF4-FFF2-40B4-BE49-F238E27FC236}">
                <a16:creationId xmlns:a16="http://schemas.microsoft.com/office/drawing/2014/main" id="{00000000-0008-0000-0700-00001C000000}"/>
              </a:ext>
            </a:extLst>
          </xdr:cNvPr>
          <xdr:cNvSpPr/>
        </xdr:nvSpPr>
        <xdr:spPr>
          <a:xfrm>
            <a:off x="3563430" y="33476"/>
            <a:ext cx="1152000" cy="288000"/>
          </a:xfrm>
          <a:prstGeom prst="rect">
            <a:avLst/>
          </a:prstGeom>
        </xdr:spPr>
        <xdr:style>
          <a:lnRef idx="2">
            <a:schemeClr val="accent4">
              <a:shade val="50000"/>
            </a:schemeClr>
          </a:lnRef>
          <a:fillRef idx="1">
            <a:schemeClr val="accent4"/>
          </a:fillRef>
          <a:effectRef idx="0">
            <a:schemeClr val="accent4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6BFAFA03-0C5B-4C34-8EA7-86F2E2DEF200}" type="TxLink">
              <a:rPr lang="en-US" sz="1400" b="1" i="0" u="none" strike="noStrike">
                <a:solidFill>
                  <a:schemeClr val="bg1"/>
                </a:solidFill>
                <a:latin typeface="Calibri"/>
                <a:cs typeface="Calibri"/>
              </a:rPr>
              <a:pPr algn="ctr"/>
              <a:t>Mouvement</a:t>
            </a:fld>
            <a:endParaRPr lang="fr-FR" sz="1400" b="1">
              <a:solidFill>
                <a:schemeClr val="bg1"/>
              </a:solidFill>
            </a:endParaRPr>
          </a:p>
        </xdr:txBody>
      </xdr:sp>
      <xdr:sp macro="[0]!Page_Listes" textlink="Config!$C$18">
        <xdr:nvSpPr>
          <xdr:cNvPr id="29" name="page4">
            <a:extLst>
              <a:ext uri="{FF2B5EF4-FFF2-40B4-BE49-F238E27FC236}">
                <a16:creationId xmlns:a16="http://schemas.microsoft.com/office/drawing/2014/main" id="{00000000-0008-0000-0700-00001D000000}"/>
              </a:ext>
            </a:extLst>
          </xdr:cNvPr>
          <xdr:cNvSpPr/>
        </xdr:nvSpPr>
        <xdr:spPr>
          <a:xfrm>
            <a:off x="4845376" y="33476"/>
            <a:ext cx="1152000" cy="288000"/>
          </a:xfrm>
          <a:prstGeom prst="rect">
            <a:avLst/>
          </a:prstGeom>
        </xdr:spPr>
        <xdr:style>
          <a:lnRef idx="2">
            <a:schemeClr val="accent4">
              <a:shade val="50000"/>
            </a:schemeClr>
          </a:lnRef>
          <a:fillRef idx="1">
            <a:schemeClr val="accent4"/>
          </a:fillRef>
          <a:effectRef idx="0">
            <a:schemeClr val="accent4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56E4DDC2-15C3-4242-BA27-68B76357DEBD}" type="TxLink">
              <a:rPr lang="en-US" sz="1400" b="1" i="0" u="none" strike="noStrike">
                <a:solidFill>
                  <a:schemeClr val="bg1"/>
                </a:solidFill>
                <a:latin typeface="Calibri"/>
                <a:cs typeface="Calibri"/>
              </a:rPr>
              <a:pPr algn="ctr"/>
              <a:t>Listes</a:t>
            </a:fld>
            <a:endParaRPr lang="fr-FR" sz="1400" b="1">
              <a:solidFill>
                <a:schemeClr val="bg1"/>
              </a:solidFill>
            </a:endParaRPr>
          </a:p>
        </xdr:txBody>
      </xdr:sp>
      <xdr:sp macro="[0]!Page_config" textlink="Config!$C$19">
        <xdr:nvSpPr>
          <xdr:cNvPr id="30" name="page5">
            <a:extLst>
              <a:ext uri="{FF2B5EF4-FFF2-40B4-BE49-F238E27FC236}">
                <a16:creationId xmlns:a16="http://schemas.microsoft.com/office/drawing/2014/main" id="{00000000-0008-0000-0700-00001E000000}"/>
              </a:ext>
            </a:extLst>
          </xdr:cNvPr>
          <xdr:cNvSpPr/>
        </xdr:nvSpPr>
        <xdr:spPr>
          <a:xfrm>
            <a:off x="6165537" y="33476"/>
            <a:ext cx="1152000" cy="288000"/>
          </a:xfrm>
          <a:prstGeom prst="rect">
            <a:avLst/>
          </a:prstGeom>
        </xdr:spPr>
        <xdr:style>
          <a:lnRef idx="2">
            <a:schemeClr val="accent4">
              <a:shade val="50000"/>
            </a:schemeClr>
          </a:lnRef>
          <a:fillRef idx="1">
            <a:schemeClr val="accent4"/>
          </a:fillRef>
          <a:effectRef idx="0">
            <a:schemeClr val="accent4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marL="0" indent="0" algn="ctr"/>
            <a:fld id="{0C6EC2AF-A27A-4C77-BB4B-ACBD7D0EE214}" type="TxLink">
              <a:rPr lang="en-US" sz="1400" b="1" i="0" u="none" strike="noStrike">
                <a:solidFill>
                  <a:schemeClr val="bg1"/>
                </a:solidFill>
                <a:latin typeface="Calibri"/>
                <a:ea typeface="+mn-ea"/>
                <a:cs typeface="Calibri"/>
              </a:rPr>
              <a:pPr marL="0" indent="0" algn="ctr"/>
              <a:t>Config</a:t>
            </a:fld>
            <a:endParaRPr lang="fr-FR" sz="1400" b="1" i="0" u="none" strike="noStrike">
              <a:solidFill>
                <a:schemeClr val="bg1"/>
              </a:solidFill>
              <a:latin typeface="Calibri"/>
              <a:ea typeface="+mn-ea"/>
              <a:cs typeface="Calibri"/>
            </a:endParaRPr>
          </a:p>
        </xdr:txBody>
      </xdr:sp>
      <xdr:sp macro="[0]!Page_Conso" textlink="Config!$C$20">
        <xdr:nvSpPr>
          <xdr:cNvPr id="31" name="page6">
            <a:extLst>
              <a:ext uri="{FF2B5EF4-FFF2-40B4-BE49-F238E27FC236}">
                <a16:creationId xmlns:a16="http://schemas.microsoft.com/office/drawing/2014/main" id="{00000000-0008-0000-0700-00001F000000}"/>
              </a:ext>
            </a:extLst>
          </xdr:cNvPr>
          <xdr:cNvSpPr/>
        </xdr:nvSpPr>
        <xdr:spPr>
          <a:xfrm>
            <a:off x="7466649" y="33476"/>
            <a:ext cx="1152000" cy="288000"/>
          </a:xfrm>
          <a:prstGeom prst="rect">
            <a:avLst/>
          </a:prstGeom>
        </xdr:spPr>
        <xdr:style>
          <a:lnRef idx="2">
            <a:schemeClr val="accent4">
              <a:shade val="50000"/>
            </a:schemeClr>
          </a:lnRef>
          <a:fillRef idx="1">
            <a:schemeClr val="accent4"/>
          </a:fillRef>
          <a:effectRef idx="0">
            <a:schemeClr val="accent4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BCDA6C1E-A283-4100-B72A-FBB9949A1217}" type="TxLink">
              <a:rPr lang="en-US" sz="1400" b="1" i="0" u="none" strike="noStrike">
                <a:solidFill>
                  <a:schemeClr val="bg1"/>
                </a:solidFill>
                <a:latin typeface="Calibri"/>
                <a:cs typeface="Calibri"/>
              </a:rPr>
              <a:pPr algn="ctr"/>
              <a:t>Conso Bar</a:t>
            </a:fld>
            <a:endParaRPr lang="fr-FR" sz="1400" b="1">
              <a:solidFill>
                <a:schemeClr val="bg1"/>
              </a:solidFill>
            </a:endParaRPr>
          </a:p>
        </xdr:txBody>
      </xdr:sp>
      <xdr:sp macro="[0]!Page_TcdConso" textlink="Config!$C$21">
        <xdr:nvSpPr>
          <xdr:cNvPr id="42" name="page7">
            <a:extLst>
              <a:ext uri="{FF2B5EF4-FFF2-40B4-BE49-F238E27FC236}">
                <a16:creationId xmlns:a16="http://schemas.microsoft.com/office/drawing/2014/main" id="{00000000-0008-0000-0700-00002A000000}"/>
              </a:ext>
            </a:extLst>
          </xdr:cNvPr>
          <xdr:cNvSpPr/>
        </xdr:nvSpPr>
        <xdr:spPr>
          <a:xfrm>
            <a:off x="8786810" y="33476"/>
            <a:ext cx="1152000" cy="288000"/>
          </a:xfrm>
          <a:prstGeom prst="rect">
            <a:avLst/>
          </a:prstGeom>
        </xdr:spPr>
        <xdr:style>
          <a:lnRef idx="2">
            <a:schemeClr val="accent4">
              <a:shade val="50000"/>
            </a:schemeClr>
          </a:lnRef>
          <a:fillRef idx="1">
            <a:schemeClr val="accent4"/>
          </a:fillRef>
          <a:effectRef idx="0">
            <a:schemeClr val="accent4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30355429-B129-4BD6-98C6-BCDDBB486952}" type="TxLink">
              <a:rPr lang="en-US" sz="1400" b="1" i="0" u="none" strike="noStrike">
                <a:solidFill>
                  <a:schemeClr val="bg1"/>
                </a:solidFill>
                <a:latin typeface="Calibri"/>
                <a:cs typeface="Calibri"/>
              </a:rPr>
              <a:pPr algn="ctr"/>
              <a:t>TcdConso</a:t>
            </a:fld>
            <a:endParaRPr lang="fr-FR" sz="1400" b="1">
              <a:solidFill>
                <a:schemeClr val="bg1"/>
              </a:solidFill>
            </a:endParaRPr>
          </a:p>
        </xdr:txBody>
      </xdr:sp>
      <xdr:sp macro="[0]!Page_Accueil2" textlink="Config!$C$22">
        <xdr:nvSpPr>
          <xdr:cNvPr id="43" name="page8">
            <a:extLst>
              <a:ext uri="{FF2B5EF4-FFF2-40B4-BE49-F238E27FC236}">
                <a16:creationId xmlns:a16="http://schemas.microsoft.com/office/drawing/2014/main" id="{00000000-0008-0000-0700-00002B000000}"/>
              </a:ext>
            </a:extLst>
          </xdr:cNvPr>
          <xdr:cNvSpPr/>
        </xdr:nvSpPr>
        <xdr:spPr>
          <a:xfrm>
            <a:off x="10116496" y="33476"/>
            <a:ext cx="1152000" cy="288000"/>
          </a:xfrm>
          <a:prstGeom prst="rect">
            <a:avLst/>
          </a:prstGeom>
        </xdr:spPr>
        <xdr:style>
          <a:lnRef idx="2">
            <a:schemeClr val="accent4">
              <a:shade val="50000"/>
            </a:schemeClr>
          </a:lnRef>
          <a:fillRef idx="1">
            <a:schemeClr val="accent4"/>
          </a:fillRef>
          <a:effectRef idx="0">
            <a:schemeClr val="accent4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E12E1474-1667-4FD0-AB5C-737639717003}" type="TxLink">
              <a:rPr lang="en-US" sz="1200" b="1" i="0" u="none" strike="noStrike">
                <a:solidFill>
                  <a:schemeClr val="bg1"/>
                </a:solidFill>
                <a:latin typeface="Calibri"/>
                <a:cs typeface="Calibri"/>
              </a:rPr>
              <a:pPr algn="ctr"/>
              <a:t>Accueil 2</a:t>
            </a:fld>
            <a:endParaRPr lang="fr-FR" sz="1600" b="1">
              <a:solidFill>
                <a:schemeClr val="bg1"/>
              </a:solidFill>
            </a:endParaRPr>
          </a:p>
        </xdr:txBody>
      </xdr:sp>
    </xdr:grpSp>
    <xdr:clientData/>
  </xdr:twoCellAnchor>
  <xdr:twoCellAnchor editAs="oneCell">
    <xdr:from>
      <xdr:col>16</xdr:col>
      <xdr:colOff>542925</xdr:colOff>
      <xdr:row>4</xdr:row>
      <xdr:rowOff>114300</xdr:rowOff>
    </xdr:from>
    <xdr:to>
      <xdr:col>19</xdr:col>
      <xdr:colOff>85725</xdr:colOff>
      <xdr:row>17</xdr:row>
      <xdr:rowOff>161925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3" name="Année 1">
              <a:extLst>
                <a:ext uri="{FF2B5EF4-FFF2-40B4-BE49-F238E27FC236}">
                  <a16:creationId xmlns:a16="http://schemas.microsoft.com/office/drawing/2014/main" id="{00000000-0008-0000-0700-000003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nnée 1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9763125" y="1314450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28575</xdr:colOff>
      <xdr:row>2</xdr:row>
      <xdr:rowOff>38100</xdr:rowOff>
    </xdr:from>
    <xdr:to>
      <xdr:col>4</xdr:col>
      <xdr:colOff>733425</xdr:colOff>
      <xdr:row>3</xdr:row>
      <xdr:rowOff>152400</xdr:rowOff>
    </xdr:to>
    <xdr:sp macro="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800-000002000000}"/>
            </a:ext>
          </a:extLst>
        </xdr:cNvPr>
        <xdr:cNvSpPr/>
      </xdr:nvSpPr>
      <xdr:spPr>
        <a:xfrm>
          <a:off x="1552575" y="600075"/>
          <a:ext cx="2228850" cy="3048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lt1"/>
              </a:solidFill>
              <a:latin typeface="+mn-lt"/>
              <a:ea typeface="+mn-ea"/>
              <a:cs typeface="+mn-cs"/>
            </a:rPr>
            <a:t>Stock</a:t>
          </a:r>
          <a:r>
            <a:rPr lang="fr-FR" sz="1100"/>
            <a:t> </a:t>
          </a:r>
          <a:r>
            <a:rPr lang="fr-FR" sz="1400" b="1">
              <a:solidFill>
                <a:schemeClr val="lt1"/>
              </a:solidFill>
              <a:latin typeface="+mn-lt"/>
              <a:ea typeface="+mn-ea"/>
              <a:cs typeface="+mn-cs"/>
            </a:rPr>
            <a:t>Cave</a:t>
          </a:r>
        </a:p>
      </xdr:txBody>
    </xdr:sp>
    <xdr:clientData/>
  </xdr:twoCellAnchor>
  <xdr:twoCellAnchor>
    <xdr:from>
      <xdr:col>7</xdr:col>
      <xdr:colOff>28575</xdr:colOff>
      <xdr:row>2</xdr:row>
      <xdr:rowOff>38100</xdr:rowOff>
    </xdr:from>
    <xdr:to>
      <xdr:col>9</xdr:col>
      <xdr:colOff>733425</xdr:colOff>
      <xdr:row>3</xdr:row>
      <xdr:rowOff>152400</xdr:rowOff>
    </xdr:to>
    <xdr:sp macro="" textlink="">
      <xdr:nvSpPr>
        <xdr:cNvPr id="14" name="Rectangle : coins arrondis 13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800-00000E000000}"/>
            </a:ext>
          </a:extLst>
        </xdr:cNvPr>
        <xdr:cNvSpPr/>
      </xdr:nvSpPr>
      <xdr:spPr>
        <a:xfrm>
          <a:off x="5362575" y="600075"/>
          <a:ext cx="2228850" cy="304800"/>
        </a:xfrm>
        <a:prstGeom prst="roundRect">
          <a:avLst/>
        </a:prstGeom>
        <a:solidFill>
          <a:schemeClr val="accent4"/>
        </a:solidFill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lt1"/>
              </a:solidFill>
              <a:latin typeface="+mn-lt"/>
              <a:ea typeface="+mn-ea"/>
              <a:cs typeface="+mn-cs"/>
            </a:rPr>
            <a:t>Inventaire</a:t>
          </a:r>
          <a:r>
            <a:rPr lang="fr-FR" sz="1100" baseline="0"/>
            <a:t> </a:t>
          </a:r>
          <a:r>
            <a:rPr lang="fr-FR" sz="1400" b="1">
              <a:solidFill>
                <a:schemeClr val="lt1"/>
              </a:solidFill>
              <a:latin typeface="+mn-lt"/>
              <a:ea typeface="+mn-ea"/>
              <a:cs typeface="+mn-cs"/>
            </a:rPr>
            <a:t>Frigo</a:t>
          </a:r>
        </a:p>
      </xdr:txBody>
    </xdr:sp>
    <xdr:clientData/>
  </xdr:twoCellAnchor>
  <xdr:twoCellAnchor>
    <xdr:from>
      <xdr:col>2</xdr:col>
      <xdr:colOff>57150</xdr:colOff>
      <xdr:row>4</xdr:row>
      <xdr:rowOff>123825</xdr:rowOff>
    </xdr:from>
    <xdr:to>
      <xdr:col>4</xdr:col>
      <xdr:colOff>693150</xdr:colOff>
      <xdr:row>6</xdr:row>
      <xdr:rowOff>102825</xdr:rowOff>
    </xdr:to>
    <xdr:sp macro="[0]!Page_stock" textlink="">
      <xdr:nvSpPr>
        <xdr:cNvPr id="16" name="Rectangle : coins arrondis 15">
          <a:extLst>
            <a:ext uri="{FF2B5EF4-FFF2-40B4-BE49-F238E27FC236}">
              <a16:creationId xmlns:a16="http://schemas.microsoft.com/office/drawing/2014/main" id="{00000000-0008-0000-0800-000010000000}"/>
            </a:ext>
          </a:extLst>
        </xdr:cNvPr>
        <xdr:cNvSpPr/>
      </xdr:nvSpPr>
      <xdr:spPr>
        <a:xfrm>
          <a:off x="1581150" y="1066800"/>
          <a:ext cx="2160000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Stock</a:t>
          </a:r>
        </a:p>
      </xdr:txBody>
    </xdr:sp>
    <xdr:clientData/>
  </xdr:twoCellAnchor>
  <xdr:twoCellAnchor>
    <xdr:from>
      <xdr:col>2</xdr:col>
      <xdr:colOff>57150</xdr:colOff>
      <xdr:row>7</xdr:row>
      <xdr:rowOff>28575</xdr:rowOff>
    </xdr:from>
    <xdr:to>
      <xdr:col>4</xdr:col>
      <xdr:colOff>693150</xdr:colOff>
      <xdr:row>9</xdr:row>
      <xdr:rowOff>7575</xdr:rowOff>
    </xdr:to>
    <xdr:sp macro="[0]!Page_Mouvements" textlink="">
      <xdr:nvSpPr>
        <xdr:cNvPr id="18" name="Rectangle : coins arrondis 17">
          <a:extLst>
            <a:ext uri="{FF2B5EF4-FFF2-40B4-BE49-F238E27FC236}">
              <a16:creationId xmlns:a16="http://schemas.microsoft.com/office/drawing/2014/main" id="{00000000-0008-0000-0800-000012000000}"/>
            </a:ext>
          </a:extLst>
        </xdr:cNvPr>
        <xdr:cNvSpPr/>
      </xdr:nvSpPr>
      <xdr:spPr>
        <a:xfrm>
          <a:off x="1581150" y="1543050"/>
          <a:ext cx="2160000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lt1"/>
              </a:solidFill>
              <a:latin typeface="+mn-lt"/>
              <a:ea typeface="+mn-ea"/>
              <a:cs typeface="+mn-cs"/>
            </a:rPr>
            <a:t>Mouvement</a:t>
          </a:r>
        </a:p>
      </xdr:txBody>
    </xdr:sp>
    <xdr:clientData/>
  </xdr:twoCellAnchor>
  <xdr:twoCellAnchor>
    <xdr:from>
      <xdr:col>2</xdr:col>
      <xdr:colOff>57150</xdr:colOff>
      <xdr:row>9</xdr:row>
      <xdr:rowOff>95250</xdr:rowOff>
    </xdr:from>
    <xdr:to>
      <xdr:col>4</xdr:col>
      <xdr:colOff>693150</xdr:colOff>
      <xdr:row>11</xdr:row>
      <xdr:rowOff>74250</xdr:rowOff>
    </xdr:to>
    <xdr:sp macro="[0]!OuvrirFormMouvement" textlink="">
      <xdr:nvSpPr>
        <xdr:cNvPr id="19" name="Rectangle : coins arrondis 18">
          <a:extLst>
            <a:ext uri="{FF2B5EF4-FFF2-40B4-BE49-F238E27FC236}">
              <a16:creationId xmlns:a16="http://schemas.microsoft.com/office/drawing/2014/main" id="{00000000-0008-0000-0800-000013000000}"/>
            </a:ext>
          </a:extLst>
        </xdr:cNvPr>
        <xdr:cNvSpPr/>
      </xdr:nvSpPr>
      <xdr:spPr>
        <a:xfrm>
          <a:off x="1581150" y="1990725"/>
          <a:ext cx="2160000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lt1"/>
              </a:solidFill>
              <a:latin typeface="+mn-lt"/>
              <a:ea typeface="+mn-ea"/>
              <a:cs typeface="+mn-cs"/>
            </a:rPr>
            <a:t>Ajouter</a:t>
          </a:r>
          <a:r>
            <a:rPr lang="fr-FR" sz="1100"/>
            <a:t> </a:t>
          </a:r>
          <a:r>
            <a:rPr lang="fr-FR" sz="1400" b="1">
              <a:solidFill>
                <a:schemeClr val="lt1"/>
              </a:solidFill>
              <a:latin typeface="+mn-lt"/>
              <a:ea typeface="+mn-ea"/>
              <a:cs typeface="+mn-cs"/>
            </a:rPr>
            <a:t>Mouvement</a:t>
          </a:r>
        </a:p>
      </xdr:txBody>
    </xdr:sp>
    <xdr:clientData/>
  </xdr:twoCellAnchor>
  <xdr:twoCellAnchor>
    <xdr:from>
      <xdr:col>7</xdr:col>
      <xdr:colOff>65371</xdr:colOff>
      <xdr:row>4</xdr:row>
      <xdr:rowOff>180975</xdr:rowOff>
    </xdr:from>
    <xdr:to>
      <xdr:col>9</xdr:col>
      <xdr:colOff>701371</xdr:colOff>
      <xdr:row>6</xdr:row>
      <xdr:rowOff>159975</xdr:rowOff>
    </xdr:to>
    <xdr:sp macro="[0]!Page_Conso" textlink="">
      <xdr:nvSpPr>
        <xdr:cNvPr id="21" name="Rectangle : coins arrondis 20">
          <a:extLst>
            <a:ext uri="{FF2B5EF4-FFF2-40B4-BE49-F238E27FC236}">
              <a16:creationId xmlns:a16="http://schemas.microsoft.com/office/drawing/2014/main" id="{00000000-0008-0000-0800-000015000000}"/>
            </a:ext>
          </a:extLst>
        </xdr:cNvPr>
        <xdr:cNvSpPr/>
      </xdr:nvSpPr>
      <xdr:spPr>
        <a:xfrm>
          <a:off x="5399371" y="1123950"/>
          <a:ext cx="2160000" cy="360000"/>
        </a:xfrm>
        <a:prstGeom prst="roundRect">
          <a:avLst/>
        </a:prstGeom>
        <a:solidFill>
          <a:schemeClr val="accent4"/>
        </a:solidFill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lt1"/>
              </a:solidFill>
              <a:latin typeface="+mn-lt"/>
              <a:ea typeface="+mn-ea"/>
              <a:cs typeface="+mn-cs"/>
            </a:rPr>
            <a:t>Detail</a:t>
          </a:r>
          <a:r>
            <a:rPr lang="fr-FR" sz="1100"/>
            <a:t> </a:t>
          </a:r>
          <a:r>
            <a:rPr lang="fr-FR" sz="1400" b="1">
              <a:solidFill>
                <a:schemeClr val="lt1"/>
              </a:solidFill>
              <a:latin typeface="+mn-lt"/>
              <a:ea typeface="+mn-ea"/>
              <a:cs typeface="+mn-cs"/>
            </a:rPr>
            <a:t>consommation</a:t>
          </a:r>
        </a:p>
      </xdr:txBody>
    </xdr:sp>
    <xdr:clientData/>
  </xdr:twoCellAnchor>
  <xdr:twoCellAnchor>
    <xdr:from>
      <xdr:col>7</xdr:col>
      <xdr:colOff>65371</xdr:colOff>
      <xdr:row>7</xdr:row>
      <xdr:rowOff>123825</xdr:rowOff>
    </xdr:from>
    <xdr:to>
      <xdr:col>9</xdr:col>
      <xdr:colOff>701371</xdr:colOff>
      <xdr:row>9</xdr:row>
      <xdr:rowOff>102825</xdr:rowOff>
    </xdr:to>
    <xdr:sp macro="[0]!OuvrirFormMouvement" textlink="">
      <xdr:nvSpPr>
        <xdr:cNvPr id="22" name="Rectangle : coins arrondis 21">
          <a:extLst>
            <a:ext uri="{FF2B5EF4-FFF2-40B4-BE49-F238E27FC236}">
              <a16:creationId xmlns:a16="http://schemas.microsoft.com/office/drawing/2014/main" id="{00000000-0008-0000-0800-000016000000}"/>
            </a:ext>
          </a:extLst>
        </xdr:cNvPr>
        <xdr:cNvSpPr/>
      </xdr:nvSpPr>
      <xdr:spPr>
        <a:xfrm>
          <a:off x="5399371" y="1638300"/>
          <a:ext cx="2160000" cy="360000"/>
        </a:xfrm>
        <a:prstGeom prst="roundRect">
          <a:avLst/>
        </a:prstGeom>
        <a:solidFill>
          <a:schemeClr val="accent4"/>
        </a:solidFill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lt1"/>
              </a:solidFill>
              <a:latin typeface="+mn-lt"/>
              <a:ea typeface="+mn-ea"/>
              <a:cs typeface="+mn-cs"/>
            </a:rPr>
            <a:t>Ajouter</a:t>
          </a:r>
        </a:p>
      </xdr:txBody>
    </xdr:sp>
    <xdr:clientData/>
  </xdr:twoCellAnchor>
  <xdr:twoCellAnchor>
    <xdr:from>
      <xdr:col>2</xdr:col>
      <xdr:colOff>38100</xdr:colOff>
      <xdr:row>11</xdr:row>
      <xdr:rowOff>180975</xdr:rowOff>
    </xdr:from>
    <xdr:to>
      <xdr:col>4</xdr:col>
      <xdr:colOff>674100</xdr:colOff>
      <xdr:row>13</xdr:row>
      <xdr:rowOff>159975</xdr:rowOff>
    </xdr:to>
    <xdr:sp macro="[0]!OuvrirFormAjoutBoissons" textlink="">
      <xdr:nvSpPr>
        <xdr:cNvPr id="23" name="Rectangle : coins arrondis 22">
          <a:extLst>
            <a:ext uri="{FF2B5EF4-FFF2-40B4-BE49-F238E27FC236}">
              <a16:creationId xmlns:a16="http://schemas.microsoft.com/office/drawing/2014/main" id="{00000000-0008-0000-0800-000017000000}"/>
            </a:ext>
          </a:extLst>
        </xdr:cNvPr>
        <xdr:cNvSpPr/>
      </xdr:nvSpPr>
      <xdr:spPr>
        <a:xfrm>
          <a:off x="1562100" y="2457450"/>
          <a:ext cx="2160000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lt1"/>
              </a:solidFill>
              <a:latin typeface="+mn-lt"/>
              <a:ea typeface="+mn-ea"/>
              <a:cs typeface="+mn-cs"/>
            </a:rPr>
            <a:t>Ajouter</a:t>
          </a:r>
          <a:r>
            <a:rPr lang="fr-FR" sz="1100"/>
            <a:t> </a:t>
          </a:r>
          <a:r>
            <a:rPr lang="fr-FR" sz="1400" b="1">
              <a:solidFill>
                <a:schemeClr val="lt1"/>
              </a:solidFill>
              <a:latin typeface="+mn-lt"/>
              <a:ea typeface="+mn-ea"/>
              <a:cs typeface="+mn-cs"/>
            </a:rPr>
            <a:t>Boissons</a:t>
          </a:r>
        </a:p>
      </xdr:txBody>
    </xdr:sp>
    <xdr:clientData/>
  </xdr:twoCellAnchor>
  <xdr:twoCellAnchor>
    <xdr:from>
      <xdr:col>1</xdr:col>
      <xdr:colOff>152400</xdr:colOff>
      <xdr:row>0</xdr:row>
      <xdr:rowOff>152400</xdr:rowOff>
    </xdr:from>
    <xdr:to>
      <xdr:col>15</xdr:col>
      <xdr:colOff>248400</xdr:colOff>
      <xdr:row>1</xdr:row>
      <xdr:rowOff>176925</xdr:rowOff>
    </xdr:to>
    <xdr:grpSp>
      <xdr:nvGrpSpPr>
        <xdr:cNvPr id="54" name="Groupe 53">
          <a:extLst>
            <a:ext uri="{FF2B5EF4-FFF2-40B4-BE49-F238E27FC236}">
              <a16:creationId xmlns:a16="http://schemas.microsoft.com/office/drawing/2014/main" id="{00000000-0008-0000-0800-000036000000}"/>
            </a:ext>
          </a:extLst>
        </xdr:cNvPr>
        <xdr:cNvGrpSpPr/>
      </xdr:nvGrpSpPr>
      <xdr:grpSpPr>
        <a:xfrm>
          <a:off x="914400" y="152400"/>
          <a:ext cx="10764000" cy="396000"/>
          <a:chOff x="762000" y="0"/>
          <a:chExt cx="10764000" cy="396000"/>
        </a:xfrm>
      </xdr:grpSpPr>
      <xdr:sp macro="" textlink="">
        <xdr:nvSpPr>
          <xdr:cNvPr id="55" name="nav">
            <a:extLst>
              <a:ext uri="{FF2B5EF4-FFF2-40B4-BE49-F238E27FC236}">
                <a16:creationId xmlns:a16="http://schemas.microsoft.com/office/drawing/2014/main" id="{00000000-0008-0000-0800-000037000000}"/>
              </a:ext>
            </a:extLst>
          </xdr:cNvPr>
          <xdr:cNvSpPr/>
        </xdr:nvSpPr>
        <xdr:spPr>
          <a:xfrm>
            <a:off x="762000" y="0"/>
            <a:ext cx="10764000" cy="396000"/>
          </a:xfrm>
          <a:prstGeom prst="rect">
            <a:avLst/>
          </a:prstGeom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[0]!Page_accueil" textlink="Config!$C$15">
        <xdr:nvSpPr>
          <xdr:cNvPr id="56" name="page1">
            <a:extLst>
              <a:ext uri="{FF2B5EF4-FFF2-40B4-BE49-F238E27FC236}">
                <a16:creationId xmlns:a16="http://schemas.microsoft.com/office/drawing/2014/main" id="{00000000-0008-0000-0800-000038000000}"/>
              </a:ext>
            </a:extLst>
          </xdr:cNvPr>
          <xdr:cNvSpPr/>
        </xdr:nvSpPr>
        <xdr:spPr>
          <a:xfrm>
            <a:off x="913582" y="33476"/>
            <a:ext cx="1152000" cy="288000"/>
          </a:xfrm>
          <a:prstGeom prst="rect">
            <a:avLst/>
          </a:prstGeom>
        </xdr:spPr>
        <xdr:style>
          <a:lnRef idx="2">
            <a:schemeClr val="accent4">
              <a:shade val="50000"/>
            </a:schemeClr>
          </a:lnRef>
          <a:fillRef idx="1">
            <a:schemeClr val="accent4"/>
          </a:fillRef>
          <a:effectRef idx="0">
            <a:schemeClr val="accent4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313F896E-686B-4FD6-8658-434D45AC8A80}" type="TxLink">
              <a:rPr lang="en-US" sz="1400" b="1" i="0" u="none" strike="noStrike">
                <a:solidFill>
                  <a:schemeClr val="bg1"/>
                </a:solidFill>
                <a:latin typeface="Calibri"/>
                <a:cs typeface="Calibri"/>
              </a:rPr>
              <a:pPr algn="ctr"/>
              <a:t>Accueil</a:t>
            </a:fld>
            <a:endParaRPr lang="fr-FR" sz="1400" b="1">
              <a:solidFill>
                <a:schemeClr val="bg1"/>
              </a:solidFill>
            </a:endParaRPr>
          </a:p>
        </xdr:txBody>
      </xdr:sp>
      <xdr:sp macro="[0]!Page_stock" textlink="Config!$C$16">
        <xdr:nvSpPr>
          <xdr:cNvPr id="57" name="page2">
            <a:extLst>
              <a:ext uri="{FF2B5EF4-FFF2-40B4-BE49-F238E27FC236}">
                <a16:creationId xmlns:a16="http://schemas.microsoft.com/office/drawing/2014/main" id="{00000000-0008-0000-0800-000039000000}"/>
              </a:ext>
            </a:extLst>
          </xdr:cNvPr>
          <xdr:cNvSpPr/>
        </xdr:nvSpPr>
        <xdr:spPr>
          <a:xfrm>
            <a:off x="2233743" y="33476"/>
            <a:ext cx="1152000" cy="288000"/>
          </a:xfrm>
          <a:prstGeom prst="rect">
            <a:avLst/>
          </a:prstGeom>
        </xdr:spPr>
        <xdr:style>
          <a:lnRef idx="2">
            <a:schemeClr val="accent4">
              <a:shade val="50000"/>
            </a:schemeClr>
          </a:lnRef>
          <a:fillRef idx="1">
            <a:schemeClr val="accent4"/>
          </a:fillRef>
          <a:effectRef idx="0">
            <a:schemeClr val="accent4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7348BA01-FE82-4EE7-BC21-F67BC2004387}" type="TxLink">
              <a:rPr lang="en-US" sz="1400" b="1" i="0" u="none" strike="noStrike">
                <a:solidFill>
                  <a:schemeClr val="bg1"/>
                </a:solidFill>
                <a:latin typeface="Calibri"/>
                <a:cs typeface="Calibri"/>
              </a:rPr>
              <a:pPr algn="ctr"/>
              <a:t>Stock</a:t>
            </a:fld>
            <a:endParaRPr lang="fr-FR" sz="1400" b="1">
              <a:solidFill>
                <a:schemeClr val="bg1"/>
              </a:solidFill>
            </a:endParaRPr>
          </a:p>
        </xdr:txBody>
      </xdr:sp>
      <xdr:sp macro="[0]!Page_Mouvements" textlink="Config!$C$17">
        <xdr:nvSpPr>
          <xdr:cNvPr id="58" name="page3">
            <a:extLst>
              <a:ext uri="{FF2B5EF4-FFF2-40B4-BE49-F238E27FC236}">
                <a16:creationId xmlns:a16="http://schemas.microsoft.com/office/drawing/2014/main" id="{00000000-0008-0000-0800-00003A000000}"/>
              </a:ext>
            </a:extLst>
          </xdr:cNvPr>
          <xdr:cNvSpPr/>
        </xdr:nvSpPr>
        <xdr:spPr>
          <a:xfrm>
            <a:off x="3563430" y="33476"/>
            <a:ext cx="1152000" cy="288000"/>
          </a:xfrm>
          <a:prstGeom prst="rect">
            <a:avLst/>
          </a:prstGeom>
        </xdr:spPr>
        <xdr:style>
          <a:lnRef idx="2">
            <a:schemeClr val="accent4">
              <a:shade val="50000"/>
            </a:schemeClr>
          </a:lnRef>
          <a:fillRef idx="1">
            <a:schemeClr val="accent4"/>
          </a:fillRef>
          <a:effectRef idx="0">
            <a:schemeClr val="accent4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6BFAFA03-0C5B-4C34-8EA7-86F2E2DEF200}" type="TxLink">
              <a:rPr lang="en-US" sz="1400" b="1" i="0" u="none" strike="noStrike">
                <a:solidFill>
                  <a:schemeClr val="bg1"/>
                </a:solidFill>
                <a:latin typeface="Calibri"/>
                <a:cs typeface="Calibri"/>
              </a:rPr>
              <a:pPr algn="ctr"/>
              <a:t>Mouvement</a:t>
            </a:fld>
            <a:endParaRPr lang="fr-FR" sz="1400" b="1">
              <a:solidFill>
                <a:schemeClr val="bg1"/>
              </a:solidFill>
            </a:endParaRPr>
          </a:p>
        </xdr:txBody>
      </xdr:sp>
      <xdr:sp macro="[0]!Page_Listes" textlink="Config!$C$18">
        <xdr:nvSpPr>
          <xdr:cNvPr id="59" name="page4">
            <a:extLst>
              <a:ext uri="{FF2B5EF4-FFF2-40B4-BE49-F238E27FC236}">
                <a16:creationId xmlns:a16="http://schemas.microsoft.com/office/drawing/2014/main" id="{00000000-0008-0000-0800-00003B000000}"/>
              </a:ext>
            </a:extLst>
          </xdr:cNvPr>
          <xdr:cNvSpPr/>
        </xdr:nvSpPr>
        <xdr:spPr>
          <a:xfrm>
            <a:off x="4845376" y="33476"/>
            <a:ext cx="1152000" cy="288000"/>
          </a:xfrm>
          <a:prstGeom prst="rect">
            <a:avLst/>
          </a:prstGeom>
        </xdr:spPr>
        <xdr:style>
          <a:lnRef idx="2">
            <a:schemeClr val="accent4">
              <a:shade val="50000"/>
            </a:schemeClr>
          </a:lnRef>
          <a:fillRef idx="1">
            <a:schemeClr val="accent4"/>
          </a:fillRef>
          <a:effectRef idx="0">
            <a:schemeClr val="accent4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56E4DDC2-15C3-4242-BA27-68B76357DEBD}" type="TxLink">
              <a:rPr lang="en-US" sz="1400" b="1" i="0" u="none" strike="noStrike">
                <a:solidFill>
                  <a:schemeClr val="bg1"/>
                </a:solidFill>
                <a:latin typeface="Calibri"/>
                <a:cs typeface="Calibri"/>
              </a:rPr>
              <a:pPr algn="ctr"/>
              <a:t>Listes</a:t>
            </a:fld>
            <a:endParaRPr lang="fr-FR" sz="1400" b="1">
              <a:solidFill>
                <a:schemeClr val="bg1"/>
              </a:solidFill>
            </a:endParaRPr>
          </a:p>
        </xdr:txBody>
      </xdr:sp>
      <xdr:sp macro="[0]!Page_config" textlink="Config!$C$19">
        <xdr:nvSpPr>
          <xdr:cNvPr id="60" name="page5">
            <a:extLst>
              <a:ext uri="{FF2B5EF4-FFF2-40B4-BE49-F238E27FC236}">
                <a16:creationId xmlns:a16="http://schemas.microsoft.com/office/drawing/2014/main" id="{00000000-0008-0000-0800-00003C000000}"/>
              </a:ext>
            </a:extLst>
          </xdr:cNvPr>
          <xdr:cNvSpPr/>
        </xdr:nvSpPr>
        <xdr:spPr>
          <a:xfrm>
            <a:off x="6165537" y="33476"/>
            <a:ext cx="1152000" cy="288000"/>
          </a:xfrm>
          <a:prstGeom prst="rect">
            <a:avLst/>
          </a:prstGeom>
        </xdr:spPr>
        <xdr:style>
          <a:lnRef idx="2">
            <a:schemeClr val="accent4">
              <a:shade val="50000"/>
            </a:schemeClr>
          </a:lnRef>
          <a:fillRef idx="1">
            <a:schemeClr val="accent4"/>
          </a:fillRef>
          <a:effectRef idx="0">
            <a:schemeClr val="accent4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marL="0" indent="0" algn="ctr"/>
            <a:fld id="{0C6EC2AF-A27A-4C77-BB4B-ACBD7D0EE214}" type="TxLink">
              <a:rPr lang="en-US" sz="1400" b="1" i="0" u="none" strike="noStrike">
                <a:solidFill>
                  <a:schemeClr val="bg1"/>
                </a:solidFill>
                <a:latin typeface="Calibri"/>
                <a:ea typeface="+mn-ea"/>
                <a:cs typeface="Calibri"/>
              </a:rPr>
              <a:pPr marL="0" indent="0" algn="ctr"/>
              <a:t>Config</a:t>
            </a:fld>
            <a:endParaRPr lang="fr-FR" sz="1400" b="1" i="0" u="none" strike="noStrike">
              <a:solidFill>
                <a:schemeClr val="bg1"/>
              </a:solidFill>
              <a:latin typeface="Calibri"/>
              <a:ea typeface="+mn-ea"/>
              <a:cs typeface="Calibri"/>
            </a:endParaRPr>
          </a:p>
        </xdr:txBody>
      </xdr:sp>
      <xdr:sp macro="[0]!Page_Conso" textlink="Config!$C$20">
        <xdr:nvSpPr>
          <xdr:cNvPr id="61" name="page6">
            <a:extLst>
              <a:ext uri="{FF2B5EF4-FFF2-40B4-BE49-F238E27FC236}">
                <a16:creationId xmlns:a16="http://schemas.microsoft.com/office/drawing/2014/main" id="{00000000-0008-0000-0800-00003D000000}"/>
              </a:ext>
            </a:extLst>
          </xdr:cNvPr>
          <xdr:cNvSpPr/>
        </xdr:nvSpPr>
        <xdr:spPr>
          <a:xfrm>
            <a:off x="7466649" y="33476"/>
            <a:ext cx="1152000" cy="288000"/>
          </a:xfrm>
          <a:prstGeom prst="rect">
            <a:avLst/>
          </a:prstGeom>
        </xdr:spPr>
        <xdr:style>
          <a:lnRef idx="2">
            <a:schemeClr val="accent4">
              <a:shade val="50000"/>
            </a:schemeClr>
          </a:lnRef>
          <a:fillRef idx="1">
            <a:schemeClr val="accent4"/>
          </a:fillRef>
          <a:effectRef idx="0">
            <a:schemeClr val="accent4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BCDA6C1E-A283-4100-B72A-FBB9949A1217}" type="TxLink">
              <a:rPr lang="en-US" sz="1400" b="1" i="0" u="none" strike="noStrike">
                <a:solidFill>
                  <a:schemeClr val="bg1"/>
                </a:solidFill>
                <a:latin typeface="Calibri"/>
                <a:cs typeface="Calibri"/>
              </a:rPr>
              <a:pPr algn="ctr"/>
              <a:t>Conso Bar</a:t>
            </a:fld>
            <a:endParaRPr lang="fr-FR" sz="1400" b="1">
              <a:solidFill>
                <a:schemeClr val="bg1"/>
              </a:solidFill>
            </a:endParaRPr>
          </a:p>
        </xdr:txBody>
      </xdr:sp>
      <xdr:sp macro="[0]!Page_TcdConso" textlink="Config!$C$21">
        <xdr:nvSpPr>
          <xdr:cNvPr id="62" name="page7">
            <a:extLst>
              <a:ext uri="{FF2B5EF4-FFF2-40B4-BE49-F238E27FC236}">
                <a16:creationId xmlns:a16="http://schemas.microsoft.com/office/drawing/2014/main" id="{00000000-0008-0000-0800-00003E000000}"/>
              </a:ext>
            </a:extLst>
          </xdr:cNvPr>
          <xdr:cNvSpPr/>
        </xdr:nvSpPr>
        <xdr:spPr>
          <a:xfrm>
            <a:off x="8786810" y="33476"/>
            <a:ext cx="1152000" cy="288000"/>
          </a:xfrm>
          <a:prstGeom prst="rect">
            <a:avLst/>
          </a:prstGeom>
        </xdr:spPr>
        <xdr:style>
          <a:lnRef idx="2">
            <a:schemeClr val="accent4">
              <a:shade val="50000"/>
            </a:schemeClr>
          </a:lnRef>
          <a:fillRef idx="1">
            <a:schemeClr val="accent4"/>
          </a:fillRef>
          <a:effectRef idx="0">
            <a:schemeClr val="accent4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30355429-B129-4BD6-98C6-BCDDBB486952}" type="TxLink">
              <a:rPr lang="en-US" sz="1400" b="1" i="0" u="none" strike="noStrike">
                <a:solidFill>
                  <a:schemeClr val="bg1"/>
                </a:solidFill>
                <a:latin typeface="Calibri"/>
                <a:cs typeface="Calibri"/>
              </a:rPr>
              <a:pPr algn="ctr"/>
              <a:t>TcdConso</a:t>
            </a:fld>
            <a:endParaRPr lang="fr-FR" sz="1400" b="1">
              <a:solidFill>
                <a:schemeClr val="bg1"/>
              </a:solidFill>
            </a:endParaRPr>
          </a:p>
        </xdr:txBody>
      </xdr:sp>
      <xdr:sp macro="[0]!Page_Accueil2" textlink="Config!$C$22">
        <xdr:nvSpPr>
          <xdr:cNvPr id="63" name="page8">
            <a:extLst>
              <a:ext uri="{FF2B5EF4-FFF2-40B4-BE49-F238E27FC236}">
                <a16:creationId xmlns:a16="http://schemas.microsoft.com/office/drawing/2014/main" id="{00000000-0008-0000-0800-00003F000000}"/>
              </a:ext>
            </a:extLst>
          </xdr:cNvPr>
          <xdr:cNvSpPr/>
        </xdr:nvSpPr>
        <xdr:spPr>
          <a:xfrm>
            <a:off x="10116496" y="33476"/>
            <a:ext cx="1152000" cy="288000"/>
          </a:xfrm>
          <a:prstGeom prst="rect">
            <a:avLst/>
          </a:prstGeom>
        </xdr:spPr>
        <xdr:style>
          <a:lnRef idx="2">
            <a:schemeClr val="accent4">
              <a:shade val="50000"/>
            </a:schemeClr>
          </a:lnRef>
          <a:fillRef idx="1">
            <a:schemeClr val="accent4"/>
          </a:fillRef>
          <a:effectRef idx="0">
            <a:schemeClr val="accent4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E12E1474-1667-4FD0-AB5C-737639717003}" type="TxLink">
              <a:rPr lang="en-US" sz="1200" b="1" i="0" u="none" strike="noStrike">
                <a:solidFill>
                  <a:schemeClr val="bg1"/>
                </a:solidFill>
                <a:latin typeface="Calibri"/>
                <a:cs typeface="Calibri"/>
              </a:rPr>
              <a:pPr algn="ctr"/>
              <a:t>Accueil 2</a:t>
            </a:fld>
            <a:endParaRPr lang="fr-FR" sz="1600" b="1">
              <a:solidFill>
                <a:schemeClr val="bg1"/>
              </a:solidFill>
            </a:endParaRPr>
          </a:p>
        </xdr:txBody>
      </xdr:sp>
    </xdr:grp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Michel Pidou" refreshedDate="44419.369861342595" createdVersion="6" refreshedVersion="7" minRefreshableVersion="3" recordCount="122" xr:uid="{00000000-000A-0000-FFFF-FFFF00000000}">
  <cacheSource type="worksheet">
    <worksheetSource name="TabListemouv"/>
  </cacheSource>
  <cacheFields count="13">
    <cacheField name="Date" numFmtId="14">
      <sharedItems containsDate="1" containsMixedTypes="1" minDate="2020-01-31T00:00:00" maxDate="2020-02-01T00:00:00"/>
    </cacheField>
    <cacheField name="Produit" numFmtId="0">
      <sharedItems count="16">
        <s v="Saumur Rouge"/>
        <s v="Saint Nicolas"/>
        <s v="Rosé"/>
        <s v="Blanc"/>
        <s v="Bières"/>
        <s v="Perrier"/>
        <s v="Schweppes"/>
        <s v="Coca"/>
        <s v="Eau Alix"/>
        <s v="Champigny"/>
        <s v="Mousseux"/>
        <s v="Orangina"/>
        <s v="Café"/>
        <s v="Eau 1,5"/>
        <s v="Cidre"/>
        <s v="Panaché"/>
      </sharedItems>
    </cacheField>
    <cacheField name="Prix TTC" numFmtId="164">
      <sharedItems containsSemiMixedTypes="0" containsString="0" containsNumber="1" minValue="0" maxValue="8.34"/>
    </cacheField>
    <cacheField name="Prix Vente" numFmtId="164">
      <sharedItems containsSemiMixedTypes="0" containsString="0" containsNumber="1" minValue="0.5" maxValue="9"/>
    </cacheField>
    <cacheField name="Début" numFmtId="0">
      <sharedItems containsMixedTypes="1" containsNumber="1" containsInteger="1" minValue="0" maxValue="49"/>
    </cacheField>
    <cacheField name="Fin" numFmtId="0">
      <sharedItems containsMixedTypes="1" containsNumber="1" containsInteger="1" minValue="0" maxValue="49"/>
    </cacheField>
    <cacheField name="Sortie" numFmtId="0">
      <sharedItems containsSemiMixedTypes="0" containsString="0" containsNumber="1" containsInteger="1" minValue="0" maxValue="320"/>
    </cacheField>
    <cacheField name="Conso" numFmtId="0">
      <sharedItems containsSemiMixedTypes="0" containsString="0" containsNumber="1" minValue="0" maxValue="310"/>
    </cacheField>
    <cacheField name="Année" numFmtId="0">
      <sharedItems containsSemiMixedTypes="0" containsString="0" containsNumber="1" containsInteger="1" minValue="2020" maxValue="2021" count="2">
        <n v="2020"/>
        <n v="2021"/>
      </sharedItems>
    </cacheField>
    <cacheField name="Mois" numFmtId="0">
      <sharedItems count="8">
        <s v="janvier"/>
        <s v="février"/>
        <s v="mars"/>
        <s v="avril"/>
        <s v="mai"/>
        <s v="août"/>
        <s v="juin"/>
        <s v="juillet"/>
      </sharedItems>
    </cacheField>
    <cacheField name="Total Achat" numFmtId="164">
      <sharedItems containsSemiMixedTypes="0" containsString="0" containsNumber="1" minValue="0" maxValue="930"/>
    </cacheField>
    <cacheField name="Total Vente" numFmtId="164">
      <sharedItems containsSemiMixedTypes="0" containsString="0" containsNumber="1" minValue="0" maxValue="930"/>
    </cacheField>
    <cacheField name="Bénéfice" numFmtId="0">
      <sharedItems containsSemiMixedTypes="0" containsString="0" containsNumber="1" minValue="0" maxValue="156.57"/>
    </cacheField>
  </cacheFields>
  <extLst>
    <ext xmlns:x14="http://schemas.microsoft.com/office/spreadsheetml/2009/9/main" uri="{725AE2AE-9491-48be-B2B4-4EB974FC3084}">
      <x14:pivotCacheDefinition pivotCacheId="1791791389"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OnLoad="1" refreshedBy="Michel Pidou" refreshedDate="44447.705356944447" createdVersion="6" refreshedVersion="7" minRefreshableVersion="3" recordCount="87" xr:uid="{00000000-000A-0000-FFFF-FFFF07000000}">
  <cacheSource type="worksheet">
    <worksheetSource name="Tab_mouv"/>
  </cacheSource>
  <cacheFields count="8">
    <cacheField name="Date" numFmtId="14">
      <sharedItems containsDate="1" containsMixedTypes="1" minDate="2021-09-07T00:00:00" maxDate="2021-09-08T00:00:00"/>
    </cacheField>
    <cacheField name="Type" numFmtId="0">
      <sharedItems count="3">
        <s v="Entrée"/>
        <s v="Sortie"/>
        <s v="Mise à Jour"/>
      </sharedItems>
    </cacheField>
    <cacheField name="Boissons" numFmtId="0">
      <sharedItems count="16">
        <s v="Saint Nicolas"/>
        <s v="Rosé"/>
        <s v="Blanc"/>
        <s v="Mousseux"/>
        <s v="Saumur Rouge"/>
        <s v="Bières"/>
        <s v="Champigny"/>
        <s v="Eau 1,5"/>
        <s v="Cidre"/>
        <s v="Perrier"/>
        <s v="Schweppes"/>
        <s v="Coca"/>
        <s v="Eau Alix"/>
        <s v="Orangina"/>
        <s v="Café"/>
        <s v="Panaché"/>
      </sharedItems>
    </cacheField>
    <cacheField name="Quantité" numFmtId="0">
      <sharedItems containsSemiMixedTypes="0" containsString="0" containsNumber="1" containsInteger="1" minValue="2" maxValue="581"/>
    </cacheField>
    <cacheField name="Classement Sortie" numFmtId="0">
      <sharedItems containsMixedTypes="1" containsNumber="1" containsInteger="1" minValue="1" maxValue="41"/>
    </cacheField>
    <cacheField name="Classement Entrée" numFmtId="0">
      <sharedItems containsMixedTypes="1" containsNumber="1" containsInteger="1" minValue="1" maxValue="30"/>
    </cacheField>
    <cacheField name="Année" numFmtId="0">
      <sharedItems containsSemiMixedTypes="0" containsString="0" containsNumber="1" containsInteger="1" minValue="2018" maxValue="2021" count="4">
        <n v="2020"/>
        <n v="2021"/>
        <n v="2018" u="1"/>
        <n v="2019" u="1"/>
      </sharedItems>
    </cacheField>
    <cacheField name="Mois" numFmtId="0">
      <sharedItems count="9">
        <s v="janvier"/>
        <s v="février"/>
        <s v="mars"/>
        <s v="juillet"/>
        <s v="juin"/>
        <s v="septembre"/>
        <s v="mai"/>
        <s v="août"/>
        <s v="décembre" u="1"/>
      </sharedItems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22">
  <r>
    <d v="2020-01-31T00:00:00"/>
    <x v="0"/>
    <n v="2.25"/>
    <n v="3"/>
    <n v="25"/>
    <n v="43"/>
    <n v="80"/>
    <n v="62"/>
    <x v="0"/>
    <x v="0"/>
    <n v="139.5"/>
    <n v="186"/>
    <n v="46.5"/>
  </r>
  <r>
    <s v="31/01/2020"/>
    <x v="1"/>
    <n v="3"/>
    <n v="3"/>
    <n v="16"/>
    <n v="32"/>
    <n v="191"/>
    <n v="175"/>
    <x v="0"/>
    <x v="0"/>
    <n v="525"/>
    <n v="525"/>
    <n v="0"/>
  </r>
  <r>
    <s v="31/01/2020"/>
    <x v="2"/>
    <n v="1.98"/>
    <n v="3"/>
    <s v="22,5"/>
    <n v="34"/>
    <n v="165"/>
    <n v="153.5"/>
    <x v="0"/>
    <x v="0"/>
    <n v="303.93"/>
    <n v="460.5"/>
    <n v="156.57"/>
  </r>
  <r>
    <s v="31/01/2020"/>
    <x v="3"/>
    <n v="1.98"/>
    <n v="3"/>
    <s v="6,5"/>
    <s v="4,5"/>
    <n v="23"/>
    <n v="25"/>
    <x v="0"/>
    <x v="0"/>
    <n v="49.5"/>
    <n v="75"/>
    <n v="25.5"/>
  </r>
  <r>
    <s v="31/01/2020"/>
    <x v="4"/>
    <n v="0.42"/>
    <n v="1.5"/>
    <n v="25"/>
    <n v="33"/>
    <n v="104"/>
    <n v="96"/>
    <x v="0"/>
    <x v="0"/>
    <n v="40.32"/>
    <n v="144"/>
    <n v="103.68"/>
  </r>
  <r>
    <s v="31/01/2020"/>
    <x v="5"/>
    <n v="0.3"/>
    <n v="1.5"/>
    <n v="22"/>
    <n v="10"/>
    <n v="0"/>
    <n v="12"/>
    <x v="0"/>
    <x v="0"/>
    <n v="3.5999999999999996"/>
    <n v="18"/>
    <n v="14.4"/>
  </r>
  <r>
    <s v="31/01/2020"/>
    <x v="6"/>
    <n v="0.53"/>
    <n v="1.5"/>
    <n v="8"/>
    <n v="6"/>
    <n v="0"/>
    <n v="2"/>
    <x v="0"/>
    <x v="0"/>
    <n v="1.06"/>
    <n v="3"/>
    <n v="1.94"/>
  </r>
  <r>
    <s v="31/01/2020"/>
    <x v="7"/>
    <n v="0.36"/>
    <n v="1.5"/>
    <n v="9"/>
    <n v="6"/>
    <n v="0"/>
    <n v="3"/>
    <x v="0"/>
    <x v="0"/>
    <n v="1.08"/>
    <n v="4.5"/>
    <n v="3.42"/>
  </r>
  <r>
    <s v="31/01/2020"/>
    <x v="8"/>
    <n v="0.13"/>
    <n v="0.6"/>
    <n v="23"/>
    <n v="14"/>
    <n v="0"/>
    <n v="9"/>
    <x v="0"/>
    <x v="0"/>
    <n v="1.17"/>
    <n v="5.3999999999999995"/>
    <n v="4.2299999999999995"/>
  </r>
  <r>
    <s v="31/01/2020"/>
    <x v="9"/>
    <n v="3"/>
    <n v="3"/>
    <n v="0"/>
    <n v="0"/>
    <n v="2"/>
    <n v="2"/>
    <x v="0"/>
    <x v="0"/>
    <n v="6"/>
    <n v="6"/>
    <n v="0"/>
  </r>
  <r>
    <s v="31/01/2020"/>
    <x v="10"/>
    <n v="8.34"/>
    <n v="9"/>
    <n v="14"/>
    <n v="5"/>
    <n v="0"/>
    <n v="9"/>
    <x v="0"/>
    <x v="0"/>
    <n v="75.06"/>
    <n v="81"/>
    <n v="5.9399999999999977"/>
  </r>
  <r>
    <s v="31/01/2020"/>
    <x v="11"/>
    <n v="0.5"/>
    <n v="1.5"/>
    <n v="25"/>
    <n v="22"/>
    <n v="0"/>
    <n v="3"/>
    <x v="0"/>
    <x v="0"/>
    <n v="1.5"/>
    <n v="4.5"/>
    <n v="3"/>
  </r>
  <r>
    <s v="31/01/2020"/>
    <x v="12"/>
    <n v="0"/>
    <n v="0.5"/>
    <n v="34"/>
    <n v="29"/>
    <n v="0"/>
    <n v="5"/>
    <x v="0"/>
    <x v="0"/>
    <n v="0"/>
    <n v="2.5"/>
    <n v="2.5"/>
  </r>
  <r>
    <d v="2020-01-31T00:00:00"/>
    <x v="13"/>
    <n v="0.18"/>
    <n v="1"/>
    <n v="0"/>
    <n v="1"/>
    <n v="2"/>
    <n v="1"/>
    <x v="0"/>
    <x v="0"/>
    <n v="0.18"/>
    <n v="1"/>
    <n v="0.82000000000000006"/>
  </r>
  <r>
    <s v="31/01/2020"/>
    <x v="14"/>
    <n v="0"/>
    <n v="1.5"/>
    <n v="4"/>
    <n v="4"/>
    <n v="2"/>
    <n v="2"/>
    <x v="0"/>
    <x v="0"/>
    <n v="0"/>
    <n v="3"/>
    <n v="3"/>
  </r>
  <r>
    <s v="31/01/2020"/>
    <x v="15"/>
    <n v="0.22"/>
    <n v="1.5"/>
    <n v="13"/>
    <n v="13"/>
    <n v="0"/>
    <n v="0"/>
    <x v="0"/>
    <x v="0"/>
    <n v="0"/>
    <n v="0"/>
    <n v="0"/>
  </r>
  <r>
    <s v="29/02/2020"/>
    <x v="0"/>
    <n v="2.25"/>
    <n v="3"/>
    <n v="43"/>
    <s v="40,5"/>
    <n v="95"/>
    <n v="97.5"/>
    <x v="0"/>
    <x v="1"/>
    <n v="219.375"/>
    <n v="292.5"/>
    <n v="73.125"/>
  </r>
  <r>
    <s v="29/02/2020"/>
    <x v="1"/>
    <n v="3"/>
    <n v="3"/>
    <n v="32"/>
    <n v="29"/>
    <n v="135"/>
    <n v="138"/>
    <x v="0"/>
    <x v="1"/>
    <n v="414"/>
    <n v="414"/>
    <n v="0"/>
  </r>
  <r>
    <s v="29/02/2020"/>
    <x v="2"/>
    <n v="1.98"/>
    <n v="3"/>
    <n v="34"/>
    <s v="27,5"/>
    <n v="115"/>
    <n v="121.5"/>
    <x v="0"/>
    <x v="1"/>
    <n v="240.57"/>
    <n v="364.5"/>
    <n v="123.93"/>
  </r>
  <r>
    <s v="29/02/2020"/>
    <x v="3"/>
    <n v="1.98"/>
    <n v="3"/>
    <s v="4,5"/>
    <s v="9,5"/>
    <n v="55"/>
    <n v="50"/>
    <x v="0"/>
    <x v="1"/>
    <n v="99"/>
    <n v="150"/>
    <n v="51"/>
  </r>
  <r>
    <s v="29/02/2020"/>
    <x v="4"/>
    <n v="0.42"/>
    <n v="1.5"/>
    <n v="33"/>
    <n v="32"/>
    <n v="104"/>
    <n v="105"/>
    <x v="0"/>
    <x v="1"/>
    <n v="44.1"/>
    <n v="157.5"/>
    <n v="113.4"/>
  </r>
  <r>
    <s v="29/02/2020"/>
    <x v="5"/>
    <n v="0.3"/>
    <n v="1.5"/>
    <n v="10"/>
    <n v="16"/>
    <n v="48"/>
    <n v="42"/>
    <x v="0"/>
    <x v="1"/>
    <n v="12.6"/>
    <n v="63"/>
    <n v="50.4"/>
  </r>
  <r>
    <s v="29/02/2020"/>
    <x v="6"/>
    <n v="0.53"/>
    <n v="1.5"/>
    <n v="6"/>
    <n v="0"/>
    <n v="18"/>
    <n v="24"/>
    <x v="0"/>
    <x v="1"/>
    <n v="12.72"/>
    <n v="36"/>
    <n v="23.28"/>
  </r>
  <r>
    <s v="29/02/2020"/>
    <x v="7"/>
    <n v="0.36"/>
    <n v="1.5"/>
    <n v="6"/>
    <n v="9"/>
    <n v="6"/>
    <n v="3"/>
    <x v="0"/>
    <x v="1"/>
    <n v="1.08"/>
    <n v="4.5"/>
    <n v="3.42"/>
  </r>
  <r>
    <s v="29/02/2020"/>
    <x v="8"/>
    <n v="0.13"/>
    <n v="0.6"/>
    <n v="14"/>
    <n v="19"/>
    <n v="24"/>
    <n v="19"/>
    <x v="0"/>
    <x v="1"/>
    <n v="2.4700000000000002"/>
    <n v="11.4"/>
    <n v="8.93"/>
  </r>
  <r>
    <s v="29/02/2020"/>
    <x v="10"/>
    <n v="8.34"/>
    <n v="9"/>
    <n v="5"/>
    <n v="22"/>
    <n v="24"/>
    <n v="7"/>
    <x v="0"/>
    <x v="1"/>
    <n v="58.379999999999995"/>
    <n v="63"/>
    <n v="4.6200000000000045"/>
  </r>
  <r>
    <s v="29/02/2020"/>
    <x v="11"/>
    <n v="0.5"/>
    <n v="1.5"/>
    <n v="22"/>
    <n v="15"/>
    <n v="12"/>
    <n v="19"/>
    <x v="0"/>
    <x v="1"/>
    <n v="9.5"/>
    <n v="28.5"/>
    <n v="19"/>
  </r>
  <r>
    <s v="29/02/2020"/>
    <x v="12"/>
    <n v="0"/>
    <n v="0.5"/>
    <n v="29"/>
    <n v="23"/>
    <n v="0"/>
    <n v="6"/>
    <x v="0"/>
    <x v="1"/>
    <n v="0"/>
    <n v="3"/>
    <n v="3"/>
  </r>
  <r>
    <s v="29/02/2020"/>
    <x v="13"/>
    <n v="0.18"/>
    <n v="1"/>
    <n v="1"/>
    <n v="1"/>
    <n v="0"/>
    <n v="0"/>
    <x v="0"/>
    <x v="1"/>
    <n v="0"/>
    <n v="0"/>
    <n v="0"/>
  </r>
  <r>
    <s v="29/02/2020"/>
    <x v="14"/>
    <n v="0"/>
    <n v="1.5"/>
    <n v="4"/>
    <n v="1"/>
    <n v="0"/>
    <n v="3"/>
    <x v="0"/>
    <x v="1"/>
    <n v="0"/>
    <n v="4.5"/>
    <n v="4.5"/>
  </r>
  <r>
    <s v="29/02/2020"/>
    <x v="15"/>
    <n v="0.22"/>
    <n v="1.5"/>
    <n v="13"/>
    <n v="13"/>
    <n v="0"/>
    <n v="0"/>
    <x v="0"/>
    <x v="1"/>
    <n v="0"/>
    <n v="0"/>
    <n v="0"/>
  </r>
  <r>
    <s v="31/03/2020"/>
    <x v="0"/>
    <n v="2.25"/>
    <n v="3"/>
    <s v="40,5"/>
    <n v="49"/>
    <n v="38"/>
    <n v="29.5"/>
    <x v="0"/>
    <x v="2"/>
    <n v="66.375"/>
    <n v="88.5"/>
    <n v="22.125"/>
  </r>
  <r>
    <s v="31/03/2020"/>
    <x v="1"/>
    <n v="3"/>
    <n v="3"/>
    <n v="29"/>
    <n v="26"/>
    <n v="52"/>
    <n v="55"/>
    <x v="0"/>
    <x v="2"/>
    <n v="165"/>
    <n v="165"/>
    <n v="0"/>
  </r>
  <r>
    <s v="31/03/2020"/>
    <x v="2"/>
    <n v="1.98"/>
    <n v="3"/>
    <s v="27,5"/>
    <s v="18,5"/>
    <n v="15"/>
    <n v="24"/>
    <x v="0"/>
    <x v="2"/>
    <n v="47.519999999999996"/>
    <n v="72"/>
    <n v="24.480000000000004"/>
  </r>
  <r>
    <s v="31/03/2020"/>
    <x v="3"/>
    <n v="1.98"/>
    <n v="3"/>
    <s v="9,5"/>
    <n v="10"/>
    <n v="15"/>
    <n v="14.5"/>
    <x v="0"/>
    <x v="2"/>
    <n v="28.71"/>
    <n v="43.5"/>
    <n v="14.79"/>
  </r>
  <r>
    <s v="31/03/2020"/>
    <x v="4"/>
    <n v="0.42"/>
    <n v="1.5"/>
    <n v="32"/>
    <n v="30"/>
    <n v="26"/>
    <n v="28"/>
    <x v="0"/>
    <x v="2"/>
    <n v="11.76"/>
    <n v="42"/>
    <n v="30.240000000000002"/>
  </r>
  <r>
    <s v="31/03/2020"/>
    <x v="5"/>
    <n v="0.3"/>
    <n v="1.5"/>
    <n v="16"/>
    <n v="8"/>
    <n v="6"/>
    <n v="14"/>
    <x v="0"/>
    <x v="2"/>
    <n v="4.2"/>
    <n v="21"/>
    <n v="16.8"/>
  </r>
  <r>
    <s v="31/03/2020"/>
    <x v="8"/>
    <n v="0.13"/>
    <n v="0.6"/>
    <n v="19"/>
    <n v="11"/>
    <n v="0"/>
    <n v="8"/>
    <x v="0"/>
    <x v="2"/>
    <n v="1.04"/>
    <n v="4.8"/>
    <n v="3.76"/>
  </r>
  <r>
    <s v="31/03/2020"/>
    <x v="7"/>
    <n v="0.36"/>
    <n v="1.5"/>
    <n v="9"/>
    <n v="9"/>
    <n v="0"/>
    <n v="0"/>
    <x v="0"/>
    <x v="2"/>
    <n v="0"/>
    <n v="0"/>
    <n v="0"/>
  </r>
  <r>
    <s v="31/03/2020"/>
    <x v="10"/>
    <n v="8.34"/>
    <n v="9"/>
    <n v="22"/>
    <n v="20"/>
    <n v="0"/>
    <n v="2"/>
    <x v="0"/>
    <x v="2"/>
    <n v="16.68"/>
    <n v="18"/>
    <n v="1.3200000000000003"/>
  </r>
  <r>
    <s v="31/03/2020"/>
    <x v="11"/>
    <n v="0.5"/>
    <n v="1.5"/>
    <n v="15"/>
    <n v="23"/>
    <n v="12"/>
    <n v="4"/>
    <x v="0"/>
    <x v="2"/>
    <n v="2"/>
    <n v="6"/>
    <n v="4"/>
  </r>
  <r>
    <s v="31/03/2020"/>
    <x v="12"/>
    <n v="0"/>
    <n v="0.5"/>
    <n v="23"/>
    <n v="20"/>
    <n v="0"/>
    <n v="3"/>
    <x v="0"/>
    <x v="2"/>
    <n v="0"/>
    <n v="1.5"/>
    <n v="1.5"/>
  </r>
  <r>
    <s v="31/03/2020"/>
    <x v="13"/>
    <n v="0.18"/>
    <n v="1"/>
    <n v="1"/>
    <n v="1"/>
    <n v="0"/>
    <n v="0"/>
    <x v="0"/>
    <x v="2"/>
    <n v="0"/>
    <n v="0"/>
    <n v="0"/>
  </r>
  <r>
    <s v="31/03/2020"/>
    <x v="14"/>
    <n v="0"/>
    <n v="1.5"/>
    <n v="1"/>
    <n v="1"/>
    <n v="0"/>
    <n v="0"/>
    <x v="0"/>
    <x v="2"/>
    <n v="0"/>
    <n v="0"/>
    <n v="0"/>
  </r>
  <r>
    <s v="31/03/2020"/>
    <x v="15"/>
    <n v="0.22"/>
    <n v="1.5"/>
    <n v="13"/>
    <n v="13"/>
    <n v="0"/>
    <n v="0"/>
    <x v="0"/>
    <x v="2"/>
    <n v="0"/>
    <n v="0"/>
    <n v="0"/>
  </r>
  <r>
    <s v="30/04/2020"/>
    <x v="2"/>
    <n v="1.98"/>
    <n v="3"/>
    <s v="18,5"/>
    <n v="16"/>
    <n v="0"/>
    <n v="2.5"/>
    <x v="0"/>
    <x v="3"/>
    <n v="4.95"/>
    <n v="7.5"/>
    <n v="2.5499999999999998"/>
  </r>
  <r>
    <s v="30/04/2020"/>
    <x v="4"/>
    <n v="0.42"/>
    <n v="1.5"/>
    <n v="30"/>
    <n v="22"/>
    <n v="0"/>
    <n v="8"/>
    <x v="0"/>
    <x v="3"/>
    <n v="3.36"/>
    <n v="12"/>
    <n v="8.64"/>
  </r>
  <r>
    <s v="30/04/2020"/>
    <x v="11"/>
    <n v="0.5"/>
    <n v="1.5"/>
    <n v="23"/>
    <n v="22"/>
    <n v="0"/>
    <n v="1"/>
    <x v="0"/>
    <x v="3"/>
    <n v="0.5"/>
    <n v="1.5"/>
    <n v="1"/>
  </r>
  <r>
    <s v="30/04/2020"/>
    <x v="14"/>
    <n v="0"/>
    <n v="1.5"/>
    <n v="1"/>
    <n v="0"/>
    <n v="0"/>
    <n v="1"/>
    <x v="0"/>
    <x v="3"/>
    <n v="0"/>
    <n v="1.5"/>
    <n v="1.5"/>
  </r>
  <r>
    <s v="31/05/21"/>
    <x v="0"/>
    <n v="2.25"/>
    <n v="3"/>
    <n v="27"/>
    <s v="40,5"/>
    <n v="30"/>
    <n v="16.5"/>
    <x v="1"/>
    <x v="4"/>
    <n v="37.125"/>
    <n v="49.5"/>
    <n v="12.375"/>
  </r>
  <r>
    <s v="31/05/21"/>
    <x v="1"/>
    <n v="3"/>
    <n v="3"/>
    <n v="7"/>
    <n v="4"/>
    <n v="90"/>
    <n v="93"/>
    <x v="1"/>
    <x v="4"/>
    <n v="279"/>
    <n v="279"/>
    <n v="0"/>
  </r>
  <r>
    <s v="31/05/21"/>
    <x v="2"/>
    <n v="1.98"/>
    <n v="3"/>
    <s v="18,5"/>
    <n v="13"/>
    <n v="44"/>
    <n v="49.5"/>
    <x v="1"/>
    <x v="4"/>
    <n v="98.01"/>
    <n v="148.5"/>
    <n v="50.489999999999995"/>
  </r>
  <r>
    <s v="31/05/21"/>
    <x v="3"/>
    <n v="1.98"/>
    <n v="3"/>
    <s v="13,5"/>
    <n v="12"/>
    <n v="0"/>
    <n v="1.5"/>
    <x v="1"/>
    <x v="4"/>
    <n v="2.9699999999999998"/>
    <n v="4.5"/>
    <n v="1.5300000000000002"/>
  </r>
  <r>
    <s v="31/05/21"/>
    <x v="4"/>
    <n v="0.42"/>
    <n v="1.5"/>
    <n v="5"/>
    <n v="8"/>
    <n v="26"/>
    <n v="23"/>
    <x v="1"/>
    <x v="4"/>
    <n v="9.66"/>
    <n v="34.5"/>
    <n v="24.84"/>
  </r>
  <r>
    <s v="31/05/21"/>
    <x v="5"/>
    <n v="0.3"/>
    <n v="1.5"/>
    <n v="7"/>
    <n v="19"/>
    <n v="30"/>
    <n v="18"/>
    <x v="1"/>
    <x v="4"/>
    <n v="5.3999999999999995"/>
    <n v="27"/>
    <n v="21.6"/>
  </r>
  <r>
    <s v="31/05/21"/>
    <x v="6"/>
    <n v="0.53"/>
    <n v="1.5"/>
    <n v="11"/>
    <n v="0"/>
    <n v="0"/>
    <n v="11"/>
    <x v="1"/>
    <x v="4"/>
    <n v="5.83"/>
    <n v="16.5"/>
    <n v="10.67"/>
  </r>
  <r>
    <s v="31/05/21"/>
    <x v="7"/>
    <n v="0.36"/>
    <n v="1.5"/>
    <n v="18"/>
    <n v="18"/>
    <n v="0"/>
    <n v="0"/>
    <x v="1"/>
    <x v="4"/>
    <n v="0"/>
    <n v="0"/>
    <n v="0"/>
  </r>
  <r>
    <s v="31/05/21"/>
    <x v="8"/>
    <n v="0.13"/>
    <n v="0.6"/>
    <n v="7"/>
    <n v="18"/>
    <n v="12"/>
    <n v="1"/>
    <x v="1"/>
    <x v="4"/>
    <n v="0.13"/>
    <n v="0.6"/>
    <n v="0.47"/>
  </r>
  <r>
    <s v="31/05/21"/>
    <x v="10"/>
    <n v="8.34"/>
    <n v="9"/>
    <n v="14"/>
    <n v="13"/>
    <n v="0"/>
    <n v="1"/>
    <x v="1"/>
    <x v="4"/>
    <n v="8.34"/>
    <n v="9"/>
    <n v="0.66000000000000014"/>
  </r>
  <r>
    <s v="31/05/21"/>
    <x v="11"/>
    <n v="0.5"/>
    <n v="1.5"/>
    <n v="6"/>
    <n v="0"/>
    <n v="0"/>
    <n v="6"/>
    <x v="1"/>
    <x v="4"/>
    <n v="3"/>
    <n v="9"/>
    <n v="6"/>
  </r>
  <r>
    <s v="31/05/21"/>
    <x v="12"/>
    <n v="0"/>
    <n v="0.5"/>
    <n v="29"/>
    <n v="10"/>
    <n v="0"/>
    <n v="19"/>
    <x v="1"/>
    <x v="4"/>
    <n v="0"/>
    <n v="9.5"/>
    <n v="9.5"/>
  </r>
  <r>
    <s v="31/08/2020"/>
    <x v="0"/>
    <n v="2.25"/>
    <n v="3"/>
    <n v="34"/>
    <s v="27,5"/>
    <n v="55"/>
    <n v="61.5"/>
    <x v="0"/>
    <x v="5"/>
    <n v="138.375"/>
    <n v="184.5"/>
    <n v="46.125"/>
  </r>
  <r>
    <s v="31/08/2020"/>
    <x v="1"/>
    <n v="3"/>
    <n v="3"/>
    <n v="32"/>
    <n v="12"/>
    <n v="182"/>
    <n v="202"/>
    <x v="0"/>
    <x v="5"/>
    <n v="606"/>
    <n v="606"/>
    <n v="0"/>
  </r>
  <r>
    <s v="31/08/2020"/>
    <x v="2"/>
    <n v="1.98"/>
    <n v="3"/>
    <s v="35,5"/>
    <n v="11"/>
    <n v="100"/>
    <n v="124.5"/>
    <x v="0"/>
    <x v="5"/>
    <n v="246.51"/>
    <n v="373.5"/>
    <n v="126.99000000000001"/>
  </r>
  <r>
    <s v="31/08/2020"/>
    <x v="3"/>
    <n v="1.98"/>
    <n v="3"/>
    <s v="13,5"/>
    <n v="11"/>
    <n v="20"/>
    <n v="22.5"/>
    <x v="0"/>
    <x v="5"/>
    <n v="44.55"/>
    <n v="67.5"/>
    <n v="22.950000000000003"/>
  </r>
  <r>
    <s v="31/08/2020"/>
    <x v="4"/>
    <n v="0.42"/>
    <n v="1.5"/>
    <n v="30"/>
    <n v="18"/>
    <n v="104"/>
    <n v="116"/>
    <x v="0"/>
    <x v="5"/>
    <n v="48.72"/>
    <n v="174"/>
    <n v="125.28"/>
  </r>
  <r>
    <s v="31/08/2020"/>
    <x v="5"/>
    <n v="0.3"/>
    <n v="1.5"/>
    <n v="8"/>
    <n v="12"/>
    <n v="30"/>
    <n v="26"/>
    <x v="0"/>
    <x v="5"/>
    <n v="7.8"/>
    <n v="39"/>
    <n v="31.2"/>
  </r>
  <r>
    <s v="31/08/2020"/>
    <x v="6"/>
    <n v="0.53"/>
    <n v="1.5"/>
    <n v="12"/>
    <n v="12"/>
    <n v="0"/>
    <n v="0"/>
    <x v="0"/>
    <x v="5"/>
    <n v="0"/>
    <n v="0"/>
    <n v="0"/>
  </r>
  <r>
    <s v="31/08/2020"/>
    <x v="7"/>
    <n v="0.36"/>
    <n v="1.5"/>
    <n v="7"/>
    <n v="11"/>
    <n v="6"/>
    <n v="2"/>
    <x v="0"/>
    <x v="5"/>
    <n v="0.72"/>
    <n v="3"/>
    <n v="2.2800000000000002"/>
  </r>
  <r>
    <s v="31/08/2020"/>
    <x v="8"/>
    <n v="0.13"/>
    <n v="0.6"/>
    <n v="15"/>
    <n v="19"/>
    <n v="12"/>
    <n v="8"/>
    <x v="0"/>
    <x v="5"/>
    <n v="1.04"/>
    <n v="4.8"/>
    <n v="3.76"/>
  </r>
  <r>
    <s v="31/08/2020"/>
    <x v="10"/>
    <n v="8.34"/>
    <n v="9"/>
    <n v="10"/>
    <n v="9"/>
    <n v="0"/>
    <n v="1"/>
    <x v="0"/>
    <x v="5"/>
    <n v="8.34"/>
    <n v="9"/>
    <n v="0.66000000000000014"/>
  </r>
  <r>
    <s v="31/08/2020"/>
    <x v="11"/>
    <n v="0.5"/>
    <n v="1.5"/>
    <n v="13"/>
    <n v="10"/>
    <n v="0"/>
    <n v="3"/>
    <x v="0"/>
    <x v="5"/>
    <n v="1.5"/>
    <n v="4.5"/>
    <n v="3"/>
  </r>
  <r>
    <s v="31/08/2020"/>
    <x v="12"/>
    <n v="0"/>
    <n v="0.5"/>
    <n v="20"/>
    <n v="15"/>
    <n v="0"/>
    <n v="5"/>
    <x v="0"/>
    <x v="5"/>
    <n v="0"/>
    <n v="2.5"/>
    <n v="2.5"/>
  </r>
  <r>
    <s v="31/08/2020"/>
    <x v="14"/>
    <n v="0"/>
    <n v="1.5"/>
    <n v="3"/>
    <n v="3"/>
    <n v="4"/>
    <n v="4"/>
    <x v="0"/>
    <x v="5"/>
    <n v="0"/>
    <n v="6"/>
    <n v="6"/>
  </r>
  <r>
    <s v="30/05/2020"/>
    <x v="1"/>
    <n v="3"/>
    <n v="3"/>
    <n v="26"/>
    <n v="24"/>
    <n v="0"/>
    <n v="2"/>
    <x v="0"/>
    <x v="4"/>
    <n v="6"/>
    <n v="6"/>
    <n v="0"/>
  </r>
  <r>
    <s v="30/05/2020"/>
    <x v="2"/>
    <n v="1.98"/>
    <n v="3"/>
    <n v="16"/>
    <s v="15,5"/>
    <n v="0"/>
    <n v="0.5"/>
    <x v="0"/>
    <x v="4"/>
    <n v="0.99"/>
    <n v="1.5"/>
    <n v="0.51"/>
  </r>
  <r>
    <s v="30/05/2020"/>
    <x v="5"/>
    <n v="0.3"/>
    <n v="1.5"/>
    <n v="8"/>
    <n v="0"/>
    <n v="0"/>
    <n v="8"/>
    <x v="0"/>
    <x v="4"/>
    <n v="2.4"/>
    <n v="12"/>
    <n v="9.6"/>
  </r>
  <r>
    <s v="30/05/2020"/>
    <x v="7"/>
    <n v="0.36"/>
    <n v="1.5"/>
    <n v="9"/>
    <n v="0"/>
    <n v="0"/>
    <n v="9"/>
    <x v="0"/>
    <x v="4"/>
    <n v="3.2399999999999998"/>
    <n v="13.5"/>
    <n v="10.26"/>
  </r>
  <r>
    <s v="30/05/2020"/>
    <x v="8"/>
    <n v="0.13"/>
    <n v="0.6"/>
    <n v="11"/>
    <n v="10"/>
    <n v="0"/>
    <n v="1"/>
    <x v="0"/>
    <x v="4"/>
    <n v="0.13"/>
    <n v="0.6"/>
    <n v="0.47"/>
  </r>
  <r>
    <s v="30/05/2020"/>
    <x v="10"/>
    <n v="8.34"/>
    <n v="9"/>
    <n v="20"/>
    <n v="0"/>
    <n v="0"/>
    <n v="20"/>
    <x v="0"/>
    <x v="4"/>
    <n v="166.8"/>
    <n v="180"/>
    <n v="13.199999999999989"/>
  </r>
  <r>
    <s v="30/05/2020"/>
    <x v="11"/>
    <n v="0.5"/>
    <n v="1.5"/>
    <n v="22"/>
    <n v="0"/>
    <n v="0"/>
    <n v="22"/>
    <x v="0"/>
    <x v="4"/>
    <n v="11"/>
    <n v="33"/>
    <n v="22"/>
  </r>
  <r>
    <s v="30/05/2020"/>
    <x v="15"/>
    <n v="0.22"/>
    <n v="1.5"/>
    <n v="13"/>
    <n v="9"/>
    <n v="0"/>
    <n v="4"/>
    <x v="0"/>
    <x v="4"/>
    <n v="0.88"/>
    <n v="6"/>
    <n v="5.12"/>
  </r>
  <r>
    <s v="30/06/2021"/>
    <x v="0"/>
    <n v="2.25"/>
    <n v="3"/>
    <s v="40,5"/>
    <s v="22,5"/>
    <n v="0"/>
    <n v="18"/>
    <x v="1"/>
    <x v="6"/>
    <n v="40.5"/>
    <n v="54"/>
    <n v="13.5"/>
  </r>
  <r>
    <s v="30/06/2021"/>
    <x v="1"/>
    <n v="3"/>
    <n v="3"/>
    <n v="4"/>
    <n v="14"/>
    <n v="320"/>
    <n v="310"/>
    <x v="1"/>
    <x v="6"/>
    <n v="930"/>
    <n v="930"/>
    <n v="0"/>
  </r>
  <r>
    <s v="30/06/2021"/>
    <x v="2"/>
    <n v="1.98"/>
    <n v="3"/>
    <n v="13"/>
    <s v="21,5"/>
    <n v="92"/>
    <n v="83.5"/>
    <x v="1"/>
    <x v="6"/>
    <n v="165.33"/>
    <n v="250.5"/>
    <n v="85.169999999999987"/>
  </r>
  <r>
    <s v="30/06/2021"/>
    <x v="3"/>
    <n v="1.98"/>
    <n v="3"/>
    <n v="12"/>
    <n v="7"/>
    <n v="1"/>
    <n v="6"/>
    <x v="1"/>
    <x v="6"/>
    <n v="11.879999999999999"/>
    <n v="18"/>
    <n v="6.120000000000001"/>
  </r>
  <r>
    <s v="30/06/2021"/>
    <x v="4"/>
    <n v="0.42"/>
    <n v="1.5"/>
    <n v="8"/>
    <n v="6"/>
    <n v="130"/>
    <n v="132"/>
    <x v="1"/>
    <x v="6"/>
    <n v="55.44"/>
    <n v="198"/>
    <n v="142.56"/>
  </r>
  <r>
    <s v="30/06/2021"/>
    <x v="5"/>
    <n v="0.3"/>
    <n v="1.5"/>
    <n v="19"/>
    <n v="13"/>
    <n v="0"/>
    <n v="6"/>
    <x v="1"/>
    <x v="6"/>
    <n v="1.7999999999999998"/>
    <n v="9"/>
    <n v="7.2"/>
  </r>
  <r>
    <s v="30/06/2021"/>
    <x v="7"/>
    <n v="0.36"/>
    <n v="1.5"/>
    <n v="18"/>
    <n v="13"/>
    <n v="0"/>
    <n v="5"/>
    <x v="1"/>
    <x v="6"/>
    <n v="1.7999999999999998"/>
    <n v="7.5"/>
    <n v="5.7"/>
  </r>
  <r>
    <s v="30/06/2021"/>
    <x v="8"/>
    <n v="0.13"/>
    <n v="0.6"/>
    <n v="18"/>
    <n v="14"/>
    <n v="12"/>
    <n v="16"/>
    <x v="1"/>
    <x v="6"/>
    <n v="2.08"/>
    <n v="9.6"/>
    <n v="7.52"/>
  </r>
  <r>
    <s v="30/06/2021"/>
    <x v="10"/>
    <n v="8.34"/>
    <n v="9"/>
    <n v="13"/>
    <n v="9"/>
    <n v="0"/>
    <n v="4"/>
    <x v="1"/>
    <x v="6"/>
    <n v="33.36"/>
    <n v="36"/>
    <n v="2.6400000000000006"/>
  </r>
  <r>
    <s v="30/06/2021"/>
    <x v="11"/>
    <n v="0.5"/>
    <n v="1.5"/>
    <n v="0"/>
    <n v="7"/>
    <n v="12"/>
    <n v="5"/>
    <x v="1"/>
    <x v="6"/>
    <n v="2.5"/>
    <n v="7.5"/>
    <n v="5"/>
  </r>
  <r>
    <s v="30/06/2021"/>
    <x v="12"/>
    <n v="0"/>
    <n v="0.5"/>
    <n v="10"/>
    <n v="10"/>
    <n v="0"/>
    <n v="0"/>
    <x v="1"/>
    <x v="6"/>
    <n v="0"/>
    <n v="0"/>
    <n v="0"/>
  </r>
  <r>
    <s v="30/06/2021"/>
    <x v="14"/>
    <n v="0"/>
    <n v="1.5"/>
    <n v="5"/>
    <n v="4"/>
    <n v="0"/>
    <n v="1"/>
    <x v="1"/>
    <x v="6"/>
    <n v="0"/>
    <n v="1.5"/>
    <n v="1.5"/>
  </r>
  <r>
    <s v="30/06/2021"/>
    <x v="15"/>
    <n v="0.22"/>
    <n v="1.5"/>
    <n v="6"/>
    <n v="3"/>
    <n v="0"/>
    <n v="3"/>
    <x v="1"/>
    <x v="6"/>
    <n v="0.66"/>
    <n v="4.5"/>
    <n v="3.84"/>
  </r>
  <r>
    <s v="30/07/2021"/>
    <x v="0"/>
    <n v="2.25"/>
    <n v="3"/>
    <s v="22,5"/>
    <n v="11"/>
    <n v="0"/>
    <n v="11.5"/>
    <x v="1"/>
    <x v="7"/>
    <n v="25.875"/>
    <n v="34.5"/>
    <n v="8.625"/>
  </r>
  <r>
    <s v="30/07/2021"/>
    <x v="1"/>
    <n v="3"/>
    <n v="3"/>
    <n v="14"/>
    <n v="35"/>
    <n v="221"/>
    <n v="200"/>
    <x v="1"/>
    <x v="7"/>
    <n v="600"/>
    <n v="600"/>
    <n v="0"/>
  </r>
  <r>
    <s v="30/07/2021"/>
    <x v="2"/>
    <n v="1.98"/>
    <n v="3"/>
    <s v="21,5"/>
    <n v="23"/>
    <n v="154"/>
    <n v="152.5"/>
    <x v="1"/>
    <x v="7"/>
    <n v="301.95"/>
    <n v="457.5"/>
    <n v="155.55000000000001"/>
  </r>
  <r>
    <s v="30/07/2021"/>
    <x v="3"/>
    <n v="1.98"/>
    <n v="3"/>
    <n v="7"/>
    <n v="11"/>
    <n v="10"/>
    <n v="6"/>
    <x v="1"/>
    <x v="7"/>
    <n v="11.879999999999999"/>
    <n v="18"/>
    <n v="6.120000000000001"/>
  </r>
  <r>
    <s v="30/07/2021"/>
    <x v="4"/>
    <n v="0.42"/>
    <n v="1.5"/>
    <n v="6"/>
    <n v="44"/>
    <n v="104"/>
    <n v="66"/>
    <x v="1"/>
    <x v="7"/>
    <n v="27.72"/>
    <n v="99"/>
    <n v="71.28"/>
  </r>
  <r>
    <s v="30/07/2021"/>
    <x v="5"/>
    <n v="0.3"/>
    <n v="1.5"/>
    <n v="13"/>
    <n v="16"/>
    <n v="30"/>
    <n v="27"/>
    <x v="1"/>
    <x v="7"/>
    <n v="8.1"/>
    <n v="40.5"/>
    <n v="32.4"/>
  </r>
  <r>
    <s v="30/07/2021"/>
    <x v="7"/>
    <n v="0.36"/>
    <n v="1.5"/>
    <n v="13"/>
    <n v="8"/>
    <n v="0"/>
    <n v="5"/>
    <x v="1"/>
    <x v="7"/>
    <n v="1.7999999999999998"/>
    <n v="7.5"/>
    <n v="5.7"/>
  </r>
  <r>
    <s v="30/07/2021"/>
    <x v="8"/>
    <n v="0.13"/>
    <n v="0.6"/>
    <n v="14"/>
    <n v="2"/>
    <n v="12"/>
    <n v="24"/>
    <x v="1"/>
    <x v="7"/>
    <n v="3.12"/>
    <n v="14.399999999999999"/>
    <n v="11.279999999999998"/>
  </r>
  <r>
    <s v="30/07/2021"/>
    <x v="10"/>
    <n v="8.34"/>
    <n v="9"/>
    <n v="9"/>
    <n v="7"/>
    <n v="0"/>
    <n v="2"/>
    <x v="1"/>
    <x v="7"/>
    <n v="16.68"/>
    <n v="18"/>
    <n v="1.3200000000000003"/>
  </r>
  <r>
    <s v="30/07/2021"/>
    <x v="11"/>
    <n v="0.5"/>
    <n v="1.5"/>
    <n v="7"/>
    <n v="4"/>
    <n v="0"/>
    <n v="3"/>
    <x v="1"/>
    <x v="7"/>
    <n v="1.5"/>
    <n v="4.5"/>
    <n v="3"/>
  </r>
  <r>
    <s v="30/07/2021"/>
    <x v="12"/>
    <n v="0"/>
    <n v="0.5"/>
    <n v="10"/>
    <n v="7"/>
    <n v="0"/>
    <n v="3"/>
    <x v="1"/>
    <x v="7"/>
    <n v="0"/>
    <n v="1.5"/>
    <n v="1.5"/>
  </r>
  <r>
    <s v="30/07/2021"/>
    <x v="14"/>
    <n v="0"/>
    <n v="1.5"/>
    <n v="4"/>
    <n v="3"/>
    <n v="0"/>
    <n v="1"/>
    <x v="1"/>
    <x v="7"/>
    <n v="0"/>
    <n v="1.5"/>
    <n v="1.5"/>
  </r>
  <r>
    <s v="30/07/2021"/>
    <x v="15"/>
    <n v="0.22"/>
    <n v="1.5"/>
    <n v="3"/>
    <n v="3"/>
    <n v="0"/>
    <n v="0"/>
    <x v="1"/>
    <x v="7"/>
    <n v="0"/>
    <n v="0"/>
    <n v="0"/>
  </r>
  <r>
    <s v="30/06/2020"/>
    <x v="0"/>
    <n v="2.25"/>
    <n v="3"/>
    <n v="49"/>
    <s v="36,5"/>
    <n v="40"/>
    <n v="52.5"/>
    <x v="0"/>
    <x v="6"/>
    <n v="118.125"/>
    <n v="157.5"/>
    <n v="39.375"/>
  </r>
  <r>
    <s v="30/06/2020"/>
    <x v="1"/>
    <n v="3"/>
    <n v="3"/>
    <n v="24"/>
    <n v="4"/>
    <n v="223"/>
    <n v="243"/>
    <x v="0"/>
    <x v="6"/>
    <n v="729"/>
    <n v="729"/>
    <n v="0"/>
  </r>
  <r>
    <s v="30/06/2020"/>
    <x v="2"/>
    <n v="1.98"/>
    <n v="3"/>
    <s v="15,5"/>
    <n v="39"/>
    <n v="130"/>
    <n v="106.5"/>
    <x v="0"/>
    <x v="6"/>
    <n v="210.87"/>
    <n v="319.5"/>
    <n v="108.63"/>
  </r>
  <r>
    <s v="30/06/2020"/>
    <x v="3"/>
    <n v="1.98"/>
    <n v="3"/>
    <n v="10"/>
    <s v="6,5"/>
    <n v="19"/>
    <n v="22.5"/>
    <x v="0"/>
    <x v="6"/>
    <n v="44.55"/>
    <n v="67.5"/>
    <n v="22.950000000000003"/>
  </r>
  <r>
    <s v="30/06/2020"/>
    <x v="4"/>
    <n v="0.42"/>
    <n v="1.5"/>
    <n v="22"/>
    <n v="27"/>
    <n v="78"/>
    <n v="73"/>
    <x v="0"/>
    <x v="6"/>
    <n v="30.66"/>
    <n v="109.5"/>
    <n v="78.84"/>
  </r>
  <r>
    <s v="30/06/2020"/>
    <x v="5"/>
    <n v="0.3"/>
    <n v="1.5"/>
    <n v="0"/>
    <n v="11"/>
    <n v="18"/>
    <n v="7"/>
    <x v="0"/>
    <x v="6"/>
    <n v="2.1"/>
    <n v="10.5"/>
    <n v="8.4"/>
  </r>
  <r>
    <s v="30/06/2020"/>
    <x v="6"/>
    <n v="0.53"/>
    <n v="1.5"/>
    <n v="0"/>
    <n v="12"/>
    <n v="12"/>
    <n v="0"/>
    <x v="0"/>
    <x v="6"/>
    <n v="0"/>
    <n v="0"/>
    <n v="0"/>
  </r>
  <r>
    <s v="30/06/2020"/>
    <x v="7"/>
    <n v="0.36"/>
    <n v="1.5"/>
    <n v="0"/>
    <n v="12"/>
    <n v="12"/>
    <n v="0"/>
    <x v="0"/>
    <x v="6"/>
    <n v="0"/>
    <n v="0"/>
    <n v="0"/>
  </r>
  <r>
    <s v="30/06/2020"/>
    <x v="8"/>
    <n v="0.13"/>
    <n v="0.6"/>
    <n v="10"/>
    <n v="16"/>
    <n v="12"/>
    <n v="6"/>
    <x v="0"/>
    <x v="6"/>
    <n v="0.78"/>
    <n v="3.5999999999999996"/>
    <n v="2.8199999999999994"/>
  </r>
  <r>
    <s v="30/06/2020"/>
    <x v="10"/>
    <n v="8.34"/>
    <n v="9"/>
    <n v="0"/>
    <n v="13"/>
    <n v="14"/>
    <n v="1"/>
    <x v="0"/>
    <x v="6"/>
    <n v="8.34"/>
    <n v="9"/>
    <n v="0.66000000000000014"/>
  </r>
  <r>
    <s v="30/06/2020"/>
    <x v="11"/>
    <n v="0.5"/>
    <n v="1.5"/>
    <n v="0"/>
    <n v="11"/>
    <n v="18"/>
    <n v="7"/>
    <x v="0"/>
    <x v="6"/>
    <n v="3.5"/>
    <n v="10.5"/>
    <n v="7"/>
  </r>
  <r>
    <s v="30/06/2020"/>
    <x v="12"/>
    <n v="0"/>
    <n v="0.5"/>
    <n v="20"/>
    <n v="20"/>
    <n v="0"/>
    <n v="0"/>
    <x v="0"/>
    <x v="6"/>
    <n v="0"/>
    <n v="0"/>
    <n v="0"/>
  </r>
  <r>
    <s v="30/06/2020"/>
    <x v="13"/>
    <n v="0.18"/>
    <n v="1"/>
    <n v="1"/>
    <n v="0"/>
    <n v="0"/>
    <n v="1"/>
    <x v="0"/>
    <x v="6"/>
    <n v="0.18"/>
    <n v="1"/>
    <n v="0.82000000000000006"/>
  </r>
  <r>
    <s v="30/06/2020"/>
    <x v="15"/>
    <n v="0.22"/>
    <n v="1.5"/>
    <n v="9"/>
    <n v="7"/>
    <n v="0"/>
    <n v="2"/>
    <x v="0"/>
    <x v="6"/>
    <n v="0.44"/>
    <n v="3"/>
    <n v="2.56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87">
  <r>
    <s v="31/01/2020"/>
    <x v="0"/>
    <x v="0"/>
    <n v="319"/>
    <s v=""/>
    <n v="4"/>
    <x v="0"/>
    <x v="0"/>
  </r>
  <r>
    <s v="31/01/2020"/>
    <x v="0"/>
    <x v="1"/>
    <n v="217"/>
    <s v=""/>
    <n v="8"/>
    <x v="0"/>
    <x v="0"/>
  </r>
  <r>
    <s v="31/01/2020"/>
    <x v="0"/>
    <x v="2"/>
    <n v="130"/>
    <s v=""/>
    <n v="13"/>
    <x v="0"/>
    <x v="0"/>
  </r>
  <r>
    <s v="31/01/2020"/>
    <x v="0"/>
    <x v="3"/>
    <n v="36"/>
    <s v=""/>
    <n v="22"/>
    <x v="0"/>
    <x v="0"/>
  </r>
  <r>
    <s v="31/01/2020"/>
    <x v="1"/>
    <x v="4"/>
    <n v="80"/>
    <n v="15"/>
    <s v=""/>
    <x v="0"/>
    <x v="0"/>
  </r>
  <r>
    <s v="31/01/2020"/>
    <x v="1"/>
    <x v="0"/>
    <n v="191"/>
    <n v="3"/>
    <s v=""/>
    <x v="0"/>
    <x v="0"/>
  </r>
  <r>
    <s v="31/01/2020"/>
    <x v="1"/>
    <x v="1"/>
    <n v="165"/>
    <n v="4"/>
    <s v=""/>
    <x v="0"/>
    <x v="0"/>
  </r>
  <r>
    <s v="31/01/2020"/>
    <x v="1"/>
    <x v="2"/>
    <n v="23"/>
    <n v="27"/>
    <s v=""/>
    <x v="0"/>
    <x v="0"/>
  </r>
  <r>
    <s v="31/01/2020"/>
    <x v="1"/>
    <x v="5"/>
    <n v="104"/>
    <n v="9"/>
    <s v=""/>
    <x v="0"/>
    <x v="0"/>
  </r>
  <r>
    <s v="31/01/2020"/>
    <x v="1"/>
    <x v="6"/>
    <n v="2"/>
    <n v="41"/>
    <s v=""/>
    <x v="0"/>
    <x v="0"/>
  </r>
  <r>
    <s v="31/01/2020"/>
    <x v="1"/>
    <x v="7"/>
    <n v="2"/>
    <n v="41"/>
    <s v=""/>
    <x v="0"/>
    <x v="0"/>
  </r>
  <r>
    <s v="31/01/2020"/>
    <x v="1"/>
    <x v="8"/>
    <n v="2"/>
    <n v="41"/>
    <s v=""/>
    <x v="0"/>
    <x v="0"/>
  </r>
  <r>
    <s v="28/02/2020"/>
    <x v="0"/>
    <x v="5"/>
    <n v="182"/>
    <s v=""/>
    <n v="12"/>
    <x v="0"/>
    <x v="1"/>
  </r>
  <r>
    <s v="28/02/2020"/>
    <x v="0"/>
    <x v="9"/>
    <n v="18"/>
    <s v=""/>
    <n v="27"/>
    <x v="0"/>
    <x v="1"/>
  </r>
  <r>
    <s v="28/02/2020"/>
    <x v="1"/>
    <x v="4"/>
    <n v="95"/>
    <n v="12"/>
    <s v=""/>
    <x v="0"/>
    <x v="1"/>
  </r>
  <r>
    <s v="28/02/2020"/>
    <x v="1"/>
    <x v="0"/>
    <n v="135"/>
    <n v="6"/>
    <s v=""/>
    <x v="0"/>
    <x v="1"/>
  </r>
  <r>
    <s v="28/02/2020"/>
    <x v="1"/>
    <x v="1"/>
    <n v="115"/>
    <n v="8"/>
    <s v=""/>
    <x v="0"/>
    <x v="1"/>
  </r>
  <r>
    <s v="28/02/2020"/>
    <x v="1"/>
    <x v="2"/>
    <n v="55"/>
    <n v="16"/>
    <s v=""/>
    <x v="0"/>
    <x v="1"/>
  </r>
  <r>
    <s v="28/02/2020"/>
    <x v="1"/>
    <x v="5"/>
    <n v="104"/>
    <n v="9"/>
    <s v=""/>
    <x v="0"/>
    <x v="1"/>
  </r>
  <r>
    <s v="28/02/2020"/>
    <x v="1"/>
    <x v="9"/>
    <n v="48"/>
    <n v="18"/>
    <s v=""/>
    <x v="0"/>
    <x v="1"/>
  </r>
  <r>
    <s v="28/02/2020"/>
    <x v="1"/>
    <x v="10"/>
    <n v="18"/>
    <n v="28"/>
    <s v=""/>
    <x v="0"/>
    <x v="1"/>
  </r>
  <r>
    <s v="28/02/2020"/>
    <x v="1"/>
    <x v="11"/>
    <n v="6"/>
    <n v="39"/>
    <s v=""/>
    <x v="0"/>
    <x v="1"/>
  </r>
  <r>
    <s v="28/02/2020"/>
    <x v="1"/>
    <x v="12"/>
    <n v="24"/>
    <n v="25"/>
    <s v=""/>
    <x v="0"/>
    <x v="1"/>
  </r>
  <r>
    <s v="28/02/2020"/>
    <x v="1"/>
    <x v="3"/>
    <n v="24"/>
    <n v="25"/>
    <s v=""/>
    <x v="0"/>
    <x v="1"/>
  </r>
  <r>
    <s v="28/02/2020"/>
    <x v="1"/>
    <x v="13"/>
    <n v="12"/>
    <n v="31"/>
    <s v=""/>
    <x v="0"/>
    <x v="1"/>
  </r>
  <r>
    <s v="31/03/2020"/>
    <x v="0"/>
    <x v="4"/>
    <n v="212"/>
    <s v=""/>
    <n v="9"/>
    <x v="0"/>
    <x v="2"/>
  </r>
  <r>
    <s v="31/03/2020"/>
    <x v="0"/>
    <x v="0"/>
    <n v="254"/>
    <s v=""/>
    <n v="6"/>
    <x v="0"/>
    <x v="2"/>
  </r>
  <r>
    <s v="31/03/2020"/>
    <x v="0"/>
    <x v="1"/>
    <n v="218"/>
    <s v=""/>
    <n v="7"/>
    <x v="0"/>
    <x v="2"/>
  </r>
  <r>
    <s v="31/03/2020"/>
    <x v="0"/>
    <x v="2"/>
    <n v="44"/>
    <s v=""/>
    <n v="21"/>
    <x v="0"/>
    <x v="2"/>
  </r>
  <r>
    <s v="31/03/2020"/>
    <x v="0"/>
    <x v="3"/>
    <n v="24"/>
    <s v=""/>
    <n v="25"/>
    <x v="0"/>
    <x v="2"/>
  </r>
  <r>
    <s v="31/03/2020"/>
    <x v="1"/>
    <x v="4"/>
    <n v="38"/>
    <n v="20"/>
    <s v=""/>
    <x v="0"/>
    <x v="2"/>
  </r>
  <r>
    <s v="31/03/2020"/>
    <x v="1"/>
    <x v="0"/>
    <n v="52"/>
    <n v="17"/>
    <s v=""/>
    <x v="0"/>
    <x v="2"/>
  </r>
  <r>
    <s v="31/03/2020"/>
    <x v="1"/>
    <x v="1"/>
    <n v="15"/>
    <n v="29"/>
    <s v=""/>
    <x v="0"/>
    <x v="2"/>
  </r>
  <r>
    <s v="31/03/2020"/>
    <x v="1"/>
    <x v="2"/>
    <n v="15"/>
    <n v="29"/>
    <s v=""/>
    <x v="0"/>
    <x v="2"/>
  </r>
  <r>
    <s v="31/03/2020"/>
    <x v="1"/>
    <x v="5"/>
    <n v="26"/>
    <n v="23"/>
    <s v=""/>
    <x v="0"/>
    <x v="2"/>
  </r>
  <r>
    <s v="31/03/2020"/>
    <x v="1"/>
    <x v="9"/>
    <n v="6"/>
    <n v="39"/>
    <s v=""/>
    <x v="0"/>
    <x v="2"/>
  </r>
  <r>
    <s v="31/03/2020"/>
    <x v="1"/>
    <x v="13"/>
    <n v="12"/>
    <n v="31"/>
    <s v=""/>
    <x v="0"/>
    <x v="2"/>
  </r>
  <r>
    <s v="31/03/2020"/>
    <x v="2"/>
    <x v="4"/>
    <n v="219"/>
    <s v=""/>
    <s v=""/>
    <x v="0"/>
    <x v="2"/>
  </r>
  <r>
    <s v="31/03/2020"/>
    <x v="2"/>
    <x v="0"/>
    <n v="28"/>
    <s v=""/>
    <s v=""/>
    <x v="0"/>
    <x v="2"/>
  </r>
  <r>
    <s v="31/03/2020"/>
    <x v="2"/>
    <x v="1"/>
    <n v="151"/>
    <s v=""/>
    <s v=""/>
    <x v="0"/>
    <x v="2"/>
  </r>
  <r>
    <s v="31/03/2020"/>
    <x v="2"/>
    <x v="5"/>
    <n v="130"/>
    <s v=""/>
    <s v=""/>
    <x v="0"/>
    <x v="2"/>
  </r>
  <r>
    <s v="31/03/2020"/>
    <x v="2"/>
    <x v="9"/>
    <n v="36"/>
    <s v=""/>
    <s v=""/>
    <x v="0"/>
    <x v="2"/>
  </r>
  <r>
    <s v="31/03/2020"/>
    <x v="2"/>
    <x v="10"/>
    <n v="18"/>
    <s v=""/>
    <s v=""/>
    <x v="0"/>
    <x v="2"/>
  </r>
  <r>
    <s v="31/03/2020"/>
    <x v="2"/>
    <x v="11"/>
    <n v="24"/>
    <s v=""/>
    <s v=""/>
    <x v="0"/>
    <x v="2"/>
  </r>
  <r>
    <s v="31/03/2020"/>
    <x v="2"/>
    <x v="12"/>
    <n v="36"/>
    <s v=""/>
    <s v=""/>
    <x v="0"/>
    <x v="2"/>
  </r>
  <r>
    <s v="31/03/2020"/>
    <x v="2"/>
    <x v="6"/>
    <n v="7"/>
    <s v=""/>
    <s v=""/>
    <x v="0"/>
    <x v="2"/>
  </r>
  <r>
    <s v="31/03/2020"/>
    <x v="2"/>
    <x v="13"/>
    <n v="24"/>
    <s v=""/>
    <s v=""/>
    <x v="0"/>
    <x v="2"/>
  </r>
  <r>
    <s v="31/03/2020"/>
    <x v="2"/>
    <x v="14"/>
    <n v="20"/>
    <s v=""/>
    <s v=""/>
    <x v="0"/>
    <x v="2"/>
  </r>
  <r>
    <s v="31/03/2020"/>
    <x v="2"/>
    <x v="7"/>
    <n v="2"/>
    <s v=""/>
    <s v=""/>
    <x v="0"/>
    <x v="2"/>
  </r>
  <r>
    <s v="31/03/2020"/>
    <x v="2"/>
    <x v="8"/>
    <n v="2"/>
    <s v=""/>
    <s v=""/>
    <x v="0"/>
    <x v="2"/>
  </r>
  <r>
    <s v="31/03/2020"/>
    <x v="2"/>
    <x v="15"/>
    <n v="14"/>
    <s v=""/>
    <s v=""/>
    <x v="0"/>
    <x v="2"/>
  </r>
  <r>
    <s v="30/07/2021"/>
    <x v="0"/>
    <x v="0"/>
    <n v="581"/>
    <s v=""/>
    <n v="1"/>
    <x v="1"/>
    <x v="3"/>
  </r>
  <r>
    <s v="30/07/2021"/>
    <x v="0"/>
    <x v="1"/>
    <n v="307"/>
    <s v=""/>
    <n v="5"/>
    <x v="1"/>
    <x v="3"/>
  </r>
  <r>
    <s v="30/07/2021"/>
    <x v="0"/>
    <x v="2"/>
    <n v="26"/>
    <s v=""/>
    <n v="24"/>
    <x v="1"/>
    <x v="3"/>
  </r>
  <r>
    <s v="30/06/2021"/>
    <x v="0"/>
    <x v="0"/>
    <n v="85"/>
    <s v=""/>
    <n v="15"/>
    <x v="1"/>
    <x v="4"/>
  </r>
  <r>
    <s v="30/06/2021"/>
    <x v="0"/>
    <x v="5"/>
    <n v="208"/>
    <s v=""/>
    <n v="10"/>
    <x v="1"/>
    <x v="4"/>
  </r>
  <r>
    <s v="30/06/2020"/>
    <x v="0"/>
    <x v="5"/>
    <n v="78"/>
    <s v=""/>
    <n v="17"/>
    <x v="0"/>
    <x v="4"/>
  </r>
  <r>
    <s v="30/06/2020"/>
    <x v="0"/>
    <x v="9"/>
    <n v="60"/>
    <s v=""/>
    <n v="18"/>
    <x v="0"/>
    <x v="4"/>
  </r>
  <r>
    <s v="30/06/2020"/>
    <x v="0"/>
    <x v="10"/>
    <n v="24"/>
    <s v=""/>
    <n v="25"/>
    <x v="0"/>
    <x v="4"/>
  </r>
  <r>
    <s v="30/06/2020"/>
    <x v="0"/>
    <x v="11"/>
    <n v="18"/>
    <s v=""/>
    <n v="27"/>
    <x v="0"/>
    <x v="4"/>
  </r>
  <r>
    <s v="30/06/2020"/>
    <x v="0"/>
    <x v="12"/>
    <n v="36"/>
    <s v=""/>
    <n v="22"/>
    <x v="0"/>
    <x v="4"/>
  </r>
  <r>
    <s v="30/06/2020"/>
    <x v="0"/>
    <x v="13"/>
    <n v="48"/>
    <s v=""/>
    <n v="20"/>
    <x v="0"/>
    <x v="4"/>
  </r>
  <r>
    <d v="2021-09-07T00:00:00"/>
    <x v="0"/>
    <x v="1"/>
    <n v="322"/>
    <s v=""/>
    <n v="3"/>
    <x v="1"/>
    <x v="5"/>
  </r>
  <r>
    <d v="2021-09-07T00:00:00"/>
    <x v="0"/>
    <x v="0"/>
    <n v="390"/>
    <s v=""/>
    <n v="2"/>
    <x v="1"/>
    <x v="5"/>
  </r>
  <r>
    <s v="30/05/2021"/>
    <x v="0"/>
    <x v="5"/>
    <n v="52"/>
    <s v=""/>
    <n v="19"/>
    <x v="1"/>
    <x v="6"/>
  </r>
  <r>
    <s v="30/06/2021"/>
    <x v="0"/>
    <x v="0"/>
    <n v="85"/>
    <s v=""/>
    <n v="15"/>
    <x v="1"/>
    <x v="4"/>
  </r>
  <r>
    <s v="30/06/2021"/>
    <x v="0"/>
    <x v="5"/>
    <n v="208"/>
    <s v=""/>
    <n v="10"/>
    <x v="1"/>
    <x v="4"/>
  </r>
  <r>
    <s v="30/05/2021"/>
    <x v="1"/>
    <x v="0"/>
    <n v="90"/>
    <n v="14"/>
    <s v=""/>
    <x v="1"/>
    <x v="6"/>
  </r>
  <r>
    <s v="30/05/2021"/>
    <x v="1"/>
    <x v="1"/>
    <n v="45"/>
    <n v="19"/>
    <s v=""/>
    <x v="1"/>
    <x v="6"/>
  </r>
  <r>
    <s v="30/05/2021"/>
    <x v="1"/>
    <x v="5"/>
    <n v="26"/>
    <n v="23"/>
    <s v=""/>
    <x v="1"/>
    <x v="6"/>
  </r>
  <r>
    <s v="30/05/2021"/>
    <x v="1"/>
    <x v="12"/>
    <n v="12"/>
    <n v="31"/>
    <s v=""/>
    <x v="1"/>
    <x v="6"/>
  </r>
  <r>
    <s v="30/05/2021"/>
    <x v="1"/>
    <x v="9"/>
    <n v="12"/>
    <n v="31"/>
    <s v=""/>
    <x v="1"/>
    <x v="6"/>
  </r>
  <r>
    <s v="30/05/2021"/>
    <x v="1"/>
    <x v="4"/>
    <n v="30"/>
    <n v="21"/>
    <s v=""/>
    <x v="1"/>
    <x v="6"/>
  </r>
  <r>
    <s v="30/06/2021"/>
    <x v="1"/>
    <x v="0"/>
    <n v="320"/>
    <n v="1"/>
    <s v=""/>
    <x v="1"/>
    <x v="4"/>
  </r>
  <r>
    <s v="30/06/2021"/>
    <x v="1"/>
    <x v="1"/>
    <n v="95"/>
    <n v="12"/>
    <s v=""/>
    <x v="1"/>
    <x v="4"/>
  </r>
  <r>
    <s v="30/06/2021"/>
    <x v="1"/>
    <x v="5"/>
    <n v="130"/>
    <n v="7"/>
    <s v=""/>
    <x v="1"/>
    <x v="4"/>
  </r>
  <r>
    <s v="30/06/2021"/>
    <x v="1"/>
    <x v="12"/>
    <n v="12"/>
    <n v="31"/>
    <s v=""/>
    <x v="1"/>
    <x v="4"/>
  </r>
  <r>
    <s v="30/06/2021"/>
    <x v="1"/>
    <x v="13"/>
    <n v="12"/>
    <n v="31"/>
    <s v=""/>
    <x v="1"/>
    <x v="4"/>
  </r>
  <r>
    <s v="30/07/2021"/>
    <x v="1"/>
    <x v="0"/>
    <n v="226"/>
    <n v="2"/>
    <s v=""/>
    <x v="1"/>
    <x v="3"/>
  </r>
  <r>
    <s v="30/07/2021"/>
    <x v="1"/>
    <x v="1"/>
    <n v="153"/>
    <n v="5"/>
    <s v=""/>
    <x v="1"/>
    <x v="3"/>
  </r>
  <r>
    <s v="30/07/2021"/>
    <x v="1"/>
    <x v="2"/>
    <n v="10"/>
    <n v="38"/>
    <s v=""/>
    <x v="1"/>
    <x v="3"/>
  </r>
  <r>
    <s v="30/07/2021"/>
    <x v="1"/>
    <x v="5"/>
    <n v="104"/>
    <n v="9"/>
    <s v=""/>
    <x v="1"/>
    <x v="3"/>
  </r>
  <r>
    <s v="30/07/2021"/>
    <x v="1"/>
    <x v="12"/>
    <n v="12"/>
    <n v="31"/>
    <s v=""/>
    <x v="1"/>
    <x v="3"/>
  </r>
  <r>
    <s v="30/07/2021"/>
    <x v="1"/>
    <x v="9"/>
    <n v="30"/>
    <n v="21"/>
    <s v=""/>
    <x v="1"/>
    <x v="3"/>
  </r>
  <r>
    <s v="30/08/2021"/>
    <x v="0"/>
    <x v="5"/>
    <n v="104"/>
    <s v=""/>
    <n v="14"/>
    <x v="1"/>
    <x v="7"/>
  </r>
  <r>
    <s v="30/08/2021"/>
    <x v="0"/>
    <x v="9"/>
    <n v="12"/>
    <s v=""/>
    <n v="30"/>
    <x v="1"/>
    <x v="7"/>
  </r>
  <r>
    <s v="30/08/2021"/>
    <x v="0"/>
    <x v="12"/>
    <n v="18"/>
    <s v=""/>
    <n v="27"/>
    <x v="1"/>
    <x v="7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8B4D887C-5869-4F12-BFC2-6AE5ADD5AE50}" name="Tableau croisé dynamique1" cacheId="7" applyNumberFormats="0" applyBorderFormats="0" applyFontFormats="0" applyPatternFormats="0" applyAlignmentFormats="0" applyWidthHeightFormats="1" dataCaption="Valeurs" updatedVersion="7" minRefreshableVersion="3" useAutoFormatting="1" rowGrandTotals="0" itemPrintTitles="1" createdVersion="6" indent="0" outline="1" outlineData="1" multipleFieldFilters="0">
  <location ref="B8:E17" firstHeaderRow="1" firstDataRow="2" firstDataCol="1"/>
  <pivotFields count="8">
    <pivotField showAll="0"/>
    <pivotField axis="axisCol" showAll="0">
      <items count="4">
        <item x="0"/>
        <item x="2"/>
        <item x="1"/>
        <item t="default"/>
      </items>
    </pivotField>
    <pivotField axis="axisRow" showAll="0">
      <items count="17">
        <item x="5"/>
        <item x="2"/>
        <item x="14"/>
        <item x="6"/>
        <item x="8"/>
        <item x="11"/>
        <item x="7"/>
        <item x="12"/>
        <item x="3"/>
        <item x="13"/>
        <item x="15"/>
        <item x="9"/>
        <item x="1"/>
        <item x="0"/>
        <item x="4"/>
        <item x="10"/>
        <item t="default"/>
      </items>
    </pivotField>
    <pivotField dataField="1" showAll="0"/>
    <pivotField showAll="0"/>
    <pivotField showAll="0"/>
    <pivotField showAll="0">
      <items count="5">
        <item h="1" m="1" x="2"/>
        <item h="1" m="1" x="3"/>
        <item h="1" x="0"/>
        <item x="1"/>
        <item t="default"/>
      </items>
    </pivotField>
    <pivotField showAll="0">
      <items count="10">
        <item x="0"/>
        <item x="1"/>
        <item x="2"/>
        <item x="6"/>
        <item x="4"/>
        <item x="3"/>
        <item x="7"/>
        <item x="5"/>
        <item m="1" x="8"/>
        <item t="default"/>
      </items>
    </pivotField>
  </pivotFields>
  <rowFields count="1">
    <field x="2"/>
  </rowFields>
  <rowItems count="8">
    <i>
      <x/>
    </i>
    <i>
      <x v="1"/>
    </i>
    <i>
      <x v="7"/>
    </i>
    <i>
      <x v="9"/>
    </i>
    <i>
      <x v="11"/>
    </i>
    <i>
      <x v="12"/>
    </i>
    <i>
      <x v="13"/>
    </i>
    <i>
      <x v="14"/>
    </i>
  </rowItems>
  <colFields count="1">
    <field x="1"/>
  </colFields>
  <colItems count="3">
    <i>
      <x/>
    </i>
    <i>
      <x v="2"/>
    </i>
    <i t="grand">
      <x/>
    </i>
  </colItems>
  <dataFields count="1">
    <dataField name="Somme de Quantité" fld="3" baseField="0" baseItem="0"/>
  </dataFields>
  <formats count="3">
    <format dxfId="25">
      <pivotArea collapsedLevelsAreSubtotals="1" fieldPosition="0">
        <references count="1">
          <reference field="2" count="0"/>
        </references>
      </pivotArea>
    </format>
    <format dxfId="24">
      <pivotArea dataOnly="0" labelOnly="1" fieldPosition="0">
        <references count="1">
          <reference field="1" count="0"/>
        </references>
      </pivotArea>
    </format>
    <format dxfId="23">
      <pivotArea dataOnly="0" labelOnly="1" grandCol="1" outline="0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400-000000000000}" name="Tab_mouv" cacheId="7" applyNumberFormats="0" applyBorderFormats="0" applyFontFormats="0" applyPatternFormats="0" applyAlignmentFormats="0" applyWidthHeightFormats="1" dataCaption="Valeurs" updatedVersion="7" minRefreshableVersion="3" useAutoFormatting="1" rowGrandTotals="0" colGrandTotals="0" itemPrintTitles="1" createdVersion="6" indent="0" outline="1" outlineData="1" chartFormat="1" colHeaderCaption="">
  <location ref="H5:J14" firstHeaderRow="1" firstDataRow="2" firstDataCol="1"/>
  <pivotFields count="8">
    <pivotField showAll="0" defaultSubtotal="0"/>
    <pivotField axis="axisCol" showAll="0" defaultSubtotal="0">
      <items count="3">
        <item x="0"/>
        <item x="1"/>
        <item x="2"/>
      </items>
    </pivotField>
    <pivotField axis="axisRow" showAll="0" defaultSubtotal="0">
      <items count="16">
        <item x="5"/>
        <item x="2"/>
        <item x="6"/>
        <item x="11"/>
        <item x="7"/>
        <item x="12"/>
        <item x="3"/>
        <item x="13"/>
        <item x="15"/>
        <item x="9"/>
        <item x="1"/>
        <item x="0"/>
        <item x="4"/>
        <item x="10"/>
        <item x="14"/>
        <item x="8"/>
      </items>
    </pivotField>
    <pivotField dataField="1" showAll="0" defaultSubtotal="0"/>
    <pivotField showAll="0" defaultSubtotal="0"/>
    <pivotField showAll="0" defaultSubtotal="0"/>
    <pivotField showAll="0" defaultSubtotal="0">
      <items count="4">
        <item h="1" m="1" x="2"/>
        <item h="1" m="1" x="3"/>
        <item h="1" x="0"/>
        <item x="1"/>
      </items>
    </pivotField>
    <pivotField showAll="0" defaultSubtotal="0">
      <items count="9">
        <item x="0"/>
        <item x="1"/>
        <item x="2"/>
        <item x="6"/>
        <item x="4"/>
        <item x="3"/>
        <item x="7"/>
        <item x="5"/>
        <item m="1" x="8"/>
      </items>
    </pivotField>
  </pivotFields>
  <rowFields count="1">
    <field x="2"/>
  </rowFields>
  <rowItems count="8">
    <i>
      <x/>
    </i>
    <i>
      <x v="1"/>
    </i>
    <i>
      <x v="5"/>
    </i>
    <i>
      <x v="7"/>
    </i>
    <i>
      <x v="9"/>
    </i>
    <i>
      <x v="10"/>
    </i>
    <i>
      <x v="11"/>
    </i>
    <i>
      <x v="12"/>
    </i>
  </rowItems>
  <colFields count="1">
    <field x="1"/>
  </colFields>
  <colItems count="2">
    <i>
      <x/>
    </i>
    <i>
      <x v="1"/>
    </i>
  </colItems>
  <dataFields count="1">
    <dataField name="Produit" fld="3" baseField="0" baseItem="0"/>
  </dataFields>
  <formats count="2">
    <format dxfId="18">
      <pivotArea outline="0" collapsedLevelsAreSubtotals="1" fieldPosition="0"/>
    </format>
    <format dxfId="17">
      <pivotArea dataOnly="0" labelOnly="1" fieldPosition="0">
        <references count="1">
          <reference field="1" count="0"/>
        </references>
      </pivotArea>
    </format>
  </formats>
  <chartFormats count="1">
    <chartFormat chart="0" format="2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3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600-000000000000}" name="TcdInventaireConso" cacheId="0" applyNumberFormats="0" applyBorderFormats="0" applyFontFormats="0" applyPatternFormats="0" applyAlignmentFormats="0" applyWidthHeightFormats="1" dataCaption="Valeurs" updatedVersion="7" minRefreshableVersion="3" showDrill="0" useAutoFormatting="1" rowGrandTotals="0" colGrandTotals="0" itemPrintTitles="1" createdVersion="6" indent="0" outline="1" outlineData="1" multipleFieldFilters="0" chartFormat="2" colHeaderCaption="">
  <location ref="A3:G19" firstHeaderRow="1" firstDataRow="3" firstDataCol="1"/>
  <pivotFields count="13">
    <pivotField showAll="0"/>
    <pivotField axis="axisRow" showAll="0">
      <items count="17">
        <item x="4"/>
        <item x="3"/>
        <item x="12"/>
        <item x="9"/>
        <item x="14"/>
        <item x="7"/>
        <item x="13"/>
        <item x="8"/>
        <item x="10"/>
        <item x="11"/>
        <item x="15"/>
        <item x="5"/>
        <item x="2"/>
        <item x="1"/>
        <item x="0"/>
        <item x="6"/>
        <item t="default"/>
      </items>
    </pivotField>
    <pivotField numFmtId="164" showAll="0"/>
    <pivotField numFmtId="164" showAll="0"/>
    <pivotField showAll="0"/>
    <pivotField showAll="0"/>
    <pivotField showAll="0"/>
    <pivotField dataField="1" showAll="0"/>
    <pivotField axis="axisCol" showAll="0">
      <items count="3">
        <item h="1" x="0"/>
        <item x="1"/>
        <item t="default"/>
      </items>
    </pivotField>
    <pivotField axis="axisCol" showAll="0">
      <items count="9">
        <item x="0"/>
        <item x="1"/>
        <item x="2"/>
        <item x="3"/>
        <item x="4"/>
        <item x="5"/>
        <item x="6"/>
        <item x="7"/>
        <item t="default"/>
      </items>
    </pivotField>
    <pivotField numFmtId="164" showAll="0" defaultSubtotal="0"/>
    <pivotField numFmtId="164" showAll="0" defaultSubtotal="0"/>
    <pivotField showAll="0" defaultSubtotal="0"/>
  </pivotFields>
  <rowFields count="1">
    <field x="1"/>
  </rowFields>
  <rowItems count="14">
    <i>
      <x/>
    </i>
    <i>
      <x v="1"/>
    </i>
    <i>
      <x v="2"/>
    </i>
    <i>
      <x v="4"/>
    </i>
    <i>
      <x v="5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</rowItems>
  <colFields count="2">
    <field x="9"/>
    <field x="8"/>
  </colFields>
  <colItems count="6">
    <i>
      <x v="4"/>
      <x v="1"/>
    </i>
    <i t="default">
      <x v="4"/>
    </i>
    <i>
      <x v="6"/>
      <x v="1"/>
    </i>
    <i t="default">
      <x v="6"/>
    </i>
    <i>
      <x v="7"/>
      <x v="1"/>
    </i>
    <i t="default">
      <x v="7"/>
    </i>
  </colItems>
  <dataFields count="1">
    <dataField name="Somme de Conso" fld="7" baseField="1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Année" xr10:uid="{00000000-0013-0000-FFFF-FFFF01000000}" sourceName="Année">
  <pivotTables>
    <pivotTable tabId="5" name="Tab_mouv"/>
  </pivotTables>
  <data>
    <tabular pivotCacheId="1">
      <items count="4">
        <i x="0"/>
        <i x="1" s="1"/>
        <i x="2" nd="1"/>
        <i x="3" nd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Mois" xr10:uid="{00000000-0013-0000-FFFF-FFFF02000000}" sourceName="Mois">
  <pivotTables>
    <pivotTable tabId="5" name="Tab_mouv"/>
  </pivotTables>
  <data>
    <tabular pivotCacheId="1">
      <items count="9">
        <i x="6" s="1"/>
        <i x="4" s="1"/>
        <i x="3" s="1"/>
        <i x="7" s="1"/>
        <i x="5" s="1"/>
        <i x="0" s="1" nd="1"/>
        <i x="1" s="1" nd="1"/>
        <i x="2" s="1" nd="1"/>
        <i x="8" s="1" nd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Année1" xr10:uid="{7EE7B8E4-9206-426C-8A6E-9346252337E8}" sourceName="Année">
  <pivotTables>
    <pivotTable tabId="7" name="TcdInventaireConso"/>
  </pivotTables>
  <data>
    <tabular pivotCacheId="1791791389">
      <items count="2">
        <i x="0"/>
        <i x="1" s="1"/>
      </items>
    </tabular>
  </data>
</slicerCacheDefinition>
</file>

<file path=xl/slicerCaches/slicerCache4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Année4" xr10:uid="{F1D05AAF-7462-48AE-8A77-3F4D0D313A3D}" sourceName="Année">
  <pivotTables>
    <pivotTable tabId="9" name="Tableau croisé dynamique1"/>
  </pivotTables>
  <data>
    <tabular pivotCacheId="1">
      <items count="4">
        <i x="0"/>
        <i x="1" s="1"/>
        <i x="2" nd="1"/>
        <i x="3" nd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Caches/slicerCache5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Mois3" xr10:uid="{5CA3EB2C-7D74-458E-83D5-CAEC4AD3FC9E}" sourceName="Mois">
  <pivotTables>
    <pivotTable tabId="9" name="Tableau croisé dynamique1"/>
  </pivotTables>
  <data>
    <tabular pivotCacheId="1">
      <items count="9">
        <i x="6" s="1"/>
        <i x="4" s="1"/>
        <i x="3" s="1"/>
        <i x="7" s="1"/>
        <i x="5" s="1"/>
        <i x="0" s="1" nd="1"/>
        <i x="1" s="1" nd="1"/>
        <i x="2" s="1" nd="1"/>
        <i x="8" s="1" nd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Caches/slicerCache6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Mois2" xr10:uid="{00000000-0013-0000-FFFF-FFFF04000000}" sourceName="Mois">
  <extLst>
    <x:ext xmlns:x15="http://schemas.microsoft.com/office/spreadsheetml/2010/11/main" uri="{2F2917AC-EB37-4324-AD4E-5DD8C200BD13}">
      <x15:tableSlicerCache tableId="4" column="8"/>
    </x:ext>
    <x:ext xmlns:x15="http://schemas.microsoft.com/office/spreadsheetml/2010/11/main" uri="{470722E0-AACD-4C17-9CDC-17EF765DBC7E}">
      <x15:slicerCacheHideItemsWithNoData/>
    </x:ext>
  </extLst>
</slicerCacheDefinition>
</file>

<file path=xl/slicerCaches/slicerCache7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Année2" xr10:uid="{7661A1C8-E1B8-43FC-89BB-8D7794EDAF5F}" sourceName="Année">
  <extLst>
    <x:ext xmlns:x15="http://schemas.microsoft.com/office/spreadsheetml/2010/11/main" uri="{2F2917AC-EB37-4324-AD4E-5DD8C200BD13}">
      <x15:tableSlicerCache tableId="7" column="9"/>
    </x:ext>
    <x:ext xmlns:x15="http://schemas.microsoft.com/office/spreadsheetml/2010/11/main" uri="{470722E0-AACD-4C17-9CDC-17EF765DBC7E}">
      <x15:slicerCacheHideItemsWithNoData/>
    </x:ext>
  </extLst>
</slicerCacheDefinition>
</file>

<file path=xl/slicerCaches/slicerCache8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Mois1" xr10:uid="{0DDC5531-8EED-4ED5-B2DD-539DC87385CF}" sourceName="Mois">
  <extLst>
    <x:ext xmlns:x15="http://schemas.microsoft.com/office/spreadsheetml/2010/11/main" uri="{2F2917AC-EB37-4324-AD4E-5DD8C200BD13}">
      <x15:tableSlicerCache tableId="7" column="10"/>
    </x:ext>
    <x:ext xmlns:x15="http://schemas.microsoft.com/office/spreadsheetml/2010/11/main" uri="{470722E0-AACD-4C17-9CDC-17EF765DBC7E}">
      <x15:slicerCacheHideItemsWithNoData/>
    </x:ext>
  </extLst>
</slicerCacheDefinition>
</file>

<file path=xl/slicerCaches/slicerCache9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Année3" xr10:uid="{E89A8926-E6E7-4D0A-A156-529349B36F4C}" sourceName="Année">
  <extLst>
    <x:ext xmlns:x15="http://schemas.microsoft.com/office/spreadsheetml/2010/11/main" uri="{2F2917AC-EB37-4324-AD4E-5DD8C200BD13}">
      <x15:tableSlicerCache tableId="4" column="7"/>
    </x:ext>
    <x:ext xmlns:x15="http://schemas.microsoft.com/office/spreadsheetml/2010/11/main" uri="{470722E0-AACD-4C17-9CDC-17EF765DBC7E}">
      <x15:slicerCacheHideItemsWithNoData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Mois 2" xr10:uid="{00000000-0014-0000-FFFF-FFFF01000000}" cache="Segment_Mois2" caption="Mois" rowHeight="241300"/>
  <slicer name="Année 3" xr10:uid="{3EDC0D39-9F17-472D-9321-887FADBDE832}" cache="Segment_Année3" caption="Année" rowHeight="241300"/>
</slicers>
</file>

<file path=xl/slicers/slicer2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Année 4" xr10:uid="{8714B9D4-1B7D-4BCB-97E7-F504F9303172}" cache="Segment_Année4" caption="Année" rowHeight="241300"/>
  <slicer name="Mois 3" xr10:uid="{A480F1CB-5CAA-4099-965A-657FE222A7F1}" cache="Segment_Mois3" caption="Mois" rowHeight="241300"/>
</slicers>
</file>

<file path=xl/slicers/slicer3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Année" xr10:uid="{00000000-0014-0000-FFFF-FFFF02000000}" cache="Segment_Année" caption="Année" rowHeight="241300"/>
  <slicer name="Mois" xr10:uid="{00000000-0014-0000-FFFF-FFFF03000000}" cache="Segment_Mois" caption="Mois" rowHeight="241300"/>
</slicers>
</file>

<file path=xl/slicers/slicer4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Année 2" xr10:uid="{FF10E348-F6DE-4C1C-AEE8-91A418F19B87}" cache="Segment_Année2" caption="Année" rowHeight="241300"/>
  <slicer name="Mois 1" xr10:uid="{CB0CC0FB-C784-46F5-B372-8711C71B6B38}" cache="Segment_Mois1" caption="Mois" rowHeight="241300"/>
</slicers>
</file>

<file path=xl/slicers/slicer5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Année 1" xr10:uid="{5C977839-1B35-4771-BB0F-9457EB53E4A9}" cache="Segment_Année1" caption="Année" rowHeight="24130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0000000}" name="Tab_stock" displayName="Tab_stock" ref="B5:K24" totalsRowShown="0" headerRowDxfId="44" dataDxfId="43" dataCellStyle="Monétaire">
  <autoFilter ref="B5:K24" xr:uid="{00000000-0009-0000-0100-000003000000}"/>
  <tableColumns count="10">
    <tableColumn id="1" xr3:uid="{00000000-0010-0000-0000-000001000000}" name="Ref">
      <calculatedColumnFormula>ROW(B6)-5</calculatedColumnFormula>
    </tableColumn>
    <tableColumn id="2" xr3:uid="{00000000-0010-0000-0000-000002000000}" name="Boissons"/>
    <tableColumn id="3" xr3:uid="{00000000-0010-0000-0000-000003000000}" name="Stock Min"/>
    <tableColumn id="4" xr3:uid="{00000000-0010-0000-0000-000004000000}" name="Stock Réel" dataDxfId="42">
      <calculatedColumnFormula>SUMIFS(Tab_mouv[Quantité],Tab_mouv[Boissons],Tab_stock[[#This Row],[Boissons]],Tab_mouv[Type],"Entrée")-SUMIFS(Tab_mouv[Quantité],Tab_mouv[Boissons],Tab_stock[[#This Row],[Boissons]],Tab_mouv[Type],"Sortie")+SUMIFS(Tab_mouv[Quantité],Tab_mouv[Boissons],Tab_stock[[#This Row],[Boissons]],Tab_mouv[Type],"Mise à Jour")</calculatedColumnFormula>
    </tableColumn>
    <tableColumn id="5" xr3:uid="{00000000-0010-0000-0000-000005000000}" name="Prix Achat" dataDxfId="41" dataCellStyle="Monétaire">
      <calculatedColumnFormula>IFERROR(VLOOKUP(C6,TabListeProduits[],2,0),"")</calculatedColumnFormula>
    </tableColumn>
    <tableColumn id="6" xr3:uid="{00000000-0010-0000-0000-000006000000}" name="Prix Vente" dataDxfId="40" dataCellStyle="Monétaire">
      <calculatedColumnFormula>IFERROR(VLOOKUP(C6,TabListeProduits[],3,0),"")</calculatedColumnFormula>
    </tableColumn>
    <tableColumn id="7" xr3:uid="{00000000-0010-0000-0000-000007000000}" name="Valeur Stock Achat" dataDxfId="39" dataCellStyle="Monétaire">
      <calculatedColumnFormula>E6*F6</calculatedColumnFormula>
    </tableColumn>
    <tableColumn id="8" xr3:uid="{00000000-0010-0000-0000-000008000000}" name="Valeur Stock Vente" dataDxfId="38" dataCellStyle="Monétaire">
      <calculatedColumnFormula>E6*G6</calculatedColumnFormula>
    </tableColumn>
    <tableColumn id="9" xr3:uid="{00000000-0010-0000-0000-000009000000}" name="Bénefice" dataDxfId="37" dataCellStyle="Monétaire">
      <calculatedColumnFormula>I6-H6</calculatedColumnFormula>
    </tableColumn>
    <tableColumn id="10" xr3:uid="{00000000-0010-0000-0000-00000A000000}" name="Alerte" dataDxfId="36">
      <calculatedColumnFormula>IF(Tab_stock[[#This Row],[Stock Réel]]&lt;Tab_stock[[#This Row],[Stock Min]],1,"")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1000000}" name="Tab_mouv" displayName="Tab_mouv" ref="B5:I92" totalsRowShown="0" headerRowDxfId="35" dataDxfId="34">
  <autoFilter ref="B5:I92" xr:uid="{00000000-0009-0000-0100-000004000000}">
    <filterColumn colId="6">
      <filters>
        <filter val="2021"/>
      </filters>
    </filterColumn>
  </autoFilter>
  <tableColumns count="8">
    <tableColumn id="1" xr3:uid="{00000000-0010-0000-0100-000001000000}" name="Date" dataDxfId="33"/>
    <tableColumn id="2" xr3:uid="{00000000-0010-0000-0100-000002000000}" name="Type" dataDxfId="32"/>
    <tableColumn id="3" xr3:uid="{00000000-0010-0000-0100-000003000000}" name="Boissons" dataDxfId="31"/>
    <tableColumn id="4" xr3:uid="{00000000-0010-0000-0100-000004000000}" name="Quantité" dataDxfId="30"/>
    <tableColumn id="5" xr3:uid="{00000000-0010-0000-0100-000005000000}" name="Classement Sortie" dataDxfId="29">
      <calculatedColumnFormula>IF(Tab_mouv[[#This Row],[Type]]="Sortie",COUNTIFS(Tab_mouv[Type],"Sortie",Tab_mouv[Quantité],"&gt;"&amp;Tab_mouv[[#This Row],[Quantité]])+1,"")</calculatedColumnFormula>
    </tableColumn>
    <tableColumn id="6" xr3:uid="{00000000-0010-0000-0100-000006000000}" name="Classement Entrée" dataDxfId="28">
      <calculatedColumnFormula>IF(Tab_mouv[[#This Row],[Type]]="Entrée",COUNTIFS(Tab_mouv[Type],"Entrée",Tab_mouv[Quantité],"&gt;"&amp;Tab_mouv[[#This Row],[Quantité]])+1,"")</calculatedColumnFormula>
    </tableColumn>
    <tableColumn id="7" xr3:uid="{00000000-0010-0000-0100-000007000000}" name="Année" dataDxfId="27">
      <calculatedColumnFormula>IFERROR(YEAR(Tab_mouv[[#This Row],[Date]]),"")</calculatedColumnFormula>
    </tableColumn>
    <tableColumn id="8" xr3:uid="{00000000-0010-0000-0100-000008000000}" name="Mois" dataDxfId="26">
      <calculatedColumnFormula>TEXT(Tab_mouv[[#This Row],[Date]],"mmmm")</calculatedColumnFormula>
    </tableColumn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2000000}" name="TabListeProduits" displayName="TabListeProduits" ref="A3:C23" totalsRowShown="0" headerRowDxfId="22">
  <autoFilter ref="A3:C23" xr:uid="{00000000-0009-0000-0100-000001000000}"/>
  <tableColumns count="3">
    <tableColumn id="1" xr3:uid="{00000000-0010-0000-0200-000001000000}" name="Produit"/>
    <tableColumn id="2" xr3:uid="{00000000-0010-0000-0200-000002000000}" name="Prix TTC" dataDxfId="21" dataCellStyle="Monétaire"/>
    <tableColumn id="3" xr3:uid="{00000000-0010-0000-0200-000003000000}" name="Prix Vente" dataDxfId="20" dataCellStyle="Monétaire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3000000}" name="Tab_Equipes" displayName="Tab_Equipes" ref="E3:E16" totalsRowShown="0" headerRowDxfId="19">
  <autoFilter ref="E3:E16" xr:uid="{00000000-0009-0000-0100-000002000000}"/>
  <sortState xmlns:xlrd2="http://schemas.microsoft.com/office/spreadsheetml/2017/richdata2" ref="E2:E14">
    <sortCondition ref="E2"/>
  </sortState>
  <tableColumns count="1">
    <tableColumn id="1" xr3:uid="{00000000-0010-0000-0300-000001000000}" name="Equipe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04000000}" name="Tableau5" displayName="Tableau5" ref="G3:G7" totalsRowShown="0">
  <autoFilter ref="G3:G7" xr:uid="{00000000-0009-0000-0100-000005000000}"/>
  <tableColumns count="1">
    <tableColumn id="1" xr3:uid="{00000000-0010-0000-0400-000001000000}" name="Mouvement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00000000-000C-0000-FFFF-FFFF05000000}" name="TabListemouv" displayName="TabListemouv" ref="B5:N127" totalsRowShown="0" headerRowDxfId="16">
  <autoFilter ref="B5:N127" xr:uid="{00000000-0009-0000-0100-000007000000}">
    <filterColumn colId="8">
      <filters>
        <filter val="2021"/>
      </filters>
    </filterColumn>
    <filterColumn colId="9">
      <filters>
        <filter val="juillet"/>
      </filters>
    </filterColumn>
  </autoFilter>
  <tableColumns count="13">
    <tableColumn id="8" xr3:uid="{00000000-0010-0000-0500-000008000000}" name="Date"/>
    <tableColumn id="1" xr3:uid="{00000000-0010-0000-0500-000001000000}" name="Produit"/>
    <tableColumn id="2" xr3:uid="{00000000-0010-0000-0500-000002000000}" name="Prix TTC" dataDxfId="15" dataCellStyle="Monétaire">
      <calculatedColumnFormula>IFERROR(VLOOKUP(TabListemouv[[#This Row],[Produit]],TabListeProduits[],2,0),"")</calculatedColumnFormula>
    </tableColumn>
    <tableColumn id="3" xr3:uid="{00000000-0010-0000-0500-000003000000}" name="Prix Vente" dataDxfId="14" dataCellStyle="Monétaire">
      <calculatedColumnFormula>IFERROR(VLOOKUP(TabListemouv[[#This Row],[Produit]],TabListeProduits[],3,0),"")</calculatedColumnFormula>
    </tableColumn>
    <tableColumn id="4" xr3:uid="{00000000-0010-0000-0500-000004000000}" name="Début" dataDxfId="13"/>
    <tableColumn id="5" xr3:uid="{00000000-0010-0000-0500-000005000000}" name="Fin" dataDxfId="12"/>
    <tableColumn id="6" xr3:uid="{00000000-0010-0000-0500-000006000000}" name="Sortie" dataDxfId="11"/>
    <tableColumn id="7" xr3:uid="{00000000-0010-0000-0500-000007000000}" name="Conso" dataDxfId="10">
      <calculatedColumnFormula>IFERROR(TabListemouv[[#This Row],[Début]]-TabListemouv[[#This Row],[Fin]]+TabListemouv[[#This Row],[Sortie]],"")</calculatedColumnFormula>
    </tableColumn>
    <tableColumn id="9" xr3:uid="{00000000-0010-0000-0500-000009000000}" name="Année" dataDxfId="9">
      <calculatedColumnFormula>IFERROR(YEAR(TabListemouv[[#This Row],[Date]]),"")</calculatedColumnFormula>
    </tableColumn>
    <tableColumn id="10" xr3:uid="{00000000-0010-0000-0500-00000A000000}" name="Mois" dataDxfId="8">
      <calculatedColumnFormula>IFERROR(TEXT(TabListemouv[[#This Row],[Date]],"mmmm"),"")</calculatedColumnFormula>
    </tableColumn>
    <tableColumn id="11" xr3:uid="{00000000-0010-0000-0500-00000B000000}" name="Total Achat" dataDxfId="7" dataCellStyle="Monétaire">
      <calculatedColumnFormula>TabListemouv[[#This Row],[Prix TTC]]*TabListemouv[[#This Row],[Conso]]</calculatedColumnFormula>
    </tableColumn>
    <tableColumn id="12" xr3:uid="{00000000-0010-0000-0500-00000C000000}" name="Total Vente" dataDxfId="6" dataCellStyle="Monétaire">
      <calculatedColumnFormula>TabListemouv[[#This Row],[Prix Vente]]*TabListemouv[[#This Row],[Conso]]</calculatedColumnFormula>
    </tableColumn>
    <tableColumn id="13" xr3:uid="{00000000-0010-0000-0500-00000D000000}" name="Bénéfice" dataDxfId="5">
      <calculatedColumnFormula>TabListemouv[[#This Row],[Total Vente]]-TabListemouv[[#This Row],[Total Achat]]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table" Target="../tables/table1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6.emf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5.emf"/><Relationship Id="rId4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7" Type="http://schemas.microsoft.com/office/2007/relationships/slicer" Target="../slicers/slicer1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2.xml"/><Relationship Id="rId5" Type="http://schemas.openxmlformats.org/officeDocument/2006/relationships/image" Target="../media/image7.emf"/><Relationship Id="rId4" Type="http://schemas.openxmlformats.org/officeDocument/2006/relationships/control" Target="../activeX/activeX3.xml"/></Relationships>
</file>

<file path=xl/worksheets/_rels/sheet4.xml.rels><?xml version="1.0" encoding="UTF-8" standalone="yes"?>
<Relationships xmlns="http://schemas.openxmlformats.org/package/2006/relationships"><Relationship Id="rId3" Type="http://schemas.microsoft.com/office/2007/relationships/slicer" Target="../slicers/slicer2.xml"/><Relationship Id="rId2" Type="http://schemas.openxmlformats.org/officeDocument/2006/relationships/drawing" Target="../drawings/drawing4.xml"/><Relationship Id="rId1" Type="http://schemas.openxmlformats.org/officeDocument/2006/relationships/pivotTable" Target="../pivotTables/pivotTable1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drawing" Target="../drawings/drawing5.xml"/><Relationship Id="rId4" Type="http://schemas.openxmlformats.org/officeDocument/2006/relationships/table" Target="../tables/table5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6.xml"/><Relationship Id="rId2" Type="http://schemas.openxmlformats.org/officeDocument/2006/relationships/printerSettings" Target="../printerSettings/printerSettings3.bin"/><Relationship Id="rId1" Type="http://schemas.openxmlformats.org/officeDocument/2006/relationships/pivotTable" Target="../pivotTables/pivotTable2.xml"/><Relationship Id="rId4" Type="http://schemas.microsoft.com/office/2007/relationships/slicer" Target="../slicers/slicer3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4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7.xml"/><Relationship Id="rId6" Type="http://schemas.microsoft.com/office/2007/relationships/slicer" Target="../slicers/slicer4.xml"/><Relationship Id="rId5" Type="http://schemas.openxmlformats.org/officeDocument/2006/relationships/table" Target="../tables/table6.xml"/><Relationship Id="rId4" Type="http://schemas.openxmlformats.org/officeDocument/2006/relationships/image" Target="../media/image8.emf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8.xml"/><Relationship Id="rId2" Type="http://schemas.openxmlformats.org/officeDocument/2006/relationships/printerSettings" Target="../printerSettings/printerSettings4.bin"/><Relationship Id="rId1" Type="http://schemas.openxmlformats.org/officeDocument/2006/relationships/pivotTable" Target="../pivotTables/pivotTable3.xml"/><Relationship Id="rId4" Type="http://schemas.microsoft.com/office/2007/relationships/slicer" Target="../slicers/slicer5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9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"/>
  <sheetViews>
    <sheetView showGridLines="0" workbookViewId="0">
      <selection sqref="A1:XFD1"/>
    </sheetView>
  </sheetViews>
  <sheetFormatPr baseColWidth="10" defaultRowHeight="15" x14ac:dyDescent="0.25"/>
  <sheetData>
    <row r="1" ht="30" customHeight="1" x14ac:dyDescent="0.25"/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B1:K24"/>
  <sheetViews>
    <sheetView showGridLines="0" workbookViewId="0">
      <selection activeCell="E6" sqref="E6"/>
    </sheetView>
  </sheetViews>
  <sheetFormatPr baseColWidth="10" defaultRowHeight="15" x14ac:dyDescent="0.25"/>
  <cols>
    <col min="3" max="3" width="13.7109375" bestFit="1" customWidth="1"/>
    <col min="4" max="4" width="11.85546875" customWidth="1"/>
    <col min="5" max="5" width="12.28515625" customWidth="1"/>
    <col min="6" max="6" width="12" customWidth="1"/>
    <col min="7" max="7" width="12.42578125" customWidth="1"/>
    <col min="8" max="8" width="19.5703125" customWidth="1"/>
    <col min="9" max="9" width="20" customWidth="1"/>
    <col min="10" max="10" width="13.42578125" bestFit="1" customWidth="1"/>
  </cols>
  <sheetData>
    <row r="1" spans="2:11" ht="30" customHeight="1" x14ac:dyDescent="0.25"/>
    <row r="5" spans="2:11" x14ac:dyDescent="0.25">
      <c r="B5" s="3" t="s">
        <v>36</v>
      </c>
      <c r="C5" s="3" t="s">
        <v>37</v>
      </c>
      <c r="D5" s="3" t="s">
        <v>39</v>
      </c>
      <c r="E5" s="3" t="s">
        <v>38</v>
      </c>
      <c r="F5" s="3" t="s">
        <v>40</v>
      </c>
      <c r="G5" s="3" t="s">
        <v>2</v>
      </c>
      <c r="H5" s="3" t="s">
        <v>41</v>
      </c>
      <c r="I5" s="3" t="s">
        <v>42</v>
      </c>
      <c r="J5" s="3" t="s">
        <v>43</v>
      </c>
      <c r="K5" s="3" t="s">
        <v>44</v>
      </c>
    </row>
    <row r="6" spans="2:11" x14ac:dyDescent="0.25">
      <c r="B6">
        <f t="shared" ref="B6:B24" si="0">ROW(B6)-5</f>
        <v>1</v>
      </c>
      <c r="C6" t="s">
        <v>10</v>
      </c>
      <c r="D6">
        <v>15</v>
      </c>
      <c r="E6" s="22">
        <f>SUMIFS(Tab_mouv[Quantité],Tab_mouv[Boissons],Tab_stock[[#This Row],[Boissons]],Tab_mouv[Type],"Entrée")-SUMIFS(Tab_mouv[Quantité],Tab_mouv[Boissons],Tab_stock[[#This Row],[Boissons]],Tab_mouv[Type],"Sortie")+SUMIFS(Tab_mouv[Quantité],Tab_mouv[Boissons],Tab_stock[[#This Row],[Boissons]],Tab_mouv[Type],"Mise à Jour")</f>
        <v>188</v>
      </c>
      <c r="F6" s="2">
        <f>IFERROR(VLOOKUP(C6,TabListeProduits[],2,0),"")</f>
        <v>2.25</v>
      </c>
      <c r="G6" s="2">
        <f>IFERROR(VLOOKUP(C6,TabListeProduits[],3,0),"")</f>
        <v>3</v>
      </c>
      <c r="H6" s="2">
        <f t="shared" ref="H6:H24" si="1">E6*F6</f>
        <v>423</v>
      </c>
      <c r="I6" s="2">
        <f t="shared" ref="I6:I24" si="2">E6*G6</f>
        <v>564</v>
      </c>
      <c r="J6" s="2">
        <f t="shared" ref="J6:J24" si="3">I6-H6</f>
        <v>141</v>
      </c>
      <c r="K6" s="4" t="str">
        <f>IF(Tab_stock[[#This Row],[Stock Réel]]&lt;Tab_stock[[#This Row],[Stock Min]],1,"")</f>
        <v/>
      </c>
    </row>
    <row r="7" spans="2:11" x14ac:dyDescent="0.25">
      <c r="B7">
        <f t="shared" si="0"/>
        <v>2</v>
      </c>
      <c r="C7" t="s">
        <v>12</v>
      </c>
      <c r="D7">
        <v>15</v>
      </c>
      <c r="E7" s="22">
        <f>SUMIFS(Tab_mouv[Quantité],Tab_mouv[Boissons],Tab_stock[[#This Row],[Boissons]],Tab_mouv[Type],"Entrée")-SUMIFS(Tab_mouv[Quantité],Tab_mouv[Boissons],Tab_stock[[#This Row],[Boissons]],Tab_mouv[Type],"Sortie")+SUMIFS(Tab_mouv[Quantité],Tab_mouv[Boissons],Tab_stock[[#This Row],[Boissons]],Tab_mouv[Type],"Mise à Jour")</f>
        <v>728</v>
      </c>
      <c r="F7" s="5">
        <f>IFERROR(VLOOKUP(C7,TabListeProduits[],2,0),"")</f>
        <v>1.6</v>
      </c>
      <c r="G7" s="5">
        <f>IFERROR(VLOOKUP(C7,TabListeProduits[],3,0),"")</f>
        <v>3</v>
      </c>
      <c r="H7" s="5">
        <f t="shared" si="1"/>
        <v>1164.8</v>
      </c>
      <c r="I7" s="5">
        <f t="shared" si="2"/>
        <v>2184</v>
      </c>
      <c r="J7" s="5">
        <f t="shared" si="3"/>
        <v>1019.2</v>
      </c>
      <c r="K7" s="4" t="str">
        <f>IF(Tab_stock[[#This Row],[Stock Réel]]&lt;Tab_stock[[#This Row],[Stock Min]],1,"")</f>
        <v/>
      </c>
    </row>
    <row r="8" spans="2:11" x14ac:dyDescent="0.25">
      <c r="B8">
        <f t="shared" si="0"/>
        <v>3</v>
      </c>
      <c r="C8" t="s">
        <v>8</v>
      </c>
      <c r="D8">
        <v>15</v>
      </c>
      <c r="E8" s="22">
        <f>SUMIFS(Tab_mouv[Quantité],Tab_mouv[Boissons],Tab_stock[[#This Row],[Boissons]],Tab_mouv[Type],"Entrée")-SUMIFS(Tab_mouv[Quantité],Tab_mouv[Boissons],Tab_stock[[#This Row],[Boissons]],Tab_mouv[Type],"Sortie")+SUMIFS(Tab_mouv[Quantité],Tab_mouv[Boissons],Tab_stock[[#This Row],[Boissons]],Tab_mouv[Type],"Mise à Jour")</f>
        <v>627</v>
      </c>
      <c r="F8" s="5">
        <f>IFERROR(VLOOKUP(C8,TabListeProduits[],2,0),"")</f>
        <v>1.98</v>
      </c>
      <c r="G8" s="5">
        <f>IFERROR(VLOOKUP(C8,TabListeProduits[],3,0),"")</f>
        <v>3</v>
      </c>
      <c r="H8" s="5">
        <f t="shared" si="1"/>
        <v>1241.46</v>
      </c>
      <c r="I8" s="5">
        <f t="shared" si="2"/>
        <v>1881</v>
      </c>
      <c r="J8" s="5">
        <f t="shared" si="3"/>
        <v>639.54</v>
      </c>
      <c r="K8" s="4" t="str">
        <f>IF(Tab_stock[[#This Row],[Stock Réel]]&lt;Tab_stock[[#This Row],[Stock Min]],1,"")</f>
        <v/>
      </c>
    </row>
    <row r="9" spans="2:11" x14ac:dyDescent="0.25">
      <c r="B9">
        <f t="shared" si="0"/>
        <v>4</v>
      </c>
      <c r="C9" t="s">
        <v>4</v>
      </c>
      <c r="D9">
        <v>15</v>
      </c>
      <c r="E9" s="22">
        <f>SUMIFS(Tab_mouv[Quantité],Tab_mouv[Boissons],Tab_stock[[#This Row],[Boissons]],Tab_mouv[Type],"Entrée")-SUMIFS(Tab_mouv[Quantité],Tab_mouv[Boissons],Tab_stock[[#This Row],[Boissons]],Tab_mouv[Type],"Sortie")+SUMIFS(Tab_mouv[Quantité],Tab_mouv[Boissons],Tab_stock[[#This Row],[Boissons]],Tab_mouv[Type],"Mise à Jour")</f>
        <v>97</v>
      </c>
      <c r="F9" s="2">
        <f>IFERROR(VLOOKUP(C9,TabListeProduits[],2,0),"")</f>
        <v>1.98</v>
      </c>
      <c r="G9" s="2">
        <f>IFERROR(VLOOKUP(C9,TabListeProduits[],3,0),"")</f>
        <v>3</v>
      </c>
      <c r="H9" s="2">
        <f t="shared" si="1"/>
        <v>192.06</v>
      </c>
      <c r="I9" s="2">
        <f t="shared" si="2"/>
        <v>291</v>
      </c>
      <c r="J9" s="2">
        <f t="shared" si="3"/>
        <v>98.94</v>
      </c>
      <c r="K9" s="4" t="str">
        <f>IF(Tab_stock[[#This Row],[Stock Réel]]&lt;Tab_stock[[#This Row],[Stock Min]],1,"")</f>
        <v/>
      </c>
    </row>
    <row r="10" spans="2:11" x14ac:dyDescent="0.25">
      <c r="B10">
        <f t="shared" si="0"/>
        <v>5</v>
      </c>
      <c r="C10" t="s">
        <v>14</v>
      </c>
      <c r="D10">
        <v>12</v>
      </c>
      <c r="E10" s="22">
        <f>SUMIFS(Tab_mouv[Quantité],Tab_mouv[Boissons],Tab_stock[[#This Row],[Boissons]],Tab_mouv[Type],"Entrée")-SUMIFS(Tab_mouv[Quantité],Tab_mouv[Boissons],Tab_stock[[#This Row],[Boissons]],Tab_mouv[Type],"Sortie")+SUMIFS(Tab_mouv[Quantité],Tab_mouv[Boissons],Tab_stock[[#This Row],[Boissons]],Tab_mouv[Type],"Mise à Jour")</f>
        <v>468</v>
      </c>
      <c r="F10" s="2">
        <f>IFERROR(VLOOKUP(C10,TabListeProduits[],2,0),"")</f>
        <v>0.42</v>
      </c>
      <c r="G10" s="2">
        <f>IFERROR(VLOOKUP(C10,TabListeProduits[],3,0),"")</f>
        <v>1.5</v>
      </c>
      <c r="H10" s="2">
        <f t="shared" si="1"/>
        <v>196.56</v>
      </c>
      <c r="I10" s="2">
        <f t="shared" si="2"/>
        <v>702</v>
      </c>
      <c r="J10" s="2">
        <f t="shared" si="3"/>
        <v>505.44</v>
      </c>
      <c r="K10" s="4" t="str">
        <f>IF(Tab_stock[[#This Row],[Stock Réel]]&lt;Tab_stock[[#This Row],[Stock Min]],1,"")</f>
        <v/>
      </c>
    </row>
    <row r="11" spans="2:11" x14ac:dyDescent="0.25">
      <c r="B11">
        <f t="shared" si="0"/>
        <v>6</v>
      </c>
      <c r="C11" t="s">
        <v>16</v>
      </c>
      <c r="D11">
        <v>15</v>
      </c>
      <c r="E11" s="22">
        <f>SUMIFS(Tab_mouv[Quantité],Tab_mouv[Boissons],Tab_stock[[#This Row],[Boissons]],Tab_mouv[Type],"Entrée")-SUMIFS(Tab_mouv[Quantité],Tab_mouv[Boissons],Tab_stock[[#This Row],[Boissons]],Tab_mouv[Type],"Sortie")+SUMIFS(Tab_mouv[Quantité],Tab_mouv[Boissons],Tab_stock[[#This Row],[Boissons]],Tab_mouv[Type],"Mise à Jour")</f>
        <v>30</v>
      </c>
      <c r="F11" s="2">
        <f>IFERROR(VLOOKUP(C11,TabListeProduits[],2,0),"")</f>
        <v>0.3</v>
      </c>
      <c r="G11" s="2">
        <f>IFERROR(VLOOKUP(C11,TabListeProduits[],3,0),"")</f>
        <v>1.5</v>
      </c>
      <c r="H11" s="2">
        <f t="shared" si="1"/>
        <v>9</v>
      </c>
      <c r="I11" s="2">
        <f t="shared" si="2"/>
        <v>45</v>
      </c>
      <c r="J11" s="2">
        <f t="shared" si="3"/>
        <v>36</v>
      </c>
      <c r="K11" s="4" t="str">
        <f>IF(Tab_stock[[#This Row],[Stock Réel]]&lt;Tab_stock[[#This Row],[Stock Min]],1,"")</f>
        <v/>
      </c>
    </row>
    <row r="12" spans="2:11" x14ac:dyDescent="0.25">
      <c r="B12">
        <f t="shared" si="0"/>
        <v>7</v>
      </c>
      <c r="C12" t="s">
        <v>18</v>
      </c>
      <c r="D12">
        <v>15</v>
      </c>
      <c r="E12" s="22">
        <f>SUMIFS(Tab_mouv[Quantité],Tab_mouv[Boissons],Tab_stock[[#This Row],[Boissons]],Tab_mouv[Type],"Entrée")-SUMIFS(Tab_mouv[Quantité],Tab_mouv[Boissons],Tab_stock[[#This Row],[Boissons]],Tab_mouv[Type],"Sortie")+SUMIFS(Tab_mouv[Quantité],Tab_mouv[Boissons],Tab_stock[[#This Row],[Boissons]],Tab_mouv[Type],"Mise à Jour")</f>
        <v>24</v>
      </c>
      <c r="F12" s="2">
        <f>IFERROR(VLOOKUP(C12,TabListeProduits[],2,0),"")</f>
        <v>0.53</v>
      </c>
      <c r="G12" s="2">
        <f>IFERROR(VLOOKUP(C12,TabListeProduits[],3,0),"")</f>
        <v>1.5</v>
      </c>
      <c r="H12" s="2">
        <f t="shared" si="1"/>
        <v>12.72</v>
      </c>
      <c r="I12" s="2">
        <f t="shared" si="2"/>
        <v>36</v>
      </c>
      <c r="J12" s="2">
        <f t="shared" si="3"/>
        <v>23.28</v>
      </c>
      <c r="K12" s="4" t="str">
        <f>IF(Tab_stock[[#This Row],[Stock Réel]]&lt;Tab_stock[[#This Row],[Stock Min]],1,"")</f>
        <v/>
      </c>
    </row>
    <row r="13" spans="2:11" x14ac:dyDescent="0.25">
      <c r="B13">
        <f t="shared" si="0"/>
        <v>8</v>
      </c>
      <c r="C13" t="s">
        <v>20</v>
      </c>
      <c r="D13">
        <v>15</v>
      </c>
      <c r="E13" s="22">
        <f>SUMIFS(Tab_mouv[Quantité],Tab_mouv[Boissons],Tab_stock[[#This Row],[Boissons]],Tab_mouv[Type],"Entrée")-SUMIFS(Tab_mouv[Quantité],Tab_mouv[Boissons],Tab_stock[[#This Row],[Boissons]],Tab_mouv[Type],"Sortie")+SUMIFS(Tab_mouv[Quantité],Tab_mouv[Boissons],Tab_stock[[#This Row],[Boissons]],Tab_mouv[Type],"Mise à Jour")</f>
        <v>36</v>
      </c>
      <c r="F13" s="2">
        <f>IFERROR(VLOOKUP(C13,TabListeProduits[],2,0),"")</f>
        <v>0.36</v>
      </c>
      <c r="G13" s="2">
        <f>IFERROR(VLOOKUP(C13,TabListeProduits[],3,0),"")</f>
        <v>1.5</v>
      </c>
      <c r="H13" s="2">
        <f t="shared" si="1"/>
        <v>12.959999999999999</v>
      </c>
      <c r="I13" s="2">
        <f t="shared" si="2"/>
        <v>54</v>
      </c>
      <c r="J13" s="2">
        <f t="shared" si="3"/>
        <v>41.04</v>
      </c>
      <c r="K13" s="4" t="str">
        <f>IF(Tab_stock[[#This Row],[Stock Réel]]&lt;Tab_stock[[#This Row],[Stock Min]],1,"")</f>
        <v/>
      </c>
    </row>
    <row r="14" spans="2:11" x14ac:dyDescent="0.25">
      <c r="B14">
        <f t="shared" si="0"/>
        <v>9</v>
      </c>
      <c r="C14" t="s">
        <v>22</v>
      </c>
      <c r="D14">
        <v>6</v>
      </c>
      <c r="E14" s="22">
        <f>SUMIFS(Tab_mouv[Quantité],Tab_mouv[Boissons],Tab_stock[[#This Row],[Boissons]],Tab_mouv[Type],"Entrée")-SUMIFS(Tab_mouv[Quantité],Tab_mouv[Boissons],Tab_stock[[#This Row],[Boissons]],Tab_mouv[Type],"Sortie")+SUMIFS(Tab_mouv[Quantité],Tab_mouv[Boissons],Tab_stock[[#This Row],[Boissons]],Tab_mouv[Type],"Mise à Jour")</f>
        <v>30</v>
      </c>
      <c r="F14" s="2">
        <f>IFERROR(VLOOKUP(C14,TabListeProduits[],2,0),"")</f>
        <v>0.13</v>
      </c>
      <c r="G14" s="2">
        <f>IFERROR(VLOOKUP(C14,TabListeProduits[],3,0),"")</f>
        <v>0.6</v>
      </c>
      <c r="H14" s="2">
        <f t="shared" si="1"/>
        <v>3.9000000000000004</v>
      </c>
      <c r="I14" s="2">
        <f t="shared" si="2"/>
        <v>18</v>
      </c>
      <c r="J14" s="2">
        <f t="shared" si="3"/>
        <v>14.1</v>
      </c>
      <c r="K14" s="4" t="str">
        <f>IF(Tab_stock[[#This Row],[Stock Réel]]&lt;Tab_stock[[#This Row],[Stock Min]],1,"")</f>
        <v/>
      </c>
    </row>
    <row r="15" spans="2:11" x14ac:dyDescent="0.25">
      <c r="B15">
        <f t="shared" si="0"/>
        <v>10</v>
      </c>
      <c r="C15" t="s">
        <v>6</v>
      </c>
      <c r="D15">
        <v>15</v>
      </c>
      <c r="E15" s="22">
        <f>SUMIFS(Tab_mouv[Quantité],Tab_mouv[Boissons],Tab_stock[[#This Row],[Boissons]],Tab_mouv[Type],"Entrée")-SUMIFS(Tab_mouv[Quantité],Tab_mouv[Boissons],Tab_stock[[#This Row],[Boissons]],Tab_mouv[Type],"Sortie")+SUMIFS(Tab_mouv[Quantité],Tab_mouv[Boissons],Tab_stock[[#This Row],[Boissons]],Tab_mouv[Type],"Mise à Jour")</f>
        <v>5</v>
      </c>
      <c r="F15" s="2">
        <f>IFERROR(VLOOKUP(C15,TabListeProduits[],2,0),"")</f>
        <v>3</v>
      </c>
      <c r="G15" s="2">
        <f>IFERROR(VLOOKUP(C15,TabListeProduits[],3,0),"")</f>
        <v>3</v>
      </c>
      <c r="H15" s="2">
        <f t="shared" si="1"/>
        <v>15</v>
      </c>
      <c r="I15" s="2">
        <f t="shared" si="2"/>
        <v>15</v>
      </c>
      <c r="J15" s="2">
        <f t="shared" si="3"/>
        <v>0</v>
      </c>
      <c r="K15" s="4">
        <f>IF(Tab_stock[[#This Row],[Stock Réel]]&lt;Tab_stock[[#This Row],[Stock Min]],1,"")</f>
        <v>1</v>
      </c>
    </row>
    <row r="16" spans="2:11" x14ac:dyDescent="0.25">
      <c r="B16">
        <f t="shared" si="0"/>
        <v>11</v>
      </c>
      <c r="C16" t="s">
        <v>25</v>
      </c>
      <c r="D16">
        <v>6</v>
      </c>
      <c r="E16" s="22">
        <f>SUMIFS(Tab_mouv[Quantité],Tab_mouv[Boissons],Tab_stock[[#This Row],[Boissons]],Tab_mouv[Type],"Entrée")-SUMIFS(Tab_mouv[Quantité],Tab_mouv[Boissons],Tab_stock[[#This Row],[Boissons]],Tab_mouv[Type],"Sortie")+SUMIFS(Tab_mouv[Quantité],Tab_mouv[Boissons],Tab_stock[[#This Row],[Boissons]],Tab_mouv[Type],"Mise à Jour")</f>
        <v>36</v>
      </c>
      <c r="F16" s="2">
        <f>IFERROR(VLOOKUP(C16,TabListeProduits[],2,0),"")</f>
        <v>8.34</v>
      </c>
      <c r="G16" s="2">
        <f>IFERROR(VLOOKUP(C16,TabListeProduits[],3,0),"")</f>
        <v>9</v>
      </c>
      <c r="H16" s="2">
        <f t="shared" si="1"/>
        <v>300.24</v>
      </c>
      <c r="I16" s="2">
        <f t="shared" si="2"/>
        <v>324</v>
      </c>
      <c r="J16" s="2">
        <f t="shared" si="3"/>
        <v>23.759999999999991</v>
      </c>
      <c r="K16" s="4" t="str">
        <f>IF(Tab_stock[[#This Row],[Stock Réel]]&lt;Tab_stock[[#This Row],[Stock Min]],1,"")</f>
        <v/>
      </c>
    </row>
    <row r="17" spans="2:11" x14ac:dyDescent="0.25">
      <c r="B17">
        <f t="shared" si="0"/>
        <v>12</v>
      </c>
      <c r="C17" t="s">
        <v>27</v>
      </c>
      <c r="D17">
        <v>6</v>
      </c>
      <c r="E17" s="22">
        <f>SUMIFS(Tab_mouv[Quantité],Tab_mouv[Boissons],Tab_stock[[#This Row],[Boissons]],Tab_mouv[Type],"Entrée")-SUMIFS(Tab_mouv[Quantité],Tab_mouv[Boissons],Tab_stock[[#This Row],[Boissons]],Tab_mouv[Type],"Sortie")+SUMIFS(Tab_mouv[Quantité],Tab_mouv[Boissons],Tab_stock[[#This Row],[Boissons]],Tab_mouv[Type],"Mise à Jour")</f>
        <v>36</v>
      </c>
      <c r="F17" s="2">
        <f>IFERROR(VLOOKUP(C17,TabListeProduits[],2,0),"")</f>
        <v>0.5</v>
      </c>
      <c r="G17" s="2">
        <f>IFERROR(VLOOKUP(C17,TabListeProduits[],3,0),"")</f>
        <v>1.5</v>
      </c>
      <c r="H17" s="2">
        <f t="shared" si="1"/>
        <v>18</v>
      </c>
      <c r="I17" s="2">
        <f t="shared" si="2"/>
        <v>54</v>
      </c>
      <c r="J17" s="2">
        <f t="shared" si="3"/>
        <v>36</v>
      </c>
      <c r="K17" s="4" t="str">
        <f>IF(Tab_stock[[#This Row],[Stock Réel]]&lt;Tab_stock[[#This Row],[Stock Min]],1,"")</f>
        <v/>
      </c>
    </row>
    <row r="18" spans="2:11" x14ac:dyDescent="0.25">
      <c r="B18">
        <f t="shared" si="0"/>
        <v>13</v>
      </c>
      <c r="C18" t="s">
        <v>29</v>
      </c>
      <c r="D18">
        <v>5</v>
      </c>
      <c r="E18" s="22">
        <f>SUMIFS(Tab_mouv[Quantité],Tab_mouv[Boissons],Tab_stock[[#This Row],[Boissons]],Tab_mouv[Type],"Entrée")-SUMIFS(Tab_mouv[Quantité],Tab_mouv[Boissons],Tab_stock[[#This Row],[Boissons]],Tab_mouv[Type],"Sortie")+SUMIFS(Tab_mouv[Quantité],Tab_mouv[Boissons],Tab_stock[[#This Row],[Boissons]],Tab_mouv[Type],"Mise à Jour")</f>
        <v>20</v>
      </c>
      <c r="F18" s="2">
        <f>IFERROR(VLOOKUP(C18,TabListeProduits[],2,0),"")</f>
        <v>0</v>
      </c>
      <c r="G18" s="2">
        <f>IFERROR(VLOOKUP(C18,TabListeProduits[],3,0),"")</f>
        <v>0.5</v>
      </c>
      <c r="H18" s="2">
        <f t="shared" si="1"/>
        <v>0</v>
      </c>
      <c r="I18" s="2">
        <f t="shared" si="2"/>
        <v>10</v>
      </c>
      <c r="J18" s="2">
        <f t="shared" si="3"/>
        <v>10</v>
      </c>
      <c r="K18" s="4" t="str">
        <f>IF(Tab_stock[[#This Row],[Stock Réel]]&lt;Tab_stock[[#This Row],[Stock Min]],1,"")</f>
        <v/>
      </c>
    </row>
    <row r="19" spans="2:11" x14ac:dyDescent="0.25">
      <c r="B19">
        <f t="shared" si="0"/>
        <v>14</v>
      </c>
      <c r="C19" t="s">
        <v>30</v>
      </c>
      <c r="D19">
        <v>6</v>
      </c>
      <c r="E19" s="22">
        <f>SUMIFS(Tab_mouv[Quantité],Tab_mouv[Boissons],Tab_stock[[#This Row],[Boissons]],Tab_mouv[Type],"Entrée")-SUMIFS(Tab_mouv[Quantité],Tab_mouv[Boissons],Tab_stock[[#This Row],[Boissons]],Tab_mouv[Type],"Sortie")+SUMIFS(Tab_mouv[Quantité],Tab_mouv[Boissons],Tab_stock[[#This Row],[Boissons]],Tab_mouv[Type],"Mise à Jour")</f>
        <v>0</v>
      </c>
      <c r="F19" s="2">
        <f>IFERROR(VLOOKUP(C19,TabListeProduits[],2,0),"")</f>
        <v>0.18</v>
      </c>
      <c r="G19" s="2">
        <f>IFERROR(VLOOKUP(C19,TabListeProduits[],3,0),"")</f>
        <v>1</v>
      </c>
      <c r="H19" s="2">
        <f t="shared" si="1"/>
        <v>0</v>
      </c>
      <c r="I19" s="2">
        <f t="shared" si="2"/>
        <v>0</v>
      </c>
      <c r="J19" s="2">
        <f t="shared" si="3"/>
        <v>0</v>
      </c>
      <c r="K19" s="4">
        <f>IF(Tab_stock[[#This Row],[Stock Réel]]&lt;Tab_stock[[#This Row],[Stock Min]],1,"")</f>
        <v>1</v>
      </c>
    </row>
    <row r="20" spans="2:11" x14ac:dyDescent="0.25">
      <c r="B20">
        <f t="shared" si="0"/>
        <v>15</v>
      </c>
      <c r="C20" t="s">
        <v>31</v>
      </c>
      <c r="D20">
        <v>6</v>
      </c>
      <c r="E20" s="22">
        <f>SUMIFS(Tab_mouv[Quantité],Tab_mouv[Boissons],Tab_stock[[#This Row],[Boissons]],Tab_mouv[Type],"Entrée")-SUMIFS(Tab_mouv[Quantité],Tab_mouv[Boissons],Tab_stock[[#This Row],[Boissons]],Tab_mouv[Type],"Sortie")+SUMIFS(Tab_mouv[Quantité],Tab_mouv[Boissons],Tab_stock[[#This Row],[Boissons]],Tab_mouv[Type],"Mise à Jour")</f>
        <v>0</v>
      </c>
      <c r="F20" s="2">
        <f>IFERROR(VLOOKUP(C20,TabListeProduits[],2,0),"")</f>
        <v>0</v>
      </c>
      <c r="G20" s="2">
        <f>IFERROR(VLOOKUP(C20,TabListeProduits[],3,0),"")</f>
        <v>1.5</v>
      </c>
      <c r="H20" s="2">
        <f t="shared" si="1"/>
        <v>0</v>
      </c>
      <c r="I20" s="2">
        <f t="shared" si="2"/>
        <v>0</v>
      </c>
      <c r="J20" s="2">
        <f t="shared" si="3"/>
        <v>0</v>
      </c>
      <c r="K20" s="4">
        <f>IF(Tab_stock[[#This Row],[Stock Réel]]&lt;Tab_stock[[#This Row],[Stock Min]],1,"")</f>
        <v>1</v>
      </c>
    </row>
    <row r="21" spans="2:11" x14ac:dyDescent="0.25">
      <c r="B21">
        <f t="shared" si="0"/>
        <v>16</v>
      </c>
      <c r="C21" t="s">
        <v>32</v>
      </c>
      <c r="D21">
        <v>6</v>
      </c>
      <c r="E21" s="22">
        <f>SUMIFS(Tab_mouv[Quantité],Tab_mouv[Boissons],Tab_stock[[#This Row],[Boissons]],Tab_mouv[Type],"Entrée")-SUMIFS(Tab_mouv[Quantité],Tab_mouv[Boissons],Tab_stock[[#This Row],[Boissons]],Tab_mouv[Type],"Sortie")+SUMIFS(Tab_mouv[Quantité],Tab_mouv[Boissons],Tab_stock[[#This Row],[Boissons]],Tab_mouv[Type],"Mise à Jour")</f>
        <v>0</v>
      </c>
      <c r="F21" s="2">
        <f>IFERROR(VLOOKUP(C21,TabListeProduits[],2,0),"")</f>
        <v>0.64</v>
      </c>
      <c r="G21" s="2">
        <f>IFERROR(VLOOKUP(C21,TabListeProduits[],3,0),"")</f>
        <v>1.5</v>
      </c>
      <c r="H21" s="2">
        <f t="shared" si="1"/>
        <v>0</v>
      </c>
      <c r="I21" s="2">
        <f t="shared" si="2"/>
        <v>0</v>
      </c>
      <c r="J21" s="2">
        <f t="shared" si="3"/>
        <v>0</v>
      </c>
      <c r="K21" s="4">
        <f>IF(Tab_stock[[#This Row],[Stock Réel]]&lt;Tab_stock[[#This Row],[Stock Min]],1,"")</f>
        <v>1</v>
      </c>
    </row>
    <row r="22" spans="2:11" x14ac:dyDescent="0.25">
      <c r="B22">
        <f t="shared" si="0"/>
        <v>17</v>
      </c>
      <c r="C22" t="s">
        <v>33</v>
      </c>
      <c r="D22">
        <v>6</v>
      </c>
      <c r="E22" s="22">
        <f>SUMIFS(Tab_mouv[Quantité],Tab_mouv[Boissons],Tab_stock[[#This Row],[Boissons]],Tab_mouv[Type],"Entrée")-SUMIFS(Tab_mouv[Quantité],Tab_mouv[Boissons],Tab_stock[[#This Row],[Boissons]],Tab_mouv[Type],"Sortie")+SUMIFS(Tab_mouv[Quantité],Tab_mouv[Boissons],Tab_stock[[#This Row],[Boissons]],Tab_mouv[Type],"Mise à Jour")</f>
        <v>14</v>
      </c>
      <c r="F22" s="2">
        <f>IFERROR(VLOOKUP(C22,TabListeProduits[],2,0),"")</f>
        <v>0.22</v>
      </c>
      <c r="G22" s="2">
        <f>IFERROR(VLOOKUP(C22,TabListeProduits[],3,0),"")</f>
        <v>1.5</v>
      </c>
      <c r="H22" s="2">
        <f t="shared" si="1"/>
        <v>3.08</v>
      </c>
      <c r="I22" s="2">
        <f t="shared" si="2"/>
        <v>21</v>
      </c>
      <c r="J22" s="2">
        <f t="shared" si="3"/>
        <v>17.920000000000002</v>
      </c>
      <c r="K22" s="4" t="str">
        <f>IF(Tab_stock[[#This Row],[Stock Réel]]&lt;Tab_stock[[#This Row],[Stock Min]],1,"")</f>
        <v/>
      </c>
    </row>
    <row r="23" spans="2:11" x14ac:dyDescent="0.25">
      <c r="B23">
        <f t="shared" si="0"/>
        <v>18</v>
      </c>
      <c r="C23" t="s">
        <v>34</v>
      </c>
      <c r="D23">
        <v>6</v>
      </c>
      <c r="E23" s="22">
        <f>SUMIFS(Tab_mouv[Quantité],Tab_mouv[Boissons],Tab_stock[[#This Row],[Boissons]],Tab_mouv[Type],"Entrée")-SUMIFS(Tab_mouv[Quantité],Tab_mouv[Boissons],Tab_stock[[#This Row],[Boissons]],Tab_mouv[Type],"Sortie")+SUMIFS(Tab_mouv[Quantité],Tab_mouv[Boissons],Tab_stock[[#This Row],[Boissons]],Tab_mouv[Type],"Mise à Jour")</f>
        <v>0</v>
      </c>
      <c r="F23" s="2">
        <f>IFERROR(VLOOKUP(C23,TabListeProduits[],2,0),"")</f>
        <v>0</v>
      </c>
      <c r="G23" s="2">
        <f>IFERROR(VLOOKUP(C23,TabListeProduits[],3,0),"")</f>
        <v>1.5</v>
      </c>
      <c r="H23" s="2">
        <f t="shared" si="1"/>
        <v>0</v>
      </c>
      <c r="I23" s="2">
        <f t="shared" si="2"/>
        <v>0</v>
      </c>
      <c r="J23" s="2">
        <f t="shared" si="3"/>
        <v>0</v>
      </c>
      <c r="K23" s="4">
        <f>IF(Tab_stock[[#This Row],[Stock Réel]]&lt;Tab_stock[[#This Row],[Stock Min]],1,"")</f>
        <v>1</v>
      </c>
    </row>
    <row r="24" spans="2:11" x14ac:dyDescent="0.25">
      <c r="B24">
        <f t="shared" si="0"/>
        <v>19</v>
      </c>
      <c r="C24" t="s">
        <v>35</v>
      </c>
      <c r="D24">
        <v>0</v>
      </c>
      <c r="E24" s="22">
        <f>SUMIFS(Tab_mouv[Quantité],Tab_mouv[Boissons],Tab_stock[[#This Row],[Boissons]],Tab_mouv[Type],"Entrée")-SUMIFS(Tab_mouv[Quantité],Tab_mouv[Boissons],Tab_stock[[#This Row],[Boissons]],Tab_mouv[Type],"Sortie")+SUMIFS(Tab_mouv[Quantité],Tab_mouv[Boissons],Tab_stock[[#This Row],[Boissons]],Tab_mouv[Type],"Mise à Jour")</f>
        <v>0</v>
      </c>
      <c r="F24" s="2">
        <f>IFERROR(VLOOKUP(C24,TabListeProduits[],2,0),"")</f>
        <v>0</v>
      </c>
      <c r="G24" s="2">
        <f>IFERROR(VLOOKUP(C24,TabListeProduits[],3,0),"")</f>
        <v>2</v>
      </c>
      <c r="H24" s="2">
        <f t="shared" si="1"/>
        <v>0</v>
      </c>
      <c r="I24" s="2">
        <f t="shared" si="2"/>
        <v>0</v>
      </c>
      <c r="J24" s="2">
        <f t="shared" si="3"/>
        <v>0</v>
      </c>
      <c r="K24" s="4" t="str">
        <f>IF(Tab_stock[[#This Row],[Stock Réel]]&lt;Tab_stock[[#This Row],[Stock Min]],1,"")</f>
        <v/>
      </c>
    </row>
  </sheetData>
  <dataValidations count="1">
    <dataValidation type="list" allowBlank="1" showInputMessage="1" showErrorMessage="1" sqref="C6:C24" xr:uid="{00000000-0002-0000-0100-000000000000}">
      <formula1>boissons</formula1>
    </dataValidation>
  </dataValidations>
  <pageMargins left="0.7" right="0.7" top="0.75" bottom="0.75" header="0.3" footer="0.3"/>
  <pageSetup paperSize="9" orientation="portrait" horizontalDpi="300" verticalDpi="300" r:id="rId1"/>
  <drawing r:id="rId2"/>
  <legacyDrawing r:id="rId3"/>
  <controls>
    <mc:AlternateContent xmlns:mc="http://schemas.openxmlformats.org/markup-compatibility/2006">
      <mc:Choice Requires="x14">
        <control shapeId="1026" r:id="rId4" name="BtnAjout">
          <controlPr defaultSize="0" autoLine="0" autoPict="0" r:id="rId5">
            <anchor moveWithCells="1">
              <from>
                <xdr:col>0</xdr:col>
                <xdr:colOff>752475</xdr:colOff>
                <xdr:row>2</xdr:row>
                <xdr:rowOff>66675</xdr:rowOff>
              </from>
              <to>
                <xdr:col>2</xdr:col>
                <xdr:colOff>600075</xdr:colOff>
                <xdr:row>3</xdr:row>
                <xdr:rowOff>161925</xdr:rowOff>
              </to>
            </anchor>
          </controlPr>
        </control>
      </mc:Choice>
      <mc:Fallback>
        <control shapeId="1026" r:id="rId4" name="BtnAjout"/>
      </mc:Fallback>
    </mc:AlternateContent>
    <mc:AlternateContent xmlns:mc="http://schemas.openxmlformats.org/markup-compatibility/2006">
      <mc:Choice Requires="x14">
        <control shapeId="1029" r:id="rId6" name="AjoutMvt">
          <controlPr defaultSize="0" autoLine="0" autoPict="0" r:id="rId7">
            <anchor moveWithCells="1">
              <from>
                <xdr:col>9</xdr:col>
                <xdr:colOff>66675</xdr:colOff>
                <xdr:row>2</xdr:row>
                <xdr:rowOff>38100</xdr:rowOff>
              </from>
              <to>
                <xdr:col>10</xdr:col>
                <xdr:colOff>542925</xdr:colOff>
                <xdr:row>3</xdr:row>
                <xdr:rowOff>133350</xdr:rowOff>
              </to>
            </anchor>
          </controlPr>
        </control>
      </mc:Choice>
      <mc:Fallback>
        <control shapeId="1029" r:id="rId6" name="AjoutMvt"/>
      </mc:Fallback>
    </mc:AlternateContent>
  </controls>
  <tableParts count="1">
    <tablePart r:id="rId8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1" id="{8E46FCEF-8902-4AE9-BFC5-E742D753159E}">
            <x14:iconSet custom="1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  <x14:cfIcon iconSet="NoIcons" iconId="0"/>
              <x14:cfIcon iconSet="NoIcons" iconId="0"/>
              <x14:cfIcon iconSet="3Flags" iconId="0"/>
            </x14:iconSet>
          </x14:cfRule>
          <xm:sqref>K6:K24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B1:I92"/>
  <sheetViews>
    <sheetView showGridLines="0" topLeftCell="A60" workbookViewId="0">
      <selection activeCell="H57" sqref="H57"/>
    </sheetView>
  </sheetViews>
  <sheetFormatPr baseColWidth="10" defaultRowHeight="15" x14ac:dyDescent="0.25"/>
  <cols>
    <col min="1" max="1" width="11.42578125" style="23"/>
    <col min="2" max="2" width="16.85546875" style="35" customWidth="1"/>
    <col min="3" max="3" width="13.42578125" style="23" bestFit="1" customWidth="1"/>
    <col min="4" max="4" width="13.7109375" style="23" bestFit="1" customWidth="1"/>
    <col min="5" max="5" width="13.42578125" style="23" bestFit="1" customWidth="1"/>
    <col min="6" max="6" width="15.85546875" style="23" bestFit="1" customWidth="1"/>
    <col min="7" max="7" width="22.28515625" style="23" bestFit="1" customWidth="1"/>
    <col min="8" max="16384" width="11.42578125" style="23"/>
  </cols>
  <sheetData>
    <row r="1" spans="2:9" ht="49.5" customHeight="1" x14ac:dyDescent="0.25"/>
    <row r="5" spans="2:9" x14ac:dyDescent="0.25">
      <c r="B5" s="36" t="s">
        <v>46</v>
      </c>
      <c r="C5" s="24" t="s">
        <v>45</v>
      </c>
      <c r="D5" s="24" t="s">
        <v>37</v>
      </c>
      <c r="E5" s="24" t="s">
        <v>47</v>
      </c>
      <c r="F5" s="24" t="s">
        <v>60</v>
      </c>
      <c r="G5" s="24" t="s">
        <v>61</v>
      </c>
      <c r="H5" s="24" t="s">
        <v>79</v>
      </c>
      <c r="I5" s="24" t="s">
        <v>80</v>
      </c>
    </row>
    <row r="6" spans="2:9" hidden="1" x14ac:dyDescent="0.25">
      <c r="B6" s="36" t="s">
        <v>84</v>
      </c>
      <c r="C6" s="24" t="s">
        <v>48</v>
      </c>
      <c r="D6" s="24" t="s">
        <v>12</v>
      </c>
      <c r="E6" s="24">
        <v>319</v>
      </c>
      <c r="F6" s="25" t="str">
        <f>IF(Tab_mouv[[#This Row],[Type]]="Sortie",COUNTIFS(Tab_mouv[Type],"Sortie",Tab_mouv[Quantité],"&gt;"&amp;Tab_mouv[[#This Row],[Quantité]])+1,"")</f>
        <v/>
      </c>
      <c r="G6" s="25">
        <f>IF(Tab_mouv[[#This Row],[Type]]="Entrée",COUNTIFS(Tab_mouv[Type],"Entrée",Tab_mouv[Quantité],"&gt;"&amp;Tab_mouv[[#This Row],[Quantité]])+1,"")</f>
        <v>4</v>
      </c>
      <c r="H6" s="25">
        <f>IFERROR(YEAR(Tab_mouv[[#This Row],[Date]]),"")</f>
        <v>2020</v>
      </c>
      <c r="I6" s="25" t="str">
        <f>TEXT(Tab_mouv[[#This Row],[Date]],"mmmm")</f>
        <v>janvier</v>
      </c>
    </row>
    <row r="7" spans="2:9" hidden="1" x14ac:dyDescent="0.25">
      <c r="B7" s="36" t="s">
        <v>84</v>
      </c>
      <c r="C7" s="24" t="s">
        <v>48</v>
      </c>
      <c r="D7" s="24" t="s">
        <v>8</v>
      </c>
      <c r="E7" s="24">
        <v>217</v>
      </c>
      <c r="F7" s="25" t="str">
        <f>IF(Tab_mouv[[#This Row],[Type]]="Sortie",COUNTIFS(Tab_mouv[Type],"Sortie",Tab_mouv[Quantité],"&gt;"&amp;Tab_mouv[[#This Row],[Quantité]])+1,"")</f>
        <v/>
      </c>
      <c r="G7" s="25">
        <f>IF(Tab_mouv[[#This Row],[Type]]="Entrée",COUNTIFS(Tab_mouv[Type],"Entrée",Tab_mouv[Quantité],"&gt;"&amp;Tab_mouv[[#This Row],[Quantité]])+1,"")</f>
        <v>8</v>
      </c>
      <c r="H7" s="25">
        <f>IFERROR(YEAR(Tab_mouv[[#This Row],[Date]]),"")</f>
        <v>2020</v>
      </c>
      <c r="I7" s="25" t="str">
        <f>TEXT(Tab_mouv[[#This Row],[Date]],"mmmm")</f>
        <v>janvier</v>
      </c>
    </row>
    <row r="8" spans="2:9" hidden="1" x14ac:dyDescent="0.25">
      <c r="B8" s="36" t="s">
        <v>84</v>
      </c>
      <c r="C8" s="24" t="s">
        <v>48</v>
      </c>
      <c r="D8" s="24" t="s">
        <v>4</v>
      </c>
      <c r="E8" s="24">
        <v>130</v>
      </c>
      <c r="F8" s="25" t="str">
        <f>IF(Tab_mouv[[#This Row],[Type]]="Sortie",COUNTIFS(Tab_mouv[Type],"Sortie",Tab_mouv[Quantité],"&gt;"&amp;Tab_mouv[[#This Row],[Quantité]])+1,"")</f>
        <v/>
      </c>
      <c r="G8" s="25">
        <f>IF(Tab_mouv[[#This Row],[Type]]="Entrée",COUNTIFS(Tab_mouv[Type],"Entrée",Tab_mouv[Quantité],"&gt;"&amp;Tab_mouv[[#This Row],[Quantité]])+1,"")</f>
        <v>13</v>
      </c>
      <c r="H8" s="25">
        <f>IFERROR(YEAR(Tab_mouv[[#This Row],[Date]]),"")</f>
        <v>2020</v>
      </c>
      <c r="I8" s="25" t="str">
        <f>TEXT(Tab_mouv[[#This Row],[Date]],"mmmm")</f>
        <v>janvier</v>
      </c>
    </row>
    <row r="9" spans="2:9" hidden="1" x14ac:dyDescent="0.25">
      <c r="B9" s="36" t="s">
        <v>84</v>
      </c>
      <c r="C9" s="24" t="s">
        <v>48</v>
      </c>
      <c r="D9" s="24" t="s">
        <v>25</v>
      </c>
      <c r="E9" s="24">
        <v>36</v>
      </c>
      <c r="F9" s="25" t="str">
        <f>IF(Tab_mouv[[#This Row],[Type]]="Sortie",COUNTIFS(Tab_mouv[Type],"Sortie",Tab_mouv[Quantité],"&gt;"&amp;Tab_mouv[[#This Row],[Quantité]])+1,"")</f>
        <v/>
      </c>
      <c r="G9" s="25">
        <f>IF(Tab_mouv[[#This Row],[Type]]="Entrée",COUNTIFS(Tab_mouv[Type],"Entrée",Tab_mouv[Quantité],"&gt;"&amp;Tab_mouv[[#This Row],[Quantité]])+1,"")</f>
        <v>22</v>
      </c>
      <c r="H9" s="25">
        <f>IFERROR(YEAR(Tab_mouv[[#This Row],[Date]]),"")</f>
        <v>2020</v>
      </c>
      <c r="I9" s="25" t="str">
        <f>TEXT(Tab_mouv[[#This Row],[Date]],"mmmm")</f>
        <v>janvier</v>
      </c>
    </row>
    <row r="10" spans="2:9" hidden="1" x14ac:dyDescent="0.25">
      <c r="B10" s="36" t="s">
        <v>84</v>
      </c>
      <c r="C10" s="24" t="s">
        <v>82</v>
      </c>
      <c r="D10" s="24" t="s">
        <v>10</v>
      </c>
      <c r="E10" s="24">
        <v>80</v>
      </c>
      <c r="F10" s="25">
        <f>IF(Tab_mouv[[#This Row],[Type]]="Sortie",COUNTIFS(Tab_mouv[Type],"Sortie",Tab_mouv[Quantité],"&gt;"&amp;Tab_mouv[[#This Row],[Quantité]])+1,"")</f>
        <v>15</v>
      </c>
      <c r="G10" s="25" t="str">
        <f>IF(Tab_mouv[[#This Row],[Type]]="Entrée",COUNTIFS(Tab_mouv[Type],"Entrée",Tab_mouv[Quantité],"&gt;"&amp;Tab_mouv[[#This Row],[Quantité]])+1,"")</f>
        <v/>
      </c>
      <c r="H10" s="25">
        <f>IFERROR(YEAR(Tab_mouv[[#This Row],[Date]]),"")</f>
        <v>2020</v>
      </c>
      <c r="I10" s="25" t="str">
        <f>TEXT(Tab_mouv[[#This Row],[Date]],"mmmm")</f>
        <v>janvier</v>
      </c>
    </row>
    <row r="11" spans="2:9" hidden="1" x14ac:dyDescent="0.25">
      <c r="B11" s="36" t="s">
        <v>84</v>
      </c>
      <c r="C11" s="24" t="s">
        <v>82</v>
      </c>
      <c r="D11" s="24" t="s">
        <v>12</v>
      </c>
      <c r="E11" s="24">
        <v>191</v>
      </c>
      <c r="F11" s="25">
        <f>IF(Tab_mouv[[#This Row],[Type]]="Sortie",COUNTIFS(Tab_mouv[Type],"Sortie",Tab_mouv[Quantité],"&gt;"&amp;Tab_mouv[[#This Row],[Quantité]])+1,"")</f>
        <v>3</v>
      </c>
      <c r="G11" s="25" t="str">
        <f>IF(Tab_mouv[[#This Row],[Type]]="Entrée",COUNTIFS(Tab_mouv[Type],"Entrée",Tab_mouv[Quantité],"&gt;"&amp;Tab_mouv[[#This Row],[Quantité]])+1,"")</f>
        <v/>
      </c>
      <c r="H11" s="25">
        <f>IFERROR(YEAR(Tab_mouv[[#This Row],[Date]]),"")</f>
        <v>2020</v>
      </c>
      <c r="I11" s="25" t="str">
        <f>TEXT(Tab_mouv[[#This Row],[Date]],"mmmm")</f>
        <v>janvier</v>
      </c>
    </row>
    <row r="12" spans="2:9" hidden="1" x14ac:dyDescent="0.25">
      <c r="B12" s="36" t="s">
        <v>84</v>
      </c>
      <c r="C12" s="24" t="s">
        <v>82</v>
      </c>
      <c r="D12" s="24" t="s">
        <v>8</v>
      </c>
      <c r="E12" s="24">
        <v>165</v>
      </c>
      <c r="F12" s="25">
        <f>IF(Tab_mouv[[#This Row],[Type]]="Sortie",COUNTIFS(Tab_mouv[Type],"Sortie",Tab_mouv[Quantité],"&gt;"&amp;Tab_mouv[[#This Row],[Quantité]])+1,"")</f>
        <v>4</v>
      </c>
      <c r="G12" s="25" t="str">
        <f>IF(Tab_mouv[[#This Row],[Type]]="Entrée",COUNTIFS(Tab_mouv[Type],"Entrée",Tab_mouv[Quantité],"&gt;"&amp;Tab_mouv[[#This Row],[Quantité]])+1,"")</f>
        <v/>
      </c>
      <c r="H12" s="25">
        <f>IFERROR(YEAR(Tab_mouv[[#This Row],[Date]]),"")</f>
        <v>2020</v>
      </c>
      <c r="I12" s="25" t="str">
        <f>TEXT(Tab_mouv[[#This Row],[Date]],"mmmm")</f>
        <v>janvier</v>
      </c>
    </row>
    <row r="13" spans="2:9" hidden="1" x14ac:dyDescent="0.25">
      <c r="B13" s="36" t="s">
        <v>84</v>
      </c>
      <c r="C13" s="24" t="s">
        <v>82</v>
      </c>
      <c r="D13" s="24" t="s">
        <v>4</v>
      </c>
      <c r="E13" s="24">
        <v>23</v>
      </c>
      <c r="F13" s="25">
        <f>IF(Tab_mouv[[#This Row],[Type]]="Sortie",COUNTIFS(Tab_mouv[Type],"Sortie",Tab_mouv[Quantité],"&gt;"&amp;Tab_mouv[[#This Row],[Quantité]])+1,"")</f>
        <v>27</v>
      </c>
      <c r="G13" s="25" t="str">
        <f>IF(Tab_mouv[[#This Row],[Type]]="Entrée",COUNTIFS(Tab_mouv[Type],"Entrée",Tab_mouv[Quantité],"&gt;"&amp;Tab_mouv[[#This Row],[Quantité]])+1,"")</f>
        <v/>
      </c>
      <c r="H13" s="25">
        <f>IFERROR(YEAR(Tab_mouv[[#This Row],[Date]]),"")</f>
        <v>2020</v>
      </c>
      <c r="I13" s="25" t="str">
        <f>TEXT(Tab_mouv[[#This Row],[Date]],"mmmm")</f>
        <v>janvier</v>
      </c>
    </row>
    <row r="14" spans="2:9" hidden="1" x14ac:dyDescent="0.25">
      <c r="B14" s="36" t="s">
        <v>84</v>
      </c>
      <c r="C14" s="24" t="s">
        <v>82</v>
      </c>
      <c r="D14" s="24" t="s">
        <v>14</v>
      </c>
      <c r="E14" s="24">
        <v>104</v>
      </c>
      <c r="F14" s="25">
        <f>IF(Tab_mouv[[#This Row],[Type]]="Sortie",COUNTIFS(Tab_mouv[Type],"Sortie",Tab_mouv[Quantité],"&gt;"&amp;Tab_mouv[[#This Row],[Quantité]])+1,"")</f>
        <v>9</v>
      </c>
      <c r="G14" s="25" t="str">
        <f>IF(Tab_mouv[[#This Row],[Type]]="Entrée",COUNTIFS(Tab_mouv[Type],"Entrée",Tab_mouv[Quantité],"&gt;"&amp;Tab_mouv[[#This Row],[Quantité]])+1,"")</f>
        <v/>
      </c>
      <c r="H14" s="25">
        <f>IFERROR(YEAR(Tab_mouv[[#This Row],[Date]]),"")</f>
        <v>2020</v>
      </c>
      <c r="I14" s="25" t="str">
        <f>TEXT(Tab_mouv[[#This Row],[Date]],"mmmm")</f>
        <v>janvier</v>
      </c>
    </row>
    <row r="15" spans="2:9" hidden="1" x14ac:dyDescent="0.25">
      <c r="B15" s="36" t="s">
        <v>84</v>
      </c>
      <c r="C15" s="24" t="s">
        <v>82</v>
      </c>
      <c r="D15" s="24" t="s">
        <v>6</v>
      </c>
      <c r="E15" s="24">
        <v>2</v>
      </c>
      <c r="F15" s="25">
        <f>IF(Tab_mouv[[#This Row],[Type]]="Sortie",COUNTIFS(Tab_mouv[Type],"Sortie",Tab_mouv[Quantité],"&gt;"&amp;Tab_mouv[[#This Row],[Quantité]])+1,"")</f>
        <v>41</v>
      </c>
      <c r="G15" s="25" t="str">
        <f>IF(Tab_mouv[[#This Row],[Type]]="Entrée",COUNTIFS(Tab_mouv[Type],"Entrée",Tab_mouv[Quantité],"&gt;"&amp;Tab_mouv[[#This Row],[Quantité]])+1,"")</f>
        <v/>
      </c>
      <c r="H15" s="25">
        <f>IFERROR(YEAR(Tab_mouv[[#This Row],[Date]]),"")</f>
        <v>2020</v>
      </c>
      <c r="I15" s="25" t="str">
        <f>TEXT(Tab_mouv[[#This Row],[Date]],"mmmm")</f>
        <v>janvier</v>
      </c>
    </row>
    <row r="16" spans="2:9" hidden="1" x14ac:dyDescent="0.25">
      <c r="B16" s="36" t="s">
        <v>84</v>
      </c>
      <c r="C16" s="24" t="s">
        <v>82</v>
      </c>
      <c r="D16" s="24" t="s">
        <v>30</v>
      </c>
      <c r="E16" s="24">
        <v>2</v>
      </c>
      <c r="F16" s="25">
        <f>IF(Tab_mouv[[#This Row],[Type]]="Sortie",COUNTIFS(Tab_mouv[Type],"Sortie",Tab_mouv[Quantité],"&gt;"&amp;Tab_mouv[[#This Row],[Quantité]])+1,"")</f>
        <v>41</v>
      </c>
      <c r="G16" s="25" t="str">
        <f>IF(Tab_mouv[[#This Row],[Type]]="Entrée",COUNTIFS(Tab_mouv[Type],"Entrée",Tab_mouv[Quantité],"&gt;"&amp;Tab_mouv[[#This Row],[Quantité]])+1,"")</f>
        <v/>
      </c>
      <c r="H16" s="25">
        <f>IFERROR(YEAR(Tab_mouv[[#This Row],[Date]]),"")</f>
        <v>2020</v>
      </c>
      <c r="I16" s="25" t="str">
        <f>TEXT(Tab_mouv[[#This Row],[Date]],"mmmm")</f>
        <v>janvier</v>
      </c>
    </row>
    <row r="17" spans="2:9" hidden="1" x14ac:dyDescent="0.25">
      <c r="B17" s="36" t="s">
        <v>84</v>
      </c>
      <c r="C17" s="24" t="s">
        <v>82</v>
      </c>
      <c r="D17" s="24" t="s">
        <v>31</v>
      </c>
      <c r="E17" s="24">
        <v>2</v>
      </c>
      <c r="F17" s="25">
        <f>IF(Tab_mouv[[#This Row],[Type]]="Sortie",COUNTIFS(Tab_mouv[Type],"Sortie",Tab_mouv[Quantité],"&gt;"&amp;Tab_mouv[[#This Row],[Quantité]])+1,"")</f>
        <v>41</v>
      </c>
      <c r="G17" s="25" t="str">
        <f>IF(Tab_mouv[[#This Row],[Type]]="Entrée",COUNTIFS(Tab_mouv[Type],"Entrée",Tab_mouv[Quantité],"&gt;"&amp;Tab_mouv[[#This Row],[Quantité]])+1,"")</f>
        <v/>
      </c>
      <c r="H17" s="25">
        <f>IFERROR(YEAR(Tab_mouv[[#This Row],[Date]]),"")</f>
        <v>2020</v>
      </c>
      <c r="I17" s="25" t="str">
        <f>TEXT(Tab_mouv[[#This Row],[Date]],"mmmm")</f>
        <v>janvier</v>
      </c>
    </row>
    <row r="18" spans="2:9" hidden="1" x14ac:dyDescent="0.25">
      <c r="B18" s="36" t="s">
        <v>85</v>
      </c>
      <c r="C18" s="24" t="s">
        <v>48</v>
      </c>
      <c r="D18" s="24" t="s">
        <v>14</v>
      </c>
      <c r="E18" s="24">
        <v>182</v>
      </c>
      <c r="F18" s="25" t="str">
        <f>IF(Tab_mouv[[#This Row],[Type]]="Sortie",COUNTIFS(Tab_mouv[Type],"Sortie",Tab_mouv[Quantité],"&gt;"&amp;Tab_mouv[[#This Row],[Quantité]])+1,"")</f>
        <v/>
      </c>
      <c r="G18" s="25">
        <f>IF(Tab_mouv[[#This Row],[Type]]="Entrée",COUNTIFS(Tab_mouv[Type],"Entrée",Tab_mouv[Quantité],"&gt;"&amp;Tab_mouv[[#This Row],[Quantité]])+1,"")</f>
        <v>12</v>
      </c>
      <c r="H18" s="25">
        <f>IFERROR(YEAR(Tab_mouv[[#This Row],[Date]]),"")</f>
        <v>2020</v>
      </c>
      <c r="I18" s="25" t="str">
        <f>TEXT(Tab_mouv[[#This Row],[Date]],"mmmm")</f>
        <v>février</v>
      </c>
    </row>
    <row r="19" spans="2:9" hidden="1" x14ac:dyDescent="0.25">
      <c r="B19" s="36" t="s">
        <v>85</v>
      </c>
      <c r="C19" s="24" t="s">
        <v>48</v>
      </c>
      <c r="D19" s="24" t="s">
        <v>16</v>
      </c>
      <c r="E19" s="24">
        <v>18</v>
      </c>
      <c r="F19" s="25" t="str">
        <f>IF(Tab_mouv[[#This Row],[Type]]="Sortie",COUNTIFS(Tab_mouv[Type],"Sortie",Tab_mouv[Quantité],"&gt;"&amp;Tab_mouv[[#This Row],[Quantité]])+1,"")</f>
        <v/>
      </c>
      <c r="G19" s="25">
        <f>IF(Tab_mouv[[#This Row],[Type]]="Entrée",COUNTIFS(Tab_mouv[Type],"Entrée",Tab_mouv[Quantité],"&gt;"&amp;Tab_mouv[[#This Row],[Quantité]])+1,"")</f>
        <v>27</v>
      </c>
      <c r="H19" s="25">
        <f>IFERROR(YEAR(Tab_mouv[[#This Row],[Date]]),"")</f>
        <v>2020</v>
      </c>
      <c r="I19" s="25" t="str">
        <f>TEXT(Tab_mouv[[#This Row],[Date]],"mmmm")</f>
        <v>février</v>
      </c>
    </row>
    <row r="20" spans="2:9" hidden="1" x14ac:dyDescent="0.25">
      <c r="B20" s="36" t="s">
        <v>85</v>
      </c>
      <c r="C20" s="24" t="s">
        <v>82</v>
      </c>
      <c r="D20" s="24" t="s">
        <v>10</v>
      </c>
      <c r="E20" s="24">
        <v>95</v>
      </c>
      <c r="F20" s="25">
        <f>IF(Tab_mouv[[#This Row],[Type]]="Sortie",COUNTIFS(Tab_mouv[Type],"Sortie",Tab_mouv[Quantité],"&gt;"&amp;Tab_mouv[[#This Row],[Quantité]])+1,"")</f>
        <v>12</v>
      </c>
      <c r="G20" s="25" t="str">
        <f>IF(Tab_mouv[[#This Row],[Type]]="Entrée",COUNTIFS(Tab_mouv[Type],"Entrée",Tab_mouv[Quantité],"&gt;"&amp;Tab_mouv[[#This Row],[Quantité]])+1,"")</f>
        <v/>
      </c>
      <c r="H20" s="25">
        <f>IFERROR(YEAR(Tab_mouv[[#This Row],[Date]]),"")</f>
        <v>2020</v>
      </c>
      <c r="I20" s="25" t="str">
        <f>TEXT(Tab_mouv[[#This Row],[Date]],"mmmm")</f>
        <v>février</v>
      </c>
    </row>
    <row r="21" spans="2:9" hidden="1" x14ac:dyDescent="0.25">
      <c r="B21" s="36" t="s">
        <v>85</v>
      </c>
      <c r="C21" s="24" t="s">
        <v>82</v>
      </c>
      <c r="D21" s="24" t="s">
        <v>12</v>
      </c>
      <c r="E21" s="24">
        <v>135</v>
      </c>
      <c r="F21" s="25">
        <f>IF(Tab_mouv[[#This Row],[Type]]="Sortie",COUNTIFS(Tab_mouv[Type],"Sortie",Tab_mouv[Quantité],"&gt;"&amp;Tab_mouv[[#This Row],[Quantité]])+1,"")</f>
        <v>6</v>
      </c>
      <c r="G21" s="25" t="str">
        <f>IF(Tab_mouv[[#This Row],[Type]]="Entrée",COUNTIFS(Tab_mouv[Type],"Entrée",Tab_mouv[Quantité],"&gt;"&amp;Tab_mouv[[#This Row],[Quantité]])+1,"")</f>
        <v/>
      </c>
      <c r="H21" s="25">
        <f>IFERROR(YEAR(Tab_mouv[[#This Row],[Date]]),"")</f>
        <v>2020</v>
      </c>
      <c r="I21" s="25" t="str">
        <f>TEXT(Tab_mouv[[#This Row],[Date]],"mmmm")</f>
        <v>février</v>
      </c>
    </row>
    <row r="22" spans="2:9" hidden="1" x14ac:dyDescent="0.25">
      <c r="B22" s="36" t="s">
        <v>85</v>
      </c>
      <c r="C22" s="24" t="s">
        <v>82</v>
      </c>
      <c r="D22" s="24" t="s">
        <v>8</v>
      </c>
      <c r="E22" s="24">
        <v>115</v>
      </c>
      <c r="F22" s="25">
        <f>IF(Tab_mouv[[#This Row],[Type]]="Sortie",COUNTIFS(Tab_mouv[Type],"Sortie",Tab_mouv[Quantité],"&gt;"&amp;Tab_mouv[[#This Row],[Quantité]])+1,"")</f>
        <v>8</v>
      </c>
      <c r="G22" s="25" t="str">
        <f>IF(Tab_mouv[[#This Row],[Type]]="Entrée",COUNTIFS(Tab_mouv[Type],"Entrée",Tab_mouv[Quantité],"&gt;"&amp;Tab_mouv[[#This Row],[Quantité]])+1,"")</f>
        <v/>
      </c>
      <c r="H22" s="25">
        <f>IFERROR(YEAR(Tab_mouv[[#This Row],[Date]]),"")</f>
        <v>2020</v>
      </c>
      <c r="I22" s="25" t="str">
        <f>TEXT(Tab_mouv[[#This Row],[Date]],"mmmm")</f>
        <v>février</v>
      </c>
    </row>
    <row r="23" spans="2:9" hidden="1" x14ac:dyDescent="0.25">
      <c r="B23" s="36" t="s">
        <v>85</v>
      </c>
      <c r="C23" s="24" t="s">
        <v>82</v>
      </c>
      <c r="D23" s="24" t="s">
        <v>4</v>
      </c>
      <c r="E23" s="24">
        <v>55</v>
      </c>
      <c r="F23" s="25">
        <f>IF(Tab_mouv[[#This Row],[Type]]="Sortie",COUNTIFS(Tab_mouv[Type],"Sortie",Tab_mouv[Quantité],"&gt;"&amp;Tab_mouv[[#This Row],[Quantité]])+1,"")</f>
        <v>16</v>
      </c>
      <c r="G23" s="25" t="str">
        <f>IF(Tab_mouv[[#This Row],[Type]]="Entrée",COUNTIFS(Tab_mouv[Type],"Entrée",Tab_mouv[Quantité],"&gt;"&amp;Tab_mouv[[#This Row],[Quantité]])+1,"")</f>
        <v/>
      </c>
      <c r="H23" s="25">
        <f>IFERROR(YEAR(Tab_mouv[[#This Row],[Date]]),"")</f>
        <v>2020</v>
      </c>
      <c r="I23" s="25" t="str">
        <f>TEXT(Tab_mouv[[#This Row],[Date]],"mmmm")</f>
        <v>février</v>
      </c>
    </row>
    <row r="24" spans="2:9" hidden="1" x14ac:dyDescent="0.25">
      <c r="B24" s="36" t="s">
        <v>85</v>
      </c>
      <c r="C24" s="24" t="s">
        <v>82</v>
      </c>
      <c r="D24" s="24" t="s">
        <v>14</v>
      </c>
      <c r="E24" s="24">
        <v>104</v>
      </c>
      <c r="F24" s="25">
        <f>IF(Tab_mouv[[#This Row],[Type]]="Sortie",COUNTIFS(Tab_mouv[Type],"Sortie",Tab_mouv[Quantité],"&gt;"&amp;Tab_mouv[[#This Row],[Quantité]])+1,"")</f>
        <v>9</v>
      </c>
      <c r="G24" s="25" t="str">
        <f>IF(Tab_mouv[[#This Row],[Type]]="Entrée",COUNTIFS(Tab_mouv[Type],"Entrée",Tab_mouv[Quantité],"&gt;"&amp;Tab_mouv[[#This Row],[Quantité]])+1,"")</f>
        <v/>
      </c>
      <c r="H24" s="25">
        <f>IFERROR(YEAR(Tab_mouv[[#This Row],[Date]]),"")</f>
        <v>2020</v>
      </c>
      <c r="I24" s="25" t="str">
        <f>TEXT(Tab_mouv[[#This Row],[Date]],"mmmm")</f>
        <v>février</v>
      </c>
    </row>
    <row r="25" spans="2:9" hidden="1" x14ac:dyDescent="0.25">
      <c r="B25" s="36" t="s">
        <v>85</v>
      </c>
      <c r="C25" s="24" t="s">
        <v>82</v>
      </c>
      <c r="D25" s="24" t="s">
        <v>16</v>
      </c>
      <c r="E25" s="24">
        <v>48</v>
      </c>
      <c r="F25" s="25">
        <f>IF(Tab_mouv[[#This Row],[Type]]="Sortie",COUNTIFS(Tab_mouv[Type],"Sortie",Tab_mouv[Quantité],"&gt;"&amp;Tab_mouv[[#This Row],[Quantité]])+1,"")</f>
        <v>18</v>
      </c>
      <c r="G25" s="25" t="str">
        <f>IF(Tab_mouv[[#This Row],[Type]]="Entrée",COUNTIFS(Tab_mouv[Type],"Entrée",Tab_mouv[Quantité],"&gt;"&amp;Tab_mouv[[#This Row],[Quantité]])+1,"")</f>
        <v/>
      </c>
      <c r="H25" s="25">
        <f>IFERROR(YEAR(Tab_mouv[[#This Row],[Date]]),"")</f>
        <v>2020</v>
      </c>
      <c r="I25" s="25" t="str">
        <f>TEXT(Tab_mouv[[#This Row],[Date]],"mmmm")</f>
        <v>février</v>
      </c>
    </row>
    <row r="26" spans="2:9" hidden="1" x14ac:dyDescent="0.25">
      <c r="B26" s="36" t="s">
        <v>85</v>
      </c>
      <c r="C26" s="24" t="s">
        <v>82</v>
      </c>
      <c r="D26" s="24" t="s">
        <v>18</v>
      </c>
      <c r="E26" s="24">
        <v>18</v>
      </c>
      <c r="F26" s="25">
        <f>IF(Tab_mouv[[#This Row],[Type]]="Sortie",COUNTIFS(Tab_mouv[Type],"Sortie",Tab_mouv[Quantité],"&gt;"&amp;Tab_mouv[[#This Row],[Quantité]])+1,"")</f>
        <v>28</v>
      </c>
      <c r="G26" s="25" t="str">
        <f>IF(Tab_mouv[[#This Row],[Type]]="Entrée",COUNTIFS(Tab_mouv[Type],"Entrée",Tab_mouv[Quantité],"&gt;"&amp;Tab_mouv[[#This Row],[Quantité]])+1,"")</f>
        <v/>
      </c>
      <c r="H26" s="25">
        <f>IFERROR(YEAR(Tab_mouv[[#This Row],[Date]]),"")</f>
        <v>2020</v>
      </c>
      <c r="I26" s="25" t="str">
        <f>TEXT(Tab_mouv[[#This Row],[Date]],"mmmm")</f>
        <v>février</v>
      </c>
    </row>
    <row r="27" spans="2:9" hidden="1" x14ac:dyDescent="0.25">
      <c r="B27" s="36" t="s">
        <v>85</v>
      </c>
      <c r="C27" s="24" t="s">
        <v>82</v>
      </c>
      <c r="D27" s="24" t="s">
        <v>20</v>
      </c>
      <c r="E27" s="24">
        <v>6</v>
      </c>
      <c r="F27" s="25">
        <f>IF(Tab_mouv[[#This Row],[Type]]="Sortie",COUNTIFS(Tab_mouv[Type],"Sortie",Tab_mouv[Quantité],"&gt;"&amp;Tab_mouv[[#This Row],[Quantité]])+1,"")</f>
        <v>39</v>
      </c>
      <c r="G27" s="25" t="str">
        <f>IF(Tab_mouv[[#This Row],[Type]]="Entrée",COUNTIFS(Tab_mouv[Type],"Entrée",Tab_mouv[Quantité],"&gt;"&amp;Tab_mouv[[#This Row],[Quantité]])+1,"")</f>
        <v/>
      </c>
      <c r="H27" s="25">
        <f>IFERROR(YEAR(Tab_mouv[[#This Row],[Date]]),"")</f>
        <v>2020</v>
      </c>
      <c r="I27" s="25" t="str">
        <f>TEXT(Tab_mouv[[#This Row],[Date]],"mmmm")</f>
        <v>février</v>
      </c>
    </row>
    <row r="28" spans="2:9" hidden="1" x14ac:dyDescent="0.25">
      <c r="B28" s="36" t="s">
        <v>85</v>
      </c>
      <c r="C28" s="24" t="s">
        <v>82</v>
      </c>
      <c r="D28" s="24" t="s">
        <v>22</v>
      </c>
      <c r="E28" s="24">
        <v>24</v>
      </c>
      <c r="F28" s="25">
        <f>IF(Tab_mouv[[#This Row],[Type]]="Sortie",COUNTIFS(Tab_mouv[Type],"Sortie",Tab_mouv[Quantité],"&gt;"&amp;Tab_mouv[[#This Row],[Quantité]])+1,"")</f>
        <v>25</v>
      </c>
      <c r="G28" s="25" t="str">
        <f>IF(Tab_mouv[[#This Row],[Type]]="Entrée",COUNTIFS(Tab_mouv[Type],"Entrée",Tab_mouv[Quantité],"&gt;"&amp;Tab_mouv[[#This Row],[Quantité]])+1,"")</f>
        <v/>
      </c>
      <c r="H28" s="25">
        <f>IFERROR(YEAR(Tab_mouv[[#This Row],[Date]]),"")</f>
        <v>2020</v>
      </c>
      <c r="I28" s="25" t="str">
        <f>TEXT(Tab_mouv[[#This Row],[Date]],"mmmm")</f>
        <v>février</v>
      </c>
    </row>
    <row r="29" spans="2:9" hidden="1" x14ac:dyDescent="0.25">
      <c r="B29" s="36" t="s">
        <v>85</v>
      </c>
      <c r="C29" s="24" t="s">
        <v>82</v>
      </c>
      <c r="D29" s="24" t="s">
        <v>25</v>
      </c>
      <c r="E29" s="24">
        <v>24</v>
      </c>
      <c r="F29" s="25">
        <f>IF(Tab_mouv[[#This Row],[Type]]="Sortie",COUNTIFS(Tab_mouv[Type],"Sortie",Tab_mouv[Quantité],"&gt;"&amp;Tab_mouv[[#This Row],[Quantité]])+1,"")</f>
        <v>25</v>
      </c>
      <c r="G29" s="25" t="str">
        <f>IF(Tab_mouv[[#This Row],[Type]]="Entrée",COUNTIFS(Tab_mouv[Type],"Entrée",Tab_mouv[Quantité],"&gt;"&amp;Tab_mouv[[#This Row],[Quantité]])+1,"")</f>
        <v/>
      </c>
      <c r="H29" s="25">
        <f>IFERROR(YEAR(Tab_mouv[[#This Row],[Date]]),"")</f>
        <v>2020</v>
      </c>
      <c r="I29" s="25" t="str">
        <f>TEXT(Tab_mouv[[#This Row],[Date]],"mmmm")</f>
        <v>février</v>
      </c>
    </row>
    <row r="30" spans="2:9" hidden="1" x14ac:dyDescent="0.25">
      <c r="B30" s="36" t="s">
        <v>85</v>
      </c>
      <c r="C30" s="24" t="s">
        <v>82</v>
      </c>
      <c r="D30" s="24" t="s">
        <v>27</v>
      </c>
      <c r="E30" s="24">
        <v>12</v>
      </c>
      <c r="F30" s="25">
        <f>IF(Tab_mouv[[#This Row],[Type]]="Sortie",COUNTIFS(Tab_mouv[Type],"Sortie",Tab_mouv[Quantité],"&gt;"&amp;Tab_mouv[[#This Row],[Quantité]])+1,"")</f>
        <v>31</v>
      </c>
      <c r="G30" s="25" t="str">
        <f>IF(Tab_mouv[[#This Row],[Type]]="Entrée",COUNTIFS(Tab_mouv[Type],"Entrée",Tab_mouv[Quantité],"&gt;"&amp;Tab_mouv[[#This Row],[Quantité]])+1,"")</f>
        <v/>
      </c>
      <c r="H30" s="25">
        <f>IFERROR(YEAR(Tab_mouv[[#This Row],[Date]]),"")</f>
        <v>2020</v>
      </c>
      <c r="I30" s="25" t="str">
        <f>TEXT(Tab_mouv[[#This Row],[Date]],"mmmm")</f>
        <v>février</v>
      </c>
    </row>
    <row r="31" spans="2:9" hidden="1" x14ac:dyDescent="0.25">
      <c r="B31" s="36" t="s">
        <v>81</v>
      </c>
      <c r="C31" s="24" t="s">
        <v>48</v>
      </c>
      <c r="D31" s="24" t="s">
        <v>10</v>
      </c>
      <c r="E31" s="24">
        <v>212</v>
      </c>
      <c r="F31" s="25" t="str">
        <f>IF(Tab_mouv[[#This Row],[Type]]="Sortie",COUNTIFS(Tab_mouv[Type],"Sortie",Tab_mouv[Quantité],"&gt;"&amp;Tab_mouv[[#This Row],[Quantité]])+1,"")</f>
        <v/>
      </c>
      <c r="G31" s="25">
        <f>IF(Tab_mouv[[#This Row],[Type]]="Entrée",COUNTIFS(Tab_mouv[Type],"Entrée",Tab_mouv[Quantité],"&gt;"&amp;Tab_mouv[[#This Row],[Quantité]])+1,"")</f>
        <v>9</v>
      </c>
      <c r="H31" s="25">
        <f>IFERROR(YEAR(Tab_mouv[[#This Row],[Date]]),"")</f>
        <v>2020</v>
      </c>
      <c r="I31" s="25" t="str">
        <f>TEXT(Tab_mouv[[#This Row],[Date]],"mmmm")</f>
        <v>mars</v>
      </c>
    </row>
    <row r="32" spans="2:9" hidden="1" x14ac:dyDescent="0.25">
      <c r="B32" s="36" t="s">
        <v>81</v>
      </c>
      <c r="C32" s="24" t="s">
        <v>48</v>
      </c>
      <c r="D32" s="24" t="s">
        <v>12</v>
      </c>
      <c r="E32" s="24">
        <v>254</v>
      </c>
      <c r="F32" s="25" t="str">
        <f>IF(Tab_mouv[[#This Row],[Type]]="Sortie",COUNTIFS(Tab_mouv[Type],"Sortie",Tab_mouv[Quantité],"&gt;"&amp;Tab_mouv[[#This Row],[Quantité]])+1,"")</f>
        <v/>
      </c>
      <c r="G32" s="25">
        <f>IF(Tab_mouv[[#This Row],[Type]]="Entrée",COUNTIFS(Tab_mouv[Type],"Entrée",Tab_mouv[Quantité],"&gt;"&amp;Tab_mouv[[#This Row],[Quantité]])+1,"")</f>
        <v>6</v>
      </c>
      <c r="H32" s="25">
        <f>IFERROR(YEAR(Tab_mouv[[#This Row],[Date]]),"")</f>
        <v>2020</v>
      </c>
      <c r="I32" s="25" t="str">
        <f>TEXT(Tab_mouv[[#This Row],[Date]],"mmmm")</f>
        <v>mars</v>
      </c>
    </row>
    <row r="33" spans="2:9" hidden="1" x14ac:dyDescent="0.25">
      <c r="B33" s="36" t="s">
        <v>81</v>
      </c>
      <c r="C33" s="24" t="s">
        <v>48</v>
      </c>
      <c r="D33" s="24" t="s">
        <v>8</v>
      </c>
      <c r="E33" s="24">
        <v>218</v>
      </c>
      <c r="F33" s="25" t="str">
        <f>IF(Tab_mouv[[#This Row],[Type]]="Sortie",COUNTIFS(Tab_mouv[Type],"Sortie",Tab_mouv[Quantité],"&gt;"&amp;Tab_mouv[[#This Row],[Quantité]])+1,"")</f>
        <v/>
      </c>
      <c r="G33" s="25">
        <f>IF(Tab_mouv[[#This Row],[Type]]="Entrée",COUNTIFS(Tab_mouv[Type],"Entrée",Tab_mouv[Quantité],"&gt;"&amp;Tab_mouv[[#This Row],[Quantité]])+1,"")</f>
        <v>7</v>
      </c>
      <c r="H33" s="25">
        <f>IFERROR(YEAR(Tab_mouv[[#This Row],[Date]]),"")</f>
        <v>2020</v>
      </c>
      <c r="I33" s="25" t="str">
        <f>TEXT(Tab_mouv[[#This Row],[Date]],"mmmm")</f>
        <v>mars</v>
      </c>
    </row>
    <row r="34" spans="2:9" hidden="1" x14ac:dyDescent="0.25">
      <c r="B34" s="36" t="s">
        <v>81</v>
      </c>
      <c r="C34" s="24" t="s">
        <v>48</v>
      </c>
      <c r="D34" s="24" t="s">
        <v>4</v>
      </c>
      <c r="E34" s="24">
        <v>44</v>
      </c>
      <c r="F34" s="25" t="str">
        <f>IF(Tab_mouv[[#This Row],[Type]]="Sortie",COUNTIFS(Tab_mouv[Type],"Sortie",Tab_mouv[Quantité],"&gt;"&amp;Tab_mouv[[#This Row],[Quantité]])+1,"")</f>
        <v/>
      </c>
      <c r="G34" s="25">
        <f>IF(Tab_mouv[[#This Row],[Type]]="Entrée",COUNTIFS(Tab_mouv[Type],"Entrée",Tab_mouv[Quantité],"&gt;"&amp;Tab_mouv[[#This Row],[Quantité]])+1,"")</f>
        <v>21</v>
      </c>
      <c r="H34" s="25">
        <f>IFERROR(YEAR(Tab_mouv[[#This Row],[Date]]),"")</f>
        <v>2020</v>
      </c>
      <c r="I34" s="25" t="str">
        <f>TEXT(Tab_mouv[[#This Row],[Date]],"mmmm")</f>
        <v>mars</v>
      </c>
    </row>
    <row r="35" spans="2:9" hidden="1" x14ac:dyDescent="0.25">
      <c r="B35" s="36" t="s">
        <v>81</v>
      </c>
      <c r="C35" s="24" t="s">
        <v>48</v>
      </c>
      <c r="D35" s="24" t="s">
        <v>25</v>
      </c>
      <c r="E35" s="24">
        <v>24</v>
      </c>
      <c r="F35" s="25" t="str">
        <f>IF(Tab_mouv[[#This Row],[Type]]="Sortie",COUNTIFS(Tab_mouv[Type],"Sortie",Tab_mouv[Quantité],"&gt;"&amp;Tab_mouv[[#This Row],[Quantité]])+1,"")</f>
        <v/>
      </c>
      <c r="G35" s="25">
        <f>IF(Tab_mouv[[#This Row],[Type]]="Entrée",COUNTIFS(Tab_mouv[Type],"Entrée",Tab_mouv[Quantité],"&gt;"&amp;Tab_mouv[[#This Row],[Quantité]])+1,"")</f>
        <v>25</v>
      </c>
      <c r="H35" s="25">
        <f>IFERROR(YEAR(Tab_mouv[[#This Row],[Date]]),"")</f>
        <v>2020</v>
      </c>
      <c r="I35" s="25" t="str">
        <f>TEXT(Tab_mouv[[#This Row],[Date]],"mmmm")</f>
        <v>mars</v>
      </c>
    </row>
    <row r="36" spans="2:9" hidden="1" x14ac:dyDescent="0.25">
      <c r="B36" s="36" t="s">
        <v>81</v>
      </c>
      <c r="C36" s="24" t="s">
        <v>82</v>
      </c>
      <c r="D36" s="24" t="s">
        <v>10</v>
      </c>
      <c r="E36" s="24">
        <v>38</v>
      </c>
      <c r="F36" s="25">
        <f>IF(Tab_mouv[[#This Row],[Type]]="Sortie",COUNTIFS(Tab_mouv[Type],"Sortie",Tab_mouv[Quantité],"&gt;"&amp;Tab_mouv[[#This Row],[Quantité]])+1,"")</f>
        <v>20</v>
      </c>
      <c r="G36" s="25" t="str">
        <f>IF(Tab_mouv[[#This Row],[Type]]="Entrée",COUNTIFS(Tab_mouv[Type],"Entrée",Tab_mouv[Quantité],"&gt;"&amp;Tab_mouv[[#This Row],[Quantité]])+1,"")</f>
        <v/>
      </c>
      <c r="H36" s="25">
        <f>IFERROR(YEAR(Tab_mouv[[#This Row],[Date]]),"")</f>
        <v>2020</v>
      </c>
      <c r="I36" s="25" t="str">
        <f>TEXT(Tab_mouv[[#This Row],[Date]],"mmmm")</f>
        <v>mars</v>
      </c>
    </row>
    <row r="37" spans="2:9" hidden="1" x14ac:dyDescent="0.25">
      <c r="B37" s="36" t="s">
        <v>81</v>
      </c>
      <c r="C37" s="24" t="s">
        <v>82</v>
      </c>
      <c r="D37" s="24" t="s">
        <v>12</v>
      </c>
      <c r="E37" s="24">
        <v>52</v>
      </c>
      <c r="F37" s="25">
        <f>IF(Tab_mouv[[#This Row],[Type]]="Sortie",COUNTIFS(Tab_mouv[Type],"Sortie",Tab_mouv[Quantité],"&gt;"&amp;Tab_mouv[[#This Row],[Quantité]])+1,"")</f>
        <v>17</v>
      </c>
      <c r="G37" s="25" t="str">
        <f>IF(Tab_mouv[[#This Row],[Type]]="Entrée",COUNTIFS(Tab_mouv[Type],"Entrée",Tab_mouv[Quantité],"&gt;"&amp;Tab_mouv[[#This Row],[Quantité]])+1,"")</f>
        <v/>
      </c>
      <c r="H37" s="25">
        <f>IFERROR(YEAR(Tab_mouv[[#This Row],[Date]]),"")</f>
        <v>2020</v>
      </c>
      <c r="I37" s="25" t="str">
        <f>TEXT(Tab_mouv[[#This Row],[Date]],"mmmm")</f>
        <v>mars</v>
      </c>
    </row>
    <row r="38" spans="2:9" hidden="1" x14ac:dyDescent="0.25">
      <c r="B38" s="36" t="s">
        <v>81</v>
      </c>
      <c r="C38" s="24" t="s">
        <v>82</v>
      </c>
      <c r="D38" s="24" t="s">
        <v>8</v>
      </c>
      <c r="E38" s="24">
        <v>15</v>
      </c>
      <c r="F38" s="25">
        <f>IF(Tab_mouv[[#This Row],[Type]]="Sortie",COUNTIFS(Tab_mouv[Type],"Sortie",Tab_mouv[Quantité],"&gt;"&amp;Tab_mouv[[#This Row],[Quantité]])+1,"")</f>
        <v>29</v>
      </c>
      <c r="G38" s="25" t="str">
        <f>IF(Tab_mouv[[#This Row],[Type]]="Entrée",COUNTIFS(Tab_mouv[Type],"Entrée",Tab_mouv[Quantité],"&gt;"&amp;Tab_mouv[[#This Row],[Quantité]])+1,"")</f>
        <v/>
      </c>
      <c r="H38" s="25">
        <f>IFERROR(YEAR(Tab_mouv[[#This Row],[Date]]),"")</f>
        <v>2020</v>
      </c>
      <c r="I38" s="25" t="str">
        <f>TEXT(Tab_mouv[[#This Row],[Date]],"mmmm")</f>
        <v>mars</v>
      </c>
    </row>
    <row r="39" spans="2:9" hidden="1" x14ac:dyDescent="0.25">
      <c r="B39" s="36" t="s">
        <v>81</v>
      </c>
      <c r="C39" s="24" t="s">
        <v>82</v>
      </c>
      <c r="D39" s="24" t="s">
        <v>4</v>
      </c>
      <c r="E39" s="24">
        <v>15</v>
      </c>
      <c r="F39" s="25">
        <f>IF(Tab_mouv[[#This Row],[Type]]="Sortie",COUNTIFS(Tab_mouv[Type],"Sortie",Tab_mouv[Quantité],"&gt;"&amp;Tab_mouv[[#This Row],[Quantité]])+1,"")</f>
        <v>29</v>
      </c>
      <c r="G39" s="25" t="str">
        <f>IF(Tab_mouv[[#This Row],[Type]]="Entrée",COUNTIFS(Tab_mouv[Type],"Entrée",Tab_mouv[Quantité],"&gt;"&amp;Tab_mouv[[#This Row],[Quantité]])+1,"")</f>
        <v/>
      </c>
      <c r="H39" s="25">
        <f>IFERROR(YEAR(Tab_mouv[[#This Row],[Date]]),"")</f>
        <v>2020</v>
      </c>
      <c r="I39" s="25" t="str">
        <f>TEXT(Tab_mouv[[#This Row],[Date]],"mmmm")</f>
        <v>mars</v>
      </c>
    </row>
    <row r="40" spans="2:9" hidden="1" x14ac:dyDescent="0.25">
      <c r="B40" s="36" t="s">
        <v>81</v>
      </c>
      <c r="C40" s="24" t="s">
        <v>82</v>
      </c>
      <c r="D40" s="24" t="s">
        <v>14</v>
      </c>
      <c r="E40" s="24">
        <v>26</v>
      </c>
      <c r="F40" s="25">
        <f>IF(Tab_mouv[[#This Row],[Type]]="Sortie",COUNTIFS(Tab_mouv[Type],"Sortie",Tab_mouv[Quantité],"&gt;"&amp;Tab_mouv[[#This Row],[Quantité]])+1,"")</f>
        <v>23</v>
      </c>
      <c r="G40" s="25" t="str">
        <f>IF(Tab_mouv[[#This Row],[Type]]="Entrée",COUNTIFS(Tab_mouv[Type],"Entrée",Tab_mouv[Quantité],"&gt;"&amp;Tab_mouv[[#This Row],[Quantité]])+1,"")</f>
        <v/>
      </c>
      <c r="H40" s="25">
        <f>IFERROR(YEAR(Tab_mouv[[#This Row],[Date]]),"")</f>
        <v>2020</v>
      </c>
      <c r="I40" s="25" t="str">
        <f>TEXT(Tab_mouv[[#This Row],[Date]],"mmmm")</f>
        <v>mars</v>
      </c>
    </row>
    <row r="41" spans="2:9" hidden="1" x14ac:dyDescent="0.25">
      <c r="B41" s="36" t="s">
        <v>81</v>
      </c>
      <c r="C41" s="24" t="s">
        <v>82</v>
      </c>
      <c r="D41" s="24" t="s">
        <v>16</v>
      </c>
      <c r="E41" s="24">
        <v>6</v>
      </c>
      <c r="F41" s="25">
        <f>IF(Tab_mouv[[#This Row],[Type]]="Sortie",COUNTIFS(Tab_mouv[Type],"Sortie",Tab_mouv[Quantité],"&gt;"&amp;Tab_mouv[[#This Row],[Quantité]])+1,"")</f>
        <v>39</v>
      </c>
      <c r="G41" s="25" t="str">
        <f>IF(Tab_mouv[[#This Row],[Type]]="Entrée",COUNTIFS(Tab_mouv[Type],"Entrée",Tab_mouv[Quantité],"&gt;"&amp;Tab_mouv[[#This Row],[Quantité]])+1,"")</f>
        <v/>
      </c>
      <c r="H41" s="25">
        <f>IFERROR(YEAR(Tab_mouv[[#This Row],[Date]]),"")</f>
        <v>2020</v>
      </c>
      <c r="I41" s="25" t="str">
        <f>TEXT(Tab_mouv[[#This Row],[Date]],"mmmm")</f>
        <v>mars</v>
      </c>
    </row>
    <row r="42" spans="2:9" hidden="1" x14ac:dyDescent="0.25">
      <c r="B42" s="36" t="s">
        <v>81</v>
      </c>
      <c r="C42" s="24" t="s">
        <v>82</v>
      </c>
      <c r="D42" s="24" t="s">
        <v>27</v>
      </c>
      <c r="E42" s="24">
        <v>12</v>
      </c>
      <c r="F42" s="25">
        <f>IF(Tab_mouv[[#This Row],[Type]]="Sortie",COUNTIFS(Tab_mouv[Type],"Sortie",Tab_mouv[Quantité],"&gt;"&amp;Tab_mouv[[#This Row],[Quantité]])+1,"")</f>
        <v>31</v>
      </c>
      <c r="G42" s="25" t="str">
        <f>IF(Tab_mouv[[#This Row],[Type]]="Entrée",COUNTIFS(Tab_mouv[Type],"Entrée",Tab_mouv[Quantité],"&gt;"&amp;Tab_mouv[[#This Row],[Quantité]])+1,"")</f>
        <v/>
      </c>
      <c r="H42" s="25">
        <f>IFERROR(YEAR(Tab_mouv[[#This Row],[Date]]),"")</f>
        <v>2020</v>
      </c>
      <c r="I42" s="25" t="str">
        <f>TEXT(Tab_mouv[[#This Row],[Date]],"mmmm")</f>
        <v>mars</v>
      </c>
    </row>
    <row r="43" spans="2:9" hidden="1" x14ac:dyDescent="0.25">
      <c r="B43" s="36" t="s">
        <v>81</v>
      </c>
      <c r="C43" s="24" t="s">
        <v>87</v>
      </c>
      <c r="D43" s="24" t="s">
        <v>10</v>
      </c>
      <c r="E43" s="24">
        <v>219</v>
      </c>
      <c r="F43" s="25" t="str">
        <f>IF(Tab_mouv[[#This Row],[Type]]="Sortie",COUNTIFS(Tab_mouv[Type],"Sortie",Tab_mouv[Quantité],"&gt;"&amp;Tab_mouv[[#This Row],[Quantité]])+1,"")</f>
        <v/>
      </c>
      <c r="G43" s="25" t="str">
        <f>IF(Tab_mouv[[#This Row],[Type]]="Entrée",COUNTIFS(Tab_mouv[Type],"Entrée",Tab_mouv[Quantité],"&gt;"&amp;Tab_mouv[[#This Row],[Quantité]])+1,"")</f>
        <v/>
      </c>
      <c r="H43" s="25">
        <f>IFERROR(YEAR(Tab_mouv[[#This Row],[Date]]),"")</f>
        <v>2020</v>
      </c>
      <c r="I43" s="25" t="str">
        <f>TEXT(Tab_mouv[[#This Row],[Date]],"mmmm")</f>
        <v>mars</v>
      </c>
    </row>
    <row r="44" spans="2:9" hidden="1" x14ac:dyDescent="0.25">
      <c r="B44" s="36" t="s">
        <v>81</v>
      </c>
      <c r="C44" s="24" t="s">
        <v>87</v>
      </c>
      <c r="D44" s="24" t="s">
        <v>12</v>
      </c>
      <c r="E44" s="24">
        <v>28</v>
      </c>
      <c r="F44" s="25" t="str">
        <f>IF(Tab_mouv[[#This Row],[Type]]="Sortie",COUNTIFS(Tab_mouv[Type],"Sortie",Tab_mouv[Quantité],"&gt;"&amp;Tab_mouv[[#This Row],[Quantité]])+1,"")</f>
        <v/>
      </c>
      <c r="G44" s="25" t="str">
        <f>IF(Tab_mouv[[#This Row],[Type]]="Entrée",COUNTIFS(Tab_mouv[Type],"Entrée",Tab_mouv[Quantité],"&gt;"&amp;Tab_mouv[[#This Row],[Quantité]])+1,"")</f>
        <v/>
      </c>
      <c r="H44" s="25">
        <f>IFERROR(YEAR(Tab_mouv[[#This Row],[Date]]),"")</f>
        <v>2020</v>
      </c>
      <c r="I44" s="25" t="str">
        <f>TEXT(Tab_mouv[[#This Row],[Date]],"mmmm")</f>
        <v>mars</v>
      </c>
    </row>
    <row r="45" spans="2:9" hidden="1" x14ac:dyDescent="0.25">
      <c r="B45" s="36" t="s">
        <v>81</v>
      </c>
      <c r="C45" s="24" t="s">
        <v>87</v>
      </c>
      <c r="D45" s="24" t="s">
        <v>8</v>
      </c>
      <c r="E45" s="24">
        <v>151</v>
      </c>
      <c r="F45" s="25" t="str">
        <f>IF(Tab_mouv[[#This Row],[Type]]="Sortie",COUNTIFS(Tab_mouv[Type],"Sortie",Tab_mouv[Quantité],"&gt;"&amp;Tab_mouv[[#This Row],[Quantité]])+1,"")</f>
        <v/>
      </c>
      <c r="G45" s="25" t="str">
        <f>IF(Tab_mouv[[#This Row],[Type]]="Entrée",COUNTIFS(Tab_mouv[Type],"Entrée",Tab_mouv[Quantité],"&gt;"&amp;Tab_mouv[[#This Row],[Quantité]])+1,"")</f>
        <v/>
      </c>
      <c r="H45" s="25">
        <f>IFERROR(YEAR(Tab_mouv[[#This Row],[Date]]),"")</f>
        <v>2020</v>
      </c>
      <c r="I45" s="25" t="str">
        <f>TEXT(Tab_mouv[[#This Row],[Date]],"mmmm")</f>
        <v>mars</v>
      </c>
    </row>
    <row r="46" spans="2:9" hidden="1" x14ac:dyDescent="0.25">
      <c r="B46" s="36" t="s">
        <v>81</v>
      </c>
      <c r="C46" s="24" t="s">
        <v>87</v>
      </c>
      <c r="D46" s="24" t="s">
        <v>14</v>
      </c>
      <c r="E46" s="24">
        <v>130</v>
      </c>
      <c r="F46" s="25" t="str">
        <f>IF(Tab_mouv[[#This Row],[Type]]="Sortie",COUNTIFS(Tab_mouv[Type],"Sortie",Tab_mouv[Quantité],"&gt;"&amp;Tab_mouv[[#This Row],[Quantité]])+1,"")</f>
        <v/>
      </c>
      <c r="G46" s="25" t="str">
        <f>IF(Tab_mouv[[#This Row],[Type]]="Entrée",COUNTIFS(Tab_mouv[Type],"Entrée",Tab_mouv[Quantité],"&gt;"&amp;Tab_mouv[[#This Row],[Quantité]])+1,"")</f>
        <v/>
      </c>
      <c r="H46" s="25">
        <f>IFERROR(YEAR(Tab_mouv[[#This Row],[Date]]),"")</f>
        <v>2020</v>
      </c>
      <c r="I46" s="25" t="str">
        <f>TEXT(Tab_mouv[[#This Row],[Date]],"mmmm")</f>
        <v>mars</v>
      </c>
    </row>
    <row r="47" spans="2:9" hidden="1" x14ac:dyDescent="0.25">
      <c r="B47" s="36" t="s">
        <v>81</v>
      </c>
      <c r="C47" s="24" t="s">
        <v>87</v>
      </c>
      <c r="D47" s="24" t="s">
        <v>16</v>
      </c>
      <c r="E47" s="24">
        <v>36</v>
      </c>
      <c r="F47" s="25" t="str">
        <f>IF(Tab_mouv[[#This Row],[Type]]="Sortie",COUNTIFS(Tab_mouv[Type],"Sortie",Tab_mouv[Quantité],"&gt;"&amp;Tab_mouv[[#This Row],[Quantité]])+1,"")</f>
        <v/>
      </c>
      <c r="G47" s="25" t="str">
        <f>IF(Tab_mouv[[#This Row],[Type]]="Entrée",COUNTIFS(Tab_mouv[Type],"Entrée",Tab_mouv[Quantité],"&gt;"&amp;Tab_mouv[[#This Row],[Quantité]])+1,"")</f>
        <v/>
      </c>
      <c r="H47" s="25">
        <f>IFERROR(YEAR(Tab_mouv[[#This Row],[Date]]),"")</f>
        <v>2020</v>
      </c>
      <c r="I47" s="25" t="str">
        <f>TEXT(Tab_mouv[[#This Row],[Date]],"mmmm")</f>
        <v>mars</v>
      </c>
    </row>
    <row r="48" spans="2:9" hidden="1" x14ac:dyDescent="0.25">
      <c r="B48" s="36" t="s">
        <v>81</v>
      </c>
      <c r="C48" s="24" t="s">
        <v>87</v>
      </c>
      <c r="D48" s="24" t="s">
        <v>18</v>
      </c>
      <c r="E48" s="24">
        <v>18</v>
      </c>
      <c r="F48" s="25" t="str">
        <f>IF(Tab_mouv[[#This Row],[Type]]="Sortie",COUNTIFS(Tab_mouv[Type],"Sortie",Tab_mouv[Quantité],"&gt;"&amp;Tab_mouv[[#This Row],[Quantité]])+1,"")</f>
        <v/>
      </c>
      <c r="G48" s="25" t="str">
        <f>IF(Tab_mouv[[#This Row],[Type]]="Entrée",COUNTIFS(Tab_mouv[Type],"Entrée",Tab_mouv[Quantité],"&gt;"&amp;Tab_mouv[[#This Row],[Quantité]])+1,"")</f>
        <v/>
      </c>
      <c r="H48" s="25">
        <f>IFERROR(YEAR(Tab_mouv[[#This Row],[Date]]),"")</f>
        <v>2020</v>
      </c>
      <c r="I48" s="25" t="str">
        <f>TEXT(Tab_mouv[[#This Row],[Date]],"mmmm")</f>
        <v>mars</v>
      </c>
    </row>
    <row r="49" spans="2:9" hidden="1" x14ac:dyDescent="0.25">
      <c r="B49" s="36" t="s">
        <v>81</v>
      </c>
      <c r="C49" s="24" t="s">
        <v>87</v>
      </c>
      <c r="D49" s="24" t="s">
        <v>20</v>
      </c>
      <c r="E49" s="24">
        <v>24</v>
      </c>
      <c r="F49" s="25" t="str">
        <f>IF(Tab_mouv[[#This Row],[Type]]="Sortie",COUNTIFS(Tab_mouv[Type],"Sortie",Tab_mouv[Quantité],"&gt;"&amp;Tab_mouv[[#This Row],[Quantité]])+1,"")</f>
        <v/>
      </c>
      <c r="G49" s="25" t="str">
        <f>IF(Tab_mouv[[#This Row],[Type]]="Entrée",COUNTIFS(Tab_mouv[Type],"Entrée",Tab_mouv[Quantité],"&gt;"&amp;Tab_mouv[[#This Row],[Quantité]])+1,"")</f>
        <v/>
      </c>
      <c r="H49" s="25">
        <f>IFERROR(YEAR(Tab_mouv[[#This Row],[Date]]),"")</f>
        <v>2020</v>
      </c>
      <c r="I49" s="25" t="str">
        <f>TEXT(Tab_mouv[[#This Row],[Date]],"mmmm")</f>
        <v>mars</v>
      </c>
    </row>
    <row r="50" spans="2:9" hidden="1" x14ac:dyDescent="0.25">
      <c r="B50" s="36" t="s">
        <v>81</v>
      </c>
      <c r="C50" s="24" t="s">
        <v>87</v>
      </c>
      <c r="D50" s="24" t="s">
        <v>22</v>
      </c>
      <c r="E50" s="24">
        <v>36</v>
      </c>
      <c r="F50" s="25" t="str">
        <f>IF(Tab_mouv[[#This Row],[Type]]="Sortie",COUNTIFS(Tab_mouv[Type],"Sortie",Tab_mouv[Quantité],"&gt;"&amp;Tab_mouv[[#This Row],[Quantité]])+1,"")</f>
        <v/>
      </c>
      <c r="G50" s="25" t="str">
        <f>IF(Tab_mouv[[#This Row],[Type]]="Entrée",COUNTIFS(Tab_mouv[Type],"Entrée",Tab_mouv[Quantité],"&gt;"&amp;Tab_mouv[[#This Row],[Quantité]])+1,"")</f>
        <v/>
      </c>
      <c r="H50" s="25">
        <f>IFERROR(YEAR(Tab_mouv[[#This Row],[Date]]),"")</f>
        <v>2020</v>
      </c>
      <c r="I50" s="25" t="str">
        <f>TEXT(Tab_mouv[[#This Row],[Date]],"mmmm")</f>
        <v>mars</v>
      </c>
    </row>
    <row r="51" spans="2:9" hidden="1" x14ac:dyDescent="0.25">
      <c r="B51" s="36" t="s">
        <v>81</v>
      </c>
      <c r="C51" s="24" t="s">
        <v>87</v>
      </c>
      <c r="D51" s="24" t="s">
        <v>6</v>
      </c>
      <c r="E51" s="24">
        <v>7</v>
      </c>
      <c r="F51" s="25" t="str">
        <f>IF(Tab_mouv[[#This Row],[Type]]="Sortie",COUNTIFS(Tab_mouv[Type],"Sortie",Tab_mouv[Quantité],"&gt;"&amp;Tab_mouv[[#This Row],[Quantité]])+1,"")</f>
        <v/>
      </c>
      <c r="G51" s="25" t="str">
        <f>IF(Tab_mouv[[#This Row],[Type]]="Entrée",COUNTIFS(Tab_mouv[Type],"Entrée",Tab_mouv[Quantité],"&gt;"&amp;Tab_mouv[[#This Row],[Quantité]])+1,"")</f>
        <v/>
      </c>
      <c r="H51" s="25">
        <f>IFERROR(YEAR(Tab_mouv[[#This Row],[Date]]),"")</f>
        <v>2020</v>
      </c>
      <c r="I51" s="25" t="str">
        <f>TEXT(Tab_mouv[[#This Row],[Date]],"mmmm")</f>
        <v>mars</v>
      </c>
    </row>
    <row r="52" spans="2:9" hidden="1" x14ac:dyDescent="0.25">
      <c r="B52" s="36" t="s">
        <v>81</v>
      </c>
      <c r="C52" s="24" t="s">
        <v>87</v>
      </c>
      <c r="D52" s="24" t="s">
        <v>27</v>
      </c>
      <c r="E52" s="24">
        <v>24</v>
      </c>
      <c r="F52" s="25" t="str">
        <f>IF(Tab_mouv[[#This Row],[Type]]="Sortie",COUNTIFS(Tab_mouv[Type],"Sortie",Tab_mouv[Quantité],"&gt;"&amp;Tab_mouv[[#This Row],[Quantité]])+1,"")</f>
        <v/>
      </c>
      <c r="G52" s="25" t="str">
        <f>IF(Tab_mouv[[#This Row],[Type]]="Entrée",COUNTIFS(Tab_mouv[Type],"Entrée",Tab_mouv[Quantité],"&gt;"&amp;Tab_mouv[[#This Row],[Quantité]])+1,"")</f>
        <v/>
      </c>
      <c r="H52" s="25">
        <f>IFERROR(YEAR(Tab_mouv[[#This Row],[Date]]),"")</f>
        <v>2020</v>
      </c>
      <c r="I52" s="25" t="str">
        <f>TEXT(Tab_mouv[[#This Row],[Date]],"mmmm")</f>
        <v>mars</v>
      </c>
    </row>
    <row r="53" spans="2:9" hidden="1" x14ac:dyDescent="0.25">
      <c r="B53" s="36" t="s">
        <v>81</v>
      </c>
      <c r="C53" s="24" t="s">
        <v>87</v>
      </c>
      <c r="D53" s="24" t="s">
        <v>29</v>
      </c>
      <c r="E53" s="24">
        <v>20</v>
      </c>
      <c r="F53" s="25" t="str">
        <f>IF(Tab_mouv[[#This Row],[Type]]="Sortie",COUNTIFS(Tab_mouv[Type],"Sortie",Tab_mouv[Quantité],"&gt;"&amp;Tab_mouv[[#This Row],[Quantité]])+1,"")</f>
        <v/>
      </c>
      <c r="G53" s="25" t="str">
        <f>IF(Tab_mouv[[#This Row],[Type]]="Entrée",COUNTIFS(Tab_mouv[Type],"Entrée",Tab_mouv[Quantité],"&gt;"&amp;Tab_mouv[[#This Row],[Quantité]])+1,"")</f>
        <v/>
      </c>
      <c r="H53" s="25">
        <f>IFERROR(YEAR(Tab_mouv[[#This Row],[Date]]),"")</f>
        <v>2020</v>
      </c>
      <c r="I53" s="25" t="str">
        <f>TEXT(Tab_mouv[[#This Row],[Date]],"mmmm")</f>
        <v>mars</v>
      </c>
    </row>
    <row r="54" spans="2:9" hidden="1" x14ac:dyDescent="0.25">
      <c r="B54" s="36" t="s">
        <v>81</v>
      </c>
      <c r="C54" s="24" t="s">
        <v>87</v>
      </c>
      <c r="D54" s="24" t="s">
        <v>30</v>
      </c>
      <c r="E54" s="24">
        <v>2</v>
      </c>
      <c r="F54" s="25" t="str">
        <f>IF(Tab_mouv[[#This Row],[Type]]="Sortie",COUNTIFS(Tab_mouv[Type],"Sortie",Tab_mouv[Quantité],"&gt;"&amp;Tab_mouv[[#This Row],[Quantité]])+1,"")</f>
        <v/>
      </c>
      <c r="G54" s="25" t="str">
        <f>IF(Tab_mouv[[#This Row],[Type]]="Entrée",COUNTIFS(Tab_mouv[Type],"Entrée",Tab_mouv[Quantité],"&gt;"&amp;Tab_mouv[[#This Row],[Quantité]])+1,"")</f>
        <v/>
      </c>
      <c r="H54" s="25">
        <f>IFERROR(YEAR(Tab_mouv[[#This Row],[Date]]),"")</f>
        <v>2020</v>
      </c>
      <c r="I54" s="25" t="str">
        <f>TEXT(Tab_mouv[[#This Row],[Date]],"mmmm")</f>
        <v>mars</v>
      </c>
    </row>
    <row r="55" spans="2:9" hidden="1" x14ac:dyDescent="0.25">
      <c r="B55" s="36" t="s">
        <v>81</v>
      </c>
      <c r="C55" s="24" t="s">
        <v>87</v>
      </c>
      <c r="D55" s="24" t="s">
        <v>31</v>
      </c>
      <c r="E55" s="24">
        <v>2</v>
      </c>
      <c r="F55" s="25" t="str">
        <f>IF(Tab_mouv[[#This Row],[Type]]="Sortie",COUNTIFS(Tab_mouv[Type],"Sortie",Tab_mouv[Quantité],"&gt;"&amp;Tab_mouv[[#This Row],[Quantité]])+1,"")</f>
        <v/>
      </c>
      <c r="G55" s="25" t="str">
        <f>IF(Tab_mouv[[#This Row],[Type]]="Entrée",COUNTIFS(Tab_mouv[Type],"Entrée",Tab_mouv[Quantité],"&gt;"&amp;Tab_mouv[[#This Row],[Quantité]])+1,"")</f>
        <v/>
      </c>
      <c r="H55" s="25">
        <f>IFERROR(YEAR(Tab_mouv[[#This Row],[Date]]),"")</f>
        <v>2020</v>
      </c>
      <c r="I55" s="25" t="str">
        <f>TEXT(Tab_mouv[[#This Row],[Date]],"mmmm")</f>
        <v>mars</v>
      </c>
    </row>
    <row r="56" spans="2:9" hidden="1" x14ac:dyDescent="0.25">
      <c r="B56" s="36" t="s">
        <v>81</v>
      </c>
      <c r="C56" s="24" t="s">
        <v>87</v>
      </c>
      <c r="D56" s="24" t="s">
        <v>33</v>
      </c>
      <c r="E56" s="24">
        <v>14</v>
      </c>
      <c r="F56" s="25" t="str">
        <f>IF(Tab_mouv[[#This Row],[Type]]="Sortie",COUNTIFS(Tab_mouv[Type],"Sortie",Tab_mouv[Quantité],"&gt;"&amp;Tab_mouv[[#This Row],[Quantité]])+1,"")</f>
        <v/>
      </c>
      <c r="G56" s="25" t="str">
        <f>IF(Tab_mouv[[#This Row],[Type]]="Entrée",COUNTIFS(Tab_mouv[Type],"Entrée",Tab_mouv[Quantité],"&gt;"&amp;Tab_mouv[[#This Row],[Quantité]])+1,"")</f>
        <v/>
      </c>
      <c r="H56" s="25">
        <f>IFERROR(YEAR(Tab_mouv[[#This Row],[Date]]),"")</f>
        <v>2020</v>
      </c>
      <c r="I56" s="25" t="str">
        <f>TEXT(Tab_mouv[[#This Row],[Date]],"mmmm")</f>
        <v>mars</v>
      </c>
    </row>
    <row r="57" spans="2:9" x14ac:dyDescent="0.25">
      <c r="B57" s="36" t="s">
        <v>120</v>
      </c>
      <c r="C57" s="24" t="s">
        <v>48</v>
      </c>
      <c r="D57" s="24" t="s">
        <v>12</v>
      </c>
      <c r="E57" s="24">
        <v>581</v>
      </c>
      <c r="F57" s="25" t="str">
        <f>IF(Tab_mouv[[#This Row],[Type]]="Sortie",COUNTIFS(Tab_mouv[Type],"Sortie",Tab_mouv[Quantité],"&gt;"&amp;Tab_mouv[[#This Row],[Quantité]])+1,"")</f>
        <v/>
      </c>
      <c r="G57" s="25">
        <f>IF(Tab_mouv[[#This Row],[Type]]="Entrée",COUNTIFS(Tab_mouv[Type],"Entrée",Tab_mouv[Quantité],"&gt;"&amp;Tab_mouv[[#This Row],[Quantité]])+1,"")</f>
        <v>1</v>
      </c>
      <c r="H57" s="25">
        <f>IFERROR(YEAR(Tab_mouv[[#This Row],[Date]]),"")</f>
        <v>2021</v>
      </c>
      <c r="I57" s="25" t="str">
        <f>TEXT(Tab_mouv[[#This Row],[Date]],"mmmm")</f>
        <v>juillet</v>
      </c>
    </row>
    <row r="58" spans="2:9" x14ac:dyDescent="0.25">
      <c r="B58" s="36" t="s">
        <v>120</v>
      </c>
      <c r="C58" s="24" t="s">
        <v>48</v>
      </c>
      <c r="D58" s="24" t="s">
        <v>8</v>
      </c>
      <c r="E58" s="24">
        <v>307</v>
      </c>
      <c r="F58" s="25" t="str">
        <f>IF(Tab_mouv[[#This Row],[Type]]="Sortie",COUNTIFS(Tab_mouv[Type],"Sortie",Tab_mouv[Quantité],"&gt;"&amp;Tab_mouv[[#This Row],[Quantité]])+1,"")</f>
        <v/>
      </c>
      <c r="G58" s="25">
        <f>IF(Tab_mouv[[#This Row],[Type]]="Entrée",COUNTIFS(Tab_mouv[Type],"Entrée",Tab_mouv[Quantité],"&gt;"&amp;Tab_mouv[[#This Row],[Quantité]])+1,"")</f>
        <v>5</v>
      </c>
      <c r="H58" s="25">
        <f>IFERROR(YEAR(Tab_mouv[[#This Row],[Date]]),"")</f>
        <v>2021</v>
      </c>
      <c r="I58" s="25" t="str">
        <f>TEXT(Tab_mouv[[#This Row],[Date]],"mmmm")</f>
        <v>juillet</v>
      </c>
    </row>
    <row r="59" spans="2:9" x14ac:dyDescent="0.25">
      <c r="B59" s="36" t="s">
        <v>120</v>
      </c>
      <c r="C59" s="24" t="s">
        <v>48</v>
      </c>
      <c r="D59" s="24" t="s">
        <v>4</v>
      </c>
      <c r="E59" s="24">
        <v>26</v>
      </c>
      <c r="F59" s="25" t="str">
        <f>IF(Tab_mouv[[#This Row],[Type]]="Sortie",COUNTIFS(Tab_mouv[Type],"Sortie",Tab_mouv[Quantité],"&gt;"&amp;Tab_mouv[[#This Row],[Quantité]])+1,"")</f>
        <v/>
      </c>
      <c r="G59" s="25">
        <f>IF(Tab_mouv[[#This Row],[Type]]="Entrée",COUNTIFS(Tab_mouv[Type],"Entrée",Tab_mouv[Quantité],"&gt;"&amp;Tab_mouv[[#This Row],[Quantité]])+1,"")</f>
        <v>24</v>
      </c>
      <c r="H59" s="25">
        <f>IFERROR(YEAR(Tab_mouv[[#This Row],[Date]]),"")</f>
        <v>2021</v>
      </c>
      <c r="I59" s="25" t="str">
        <f>TEXT(Tab_mouv[[#This Row],[Date]],"mmmm")</f>
        <v>juillet</v>
      </c>
    </row>
    <row r="60" spans="2:9" x14ac:dyDescent="0.25">
      <c r="B60" s="36" t="s">
        <v>118</v>
      </c>
      <c r="C60" s="24" t="s">
        <v>48</v>
      </c>
      <c r="D60" s="24" t="s">
        <v>12</v>
      </c>
      <c r="E60" s="24">
        <v>85</v>
      </c>
      <c r="F60" s="25" t="str">
        <f>IF(Tab_mouv[[#This Row],[Type]]="Sortie",COUNTIFS(Tab_mouv[Type],"Sortie",Tab_mouv[Quantité],"&gt;"&amp;Tab_mouv[[#This Row],[Quantité]])+1,"")</f>
        <v/>
      </c>
      <c r="G60" s="25">
        <f>IF(Tab_mouv[[#This Row],[Type]]="Entrée",COUNTIFS(Tab_mouv[Type],"Entrée",Tab_mouv[Quantité],"&gt;"&amp;Tab_mouv[[#This Row],[Quantité]])+1,"")</f>
        <v>15</v>
      </c>
      <c r="H60" s="25">
        <f>IFERROR(YEAR(Tab_mouv[[#This Row],[Date]]),"")</f>
        <v>2021</v>
      </c>
      <c r="I60" s="25" t="str">
        <f>TEXT(Tab_mouv[[#This Row],[Date]],"mmmm")</f>
        <v>juin</v>
      </c>
    </row>
    <row r="61" spans="2:9" x14ac:dyDescent="0.25">
      <c r="B61" s="36" t="s">
        <v>118</v>
      </c>
      <c r="C61" s="24" t="s">
        <v>48</v>
      </c>
      <c r="D61" s="24" t="s">
        <v>14</v>
      </c>
      <c r="E61" s="24">
        <v>208</v>
      </c>
      <c r="F61" s="25" t="str">
        <f>IF(Tab_mouv[[#This Row],[Type]]="Sortie",COUNTIFS(Tab_mouv[Type],"Sortie",Tab_mouv[Quantité],"&gt;"&amp;Tab_mouv[[#This Row],[Quantité]])+1,"")</f>
        <v/>
      </c>
      <c r="G61" s="25">
        <f>IF(Tab_mouv[[#This Row],[Type]]="Entrée",COUNTIFS(Tab_mouv[Type],"Entrée",Tab_mouv[Quantité],"&gt;"&amp;Tab_mouv[[#This Row],[Quantité]])+1,"")</f>
        <v>10</v>
      </c>
      <c r="H61" s="25">
        <f>IFERROR(YEAR(Tab_mouv[[#This Row],[Date]]),"")</f>
        <v>2021</v>
      </c>
      <c r="I61" s="25" t="str">
        <f>TEXT(Tab_mouv[[#This Row],[Date]],"mmmm")</f>
        <v>juin</v>
      </c>
    </row>
    <row r="62" spans="2:9" hidden="1" x14ac:dyDescent="0.25">
      <c r="B62" s="36" t="s">
        <v>121</v>
      </c>
      <c r="C62" s="24" t="s">
        <v>48</v>
      </c>
      <c r="D62" s="24" t="s">
        <v>14</v>
      </c>
      <c r="E62" s="24">
        <v>78</v>
      </c>
      <c r="F62" s="25" t="str">
        <f>IF(Tab_mouv[[#This Row],[Type]]="Sortie",COUNTIFS(Tab_mouv[Type],"Sortie",Tab_mouv[Quantité],"&gt;"&amp;Tab_mouv[[#This Row],[Quantité]])+1,"")</f>
        <v/>
      </c>
      <c r="G62" s="25">
        <f>IF(Tab_mouv[[#This Row],[Type]]="Entrée",COUNTIFS(Tab_mouv[Type],"Entrée",Tab_mouv[Quantité],"&gt;"&amp;Tab_mouv[[#This Row],[Quantité]])+1,"")</f>
        <v>17</v>
      </c>
      <c r="H62" s="25">
        <f>IFERROR(YEAR(Tab_mouv[[#This Row],[Date]]),"")</f>
        <v>2020</v>
      </c>
      <c r="I62" s="25" t="str">
        <f>TEXT(Tab_mouv[[#This Row],[Date]],"mmmm")</f>
        <v>juin</v>
      </c>
    </row>
    <row r="63" spans="2:9" hidden="1" x14ac:dyDescent="0.25">
      <c r="B63" s="36" t="s">
        <v>121</v>
      </c>
      <c r="C63" s="24" t="s">
        <v>48</v>
      </c>
      <c r="D63" s="24" t="s">
        <v>16</v>
      </c>
      <c r="E63" s="24">
        <v>60</v>
      </c>
      <c r="F63" s="25" t="str">
        <f>IF(Tab_mouv[[#This Row],[Type]]="Sortie",COUNTIFS(Tab_mouv[Type],"Sortie",Tab_mouv[Quantité],"&gt;"&amp;Tab_mouv[[#This Row],[Quantité]])+1,"")</f>
        <v/>
      </c>
      <c r="G63" s="25">
        <f>IF(Tab_mouv[[#This Row],[Type]]="Entrée",COUNTIFS(Tab_mouv[Type],"Entrée",Tab_mouv[Quantité],"&gt;"&amp;Tab_mouv[[#This Row],[Quantité]])+1,"")</f>
        <v>18</v>
      </c>
      <c r="H63" s="25">
        <f>IFERROR(YEAR(Tab_mouv[[#This Row],[Date]]),"")</f>
        <v>2020</v>
      </c>
      <c r="I63" s="25" t="str">
        <f>TEXT(Tab_mouv[[#This Row],[Date]],"mmmm")</f>
        <v>juin</v>
      </c>
    </row>
    <row r="64" spans="2:9" hidden="1" x14ac:dyDescent="0.25">
      <c r="B64" s="36" t="s">
        <v>121</v>
      </c>
      <c r="C64" s="24" t="s">
        <v>48</v>
      </c>
      <c r="D64" s="24" t="s">
        <v>18</v>
      </c>
      <c r="E64" s="24">
        <v>24</v>
      </c>
      <c r="F64" s="25" t="str">
        <f>IF(Tab_mouv[[#This Row],[Type]]="Sortie",COUNTIFS(Tab_mouv[Type],"Sortie",Tab_mouv[Quantité],"&gt;"&amp;Tab_mouv[[#This Row],[Quantité]])+1,"")</f>
        <v/>
      </c>
      <c r="G64" s="25">
        <f>IF(Tab_mouv[[#This Row],[Type]]="Entrée",COUNTIFS(Tab_mouv[Type],"Entrée",Tab_mouv[Quantité],"&gt;"&amp;Tab_mouv[[#This Row],[Quantité]])+1,"")</f>
        <v>25</v>
      </c>
      <c r="H64" s="25">
        <f>IFERROR(YEAR(Tab_mouv[[#This Row],[Date]]),"")</f>
        <v>2020</v>
      </c>
      <c r="I64" s="25" t="str">
        <f>TEXT(Tab_mouv[[#This Row],[Date]],"mmmm")</f>
        <v>juin</v>
      </c>
    </row>
    <row r="65" spans="2:9" hidden="1" x14ac:dyDescent="0.25">
      <c r="B65" s="36" t="s">
        <v>121</v>
      </c>
      <c r="C65" s="24" t="s">
        <v>48</v>
      </c>
      <c r="D65" s="24" t="s">
        <v>20</v>
      </c>
      <c r="E65" s="24">
        <v>18</v>
      </c>
      <c r="F65" s="25" t="str">
        <f>IF(Tab_mouv[[#This Row],[Type]]="Sortie",COUNTIFS(Tab_mouv[Type],"Sortie",Tab_mouv[Quantité],"&gt;"&amp;Tab_mouv[[#This Row],[Quantité]])+1,"")</f>
        <v/>
      </c>
      <c r="G65" s="25">
        <f>IF(Tab_mouv[[#This Row],[Type]]="Entrée",COUNTIFS(Tab_mouv[Type],"Entrée",Tab_mouv[Quantité],"&gt;"&amp;Tab_mouv[[#This Row],[Quantité]])+1,"")</f>
        <v>27</v>
      </c>
      <c r="H65" s="25">
        <f>IFERROR(YEAR(Tab_mouv[[#This Row],[Date]]),"")</f>
        <v>2020</v>
      </c>
      <c r="I65" s="25" t="str">
        <f>TEXT(Tab_mouv[[#This Row],[Date]],"mmmm")</f>
        <v>juin</v>
      </c>
    </row>
    <row r="66" spans="2:9" hidden="1" x14ac:dyDescent="0.25">
      <c r="B66" s="36" t="s">
        <v>121</v>
      </c>
      <c r="C66" s="24" t="s">
        <v>48</v>
      </c>
      <c r="D66" s="24" t="s">
        <v>22</v>
      </c>
      <c r="E66" s="24">
        <v>36</v>
      </c>
      <c r="F66" s="25" t="str">
        <f>IF(Tab_mouv[[#This Row],[Type]]="Sortie",COUNTIFS(Tab_mouv[Type],"Sortie",Tab_mouv[Quantité],"&gt;"&amp;Tab_mouv[[#This Row],[Quantité]])+1,"")</f>
        <v/>
      </c>
      <c r="G66" s="25">
        <f>IF(Tab_mouv[[#This Row],[Type]]="Entrée",COUNTIFS(Tab_mouv[Type],"Entrée",Tab_mouv[Quantité],"&gt;"&amp;Tab_mouv[[#This Row],[Quantité]])+1,"")</f>
        <v>22</v>
      </c>
      <c r="H66" s="25">
        <f>IFERROR(YEAR(Tab_mouv[[#This Row],[Date]]),"")</f>
        <v>2020</v>
      </c>
      <c r="I66" s="25" t="str">
        <f>TEXT(Tab_mouv[[#This Row],[Date]],"mmmm")</f>
        <v>juin</v>
      </c>
    </row>
    <row r="67" spans="2:9" hidden="1" x14ac:dyDescent="0.25">
      <c r="B67" s="36" t="s">
        <v>121</v>
      </c>
      <c r="C67" s="24" t="s">
        <v>48</v>
      </c>
      <c r="D67" s="24" t="s">
        <v>27</v>
      </c>
      <c r="E67" s="24">
        <v>48</v>
      </c>
      <c r="F67" s="25" t="str">
        <f>IF(Tab_mouv[[#This Row],[Type]]="Sortie",COUNTIFS(Tab_mouv[Type],"Sortie",Tab_mouv[Quantité],"&gt;"&amp;Tab_mouv[[#This Row],[Quantité]])+1,"")</f>
        <v/>
      </c>
      <c r="G67" s="25">
        <f>IF(Tab_mouv[[#This Row],[Type]]="Entrée",COUNTIFS(Tab_mouv[Type],"Entrée",Tab_mouv[Quantité],"&gt;"&amp;Tab_mouv[[#This Row],[Quantité]])+1,"")</f>
        <v>20</v>
      </c>
      <c r="H67" s="25">
        <f>IFERROR(YEAR(Tab_mouv[[#This Row],[Date]]),"")</f>
        <v>2020</v>
      </c>
      <c r="I67" s="25" t="str">
        <f>TEXT(Tab_mouv[[#This Row],[Date]],"mmmm")</f>
        <v>juin</v>
      </c>
    </row>
    <row r="68" spans="2:9" x14ac:dyDescent="0.25">
      <c r="B68" s="36">
        <v>44446</v>
      </c>
      <c r="C68" s="24" t="s">
        <v>48</v>
      </c>
      <c r="D68" s="24" t="s">
        <v>8</v>
      </c>
      <c r="E68" s="24">
        <v>322</v>
      </c>
      <c r="F68" s="25" t="str">
        <f>IF(Tab_mouv[[#This Row],[Type]]="Sortie",COUNTIFS(Tab_mouv[Type],"Sortie",Tab_mouv[Quantité],"&gt;"&amp;Tab_mouv[[#This Row],[Quantité]])+1,"")</f>
        <v/>
      </c>
      <c r="G68" s="25">
        <f>IF(Tab_mouv[[#This Row],[Type]]="Entrée",COUNTIFS(Tab_mouv[Type],"Entrée",Tab_mouv[Quantité],"&gt;"&amp;Tab_mouv[[#This Row],[Quantité]])+1,"")</f>
        <v>3</v>
      </c>
      <c r="H68" s="25">
        <f>IFERROR(YEAR(Tab_mouv[[#This Row],[Date]]),"")</f>
        <v>2021</v>
      </c>
      <c r="I68" s="25" t="str">
        <f>TEXT(Tab_mouv[[#This Row],[Date]],"mmmm")</f>
        <v>septembre</v>
      </c>
    </row>
    <row r="69" spans="2:9" x14ac:dyDescent="0.25">
      <c r="B69" s="36">
        <v>44446</v>
      </c>
      <c r="C69" s="24" t="s">
        <v>48</v>
      </c>
      <c r="D69" s="24" t="s">
        <v>12</v>
      </c>
      <c r="E69" s="24">
        <v>390</v>
      </c>
      <c r="F69" s="25" t="str">
        <f>IF(Tab_mouv[[#This Row],[Type]]="Sortie",COUNTIFS(Tab_mouv[Type],"Sortie",Tab_mouv[Quantité],"&gt;"&amp;Tab_mouv[[#This Row],[Quantité]])+1,"")</f>
        <v/>
      </c>
      <c r="G69" s="25">
        <f>IF(Tab_mouv[[#This Row],[Type]]="Entrée",COUNTIFS(Tab_mouv[Type],"Entrée",Tab_mouv[Quantité],"&gt;"&amp;Tab_mouv[[#This Row],[Quantité]])+1,"")</f>
        <v>2</v>
      </c>
      <c r="H69" s="25">
        <f>IFERROR(YEAR(Tab_mouv[[#This Row],[Date]]),"")</f>
        <v>2021</v>
      </c>
      <c r="I69" s="25" t="str">
        <f>TEXT(Tab_mouv[[#This Row],[Date]],"mmmm")</f>
        <v>septembre</v>
      </c>
    </row>
    <row r="70" spans="2:9" x14ac:dyDescent="0.25">
      <c r="B70" s="36" t="s">
        <v>137</v>
      </c>
      <c r="C70" s="24" t="s">
        <v>48</v>
      </c>
      <c r="D70" s="24" t="s">
        <v>14</v>
      </c>
      <c r="E70" s="24">
        <v>52</v>
      </c>
      <c r="F70" s="25" t="str">
        <f>IF(Tab_mouv[[#This Row],[Type]]="Sortie",COUNTIFS(Tab_mouv[Type],"Sortie",Tab_mouv[Quantité],"&gt;"&amp;Tab_mouv[[#This Row],[Quantité]])+1,"")</f>
        <v/>
      </c>
      <c r="G70" s="25">
        <f>IF(Tab_mouv[[#This Row],[Type]]="Entrée",COUNTIFS(Tab_mouv[Type],"Entrée",Tab_mouv[Quantité],"&gt;"&amp;Tab_mouv[[#This Row],[Quantité]])+1,"")</f>
        <v>19</v>
      </c>
      <c r="H70" s="25">
        <f>IFERROR(YEAR(Tab_mouv[[#This Row],[Date]]),"")</f>
        <v>2021</v>
      </c>
      <c r="I70" s="25" t="str">
        <f>TEXT(Tab_mouv[[#This Row],[Date]],"mmmm")</f>
        <v>mai</v>
      </c>
    </row>
    <row r="71" spans="2:9" x14ac:dyDescent="0.25">
      <c r="B71" s="36" t="s">
        <v>118</v>
      </c>
      <c r="C71" s="24" t="s">
        <v>48</v>
      </c>
      <c r="D71" s="24" t="s">
        <v>12</v>
      </c>
      <c r="E71" s="24">
        <v>85</v>
      </c>
      <c r="F71" s="25" t="str">
        <f>IF(Tab_mouv[[#This Row],[Type]]="Sortie",COUNTIFS(Tab_mouv[Type],"Sortie",Tab_mouv[Quantité],"&gt;"&amp;Tab_mouv[[#This Row],[Quantité]])+1,"")</f>
        <v/>
      </c>
      <c r="G71" s="25">
        <f>IF(Tab_mouv[[#This Row],[Type]]="Entrée",COUNTIFS(Tab_mouv[Type],"Entrée",Tab_mouv[Quantité],"&gt;"&amp;Tab_mouv[[#This Row],[Quantité]])+1,"")</f>
        <v>15</v>
      </c>
      <c r="H71" s="25">
        <f>IFERROR(YEAR(Tab_mouv[[#This Row],[Date]]),"")</f>
        <v>2021</v>
      </c>
      <c r="I71" s="25" t="str">
        <f>TEXT(Tab_mouv[[#This Row],[Date]],"mmmm")</f>
        <v>juin</v>
      </c>
    </row>
    <row r="72" spans="2:9" x14ac:dyDescent="0.25">
      <c r="B72" s="36" t="s">
        <v>118</v>
      </c>
      <c r="C72" s="24" t="s">
        <v>48</v>
      </c>
      <c r="D72" s="24" t="s">
        <v>14</v>
      </c>
      <c r="E72" s="24">
        <v>208</v>
      </c>
      <c r="F72" s="25" t="str">
        <f>IF(Tab_mouv[[#This Row],[Type]]="Sortie",COUNTIFS(Tab_mouv[Type],"Sortie",Tab_mouv[Quantité],"&gt;"&amp;Tab_mouv[[#This Row],[Quantité]])+1,"")</f>
        <v/>
      </c>
      <c r="G72" s="25">
        <f>IF(Tab_mouv[[#This Row],[Type]]="Entrée",COUNTIFS(Tab_mouv[Type],"Entrée",Tab_mouv[Quantité],"&gt;"&amp;Tab_mouv[[#This Row],[Quantité]])+1,"")</f>
        <v>10</v>
      </c>
      <c r="H72" s="25">
        <f>IFERROR(YEAR(Tab_mouv[[#This Row],[Date]]),"")</f>
        <v>2021</v>
      </c>
      <c r="I72" s="25" t="str">
        <f>TEXT(Tab_mouv[[#This Row],[Date]],"mmmm")</f>
        <v>juin</v>
      </c>
    </row>
    <row r="73" spans="2:9" x14ac:dyDescent="0.25">
      <c r="B73" s="36" t="s">
        <v>137</v>
      </c>
      <c r="C73" s="24" t="s">
        <v>82</v>
      </c>
      <c r="D73" s="24" t="s">
        <v>12</v>
      </c>
      <c r="E73" s="24">
        <v>90</v>
      </c>
      <c r="F73" s="25">
        <f>IF(Tab_mouv[[#This Row],[Type]]="Sortie",COUNTIFS(Tab_mouv[Type],"Sortie",Tab_mouv[Quantité],"&gt;"&amp;Tab_mouv[[#This Row],[Quantité]])+1,"")</f>
        <v>14</v>
      </c>
      <c r="G73" s="25" t="str">
        <f>IF(Tab_mouv[[#This Row],[Type]]="Entrée",COUNTIFS(Tab_mouv[Type],"Entrée",Tab_mouv[Quantité],"&gt;"&amp;Tab_mouv[[#This Row],[Quantité]])+1,"")</f>
        <v/>
      </c>
      <c r="H73" s="25">
        <f>IFERROR(YEAR(Tab_mouv[[#This Row],[Date]]),"")</f>
        <v>2021</v>
      </c>
      <c r="I73" s="25" t="str">
        <f>TEXT(Tab_mouv[[#This Row],[Date]],"mmmm")</f>
        <v>mai</v>
      </c>
    </row>
    <row r="74" spans="2:9" x14ac:dyDescent="0.25">
      <c r="B74" s="36" t="s">
        <v>137</v>
      </c>
      <c r="C74" s="24" t="s">
        <v>82</v>
      </c>
      <c r="D74" s="24" t="s">
        <v>8</v>
      </c>
      <c r="E74" s="24">
        <v>45</v>
      </c>
      <c r="F74" s="25">
        <f>IF(Tab_mouv[[#This Row],[Type]]="Sortie",COUNTIFS(Tab_mouv[Type],"Sortie",Tab_mouv[Quantité],"&gt;"&amp;Tab_mouv[[#This Row],[Quantité]])+1,"")</f>
        <v>19</v>
      </c>
      <c r="G74" s="25" t="str">
        <f>IF(Tab_mouv[[#This Row],[Type]]="Entrée",COUNTIFS(Tab_mouv[Type],"Entrée",Tab_mouv[Quantité],"&gt;"&amp;Tab_mouv[[#This Row],[Quantité]])+1,"")</f>
        <v/>
      </c>
      <c r="H74" s="25">
        <f>IFERROR(YEAR(Tab_mouv[[#This Row],[Date]]),"")</f>
        <v>2021</v>
      </c>
      <c r="I74" s="25" t="str">
        <f>TEXT(Tab_mouv[[#This Row],[Date]],"mmmm")</f>
        <v>mai</v>
      </c>
    </row>
    <row r="75" spans="2:9" x14ac:dyDescent="0.25">
      <c r="B75" s="36" t="s">
        <v>137</v>
      </c>
      <c r="C75" s="24" t="s">
        <v>82</v>
      </c>
      <c r="D75" s="24" t="s">
        <v>14</v>
      </c>
      <c r="E75" s="24">
        <v>26</v>
      </c>
      <c r="F75" s="25">
        <f>IF(Tab_mouv[[#This Row],[Type]]="Sortie",COUNTIFS(Tab_mouv[Type],"Sortie",Tab_mouv[Quantité],"&gt;"&amp;Tab_mouv[[#This Row],[Quantité]])+1,"")</f>
        <v>23</v>
      </c>
      <c r="G75" s="25" t="str">
        <f>IF(Tab_mouv[[#This Row],[Type]]="Entrée",COUNTIFS(Tab_mouv[Type],"Entrée",Tab_mouv[Quantité],"&gt;"&amp;Tab_mouv[[#This Row],[Quantité]])+1,"")</f>
        <v/>
      </c>
      <c r="H75" s="25">
        <f>IFERROR(YEAR(Tab_mouv[[#This Row],[Date]]),"")</f>
        <v>2021</v>
      </c>
      <c r="I75" s="25" t="str">
        <f>TEXT(Tab_mouv[[#This Row],[Date]],"mmmm")</f>
        <v>mai</v>
      </c>
    </row>
    <row r="76" spans="2:9" x14ac:dyDescent="0.25">
      <c r="B76" s="36" t="s">
        <v>137</v>
      </c>
      <c r="C76" s="24" t="s">
        <v>82</v>
      </c>
      <c r="D76" s="24" t="s">
        <v>22</v>
      </c>
      <c r="E76" s="24">
        <v>12</v>
      </c>
      <c r="F76" s="25">
        <f>IF(Tab_mouv[[#This Row],[Type]]="Sortie",COUNTIFS(Tab_mouv[Type],"Sortie",Tab_mouv[Quantité],"&gt;"&amp;Tab_mouv[[#This Row],[Quantité]])+1,"")</f>
        <v>31</v>
      </c>
      <c r="G76" s="25" t="str">
        <f>IF(Tab_mouv[[#This Row],[Type]]="Entrée",COUNTIFS(Tab_mouv[Type],"Entrée",Tab_mouv[Quantité],"&gt;"&amp;Tab_mouv[[#This Row],[Quantité]])+1,"")</f>
        <v/>
      </c>
      <c r="H76" s="25">
        <f>IFERROR(YEAR(Tab_mouv[[#This Row],[Date]]),"")</f>
        <v>2021</v>
      </c>
      <c r="I76" s="25" t="str">
        <f>TEXT(Tab_mouv[[#This Row],[Date]],"mmmm")</f>
        <v>mai</v>
      </c>
    </row>
    <row r="77" spans="2:9" x14ac:dyDescent="0.25">
      <c r="B77" s="36" t="s">
        <v>137</v>
      </c>
      <c r="C77" s="24" t="s">
        <v>82</v>
      </c>
      <c r="D77" s="24" t="s">
        <v>16</v>
      </c>
      <c r="E77" s="24">
        <v>12</v>
      </c>
      <c r="F77" s="25">
        <f>IF(Tab_mouv[[#This Row],[Type]]="Sortie",COUNTIFS(Tab_mouv[Type],"Sortie",Tab_mouv[Quantité],"&gt;"&amp;Tab_mouv[[#This Row],[Quantité]])+1,"")</f>
        <v>31</v>
      </c>
      <c r="G77" s="25" t="str">
        <f>IF(Tab_mouv[[#This Row],[Type]]="Entrée",COUNTIFS(Tab_mouv[Type],"Entrée",Tab_mouv[Quantité],"&gt;"&amp;Tab_mouv[[#This Row],[Quantité]])+1,"")</f>
        <v/>
      </c>
      <c r="H77" s="25">
        <f>IFERROR(YEAR(Tab_mouv[[#This Row],[Date]]),"")</f>
        <v>2021</v>
      </c>
      <c r="I77" s="25" t="str">
        <f>TEXT(Tab_mouv[[#This Row],[Date]],"mmmm")</f>
        <v>mai</v>
      </c>
    </row>
    <row r="78" spans="2:9" x14ac:dyDescent="0.25">
      <c r="B78" s="36" t="s">
        <v>137</v>
      </c>
      <c r="C78" s="24" t="s">
        <v>82</v>
      </c>
      <c r="D78" s="24" t="s">
        <v>10</v>
      </c>
      <c r="E78" s="24">
        <v>30</v>
      </c>
      <c r="F78" s="25">
        <f>IF(Tab_mouv[[#This Row],[Type]]="Sortie",COUNTIFS(Tab_mouv[Type],"Sortie",Tab_mouv[Quantité],"&gt;"&amp;Tab_mouv[[#This Row],[Quantité]])+1,"")</f>
        <v>21</v>
      </c>
      <c r="G78" s="25" t="str">
        <f>IF(Tab_mouv[[#This Row],[Type]]="Entrée",COUNTIFS(Tab_mouv[Type],"Entrée",Tab_mouv[Quantité],"&gt;"&amp;Tab_mouv[[#This Row],[Quantité]])+1,"")</f>
        <v/>
      </c>
      <c r="H78" s="25">
        <f>IFERROR(YEAR(Tab_mouv[[#This Row],[Date]]),"")</f>
        <v>2021</v>
      </c>
      <c r="I78" s="25" t="str">
        <f>TEXT(Tab_mouv[[#This Row],[Date]],"mmmm")</f>
        <v>mai</v>
      </c>
    </row>
    <row r="79" spans="2:9" x14ac:dyDescent="0.25">
      <c r="B79" s="36" t="s">
        <v>118</v>
      </c>
      <c r="C79" s="24" t="s">
        <v>82</v>
      </c>
      <c r="D79" s="24" t="s">
        <v>12</v>
      </c>
      <c r="E79" s="24">
        <v>320</v>
      </c>
      <c r="F79" s="25">
        <f>IF(Tab_mouv[[#This Row],[Type]]="Sortie",COUNTIFS(Tab_mouv[Type],"Sortie",Tab_mouv[Quantité],"&gt;"&amp;Tab_mouv[[#This Row],[Quantité]])+1,"")</f>
        <v>1</v>
      </c>
      <c r="G79" s="25" t="str">
        <f>IF(Tab_mouv[[#This Row],[Type]]="Entrée",COUNTIFS(Tab_mouv[Type],"Entrée",Tab_mouv[Quantité],"&gt;"&amp;Tab_mouv[[#This Row],[Quantité]])+1,"")</f>
        <v/>
      </c>
      <c r="H79" s="25">
        <f>IFERROR(YEAR(Tab_mouv[[#This Row],[Date]]),"")</f>
        <v>2021</v>
      </c>
      <c r="I79" s="25" t="str">
        <f>TEXT(Tab_mouv[[#This Row],[Date]],"mmmm")</f>
        <v>juin</v>
      </c>
    </row>
    <row r="80" spans="2:9" x14ac:dyDescent="0.25">
      <c r="B80" s="36" t="s">
        <v>118</v>
      </c>
      <c r="C80" s="24" t="s">
        <v>82</v>
      </c>
      <c r="D80" s="24" t="s">
        <v>8</v>
      </c>
      <c r="E80" s="24">
        <v>95</v>
      </c>
      <c r="F80" s="25">
        <f>IF(Tab_mouv[[#This Row],[Type]]="Sortie",COUNTIFS(Tab_mouv[Type],"Sortie",Tab_mouv[Quantité],"&gt;"&amp;Tab_mouv[[#This Row],[Quantité]])+1,"")</f>
        <v>12</v>
      </c>
      <c r="G80" s="25" t="str">
        <f>IF(Tab_mouv[[#This Row],[Type]]="Entrée",COUNTIFS(Tab_mouv[Type],"Entrée",Tab_mouv[Quantité],"&gt;"&amp;Tab_mouv[[#This Row],[Quantité]])+1,"")</f>
        <v/>
      </c>
      <c r="H80" s="25">
        <f>IFERROR(YEAR(Tab_mouv[[#This Row],[Date]]),"")</f>
        <v>2021</v>
      </c>
      <c r="I80" s="25" t="str">
        <f>TEXT(Tab_mouv[[#This Row],[Date]],"mmmm")</f>
        <v>juin</v>
      </c>
    </row>
    <row r="81" spans="2:9" x14ac:dyDescent="0.25">
      <c r="B81" s="36" t="s">
        <v>118</v>
      </c>
      <c r="C81" s="24" t="s">
        <v>82</v>
      </c>
      <c r="D81" s="24" t="s">
        <v>14</v>
      </c>
      <c r="E81" s="24">
        <v>130</v>
      </c>
      <c r="F81" s="25">
        <f>IF(Tab_mouv[[#This Row],[Type]]="Sortie",COUNTIFS(Tab_mouv[Type],"Sortie",Tab_mouv[Quantité],"&gt;"&amp;Tab_mouv[[#This Row],[Quantité]])+1,"")</f>
        <v>7</v>
      </c>
      <c r="G81" s="25" t="str">
        <f>IF(Tab_mouv[[#This Row],[Type]]="Entrée",COUNTIFS(Tab_mouv[Type],"Entrée",Tab_mouv[Quantité],"&gt;"&amp;Tab_mouv[[#This Row],[Quantité]])+1,"")</f>
        <v/>
      </c>
      <c r="H81" s="25">
        <f>IFERROR(YEAR(Tab_mouv[[#This Row],[Date]]),"")</f>
        <v>2021</v>
      </c>
      <c r="I81" s="25" t="str">
        <f>TEXT(Tab_mouv[[#This Row],[Date]],"mmmm")</f>
        <v>juin</v>
      </c>
    </row>
    <row r="82" spans="2:9" x14ac:dyDescent="0.25">
      <c r="B82" s="36" t="s">
        <v>118</v>
      </c>
      <c r="C82" s="24" t="s">
        <v>82</v>
      </c>
      <c r="D82" s="24" t="s">
        <v>22</v>
      </c>
      <c r="E82" s="24">
        <v>12</v>
      </c>
      <c r="F82" s="25">
        <f>IF(Tab_mouv[[#This Row],[Type]]="Sortie",COUNTIFS(Tab_mouv[Type],"Sortie",Tab_mouv[Quantité],"&gt;"&amp;Tab_mouv[[#This Row],[Quantité]])+1,"")</f>
        <v>31</v>
      </c>
      <c r="G82" s="25" t="str">
        <f>IF(Tab_mouv[[#This Row],[Type]]="Entrée",COUNTIFS(Tab_mouv[Type],"Entrée",Tab_mouv[Quantité],"&gt;"&amp;Tab_mouv[[#This Row],[Quantité]])+1,"")</f>
        <v/>
      </c>
      <c r="H82" s="25">
        <f>IFERROR(YEAR(Tab_mouv[[#This Row],[Date]]),"")</f>
        <v>2021</v>
      </c>
      <c r="I82" s="25" t="str">
        <f>TEXT(Tab_mouv[[#This Row],[Date]],"mmmm")</f>
        <v>juin</v>
      </c>
    </row>
    <row r="83" spans="2:9" x14ac:dyDescent="0.25">
      <c r="B83" s="36" t="s">
        <v>118</v>
      </c>
      <c r="C83" s="24" t="s">
        <v>82</v>
      </c>
      <c r="D83" s="24" t="s">
        <v>27</v>
      </c>
      <c r="E83" s="24">
        <v>12</v>
      </c>
      <c r="F83" s="25">
        <f>IF(Tab_mouv[[#This Row],[Type]]="Sortie",COUNTIFS(Tab_mouv[Type],"Sortie",Tab_mouv[Quantité],"&gt;"&amp;Tab_mouv[[#This Row],[Quantité]])+1,"")</f>
        <v>31</v>
      </c>
      <c r="G83" s="25" t="str">
        <f>IF(Tab_mouv[[#This Row],[Type]]="Entrée",COUNTIFS(Tab_mouv[Type],"Entrée",Tab_mouv[Quantité],"&gt;"&amp;Tab_mouv[[#This Row],[Quantité]])+1,"")</f>
        <v/>
      </c>
      <c r="H83" s="25">
        <f>IFERROR(YEAR(Tab_mouv[[#This Row],[Date]]),"")</f>
        <v>2021</v>
      </c>
      <c r="I83" s="25" t="str">
        <f>TEXT(Tab_mouv[[#This Row],[Date]],"mmmm")</f>
        <v>juin</v>
      </c>
    </row>
    <row r="84" spans="2:9" x14ac:dyDescent="0.25">
      <c r="B84" s="36" t="s">
        <v>120</v>
      </c>
      <c r="C84" s="24" t="s">
        <v>82</v>
      </c>
      <c r="D84" s="24" t="s">
        <v>12</v>
      </c>
      <c r="E84" s="24">
        <v>226</v>
      </c>
      <c r="F84" s="25">
        <f>IF(Tab_mouv[[#This Row],[Type]]="Sortie",COUNTIFS(Tab_mouv[Type],"Sortie",Tab_mouv[Quantité],"&gt;"&amp;Tab_mouv[[#This Row],[Quantité]])+1,"")</f>
        <v>2</v>
      </c>
      <c r="G84" s="25" t="str">
        <f>IF(Tab_mouv[[#This Row],[Type]]="Entrée",COUNTIFS(Tab_mouv[Type],"Entrée",Tab_mouv[Quantité],"&gt;"&amp;Tab_mouv[[#This Row],[Quantité]])+1,"")</f>
        <v/>
      </c>
      <c r="H84" s="25">
        <f>IFERROR(YEAR(Tab_mouv[[#This Row],[Date]]),"")</f>
        <v>2021</v>
      </c>
      <c r="I84" s="25" t="str">
        <f>TEXT(Tab_mouv[[#This Row],[Date]],"mmmm")</f>
        <v>juillet</v>
      </c>
    </row>
    <row r="85" spans="2:9" x14ac:dyDescent="0.25">
      <c r="B85" s="36" t="s">
        <v>120</v>
      </c>
      <c r="C85" s="24" t="s">
        <v>82</v>
      </c>
      <c r="D85" s="24" t="s">
        <v>8</v>
      </c>
      <c r="E85" s="24">
        <v>153</v>
      </c>
      <c r="F85" s="25">
        <f>IF(Tab_mouv[[#This Row],[Type]]="Sortie",COUNTIFS(Tab_mouv[Type],"Sortie",Tab_mouv[Quantité],"&gt;"&amp;Tab_mouv[[#This Row],[Quantité]])+1,"")</f>
        <v>5</v>
      </c>
      <c r="G85" s="25" t="str">
        <f>IF(Tab_mouv[[#This Row],[Type]]="Entrée",COUNTIFS(Tab_mouv[Type],"Entrée",Tab_mouv[Quantité],"&gt;"&amp;Tab_mouv[[#This Row],[Quantité]])+1,"")</f>
        <v/>
      </c>
      <c r="H85" s="25">
        <f>IFERROR(YEAR(Tab_mouv[[#This Row],[Date]]),"")</f>
        <v>2021</v>
      </c>
      <c r="I85" s="25" t="str">
        <f>TEXT(Tab_mouv[[#This Row],[Date]],"mmmm")</f>
        <v>juillet</v>
      </c>
    </row>
    <row r="86" spans="2:9" x14ac:dyDescent="0.25">
      <c r="B86" s="36" t="s">
        <v>120</v>
      </c>
      <c r="C86" s="24" t="s">
        <v>82</v>
      </c>
      <c r="D86" s="24" t="s">
        <v>4</v>
      </c>
      <c r="E86" s="24">
        <v>10</v>
      </c>
      <c r="F86" s="25">
        <f>IF(Tab_mouv[[#This Row],[Type]]="Sortie",COUNTIFS(Tab_mouv[Type],"Sortie",Tab_mouv[Quantité],"&gt;"&amp;Tab_mouv[[#This Row],[Quantité]])+1,"")</f>
        <v>38</v>
      </c>
      <c r="G86" s="25" t="str">
        <f>IF(Tab_mouv[[#This Row],[Type]]="Entrée",COUNTIFS(Tab_mouv[Type],"Entrée",Tab_mouv[Quantité],"&gt;"&amp;Tab_mouv[[#This Row],[Quantité]])+1,"")</f>
        <v/>
      </c>
      <c r="H86" s="25">
        <f>IFERROR(YEAR(Tab_mouv[[#This Row],[Date]]),"")</f>
        <v>2021</v>
      </c>
      <c r="I86" s="25" t="str">
        <f>TEXT(Tab_mouv[[#This Row],[Date]],"mmmm")</f>
        <v>juillet</v>
      </c>
    </row>
    <row r="87" spans="2:9" x14ac:dyDescent="0.25">
      <c r="B87" s="36" t="s">
        <v>120</v>
      </c>
      <c r="C87" s="24" t="s">
        <v>82</v>
      </c>
      <c r="D87" s="24" t="s">
        <v>14</v>
      </c>
      <c r="E87" s="24">
        <v>104</v>
      </c>
      <c r="F87" s="25">
        <f>IF(Tab_mouv[[#This Row],[Type]]="Sortie",COUNTIFS(Tab_mouv[Type],"Sortie",Tab_mouv[Quantité],"&gt;"&amp;Tab_mouv[[#This Row],[Quantité]])+1,"")</f>
        <v>9</v>
      </c>
      <c r="G87" s="25" t="str">
        <f>IF(Tab_mouv[[#This Row],[Type]]="Entrée",COUNTIFS(Tab_mouv[Type],"Entrée",Tab_mouv[Quantité],"&gt;"&amp;Tab_mouv[[#This Row],[Quantité]])+1,"")</f>
        <v/>
      </c>
      <c r="H87" s="25">
        <f>IFERROR(YEAR(Tab_mouv[[#This Row],[Date]]),"")</f>
        <v>2021</v>
      </c>
      <c r="I87" s="25" t="str">
        <f>TEXT(Tab_mouv[[#This Row],[Date]],"mmmm")</f>
        <v>juillet</v>
      </c>
    </row>
    <row r="88" spans="2:9" x14ac:dyDescent="0.25">
      <c r="B88" s="36" t="s">
        <v>120</v>
      </c>
      <c r="C88" s="24" t="s">
        <v>82</v>
      </c>
      <c r="D88" s="24" t="s">
        <v>22</v>
      </c>
      <c r="E88" s="24">
        <v>12</v>
      </c>
      <c r="F88" s="25">
        <f>IF(Tab_mouv[[#This Row],[Type]]="Sortie",COUNTIFS(Tab_mouv[Type],"Sortie",Tab_mouv[Quantité],"&gt;"&amp;Tab_mouv[[#This Row],[Quantité]])+1,"")</f>
        <v>31</v>
      </c>
      <c r="G88" s="25" t="str">
        <f>IF(Tab_mouv[[#This Row],[Type]]="Entrée",COUNTIFS(Tab_mouv[Type],"Entrée",Tab_mouv[Quantité],"&gt;"&amp;Tab_mouv[[#This Row],[Quantité]])+1,"")</f>
        <v/>
      </c>
      <c r="H88" s="25">
        <f>IFERROR(YEAR(Tab_mouv[[#This Row],[Date]]),"")</f>
        <v>2021</v>
      </c>
      <c r="I88" s="25" t="str">
        <f>TEXT(Tab_mouv[[#This Row],[Date]],"mmmm")</f>
        <v>juillet</v>
      </c>
    </row>
    <row r="89" spans="2:9" x14ac:dyDescent="0.25">
      <c r="B89" s="36" t="s">
        <v>120</v>
      </c>
      <c r="C89" s="24" t="s">
        <v>82</v>
      </c>
      <c r="D89" s="24" t="s">
        <v>16</v>
      </c>
      <c r="E89" s="24">
        <v>30</v>
      </c>
      <c r="F89" s="25">
        <f>IF(Tab_mouv[[#This Row],[Type]]="Sortie",COUNTIFS(Tab_mouv[Type],"Sortie",Tab_mouv[Quantité],"&gt;"&amp;Tab_mouv[[#This Row],[Quantité]])+1,"")</f>
        <v>21</v>
      </c>
      <c r="G89" s="25" t="str">
        <f>IF(Tab_mouv[[#This Row],[Type]]="Entrée",COUNTIFS(Tab_mouv[Type],"Entrée",Tab_mouv[Quantité],"&gt;"&amp;Tab_mouv[[#This Row],[Quantité]])+1,"")</f>
        <v/>
      </c>
      <c r="H89" s="25">
        <f>IFERROR(YEAR(Tab_mouv[[#This Row],[Date]]),"")</f>
        <v>2021</v>
      </c>
      <c r="I89" s="25" t="str">
        <f>TEXT(Tab_mouv[[#This Row],[Date]],"mmmm")</f>
        <v>juillet</v>
      </c>
    </row>
    <row r="90" spans="2:9" x14ac:dyDescent="0.25">
      <c r="B90" s="36" t="s">
        <v>138</v>
      </c>
      <c r="C90" s="24" t="s">
        <v>48</v>
      </c>
      <c r="D90" s="24" t="s">
        <v>14</v>
      </c>
      <c r="E90" s="24">
        <v>104</v>
      </c>
      <c r="F90" s="25" t="str">
        <f>IF(Tab_mouv[[#This Row],[Type]]="Sortie",COUNTIFS(Tab_mouv[Type],"Sortie",Tab_mouv[Quantité],"&gt;"&amp;Tab_mouv[[#This Row],[Quantité]])+1,"")</f>
        <v/>
      </c>
      <c r="G90" s="25">
        <f>IF(Tab_mouv[[#This Row],[Type]]="Entrée",COUNTIFS(Tab_mouv[Type],"Entrée",Tab_mouv[Quantité],"&gt;"&amp;Tab_mouv[[#This Row],[Quantité]])+1,"")</f>
        <v>14</v>
      </c>
      <c r="H90" s="25">
        <f>IFERROR(YEAR(Tab_mouv[[#This Row],[Date]]),"")</f>
        <v>2021</v>
      </c>
      <c r="I90" s="25" t="str">
        <f>TEXT(Tab_mouv[[#This Row],[Date]],"mmmm")</f>
        <v>août</v>
      </c>
    </row>
    <row r="91" spans="2:9" x14ac:dyDescent="0.25">
      <c r="B91" s="36" t="s">
        <v>138</v>
      </c>
      <c r="C91" s="24" t="s">
        <v>48</v>
      </c>
      <c r="D91" s="24" t="s">
        <v>16</v>
      </c>
      <c r="E91" s="24">
        <v>12</v>
      </c>
      <c r="F91" s="25" t="str">
        <f>IF(Tab_mouv[[#This Row],[Type]]="Sortie",COUNTIFS(Tab_mouv[Type],"Sortie",Tab_mouv[Quantité],"&gt;"&amp;Tab_mouv[[#This Row],[Quantité]])+1,"")</f>
        <v/>
      </c>
      <c r="G91" s="25">
        <f>IF(Tab_mouv[[#This Row],[Type]]="Entrée",COUNTIFS(Tab_mouv[Type],"Entrée",Tab_mouv[Quantité],"&gt;"&amp;Tab_mouv[[#This Row],[Quantité]])+1,"")</f>
        <v>30</v>
      </c>
      <c r="H91" s="25">
        <f>IFERROR(YEAR(Tab_mouv[[#This Row],[Date]]),"")</f>
        <v>2021</v>
      </c>
      <c r="I91" s="25" t="str">
        <f>TEXT(Tab_mouv[[#This Row],[Date]],"mmmm")</f>
        <v>août</v>
      </c>
    </row>
    <row r="92" spans="2:9" x14ac:dyDescent="0.25">
      <c r="B92" s="36" t="s">
        <v>138</v>
      </c>
      <c r="C92" s="24" t="s">
        <v>48</v>
      </c>
      <c r="D92" s="24" t="s">
        <v>22</v>
      </c>
      <c r="E92" s="24">
        <v>18</v>
      </c>
      <c r="F92" s="25" t="str">
        <f>IF(Tab_mouv[[#This Row],[Type]]="Sortie",COUNTIFS(Tab_mouv[Type],"Sortie",Tab_mouv[Quantité],"&gt;"&amp;Tab_mouv[[#This Row],[Quantité]])+1,"")</f>
        <v/>
      </c>
      <c r="G92" s="25">
        <f>IF(Tab_mouv[[#This Row],[Type]]="Entrée",COUNTIFS(Tab_mouv[Type],"Entrée",Tab_mouv[Quantité],"&gt;"&amp;Tab_mouv[[#This Row],[Quantité]])+1,"")</f>
        <v>27</v>
      </c>
      <c r="H92" s="25">
        <f>IFERROR(YEAR(Tab_mouv[[#This Row],[Date]]),"")</f>
        <v>2021</v>
      </c>
      <c r="I92" s="25" t="str">
        <f>TEXT(Tab_mouv[[#This Row],[Date]],"mmmm")</f>
        <v>août</v>
      </c>
    </row>
  </sheetData>
  <dataValidations count="1">
    <dataValidation type="list" allowBlank="1" showInputMessage="1" showErrorMessage="1" sqref="C6:C92" xr:uid="{00000000-0002-0000-0200-000000000000}">
      <formula1>Mouvement</formula1>
    </dataValidation>
  </dataValidations>
  <pageMargins left="0.7" right="0.7" top="0.75" bottom="0.75" header="0.3" footer="0.3"/>
  <pageSetup paperSize="9" orientation="portrait" horizontalDpi="0" verticalDpi="0" r:id="rId1"/>
  <drawing r:id="rId2"/>
  <legacyDrawing r:id="rId3"/>
  <controls>
    <mc:AlternateContent xmlns:mc="http://schemas.openxmlformats.org/markup-compatibility/2006">
      <mc:Choice Requires="x14">
        <control shapeId="4098" r:id="rId4" name="BtnAjoutMouv">
          <controlPr defaultSize="0" autoLine="0" r:id="rId5">
            <anchor moveWithCells="1">
              <from>
                <xdr:col>0</xdr:col>
                <xdr:colOff>742950</xdr:colOff>
                <xdr:row>2</xdr:row>
                <xdr:rowOff>19050</xdr:rowOff>
              </from>
              <to>
                <xdr:col>1</xdr:col>
                <xdr:colOff>742950</xdr:colOff>
                <xdr:row>3</xdr:row>
                <xdr:rowOff>152400</xdr:rowOff>
              </to>
            </anchor>
          </controlPr>
        </control>
      </mc:Choice>
      <mc:Fallback>
        <control shapeId="4098" r:id="rId4" name="BtnAjoutMouv"/>
      </mc:Fallback>
    </mc:AlternateContent>
  </controls>
  <tableParts count="1">
    <tablePart r:id="rId6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rId7"/>
      </x14:slicerList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69D4C9B-C695-45B8-83D8-D2C0C5EE7C06}">
  <sheetPr codeName="Feuil9"/>
  <dimension ref="B8:E17"/>
  <sheetViews>
    <sheetView workbookViewId="0">
      <selection activeCell="B10" sqref="B10:B17"/>
    </sheetView>
  </sheetViews>
  <sheetFormatPr baseColWidth="10" defaultRowHeight="15" x14ac:dyDescent="0.25"/>
  <cols>
    <col min="2" max="2" width="21" bestFit="1" customWidth="1"/>
    <col min="3" max="3" width="23.85546875" bestFit="1" customWidth="1"/>
    <col min="4" max="4" width="6.28515625" bestFit="1" customWidth="1"/>
    <col min="5" max="7" width="12.5703125" bestFit="1" customWidth="1"/>
  </cols>
  <sheetData>
    <row r="8" spans="2:5" x14ac:dyDescent="0.25">
      <c r="B8" s="19" t="s">
        <v>135</v>
      </c>
      <c r="C8" s="19" t="s">
        <v>136</v>
      </c>
    </row>
    <row r="9" spans="2:5" x14ac:dyDescent="0.25">
      <c r="B9" s="19" t="s">
        <v>78</v>
      </c>
      <c r="C9" s="1" t="s">
        <v>48</v>
      </c>
      <c r="D9" s="1" t="s">
        <v>82</v>
      </c>
      <c r="E9" s="1" t="s">
        <v>134</v>
      </c>
    </row>
    <row r="10" spans="2:5" x14ac:dyDescent="0.25">
      <c r="B10" s="20" t="s">
        <v>14</v>
      </c>
      <c r="C10" s="21">
        <v>572</v>
      </c>
      <c r="D10" s="21">
        <v>260</v>
      </c>
      <c r="E10" s="21">
        <v>832</v>
      </c>
    </row>
    <row r="11" spans="2:5" x14ac:dyDescent="0.25">
      <c r="B11" s="20" t="s">
        <v>4</v>
      </c>
      <c r="C11" s="21">
        <v>26</v>
      </c>
      <c r="D11" s="21">
        <v>10</v>
      </c>
      <c r="E11" s="21">
        <v>36</v>
      </c>
    </row>
    <row r="12" spans="2:5" x14ac:dyDescent="0.25">
      <c r="B12" s="20" t="s">
        <v>22</v>
      </c>
      <c r="C12" s="21">
        <v>18</v>
      </c>
      <c r="D12" s="21">
        <v>36</v>
      </c>
      <c r="E12" s="21">
        <v>54</v>
      </c>
    </row>
    <row r="13" spans="2:5" x14ac:dyDescent="0.25">
      <c r="B13" s="20" t="s">
        <v>27</v>
      </c>
      <c r="C13" s="21"/>
      <c r="D13" s="21">
        <v>12</v>
      </c>
      <c r="E13" s="21">
        <v>12</v>
      </c>
    </row>
    <row r="14" spans="2:5" x14ac:dyDescent="0.25">
      <c r="B14" s="20" t="s">
        <v>16</v>
      </c>
      <c r="C14" s="21">
        <v>12</v>
      </c>
      <c r="D14" s="21">
        <v>42</v>
      </c>
      <c r="E14" s="21">
        <v>54</v>
      </c>
    </row>
    <row r="15" spans="2:5" x14ac:dyDescent="0.25">
      <c r="B15" s="20" t="s">
        <v>8</v>
      </c>
      <c r="C15" s="21">
        <v>629</v>
      </c>
      <c r="D15" s="21">
        <v>293</v>
      </c>
      <c r="E15" s="21">
        <v>922</v>
      </c>
    </row>
    <row r="16" spans="2:5" x14ac:dyDescent="0.25">
      <c r="B16" s="20" t="s">
        <v>12</v>
      </c>
      <c r="C16" s="21">
        <v>1141</v>
      </c>
      <c r="D16" s="21">
        <v>636</v>
      </c>
      <c r="E16" s="21">
        <v>1777</v>
      </c>
    </row>
    <row r="17" spans="2:5" x14ac:dyDescent="0.25">
      <c r="B17" s="20" t="s">
        <v>10</v>
      </c>
      <c r="C17" s="21"/>
      <c r="D17" s="21">
        <v>30</v>
      </c>
      <c r="E17" s="21">
        <v>30</v>
      </c>
    </row>
  </sheetData>
  <pageMargins left="0.7" right="0.7" top="0.75" bottom="0.75" header="0.3" footer="0.3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5"/>
  <dimension ref="A1:G23"/>
  <sheetViews>
    <sheetView showGridLines="0" workbookViewId="0">
      <selection activeCell="B9" sqref="B9"/>
    </sheetView>
  </sheetViews>
  <sheetFormatPr baseColWidth="10" defaultRowHeight="15" x14ac:dyDescent="0.25"/>
  <cols>
    <col min="1" max="1" width="13.7109375" bestFit="1" customWidth="1"/>
    <col min="5" max="5" width="15" bestFit="1" customWidth="1"/>
    <col min="7" max="7" width="14.140625" customWidth="1"/>
  </cols>
  <sheetData>
    <row r="1" spans="1:7" ht="48.75" customHeight="1" x14ac:dyDescent="0.25"/>
    <row r="3" spans="1:7" x14ac:dyDescent="0.25">
      <c r="A3" s="1" t="s">
        <v>0</v>
      </c>
      <c r="B3" s="1" t="s">
        <v>1</v>
      </c>
      <c r="C3" s="1" t="s">
        <v>2</v>
      </c>
      <c r="D3" s="1"/>
      <c r="E3" s="1" t="s">
        <v>3</v>
      </c>
      <c r="G3" t="s">
        <v>74</v>
      </c>
    </row>
    <row r="4" spans="1:7" x14ac:dyDescent="0.25">
      <c r="A4" t="s">
        <v>4</v>
      </c>
      <c r="B4" s="2">
        <v>1.98</v>
      </c>
      <c r="C4" s="2">
        <v>3</v>
      </c>
      <c r="D4" s="2"/>
      <c r="E4" t="s">
        <v>5</v>
      </c>
      <c r="G4" t="s">
        <v>48</v>
      </c>
    </row>
    <row r="5" spans="1:7" x14ac:dyDescent="0.25">
      <c r="A5" t="s">
        <v>6</v>
      </c>
      <c r="B5" s="2">
        <v>3</v>
      </c>
      <c r="C5" s="2">
        <v>3</v>
      </c>
      <c r="D5" s="2"/>
      <c r="E5" t="s">
        <v>7</v>
      </c>
      <c r="G5" t="s">
        <v>82</v>
      </c>
    </row>
    <row r="6" spans="1:7" x14ac:dyDescent="0.25">
      <c r="A6" t="s">
        <v>8</v>
      </c>
      <c r="B6" s="2">
        <v>1.98</v>
      </c>
      <c r="C6" s="2">
        <v>3</v>
      </c>
      <c r="D6" s="2"/>
      <c r="E6" t="s">
        <v>9</v>
      </c>
      <c r="G6" t="s">
        <v>83</v>
      </c>
    </row>
    <row r="7" spans="1:7" x14ac:dyDescent="0.25">
      <c r="A7" t="s">
        <v>10</v>
      </c>
      <c r="B7" s="2">
        <v>2.25</v>
      </c>
      <c r="C7" s="2">
        <v>3</v>
      </c>
      <c r="D7" s="2"/>
      <c r="E7" t="s">
        <v>11</v>
      </c>
      <c r="G7" t="s">
        <v>133</v>
      </c>
    </row>
    <row r="8" spans="1:7" x14ac:dyDescent="0.25">
      <c r="A8" t="s">
        <v>12</v>
      </c>
      <c r="B8" s="2">
        <v>1.6</v>
      </c>
      <c r="C8" s="2">
        <v>3</v>
      </c>
      <c r="D8" s="2"/>
      <c r="E8" t="s">
        <v>13</v>
      </c>
    </row>
    <row r="9" spans="1:7" x14ac:dyDescent="0.25">
      <c r="A9" t="s">
        <v>14</v>
      </c>
      <c r="B9" s="2">
        <v>0.42</v>
      </c>
      <c r="C9" s="2">
        <v>1.5</v>
      </c>
      <c r="D9" s="2"/>
      <c r="E9" t="s">
        <v>15</v>
      </c>
    </row>
    <row r="10" spans="1:7" x14ac:dyDescent="0.25">
      <c r="A10" t="s">
        <v>16</v>
      </c>
      <c r="B10" s="2">
        <v>0.3</v>
      </c>
      <c r="C10" s="2">
        <v>1.5</v>
      </c>
      <c r="D10" s="2"/>
      <c r="E10" t="s">
        <v>17</v>
      </c>
    </row>
    <row r="11" spans="1:7" x14ac:dyDescent="0.25">
      <c r="A11" t="s">
        <v>18</v>
      </c>
      <c r="B11" s="2">
        <v>0.53</v>
      </c>
      <c r="C11" s="2">
        <v>1.5</v>
      </c>
      <c r="D11" s="2"/>
      <c r="E11" t="s">
        <v>19</v>
      </c>
    </row>
    <row r="12" spans="1:7" x14ac:dyDescent="0.25">
      <c r="A12" t="s">
        <v>20</v>
      </c>
      <c r="B12" s="2">
        <v>0.36</v>
      </c>
      <c r="C12" s="2">
        <v>1.5</v>
      </c>
      <c r="D12" s="2"/>
      <c r="E12" t="s">
        <v>21</v>
      </c>
    </row>
    <row r="13" spans="1:7" x14ac:dyDescent="0.25">
      <c r="A13" t="s">
        <v>22</v>
      </c>
      <c r="B13" s="2">
        <v>0.13</v>
      </c>
      <c r="C13" s="2">
        <v>0.6</v>
      </c>
      <c r="D13" s="2"/>
      <c r="E13" t="s">
        <v>23</v>
      </c>
    </row>
    <row r="14" spans="1:7" x14ac:dyDescent="0.25">
      <c r="A14" t="s">
        <v>16</v>
      </c>
      <c r="B14" s="2">
        <v>0.3</v>
      </c>
      <c r="C14" s="2">
        <v>1.5</v>
      </c>
      <c r="D14" s="2"/>
      <c r="E14" t="s">
        <v>24</v>
      </c>
    </row>
    <row r="15" spans="1:7" x14ac:dyDescent="0.25">
      <c r="A15" t="s">
        <v>25</v>
      </c>
      <c r="B15" s="2">
        <v>8.34</v>
      </c>
      <c r="C15" s="2">
        <v>9</v>
      </c>
      <c r="D15" s="2"/>
      <c r="E15" t="s">
        <v>26</v>
      </c>
    </row>
    <row r="16" spans="1:7" x14ac:dyDescent="0.25">
      <c r="A16" t="s">
        <v>27</v>
      </c>
      <c r="B16" s="2">
        <v>0.5</v>
      </c>
      <c r="C16" s="2">
        <v>1.5</v>
      </c>
      <c r="D16" s="2"/>
      <c r="E16" t="s">
        <v>28</v>
      </c>
    </row>
    <row r="17" spans="1:4" x14ac:dyDescent="0.25">
      <c r="A17" t="s">
        <v>29</v>
      </c>
      <c r="B17" s="2"/>
      <c r="C17" s="2">
        <v>0.5</v>
      </c>
      <c r="D17" s="2"/>
    </row>
    <row r="18" spans="1:4" x14ac:dyDescent="0.25">
      <c r="A18" t="s">
        <v>30</v>
      </c>
      <c r="B18" s="2">
        <v>0.18</v>
      </c>
      <c r="C18" s="2">
        <v>1</v>
      </c>
      <c r="D18" s="2"/>
    </row>
    <row r="19" spans="1:4" x14ac:dyDescent="0.25">
      <c r="A19" t="s">
        <v>31</v>
      </c>
      <c r="B19" s="2"/>
      <c r="C19" s="2">
        <v>1.5</v>
      </c>
      <c r="D19" s="2"/>
    </row>
    <row r="20" spans="1:4" x14ac:dyDescent="0.25">
      <c r="A20" t="s">
        <v>32</v>
      </c>
      <c r="B20" s="2">
        <v>0.64</v>
      </c>
      <c r="C20" s="2">
        <v>1.5</v>
      </c>
      <c r="D20" s="2"/>
    </row>
    <row r="21" spans="1:4" x14ac:dyDescent="0.25">
      <c r="A21" t="s">
        <v>33</v>
      </c>
      <c r="B21" s="2">
        <v>0.22</v>
      </c>
      <c r="C21" s="2">
        <v>1.5</v>
      </c>
      <c r="D21" s="2"/>
    </row>
    <row r="22" spans="1:4" x14ac:dyDescent="0.25">
      <c r="A22" t="s">
        <v>34</v>
      </c>
      <c r="B22" s="2">
        <v>0</v>
      </c>
      <c r="C22" s="2">
        <v>1.5</v>
      </c>
      <c r="D22" s="2"/>
    </row>
    <row r="23" spans="1:4" x14ac:dyDescent="0.25">
      <c r="A23" t="s">
        <v>35</v>
      </c>
      <c r="B23" s="2"/>
      <c r="C23" s="2">
        <v>2</v>
      </c>
      <c r="D23" s="2"/>
    </row>
  </sheetData>
  <pageMargins left="0.7" right="0.7" top="0.75" bottom="0.75" header="0.3" footer="0.3"/>
  <drawing r:id="rId1"/>
  <tableParts count="3">
    <tablePart r:id="rId2"/>
    <tablePart r:id="rId3"/>
    <tablePart r:id="rId4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4"/>
  <dimension ref="B1:J33"/>
  <sheetViews>
    <sheetView showGridLines="0" workbookViewId="0"/>
  </sheetViews>
  <sheetFormatPr baseColWidth="10" defaultRowHeight="15" x14ac:dyDescent="0.25"/>
  <cols>
    <col min="2" max="2" width="15.28515625" bestFit="1" customWidth="1"/>
    <col min="3" max="3" width="25.7109375" bestFit="1" customWidth="1"/>
    <col min="4" max="4" width="11.42578125" bestFit="1" customWidth="1"/>
    <col min="5" max="5" width="13.7109375" bestFit="1" customWidth="1"/>
    <col min="6" max="6" width="12.28515625" bestFit="1" customWidth="1"/>
    <col min="8" max="8" width="21" bestFit="1" customWidth="1"/>
    <col min="9" max="9" width="6.85546875" customWidth="1"/>
    <col min="10" max="10" width="6.28515625" customWidth="1"/>
    <col min="11" max="11" width="11" customWidth="1"/>
  </cols>
  <sheetData>
    <row r="1" spans="2:10" ht="44.25" customHeight="1" x14ac:dyDescent="0.25"/>
    <row r="5" spans="2:10" x14ac:dyDescent="0.25">
      <c r="B5" s="6" t="s">
        <v>49</v>
      </c>
      <c r="C5" s="7"/>
      <c r="D5" s="7"/>
      <c r="H5" s="19" t="s">
        <v>0</v>
      </c>
      <c r="I5" s="19" t="s">
        <v>86</v>
      </c>
    </row>
    <row r="6" spans="2:10" ht="15.75" thickBot="1" x14ac:dyDescent="0.3">
      <c r="H6" s="19" t="s">
        <v>78</v>
      </c>
      <c r="I6" s="1" t="s">
        <v>48</v>
      </c>
      <c r="J6" s="1" t="s">
        <v>82</v>
      </c>
    </row>
    <row r="7" spans="2:10" x14ac:dyDescent="0.25">
      <c r="B7" s="9" t="s">
        <v>50</v>
      </c>
      <c r="C7" s="10" t="s">
        <v>57</v>
      </c>
      <c r="D7" s="14">
        <f>SUM(Tab_stock[Valeur Stock Achat])</f>
        <v>3592.7799999999997</v>
      </c>
      <c r="H7" s="20" t="s">
        <v>14</v>
      </c>
      <c r="I7" s="21">
        <v>572</v>
      </c>
      <c r="J7" s="21">
        <v>260</v>
      </c>
    </row>
    <row r="8" spans="2:10" x14ac:dyDescent="0.25">
      <c r="B8" s="11" t="s">
        <v>51</v>
      </c>
      <c r="C8" t="s">
        <v>58</v>
      </c>
      <c r="D8" s="15">
        <f>SUM(Tab_stock[Valeur Stock Vente])</f>
        <v>6199</v>
      </c>
      <c r="H8" s="20" t="s">
        <v>4</v>
      </c>
      <c r="I8" s="21">
        <v>26</v>
      </c>
      <c r="J8" s="21">
        <v>10</v>
      </c>
    </row>
    <row r="9" spans="2:10" x14ac:dyDescent="0.25">
      <c r="B9" s="11" t="s">
        <v>52</v>
      </c>
      <c r="C9" s="8" t="s">
        <v>59</v>
      </c>
      <c r="D9" s="16">
        <f>COUNTIF(Tab_stock[Alerte],1)</f>
        <v>5</v>
      </c>
      <c r="H9" s="20" t="s">
        <v>22</v>
      </c>
      <c r="I9" s="21">
        <v>18</v>
      </c>
      <c r="J9" s="21">
        <v>36</v>
      </c>
    </row>
    <row r="10" spans="2:10" x14ac:dyDescent="0.25">
      <c r="B10" s="11" t="s">
        <v>53</v>
      </c>
      <c r="C10" s="8" t="s">
        <v>62</v>
      </c>
      <c r="D10" s="16" t="str">
        <f>IFERROR(INDEX(Tab_mouv[Boissons],MATCH(1,Tab_mouv[Classement Sortie],0)),"")</f>
        <v>Saint Nicolas</v>
      </c>
      <c r="E10" t="str">
        <f>IFERROR(INDEX(Tab_mouv[Boissons],MATCH(2,Tab_mouv[Classement Sortie],0)),"")</f>
        <v>Saint Nicolas</v>
      </c>
      <c r="F10" t="str">
        <f>IFERROR(INDEX(Tab_mouv[Boissons],MATCH(3,Tab_mouv[Classement Sortie],0)),"")</f>
        <v>Saint Nicolas</v>
      </c>
      <c r="H10" s="20" t="s">
        <v>27</v>
      </c>
      <c r="I10" s="21"/>
      <c r="J10" s="21">
        <v>12</v>
      </c>
    </row>
    <row r="11" spans="2:10" x14ac:dyDescent="0.25">
      <c r="B11" s="11" t="s">
        <v>54</v>
      </c>
      <c r="C11" s="8" t="s">
        <v>56</v>
      </c>
      <c r="D11" s="16">
        <f>IFERROR(SUM(Tab_stock[Stock Réel]),"")</f>
        <v>2339</v>
      </c>
      <c r="H11" s="20" t="s">
        <v>16</v>
      </c>
      <c r="I11" s="21">
        <v>12</v>
      </c>
      <c r="J11" s="21">
        <v>42</v>
      </c>
    </row>
    <row r="12" spans="2:10" ht="15.75" thickBot="1" x14ac:dyDescent="0.3">
      <c r="B12" s="12" t="s">
        <v>55</v>
      </c>
      <c r="C12" s="8" t="s">
        <v>63</v>
      </c>
      <c r="D12" s="17" t="str">
        <f>INDEX(Tab_mouv[Boissons],MATCH(1,Tab_mouv[Classement Entrée],0))</f>
        <v>Saint Nicolas</v>
      </c>
      <c r="E12" s="17" t="str">
        <f>INDEX(Tab_mouv[Boissons],MATCH(2,Tab_mouv[Classement Entrée],0))</f>
        <v>Saint Nicolas</v>
      </c>
      <c r="F12" s="13" t="str">
        <f>INDEX(Tab_mouv[Boissons],MATCH(3,Tab_mouv[Classement Entrée],0))</f>
        <v>Rosé</v>
      </c>
      <c r="H12" s="20" t="s">
        <v>8</v>
      </c>
      <c r="I12" s="21">
        <v>629</v>
      </c>
      <c r="J12" s="21">
        <v>293</v>
      </c>
    </row>
    <row r="13" spans="2:10" x14ac:dyDescent="0.25">
      <c r="H13" s="20" t="s">
        <v>12</v>
      </c>
      <c r="I13" s="21">
        <v>1141</v>
      </c>
      <c r="J13" s="21">
        <v>636</v>
      </c>
    </row>
    <row r="14" spans="2:10" x14ac:dyDescent="0.25">
      <c r="B14" s="18" t="s">
        <v>77</v>
      </c>
      <c r="C14" s="7"/>
      <c r="H14" s="20" t="s">
        <v>10</v>
      </c>
      <c r="I14" s="21"/>
      <c r="J14" s="21">
        <v>30</v>
      </c>
    </row>
    <row r="15" spans="2:10" x14ac:dyDescent="0.25">
      <c r="B15" t="s">
        <v>64</v>
      </c>
      <c r="C15" t="s">
        <v>72</v>
      </c>
    </row>
    <row r="16" spans="2:10" x14ac:dyDescent="0.25">
      <c r="B16" t="s">
        <v>65</v>
      </c>
      <c r="C16" t="s">
        <v>73</v>
      </c>
    </row>
    <row r="17" spans="2:5" x14ac:dyDescent="0.25">
      <c r="B17" t="s">
        <v>66</v>
      </c>
      <c r="C17" t="s">
        <v>74</v>
      </c>
    </row>
    <row r="18" spans="2:5" x14ac:dyDescent="0.25">
      <c r="B18" t="s">
        <v>67</v>
      </c>
      <c r="C18" t="s">
        <v>75</v>
      </c>
    </row>
    <row r="19" spans="2:5" x14ac:dyDescent="0.25">
      <c r="B19" t="s">
        <v>68</v>
      </c>
      <c r="C19" t="s">
        <v>76</v>
      </c>
    </row>
    <row r="20" spans="2:5" x14ac:dyDescent="0.25">
      <c r="B20" t="s">
        <v>69</v>
      </c>
      <c r="C20" t="s">
        <v>94</v>
      </c>
    </row>
    <row r="21" spans="2:5" x14ac:dyDescent="0.25">
      <c r="B21" t="s">
        <v>70</v>
      </c>
      <c r="C21" t="s">
        <v>102</v>
      </c>
    </row>
    <row r="22" spans="2:5" x14ac:dyDescent="0.25">
      <c r="B22" t="s">
        <v>71</v>
      </c>
      <c r="C22" t="s">
        <v>111</v>
      </c>
    </row>
    <row r="24" spans="2:5" x14ac:dyDescent="0.25">
      <c r="B24" s="26" t="s">
        <v>92</v>
      </c>
    </row>
    <row r="25" spans="2:5" x14ac:dyDescent="0.25">
      <c r="B25" s="8" t="s">
        <v>88</v>
      </c>
      <c r="C25" s="8" t="s">
        <v>93</v>
      </c>
      <c r="D25" s="8">
        <v>1</v>
      </c>
      <c r="E25" s="8" t="str">
        <f>C25&amp;(TEXT(D25,"00000"))</f>
        <v>Conso-00001</v>
      </c>
    </row>
    <row r="28" spans="2:5" x14ac:dyDescent="0.25">
      <c r="B28" s="26" t="s">
        <v>109</v>
      </c>
    </row>
    <row r="29" spans="2:5" x14ac:dyDescent="0.25">
      <c r="B29" s="8" t="s">
        <v>50</v>
      </c>
      <c r="C29" s="8" t="s">
        <v>110</v>
      </c>
      <c r="D29" s="8"/>
      <c r="E29" s="8"/>
    </row>
    <row r="30" spans="2:5" x14ac:dyDescent="0.25">
      <c r="B30" s="8" t="s">
        <v>51</v>
      </c>
      <c r="C30" s="8" t="s">
        <v>129</v>
      </c>
      <c r="D30" s="8">
        <f>SUM(TabListemouv[Conso])</f>
        <v>3882.5</v>
      </c>
      <c r="E30" s="8"/>
    </row>
    <row r="31" spans="2:5" x14ac:dyDescent="0.25">
      <c r="B31" s="8" t="s">
        <v>52</v>
      </c>
      <c r="C31" s="8" t="s">
        <v>130</v>
      </c>
      <c r="D31" s="34">
        <f>SUM(TabListemouv[Total Achat])</f>
        <v>5765.5700000000015</v>
      </c>
      <c r="E31" s="8"/>
    </row>
    <row r="32" spans="2:5" x14ac:dyDescent="0.25">
      <c r="B32" s="8" t="s">
        <v>53</v>
      </c>
      <c r="C32" s="33" t="s">
        <v>131</v>
      </c>
      <c r="D32" s="34">
        <f>SUM(TabListemouv[Total Vente])</f>
        <v>10154.700000000001</v>
      </c>
    </row>
    <row r="33" spans="2:4" x14ac:dyDescent="0.25">
      <c r="B33" s="8" t="s">
        <v>54</v>
      </c>
      <c r="C33" s="33" t="s">
        <v>132</v>
      </c>
      <c r="D33" s="34">
        <f>SUM(TabListemouv[Bénéfice])</f>
        <v>4389.13</v>
      </c>
    </row>
  </sheetData>
  <phoneticPr fontId="6" type="noConversion"/>
  <pageMargins left="0.7" right="0.7" top="0.75" bottom="0.75" header="0.3" footer="0.3"/>
  <pageSetup paperSize="9" orientation="portrait" horizontalDpi="0" verticalDpi="0" r:id="rId2"/>
  <drawing r:id="rId3"/>
  <extLst>
    <ext xmlns:x14="http://schemas.microsoft.com/office/spreadsheetml/2009/9/main" uri="{A8765BA9-456A-4dab-B4F3-ACF838C121DE}">
      <x14:slicerList>
        <x14:slicer r:id="rId4"/>
      </x14:slicerList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6"/>
  <dimension ref="B1:N127"/>
  <sheetViews>
    <sheetView showGridLines="0" tabSelected="1" workbookViewId="0">
      <selection activeCell="D106" sqref="D106"/>
    </sheetView>
  </sheetViews>
  <sheetFormatPr baseColWidth="10" defaultRowHeight="15" x14ac:dyDescent="0.25"/>
  <cols>
    <col min="2" max="3" width="13.7109375" bestFit="1" customWidth="1"/>
    <col min="12" max="13" width="11.42578125" style="2"/>
    <col min="18" max="18" width="21" bestFit="1" customWidth="1"/>
    <col min="19" max="19" width="23.85546875" bestFit="1" customWidth="1"/>
    <col min="20" max="20" width="7" bestFit="1" customWidth="1"/>
    <col min="21" max="21" width="5.28515625" bestFit="1" customWidth="1"/>
    <col min="22" max="22" width="5" bestFit="1" customWidth="1"/>
    <col min="23" max="23" width="9.85546875" bestFit="1" customWidth="1"/>
    <col min="24" max="24" width="6.85546875" bestFit="1" customWidth="1"/>
    <col min="25" max="25" width="9.85546875" bestFit="1" customWidth="1"/>
    <col min="26" max="26" width="12.5703125" bestFit="1" customWidth="1"/>
  </cols>
  <sheetData>
    <row r="1" spans="2:14" ht="47.25" customHeight="1" x14ac:dyDescent="0.25"/>
    <row r="5" spans="2:14" x14ac:dyDescent="0.25">
      <c r="B5" s="1" t="s">
        <v>46</v>
      </c>
      <c r="C5" s="1" t="s">
        <v>0</v>
      </c>
      <c r="D5" s="1" t="s">
        <v>1</v>
      </c>
      <c r="E5" s="1" t="s">
        <v>2</v>
      </c>
      <c r="F5" s="1" t="s">
        <v>89</v>
      </c>
      <c r="G5" s="1" t="s">
        <v>90</v>
      </c>
      <c r="H5" s="1" t="s">
        <v>82</v>
      </c>
      <c r="I5" s="1" t="s">
        <v>91</v>
      </c>
      <c r="J5" s="1" t="s">
        <v>79</v>
      </c>
      <c r="K5" s="1" t="s">
        <v>80</v>
      </c>
      <c r="L5" s="30" t="s">
        <v>104</v>
      </c>
      <c r="M5" s="30" t="s">
        <v>105</v>
      </c>
      <c r="N5" s="1" t="s">
        <v>106</v>
      </c>
    </row>
    <row r="6" spans="2:14" hidden="1" x14ac:dyDescent="0.25">
      <c r="B6" s="29">
        <v>43861</v>
      </c>
      <c r="C6" s="1" t="s">
        <v>10</v>
      </c>
      <c r="D6" s="27">
        <f>IFERROR(VLOOKUP(TabListemouv[[#This Row],[Produit]],TabListeProduits[],2,0),"")</f>
        <v>2.25</v>
      </c>
      <c r="E6" s="27">
        <f>IFERROR(VLOOKUP(TabListemouv[[#This Row],[Produit]],TabListeProduits[],3,0),"")</f>
        <v>3</v>
      </c>
      <c r="F6" s="1">
        <v>25</v>
      </c>
      <c r="G6" s="1">
        <v>43</v>
      </c>
      <c r="H6" s="1">
        <v>80</v>
      </c>
      <c r="I6" s="1">
        <f>IFERROR(TabListemouv[[#This Row],[Début]]-TabListemouv[[#This Row],[Fin]]+TabListemouv[[#This Row],[Sortie]],"")</f>
        <v>62</v>
      </c>
      <c r="J6" s="1">
        <f>IFERROR(YEAR(TabListemouv[[#This Row],[Date]]),"")</f>
        <v>2020</v>
      </c>
      <c r="K6" s="1" t="str">
        <f>IFERROR(TEXT(TabListemouv[[#This Row],[Date]],"mmmm"),"")</f>
        <v>janvier</v>
      </c>
      <c r="L6" s="30">
        <f>TabListemouv[[#This Row],[Prix TTC]]*TabListemouv[[#This Row],[Conso]]</f>
        <v>139.5</v>
      </c>
      <c r="M6" s="30">
        <f>TabListemouv[[#This Row],[Prix Vente]]*TabListemouv[[#This Row],[Conso]]</f>
        <v>186</v>
      </c>
      <c r="N6" s="21">
        <f>TabListemouv[[#This Row],[Total Vente]]-TabListemouv[[#This Row],[Total Achat]]</f>
        <v>46.5</v>
      </c>
    </row>
    <row r="7" spans="2:14" hidden="1" x14ac:dyDescent="0.25">
      <c r="B7" s="29" t="s">
        <v>84</v>
      </c>
      <c r="C7" s="1" t="s">
        <v>12</v>
      </c>
      <c r="D7" s="27">
        <f>IFERROR(VLOOKUP(TabListemouv[[#This Row],[Produit]],TabListeProduits[],2,0),"")</f>
        <v>1.6</v>
      </c>
      <c r="E7" s="27">
        <f>IFERROR(VLOOKUP(TabListemouv[[#This Row],[Produit]],TabListeProduits[],3,0),"")</f>
        <v>3</v>
      </c>
      <c r="F7" s="1">
        <v>16</v>
      </c>
      <c r="G7" s="1">
        <v>32</v>
      </c>
      <c r="H7" s="1">
        <v>191</v>
      </c>
      <c r="I7" s="21">
        <f>IFERROR(TabListemouv[[#This Row],[Début]]-TabListemouv[[#This Row],[Fin]]+TabListemouv[[#This Row],[Sortie]],"")</f>
        <v>175</v>
      </c>
      <c r="J7" s="1">
        <f>IFERROR(YEAR(TabListemouv[[#This Row],[Date]]),"")</f>
        <v>2020</v>
      </c>
      <c r="K7" s="1" t="str">
        <f>IFERROR(TEXT(TabListemouv[[#This Row],[Date]],"mmmm"),"")</f>
        <v>janvier</v>
      </c>
      <c r="L7" s="30">
        <f>TabListemouv[[#This Row],[Prix TTC]]*TabListemouv[[#This Row],[Conso]]</f>
        <v>280</v>
      </c>
      <c r="M7" s="30">
        <f>TabListemouv[[#This Row],[Prix Vente]]*TabListemouv[[#This Row],[Conso]]</f>
        <v>525</v>
      </c>
      <c r="N7" s="21">
        <f>TabListemouv[[#This Row],[Total Vente]]-TabListemouv[[#This Row],[Total Achat]]</f>
        <v>245</v>
      </c>
    </row>
    <row r="8" spans="2:14" hidden="1" x14ac:dyDescent="0.25">
      <c r="B8" s="29" t="s">
        <v>84</v>
      </c>
      <c r="C8" s="1" t="s">
        <v>8</v>
      </c>
      <c r="D8" s="27">
        <f>IFERROR(VLOOKUP(TabListemouv[[#This Row],[Produit]],TabListeProduits[],2,0),"")</f>
        <v>1.98</v>
      </c>
      <c r="E8" s="27">
        <f>IFERROR(VLOOKUP(TabListemouv[[#This Row],[Produit]],TabListeProduits[],3,0),"")</f>
        <v>3</v>
      </c>
      <c r="F8" s="1" t="s">
        <v>95</v>
      </c>
      <c r="G8" s="1">
        <v>34</v>
      </c>
      <c r="H8" s="1">
        <v>165</v>
      </c>
      <c r="I8" s="21">
        <f>IFERROR(TabListemouv[[#This Row],[Début]]-TabListemouv[[#This Row],[Fin]]+TabListemouv[[#This Row],[Sortie]],"")</f>
        <v>153.5</v>
      </c>
      <c r="J8" s="1">
        <f>IFERROR(YEAR(TabListemouv[[#This Row],[Date]]),"")</f>
        <v>2020</v>
      </c>
      <c r="K8" s="1" t="str">
        <f>IFERROR(TEXT(TabListemouv[[#This Row],[Date]],"mmmm"),"")</f>
        <v>janvier</v>
      </c>
      <c r="L8" s="30">
        <f>TabListemouv[[#This Row],[Prix TTC]]*TabListemouv[[#This Row],[Conso]]</f>
        <v>303.93</v>
      </c>
      <c r="M8" s="30">
        <f>TabListemouv[[#This Row],[Prix Vente]]*TabListemouv[[#This Row],[Conso]]</f>
        <v>460.5</v>
      </c>
      <c r="N8" s="21">
        <f>TabListemouv[[#This Row],[Total Vente]]-TabListemouv[[#This Row],[Total Achat]]</f>
        <v>156.57</v>
      </c>
    </row>
    <row r="9" spans="2:14" hidden="1" x14ac:dyDescent="0.25">
      <c r="B9" s="29" t="s">
        <v>84</v>
      </c>
      <c r="C9" s="1" t="s">
        <v>4</v>
      </c>
      <c r="D9" s="27">
        <f>IFERROR(VLOOKUP(TabListemouv[[#This Row],[Produit]],TabListeProduits[],2,0),"")</f>
        <v>1.98</v>
      </c>
      <c r="E9" s="27">
        <f>IFERROR(VLOOKUP(TabListemouv[[#This Row],[Produit]],TabListeProduits[],3,0),"")</f>
        <v>3</v>
      </c>
      <c r="F9" s="1" t="s">
        <v>96</v>
      </c>
      <c r="G9" s="1" t="s">
        <v>97</v>
      </c>
      <c r="H9" s="1">
        <v>23</v>
      </c>
      <c r="I9" s="21">
        <f>IFERROR(TabListemouv[[#This Row],[Début]]-TabListemouv[[#This Row],[Fin]]+TabListemouv[[#This Row],[Sortie]],"")</f>
        <v>25</v>
      </c>
      <c r="J9" s="1">
        <f>IFERROR(YEAR(TabListemouv[[#This Row],[Date]]),"")</f>
        <v>2020</v>
      </c>
      <c r="K9" s="1" t="str">
        <f>IFERROR(TEXT(TabListemouv[[#This Row],[Date]],"mmmm"),"")</f>
        <v>janvier</v>
      </c>
      <c r="L9" s="30">
        <f>TabListemouv[[#This Row],[Prix TTC]]*TabListemouv[[#This Row],[Conso]]</f>
        <v>49.5</v>
      </c>
      <c r="M9" s="30">
        <f>TabListemouv[[#This Row],[Prix Vente]]*TabListemouv[[#This Row],[Conso]]</f>
        <v>75</v>
      </c>
      <c r="N9" s="21">
        <f>TabListemouv[[#This Row],[Total Vente]]-TabListemouv[[#This Row],[Total Achat]]</f>
        <v>25.5</v>
      </c>
    </row>
    <row r="10" spans="2:14" hidden="1" x14ac:dyDescent="0.25">
      <c r="B10" s="29" t="s">
        <v>84</v>
      </c>
      <c r="C10" s="1" t="s">
        <v>14</v>
      </c>
      <c r="D10" s="27">
        <f>IFERROR(VLOOKUP(TabListemouv[[#This Row],[Produit]],TabListeProduits[],2,0),"")</f>
        <v>0.42</v>
      </c>
      <c r="E10" s="27">
        <f>IFERROR(VLOOKUP(TabListemouv[[#This Row],[Produit]],TabListeProduits[],3,0),"")</f>
        <v>1.5</v>
      </c>
      <c r="F10" s="1">
        <v>25</v>
      </c>
      <c r="G10" s="1">
        <v>33</v>
      </c>
      <c r="H10" s="1">
        <v>104</v>
      </c>
      <c r="I10" s="21">
        <f>IFERROR(TabListemouv[[#This Row],[Début]]-TabListemouv[[#This Row],[Fin]]+TabListemouv[[#This Row],[Sortie]],"")</f>
        <v>96</v>
      </c>
      <c r="J10" s="1">
        <f>IFERROR(YEAR(TabListemouv[[#This Row],[Date]]),"")</f>
        <v>2020</v>
      </c>
      <c r="K10" s="1" t="str">
        <f>IFERROR(TEXT(TabListemouv[[#This Row],[Date]],"mmmm"),"")</f>
        <v>janvier</v>
      </c>
      <c r="L10" s="30">
        <f>TabListemouv[[#This Row],[Prix TTC]]*TabListemouv[[#This Row],[Conso]]</f>
        <v>40.32</v>
      </c>
      <c r="M10" s="30">
        <f>TabListemouv[[#This Row],[Prix Vente]]*TabListemouv[[#This Row],[Conso]]</f>
        <v>144</v>
      </c>
      <c r="N10" s="21">
        <f>TabListemouv[[#This Row],[Total Vente]]-TabListemouv[[#This Row],[Total Achat]]</f>
        <v>103.68</v>
      </c>
    </row>
    <row r="11" spans="2:14" hidden="1" x14ac:dyDescent="0.25">
      <c r="B11" s="29" t="s">
        <v>84</v>
      </c>
      <c r="C11" s="1" t="s">
        <v>16</v>
      </c>
      <c r="D11" s="27">
        <f>IFERROR(VLOOKUP(TabListemouv[[#This Row],[Produit]],TabListeProduits[],2,0),"")</f>
        <v>0.3</v>
      </c>
      <c r="E11" s="27">
        <f>IFERROR(VLOOKUP(TabListemouv[[#This Row],[Produit]],TabListeProduits[],3,0),"")</f>
        <v>1.5</v>
      </c>
      <c r="F11" s="1">
        <v>22</v>
      </c>
      <c r="G11" s="1">
        <v>10</v>
      </c>
      <c r="H11" s="1">
        <v>0</v>
      </c>
      <c r="I11" s="21">
        <f>IFERROR(TabListemouv[[#This Row],[Début]]-TabListemouv[[#This Row],[Fin]]+TabListemouv[[#This Row],[Sortie]],"")</f>
        <v>12</v>
      </c>
      <c r="J11" s="1">
        <f>IFERROR(YEAR(TabListemouv[[#This Row],[Date]]),"")</f>
        <v>2020</v>
      </c>
      <c r="K11" s="1" t="str">
        <f>IFERROR(TEXT(TabListemouv[[#This Row],[Date]],"mmmm"),"")</f>
        <v>janvier</v>
      </c>
      <c r="L11" s="30">
        <f>TabListemouv[[#This Row],[Prix TTC]]*TabListemouv[[#This Row],[Conso]]</f>
        <v>3.5999999999999996</v>
      </c>
      <c r="M11" s="30">
        <f>TabListemouv[[#This Row],[Prix Vente]]*TabListemouv[[#This Row],[Conso]]</f>
        <v>18</v>
      </c>
      <c r="N11" s="21">
        <f>TabListemouv[[#This Row],[Total Vente]]-TabListemouv[[#This Row],[Total Achat]]</f>
        <v>14.4</v>
      </c>
    </row>
    <row r="12" spans="2:14" hidden="1" x14ac:dyDescent="0.25">
      <c r="B12" s="29" t="s">
        <v>84</v>
      </c>
      <c r="C12" s="1" t="s">
        <v>18</v>
      </c>
      <c r="D12" s="27">
        <f>IFERROR(VLOOKUP(TabListemouv[[#This Row],[Produit]],TabListeProduits[],2,0),"")</f>
        <v>0.53</v>
      </c>
      <c r="E12" s="27">
        <f>IFERROR(VLOOKUP(TabListemouv[[#This Row],[Produit]],TabListeProduits[],3,0),"")</f>
        <v>1.5</v>
      </c>
      <c r="F12" s="1">
        <v>8</v>
      </c>
      <c r="G12" s="1">
        <v>6</v>
      </c>
      <c r="H12" s="1">
        <v>0</v>
      </c>
      <c r="I12" s="21">
        <f>IFERROR(TabListemouv[[#This Row],[Début]]-TabListemouv[[#This Row],[Fin]]+TabListemouv[[#This Row],[Sortie]],"")</f>
        <v>2</v>
      </c>
      <c r="J12" s="1">
        <f>IFERROR(YEAR(TabListemouv[[#This Row],[Date]]),"")</f>
        <v>2020</v>
      </c>
      <c r="K12" s="1" t="str">
        <f>IFERROR(TEXT(TabListemouv[[#This Row],[Date]],"mmmm"),"")</f>
        <v>janvier</v>
      </c>
      <c r="L12" s="30">
        <f>TabListemouv[[#This Row],[Prix TTC]]*TabListemouv[[#This Row],[Conso]]</f>
        <v>1.06</v>
      </c>
      <c r="M12" s="30">
        <f>TabListemouv[[#This Row],[Prix Vente]]*TabListemouv[[#This Row],[Conso]]</f>
        <v>3</v>
      </c>
      <c r="N12" s="21">
        <f>TabListemouv[[#This Row],[Total Vente]]-TabListemouv[[#This Row],[Total Achat]]</f>
        <v>1.94</v>
      </c>
    </row>
    <row r="13" spans="2:14" hidden="1" x14ac:dyDescent="0.25">
      <c r="B13" s="29" t="s">
        <v>84</v>
      </c>
      <c r="C13" s="1" t="s">
        <v>20</v>
      </c>
      <c r="D13" s="27">
        <f>IFERROR(VLOOKUP(TabListemouv[[#This Row],[Produit]],TabListeProduits[],2,0),"")</f>
        <v>0.36</v>
      </c>
      <c r="E13" s="27">
        <f>IFERROR(VLOOKUP(TabListemouv[[#This Row],[Produit]],TabListeProduits[],3,0),"")</f>
        <v>1.5</v>
      </c>
      <c r="F13" s="1">
        <v>9</v>
      </c>
      <c r="G13" s="1">
        <v>6</v>
      </c>
      <c r="H13" s="1">
        <v>0</v>
      </c>
      <c r="I13" s="21">
        <f>IFERROR(TabListemouv[[#This Row],[Début]]-TabListemouv[[#This Row],[Fin]]+TabListemouv[[#This Row],[Sortie]],"")</f>
        <v>3</v>
      </c>
      <c r="J13" s="1">
        <f>IFERROR(YEAR(TabListemouv[[#This Row],[Date]]),"")</f>
        <v>2020</v>
      </c>
      <c r="K13" s="1" t="str">
        <f>IFERROR(TEXT(TabListemouv[[#This Row],[Date]],"mmmm"),"")</f>
        <v>janvier</v>
      </c>
      <c r="L13" s="30">
        <f>TabListemouv[[#This Row],[Prix TTC]]*TabListemouv[[#This Row],[Conso]]</f>
        <v>1.08</v>
      </c>
      <c r="M13" s="30">
        <f>TabListemouv[[#This Row],[Prix Vente]]*TabListemouv[[#This Row],[Conso]]</f>
        <v>4.5</v>
      </c>
      <c r="N13" s="21">
        <f>TabListemouv[[#This Row],[Total Vente]]-TabListemouv[[#This Row],[Total Achat]]</f>
        <v>3.42</v>
      </c>
    </row>
    <row r="14" spans="2:14" hidden="1" x14ac:dyDescent="0.25">
      <c r="B14" s="29" t="s">
        <v>84</v>
      </c>
      <c r="C14" s="1" t="s">
        <v>22</v>
      </c>
      <c r="D14" s="27">
        <f>IFERROR(VLOOKUP(TabListemouv[[#This Row],[Produit]],TabListeProduits[],2,0),"")</f>
        <v>0.13</v>
      </c>
      <c r="E14" s="27">
        <f>IFERROR(VLOOKUP(TabListemouv[[#This Row],[Produit]],TabListeProduits[],3,0),"")</f>
        <v>0.6</v>
      </c>
      <c r="F14" s="1">
        <v>23</v>
      </c>
      <c r="G14" s="1">
        <v>14</v>
      </c>
      <c r="H14" s="1">
        <v>0</v>
      </c>
      <c r="I14" s="21">
        <f>IFERROR(TabListemouv[[#This Row],[Début]]-TabListemouv[[#This Row],[Fin]]+TabListemouv[[#This Row],[Sortie]],"")</f>
        <v>9</v>
      </c>
      <c r="J14" s="1">
        <f>IFERROR(YEAR(TabListemouv[[#This Row],[Date]]),"")</f>
        <v>2020</v>
      </c>
      <c r="K14" s="1" t="str">
        <f>IFERROR(TEXT(TabListemouv[[#This Row],[Date]],"mmmm"),"")</f>
        <v>janvier</v>
      </c>
      <c r="L14" s="30">
        <f>TabListemouv[[#This Row],[Prix TTC]]*TabListemouv[[#This Row],[Conso]]</f>
        <v>1.17</v>
      </c>
      <c r="M14" s="30">
        <f>TabListemouv[[#This Row],[Prix Vente]]*TabListemouv[[#This Row],[Conso]]</f>
        <v>5.3999999999999995</v>
      </c>
      <c r="N14" s="21">
        <f>TabListemouv[[#This Row],[Total Vente]]-TabListemouv[[#This Row],[Total Achat]]</f>
        <v>4.2299999999999995</v>
      </c>
    </row>
    <row r="15" spans="2:14" hidden="1" x14ac:dyDescent="0.25">
      <c r="B15" s="29" t="s">
        <v>84</v>
      </c>
      <c r="C15" s="1" t="s">
        <v>6</v>
      </c>
      <c r="D15" s="27">
        <f>IFERROR(VLOOKUP(TabListemouv[[#This Row],[Produit]],TabListeProduits[],2,0),"")</f>
        <v>3</v>
      </c>
      <c r="E15" s="27">
        <f>IFERROR(VLOOKUP(TabListemouv[[#This Row],[Produit]],TabListeProduits[],3,0),"")</f>
        <v>3</v>
      </c>
      <c r="F15" s="1">
        <v>0</v>
      </c>
      <c r="G15" s="1">
        <v>0</v>
      </c>
      <c r="H15" s="1">
        <v>2</v>
      </c>
      <c r="I15" s="21">
        <f>IFERROR(TabListemouv[[#This Row],[Début]]-TabListemouv[[#This Row],[Fin]]+TabListemouv[[#This Row],[Sortie]],"")</f>
        <v>2</v>
      </c>
      <c r="J15" s="1">
        <f>IFERROR(YEAR(TabListemouv[[#This Row],[Date]]),"")</f>
        <v>2020</v>
      </c>
      <c r="K15" s="1" t="str">
        <f>IFERROR(TEXT(TabListemouv[[#This Row],[Date]],"mmmm"),"")</f>
        <v>janvier</v>
      </c>
      <c r="L15" s="30">
        <f>TabListemouv[[#This Row],[Prix TTC]]*TabListemouv[[#This Row],[Conso]]</f>
        <v>6</v>
      </c>
      <c r="M15" s="30">
        <f>TabListemouv[[#This Row],[Prix Vente]]*TabListemouv[[#This Row],[Conso]]</f>
        <v>6</v>
      </c>
      <c r="N15" s="21">
        <f>TabListemouv[[#This Row],[Total Vente]]-TabListemouv[[#This Row],[Total Achat]]</f>
        <v>0</v>
      </c>
    </row>
    <row r="16" spans="2:14" hidden="1" x14ac:dyDescent="0.25">
      <c r="B16" s="29" t="s">
        <v>84</v>
      </c>
      <c r="C16" s="1" t="s">
        <v>25</v>
      </c>
      <c r="D16" s="27">
        <f>IFERROR(VLOOKUP(TabListemouv[[#This Row],[Produit]],TabListeProduits[],2,0),"")</f>
        <v>8.34</v>
      </c>
      <c r="E16" s="27">
        <f>IFERROR(VLOOKUP(TabListemouv[[#This Row],[Produit]],TabListeProduits[],3,0),"")</f>
        <v>9</v>
      </c>
      <c r="F16" s="1">
        <v>14</v>
      </c>
      <c r="G16" s="1">
        <v>5</v>
      </c>
      <c r="H16" s="1">
        <v>0</v>
      </c>
      <c r="I16" s="21">
        <f>IFERROR(TabListemouv[[#This Row],[Début]]-TabListemouv[[#This Row],[Fin]]+TabListemouv[[#This Row],[Sortie]],"")</f>
        <v>9</v>
      </c>
      <c r="J16" s="1">
        <f>IFERROR(YEAR(TabListemouv[[#This Row],[Date]]),"")</f>
        <v>2020</v>
      </c>
      <c r="K16" s="1" t="str">
        <f>IFERROR(TEXT(TabListemouv[[#This Row],[Date]],"mmmm"),"")</f>
        <v>janvier</v>
      </c>
      <c r="L16" s="30">
        <f>TabListemouv[[#This Row],[Prix TTC]]*TabListemouv[[#This Row],[Conso]]</f>
        <v>75.06</v>
      </c>
      <c r="M16" s="30">
        <f>TabListemouv[[#This Row],[Prix Vente]]*TabListemouv[[#This Row],[Conso]]</f>
        <v>81</v>
      </c>
      <c r="N16" s="21">
        <f>TabListemouv[[#This Row],[Total Vente]]-TabListemouv[[#This Row],[Total Achat]]</f>
        <v>5.9399999999999977</v>
      </c>
    </row>
    <row r="17" spans="2:14" hidden="1" x14ac:dyDescent="0.25">
      <c r="B17" s="29" t="s">
        <v>84</v>
      </c>
      <c r="C17" s="1" t="s">
        <v>27</v>
      </c>
      <c r="D17" s="27">
        <f>IFERROR(VLOOKUP(TabListemouv[[#This Row],[Produit]],TabListeProduits[],2,0),"")</f>
        <v>0.5</v>
      </c>
      <c r="E17" s="27">
        <f>IFERROR(VLOOKUP(TabListemouv[[#This Row],[Produit]],TabListeProduits[],3,0),"")</f>
        <v>1.5</v>
      </c>
      <c r="F17" s="1">
        <v>25</v>
      </c>
      <c r="G17" s="1">
        <v>22</v>
      </c>
      <c r="H17" s="1">
        <v>0</v>
      </c>
      <c r="I17" s="21">
        <f>IFERROR(TabListemouv[[#This Row],[Début]]-TabListemouv[[#This Row],[Fin]]+TabListemouv[[#This Row],[Sortie]],"")</f>
        <v>3</v>
      </c>
      <c r="J17" s="1">
        <f>IFERROR(YEAR(TabListemouv[[#This Row],[Date]]),"")</f>
        <v>2020</v>
      </c>
      <c r="K17" s="1" t="str">
        <f>IFERROR(TEXT(TabListemouv[[#This Row],[Date]],"mmmm"),"")</f>
        <v>janvier</v>
      </c>
      <c r="L17" s="30">
        <f>TabListemouv[[#This Row],[Prix TTC]]*TabListemouv[[#This Row],[Conso]]</f>
        <v>1.5</v>
      </c>
      <c r="M17" s="30">
        <f>TabListemouv[[#This Row],[Prix Vente]]*TabListemouv[[#This Row],[Conso]]</f>
        <v>4.5</v>
      </c>
      <c r="N17" s="21">
        <f>TabListemouv[[#This Row],[Total Vente]]-TabListemouv[[#This Row],[Total Achat]]</f>
        <v>3</v>
      </c>
    </row>
    <row r="18" spans="2:14" hidden="1" x14ac:dyDescent="0.25">
      <c r="B18" s="29" t="s">
        <v>84</v>
      </c>
      <c r="C18" s="1" t="s">
        <v>29</v>
      </c>
      <c r="D18" s="27">
        <f>IFERROR(VLOOKUP(TabListemouv[[#This Row],[Produit]],TabListeProduits[],2,0),"")</f>
        <v>0</v>
      </c>
      <c r="E18" s="27">
        <f>IFERROR(VLOOKUP(TabListemouv[[#This Row],[Produit]],TabListeProduits[],3,0),"")</f>
        <v>0.5</v>
      </c>
      <c r="F18" s="1">
        <v>34</v>
      </c>
      <c r="G18" s="1">
        <v>29</v>
      </c>
      <c r="H18" s="1">
        <v>0</v>
      </c>
      <c r="I18" s="21">
        <f>IFERROR(TabListemouv[[#This Row],[Début]]-TabListemouv[[#This Row],[Fin]]+TabListemouv[[#This Row],[Sortie]],"")</f>
        <v>5</v>
      </c>
      <c r="J18" s="1">
        <f>IFERROR(YEAR(TabListemouv[[#This Row],[Date]]),"")</f>
        <v>2020</v>
      </c>
      <c r="K18" s="1" t="str">
        <f>IFERROR(TEXT(TabListemouv[[#This Row],[Date]],"mmmm"),"")</f>
        <v>janvier</v>
      </c>
      <c r="L18" s="30">
        <f>TabListemouv[[#This Row],[Prix TTC]]*TabListemouv[[#This Row],[Conso]]</f>
        <v>0</v>
      </c>
      <c r="M18" s="30">
        <f>TabListemouv[[#This Row],[Prix Vente]]*TabListemouv[[#This Row],[Conso]]</f>
        <v>2.5</v>
      </c>
      <c r="N18" s="21">
        <f>TabListemouv[[#This Row],[Total Vente]]-TabListemouv[[#This Row],[Total Achat]]</f>
        <v>2.5</v>
      </c>
    </row>
    <row r="19" spans="2:14" hidden="1" x14ac:dyDescent="0.25">
      <c r="B19" s="29">
        <v>43861</v>
      </c>
      <c r="C19" s="1" t="s">
        <v>30</v>
      </c>
      <c r="D19" s="27">
        <f>IFERROR(VLOOKUP(TabListemouv[[#This Row],[Produit]],TabListeProduits[],2,0),"")</f>
        <v>0.18</v>
      </c>
      <c r="E19" s="27">
        <f>IFERROR(VLOOKUP(TabListemouv[[#This Row],[Produit]],TabListeProduits[],3,0),"")</f>
        <v>1</v>
      </c>
      <c r="F19" s="1">
        <v>0</v>
      </c>
      <c r="G19" s="1">
        <v>1</v>
      </c>
      <c r="H19" s="1">
        <v>2</v>
      </c>
      <c r="I19" s="21">
        <f>IFERROR(TabListemouv[[#This Row],[Début]]-TabListemouv[[#This Row],[Fin]]+TabListemouv[[#This Row],[Sortie]],"")</f>
        <v>1</v>
      </c>
      <c r="J19" s="1">
        <f>IFERROR(YEAR(TabListemouv[[#This Row],[Date]]),"")</f>
        <v>2020</v>
      </c>
      <c r="K19" s="1" t="str">
        <f>IFERROR(TEXT(TabListemouv[[#This Row],[Date]],"mmmm"),"")</f>
        <v>janvier</v>
      </c>
      <c r="L19" s="30">
        <f>TabListemouv[[#This Row],[Prix TTC]]*TabListemouv[[#This Row],[Conso]]</f>
        <v>0.18</v>
      </c>
      <c r="M19" s="30">
        <f>TabListemouv[[#This Row],[Prix Vente]]*TabListemouv[[#This Row],[Conso]]</f>
        <v>1</v>
      </c>
      <c r="N19" s="21">
        <f>TabListemouv[[#This Row],[Total Vente]]-TabListemouv[[#This Row],[Total Achat]]</f>
        <v>0.82000000000000006</v>
      </c>
    </row>
    <row r="20" spans="2:14" hidden="1" x14ac:dyDescent="0.25">
      <c r="B20" s="29" t="s">
        <v>84</v>
      </c>
      <c r="C20" s="1" t="s">
        <v>31</v>
      </c>
      <c r="D20" s="27">
        <f>IFERROR(VLOOKUP(TabListemouv[[#This Row],[Produit]],TabListeProduits[],2,0),"")</f>
        <v>0</v>
      </c>
      <c r="E20" s="27">
        <f>IFERROR(VLOOKUP(TabListemouv[[#This Row],[Produit]],TabListeProduits[],3,0),"")</f>
        <v>1.5</v>
      </c>
      <c r="F20" s="1">
        <v>4</v>
      </c>
      <c r="G20" s="1">
        <v>4</v>
      </c>
      <c r="H20" s="1">
        <v>2</v>
      </c>
      <c r="I20" s="21">
        <f>IFERROR(TabListemouv[[#This Row],[Début]]-TabListemouv[[#This Row],[Fin]]+TabListemouv[[#This Row],[Sortie]],"")</f>
        <v>2</v>
      </c>
      <c r="J20" s="1">
        <f>IFERROR(YEAR(TabListemouv[[#This Row],[Date]]),"")</f>
        <v>2020</v>
      </c>
      <c r="K20" s="1" t="str">
        <f>IFERROR(TEXT(TabListemouv[[#This Row],[Date]],"mmmm"),"")</f>
        <v>janvier</v>
      </c>
      <c r="L20" s="30">
        <f>TabListemouv[[#This Row],[Prix TTC]]*TabListemouv[[#This Row],[Conso]]</f>
        <v>0</v>
      </c>
      <c r="M20" s="30">
        <f>TabListemouv[[#This Row],[Prix Vente]]*TabListemouv[[#This Row],[Conso]]</f>
        <v>3</v>
      </c>
      <c r="N20" s="21">
        <f>TabListemouv[[#This Row],[Total Vente]]-TabListemouv[[#This Row],[Total Achat]]</f>
        <v>3</v>
      </c>
    </row>
    <row r="21" spans="2:14" hidden="1" x14ac:dyDescent="0.25">
      <c r="B21" s="29" t="s">
        <v>84</v>
      </c>
      <c r="C21" s="1" t="s">
        <v>33</v>
      </c>
      <c r="D21" s="27">
        <f>IFERROR(VLOOKUP(TabListemouv[[#This Row],[Produit]],TabListeProduits[],2,0),"")</f>
        <v>0.22</v>
      </c>
      <c r="E21" s="27">
        <f>IFERROR(VLOOKUP(TabListemouv[[#This Row],[Produit]],TabListeProduits[],3,0),"")</f>
        <v>1.5</v>
      </c>
      <c r="F21" s="1">
        <v>13</v>
      </c>
      <c r="G21" s="1">
        <v>13</v>
      </c>
      <c r="H21" s="1">
        <v>0</v>
      </c>
      <c r="I21" s="21">
        <f>IFERROR(TabListemouv[[#This Row],[Début]]-TabListemouv[[#This Row],[Fin]]+TabListemouv[[#This Row],[Sortie]],"")</f>
        <v>0</v>
      </c>
      <c r="J21" s="1">
        <f>IFERROR(YEAR(TabListemouv[[#This Row],[Date]]),"")</f>
        <v>2020</v>
      </c>
      <c r="K21" s="1" t="str">
        <f>IFERROR(TEXT(TabListemouv[[#This Row],[Date]],"mmmm"),"")</f>
        <v>janvier</v>
      </c>
      <c r="L21" s="30">
        <f>TabListemouv[[#This Row],[Prix TTC]]*TabListemouv[[#This Row],[Conso]]</f>
        <v>0</v>
      </c>
      <c r="M21" s="30">
        <f>TabListemouv[[#This Row],[Prix Vente]]*TabListemouv[[#This Row],[Conso]]</f>
        <v>0</v>
      </c>
      <c r="N21" s="21">
        <f>TabListemouv[[#This Row],[Total Vente]]-TabListemouv[[#This Row],[Total Achat]]</f>
        <v>0</v>
      </c>
    </row>
    <row r="22" spans="2:14" hidden="1" x14ac:dyDescent="0.25">
      <c r="B22" s="29" t="s">
        <v>98</v>
      </c>
      <c r="C22" s="1" t="s">
        <v>10</v>
      </c>
      <c r="D22" s="27">
        <f>IFERROR(VLOOKUP(TabListemouv[[#This Row],[Produit]],TabListeProduits[],2,0),"")</f>
        <v>2.25</v>
      </c>
      <c r="E22" s="27">
        <f>IFERROR(VLOOKUP(TabListemouv[[#This Row],[Produit]],TabListeProduits[],3,0),"")</f>
        <v>3</v>
      </c>
      <c r="F22" s="1">
        <v>43</v>
      </c>
      <c r="G22" s="1" t="s">
        <v>99</v>
      </c>
      <c r="H22" s="1">
        <v>95</v>
      </c>
      <c r="I22" s="21">
        <f>IFERROR(TabListemouv[[#This Row],[Début]]-TabListemouv[[#This Row],[Fin]]+TabListemouv[[#This Row],[Sortie]],"")</f>
        <v>97.5</v>
      </c>
      <c r="J22" s="1">
        <f>IFERROR(YEAR(TabListemouv[[#This Row],[Date]]),"")</f>
        <v>2020</v>
      </c>
      <c r="K22" s="1" t="str">
        <f>IFERROR(TEXT(TabListemouv[[#This Row],[Date]],"mmmm"),"")</f>
        <v>février</v>
      </c>
      <c r="L22" s="30">
        <f>TabListemouv[[#This Row],[Prix TTC]]*TabListemouv[[#This Row],[Conso]]</f>
        <v>219.375</v>
      </c>
      <c r="M22" s="30">
        <f>TabListemouv[[#This Row],[Prix Vente]]*TabListemouv[[#This Row],[Conso]]</f>
        <v>292.5</v>
      </c>
      <c r="N22" s="21">
        <f>TabListemouv[[#This Row],[Total Vente]]-TabListemouv[[#This Row],[Total Achat]]</f>
        <v>73.125</v>
      </c>
    </row>
    <row r="23" spans="2:14" hidden="1" x14ac:dyDescent="0.25">
      <c r="B23" s="29" t="s">
        <v>98</v>
      </c>
      <c r="C23" s="1" t="s">
        <v>12</v>
      </c>
      <c r="D23" s="27">
        <f>IFERROR(VLOOKUP(TabListemouv[[#This Row],[Produit]],TabListeProduits[],2,0),"")</f>
        <v>1.6</v>
      </c>
      <c r="E23" s="27">
        <f>IFERROR(VLOOKUP(TabListemouv[[#This Row],[Produit]],TabListeProduits[],3,0),"")</f>
        <v>3</v>
      </c>
      <c r="F23" s="1">
        <v>32</v>
      </c>
      <c r="G23" s="1">
        <v>29</v>
      </c>
      <c r="H23" s="1">
        <v>135</v>
      </c>
      <c r="I23" s="21">
        <f>IFERROR(TabListemouv[[#This Row],[Début]]-TabListemouv[[#This Row],[Fin]]+TabListemouv[[#This Row],[Sortie]],"")</f>
        <v>138</v>
      </c>
      <c r="J23" s="1">
        <f>IFERROR(YEAR(TabListemouv[[#This Row],[Date]]),"")</f>
        <v>2020</v>
      </c>
      <c r="K23" s="1" t="str">
        <f>IFERROR(TEXT(TabListemouv[[#This Row],[Date]],"mmmm"),"")</f>
        <v>février</v>
      </c>
      <c r="L23" s="30">
        <f>TabListemouv[[#This Row],[Prix TTC]]*TabListemouv[[#This Row],[Conso]]</f>
        <v>220.8</v>
      </c>
      <c r="M23" s="30">
        <f>TabListemouv[[#This Row],[Prix Vente]]*TabListemouv[[#This Row],[Conso]]</f>
        <v>414</v>
      </c>
      <c r="N23" s="21">
        <f>TabListemouv[[#This Row],[Total Vente]]-TabListemouv[[#This Row],[Total Achat]]</f>
        <v>193.2</v>
      </c>
    </row>
    <row r="24" spans="2:14" hidden="1" x14ac:dyDescent="0.25">
      <c r="B24" s="29" t="s">
        <v>98</v>
      </c>
      <c r="C24" s="1" t="s">
        <v>8</v>
      </c>
      <c r="D24" s="27">
        <f>IFERROR(VLOOKUP(TabListemouv[[#This Row],[Produit]],TabListeProduits[],2,0),"")</f>
        <v>1.98</v>
      </c>
      <c r="E24" s="27">
        <f>IFERROR(VLOOKUP(TabListemouv[[#This Row],[Produit]],TabListeProduits[],3,0),"")</f>
        <v>3</v>
      </c>
      <c r="F24" s="1">
        <v>34</v>
      </c>
      <c r="G24" s="1" t="s">
        <v>100</v>
      </c>
      <c r="H24" s="1">
        <v>115</v>
      </c>
      <c r="I24" s="21">
        <f>IFERROR(TabListemouv[[#This Row],[Début]]-TabListemouv[[#This Row],[Fin]]+TabListemouv[[#This Row],[Sortie]],"")</f>
        <v>121.5</v>
      </c>
      <c r="J24" s="1">
        <f>IFERROR(YEAR(TabListemouv[[#This Row],[Date]]),"")</f>
        <v>2020</v>
      </c>
      <c r="K24" s="1" t="str">
        <f>IFERROR(TEXT(TabListemouv[[#This Row],[Date]],"mmmm"),"")</f>
        <v>février</v>
      </c>
      <c r="L24" s="30">
        <f>TabListemouv[[#This Row],[Prix TTC]]*TabListemouv[[#This Row],[Conso]]</f>
        <v>240.57</v>
      </c>
      <c r="M24" s="30">
        <f>TabListemouv[[#This Row],[Prix Vente]]*TabListemouv[[#This Row],[Conso]]</f>
        <v>364.5</v>
      </c>
      <c r="N24" s="21">
        <f>TabListemouv[[#This Row],[Total Vente]]-TabListemouv[[#This Row],[Total Achat]]</f>
        <v>123.93</v>
      </c>
    </row>
    <row r="25" spans="2:14" hidden="1" x14ac:dyDescent="0.25">
      <c r="B25" s="29" t="s">
        <v>98</v>
      </c>
      <c r="C25" s="1" t="s">
        <v>4</v>
      </c>
      <c r="D25" s="27">
        <f>IFERROR(VLOOKUP(TabListemouv[[#This Row],[Produit]],TabListeProduits[],2,0),"")</f>
        <v>1.98</v>
      </c>
      <c r="E25" s="27">
        <f>IFERROR(VLOOKUP(TabListemouv[[#This Row],[Produit]],TabListeProduits[],3,0),"")</f>
        <v>3</v>
      </c>
      <c r="F25" s="1" t="s">
        <v>97</v>
      </c>
      <c r="G25" s="1" t="s">
        <v>101</v>
      </c>
      <c r="H25" s="1">
        <v>55</v>
      </c>
      <c r="I25" s="21">
        <f>IFERROR(TabListemouv[[#This Row],[Début]]-TabListemouv[[#This Row],[Fin]]+TabListemouv[[#This Row],[Sortie]],"")</f>
        <v>50</v>
      </c>
      <c r="J25" s="1">
        <f>IFERROR(YEAR(TabListemouv[[#This Row],[Date]]),"")</f>
        <v>2020</v>
      </c>
      <c r="K25" s="1" t="str">
        <f>IFERROR(TEXT(TabListemouv[[#This Row],[Date]],"mmmm"),"")</f>
        <v>février</v>
      </c>
      <c r="L25" s="30">
        <f>TabListemouv[[#This Row],[Prix TTC]]*TabListemouv[[#This Row],[Conso]]</f>
        <v>99</v>
      </c>
      <c r="M25" s="30">
        <f>TabListemouv[[#This Row],[Prix Vente]]*TabListemouv[[#This Row],[Conso]]</f>
        <v>150</v>
      </c>
      <c r="N25" s="21">
        <f>TabListemouv[[#This Row],[Total Vente]]-TabListemouv[[#This Row],[Total Achat]]</f>
        <v>51</v>
      </c>
    </row>
    <row r="26" spans="2:14" hidden="1" x14ac:dyDescent="0.25">
      <c r="B26" s="29" t="s">
        <v>98</v>
      </c>
      <c r="C26" s="1" t="s">
        <v>14</v>
      </c>
      <c r="D26" s="27">
        <f>IFERROR(VLOOKUP(TabListemouv[[#This Row],[Produit]],TabListeProduits[],2,0),"")</f>
        <v>0.42</v>
      </c>
      <c r="E26" s="27">
        <f>IFERROR(VLOOKUP(TabListemouv[[#This Row],[Produit]],TabListeProduits[],3,0),"")</f>
        <v>1.5</v>
      </c>
      <c r="F26" s="1">
        <v>33</v>
      </c>
      <c r="G26" s="1">
        <v>32</v>
      </c>
      <c r="H26" s="1">
        <v>104</v>
      </c>
      <c r="I26" s="21">
        <f>IFERROR(TabListemouv[[#This Row],[Début]]-TabListemouv[[#This Row],[Fin]]+TabListemouv[[#This Row],[Sortie]],"")</f>
        <v>105</v>
      </c>
      <c r="J26" s="1">
        <f>IFERROR(YEAR(TabListemouv[[#This Row],[Date]]),"")</f>
        <v>2020</v>
      </c>
      <c r="K26" s="1" t="str">
        <f>IFERROR(TEXT(TabListemouv[[#This Row],[Date]],"mmmm"),"")</f>
        <v>février</v>
      </c>
      <c r="L26" s="30">
        <f>TabListemouv[[#This Row],[Prix TTC]]*TabListemouv[[#This Row],[Conso]]</f>
        <v>44.1</v>
      </c>
      <c r="M26" s="30">
        <f>TabListemouv[[#This Row],[Prix Vente]]*TabListemouv[[#This Row],[Conso]]</f>
        <v>157.5</v>
      </c>
      <c r="N26" s="21">
        <f>TabListemouv[[#This Row],[Total Vente]]-TabListemouv[[#This Row],[Total Achat]]</f>
        <v>113.4</v>
      </c>
    </row>
    <row r="27" spans="2:14" hidden="1" x14ac:dyDescent="0.25">
      <c r="B27" s="29" t="s">
        <v>98</v>
      </c>
      <c r="C27" s="1" t="s">
        <v>16</v>
      </c>
      <c r="D27" s="27">
        <f>IFERROR(VLOOKUP(TabListemouv[[#This Row],[Produit]],TabListeProduits[],2,0),"")</f>
        <v>0.3</v>
      </c>
      <c r="E27" s="27">
        <f>IFERROR(VLOOKUP(TabListemouv[[#This Row],[Produit]],TabListeProduits[],3,0),"")</f>
        <v>1.5</v>
      </c>
      <c r="F27" s="1">
        <v>10</v>
      </c>
      <c r="G27" s="1">
        <v>16</v>
      </c>
      <c r="H27" s="1">
        <v>48</v>
      </c>
      <c r="I27" s="21">
        <f>IFERROR(TabListemouv[[#This Row],[Début]]-TabListemouv[[#This Row],[Fin]]+TabListemouv[[#This Row],[Sortie]],"")</f>
        <v>42</v>
      </c>
      <c r="J27" s="1">
        <f>IFERROR(YEAR(TabListemouv[[#This Row],[Date]]),"")</f>
        <v>2020</v>
      </c>
      <c r="K27" s="1" t="str">
        <f>IFERROR(TEXT(TabListemouv[[#This Row],[Date]],"mmmm"),"")</f>
        <v>février</v>
      </c>
      <c r="L27" s="30">
        <f>TabListemouv[[#This Row],[Prix TTC]]*TabListemouv[[#This Row],[Conso]]</f>
        <v>12.6</v>
      </c>
      <c r="M27" s="30">
        <f>TabListemouv[[#This Row],[Prix Vente]]*TabListemouv[[#This Row],[Conso]]</f>
        <v>63</v>
      </c>
      <c r="N27" s="21">
        <f>TabListemouv[[#This Row],[Total Vente]]-TabListemouv[[#This Row],[Total Achat]]</f>
        <v>50.4</v>
      </c>
    </row>
    <row r="28" spans="2:14" hidden="1" x14ac:dyDescent="0.25">
      <c r="B28" s="29" t="s">
        <v>98</v>
      </c>
      <c r="C28" s="1" t="s">
        <v>18</v>
      </c>
      <c r="D28" s="27">
        <f>IFERROR(VLOOKUP(TabListemouv[[#This Row],[Produit]],TabListeProduits[],2,0),"")</f>
        <v>0.53</v>
      </c>
      <c r="E28" s="27">
        <f>IFERROR(VLOOKUP(TabListemouv[[#This Row],[Produit]],TabListeProduits[],3,0),"")</f>
        <v>1.5</v>
      </c>
      <c r="F28" s="1">
        <v>6</v>
      </c>
      <c r="G28" s="1">
        <v>0</v>
      </c>
      <c r="H28" s="1">
        <v>18</v>
      </c>
      <c r="I28" s="21">
        <f>IFERROR(TabListemouv[[#This Row],[Début]]-TabListemouv[[#This Row],[Fin]]+TabListemouv[[#This Row],[Sortie]],"")</f>
        <v>24</v>
      </c>
      <c r="J28" s="1">
        <f>IFERROR(YEAR(TabListemouv[[#This Row],[Date]]),"")</f>
        <v>2020</v>
      </c>
      <c r="K28" s="1" t="str">
        <f>IFERROR(TEXT(TabListemouv[[#This Row],[Date]],"mmmm"),"")</f>
        <v>février</v>
      </c>
      <c r="L28" s="30">
        <f>TabListemouv[[#This Row],[Prix TTC]]*TabListemouv[[#This Row],[Conso]]</f>
        <v>12.72</v>
      </c>
      <c r="M28" s="30">
        <f>TabListemouv[[#This Row],[Prix Vente]]*TabListemouv[[#This Row],[Conso]]</f>
        <v>36</v>
      </c>
      <c r="N28" s="21">
        <f>TabListemouv[[#This Row],[Total Vente]]-TabListemouv[[#This Row],[Total Achat]]</f>
        <v>23.28</v>
      </c>
    </row>
    <row r="29" spans="2:14" hidden="1" x14ac:dyDescent="0.25">
      <c r="B29" s="29" t="s">
        <v>98</v>
      </c>
      <c r="C29" s="1" t="s">
        <v>20</v>
      </c>
      <c r="D29" s="27">
        <f>IFERROR(VLOOKUP(TabListemouv[[#This Row],[Produit]],TabListeProduits[],2,0),"")</f>
        <v>0.36</v>
      </c>
      <c r="E29" s="27">
        <f>IFERROR(VLOOKUP(TabListemouv[[#This Row],[Produit]],TabListeProduits[],3,0),"")</f>
        <v>1.5</v>
      </c>
      <c r="F29" s="1">
        <v>6</v>
      </c>
      <c r="G29" s="1">
        <v>9</v>
      </c>
      <c r="H29" s="1">
        <v>6</v>
      </c>
      <c r="I29" s="21">
        <f>IFERROR(TabListemouv[[#This Row],[Début]]-TabListemouv[[#This Row],[Fin]]+TabListemouv[[#This Row],[Sortie]],"")</f>
        <v>3</v>
      </c>
      <c r="J29" s="1">
        <f>IFERROR(YEAR(TabListemouv[[#This Row],[Date]]),"")</f>
        <v>2020</v>
      </c>
      <c r="K29" s="1" t="str">
        <f>IFERROR(TEXT(TabListemouv[[#This Row],[Date]],"mmmm"),"")</f>
        <v>février</v>
      </c>
      <c r="L29" s="30">
        <f>TabListemouv[[#This Row],[Prix TTC]]*TabListemouv[[#This Row],[Conso]]</f>
        <v>1.08</v>
      </c>
      <c r="M29" s="30">
        <f>TabListemouv[[#This Row],[Prix Vente]]*TabListemouv[[#This Row],[Conso]]</f>
        <v>4.5</v>
      </c>
      <c r="N29" s="21">
        <f>TabListemouv[[#This Row],[Total Vente]]-TabListemouv[[#This Row],[Total Achat]]</f>
        <v>3.42</v>
      </c>
    </row>
    <row r="30" spans="2:14" hidden="1" x14ac:dyDescent="0.25">
      <c r="B30" s="29" t="s">
        <v>98</v>
      </c>
      <c r="C30" s="1" t="s">
        <v>22</v>
      </c>
      <c r="D30" s="27">
        <f>IFERROR(VLOOKUP(TabListemouv[[#This Row],[Produit]],TabListeProduits[],2,0),"")</f>
        <v>0.13</v>
      </c>
      <c r="E30" s="27">
        <f>IFERROR(VLOOKUP(TabListemouv[[#This Row],[Produit]],TabListeProduits[],3,0),"")</f>
        <v>0.6</v>
      </c>
      <c r="F30" s="1">
        <v>14</v>
      </c>
      <c r="G30" s="1">
        <v>19</v>
      </c>
      <c r="H30" s="1">
        <v>24</v>
      </c>
      <c r="I30" s="21">
        <f>IFERROR(TabListemouv[[#This Row],[Début]]-TabListemouv[[#This Row],[Fin]]+TabListemouv[[#This Row],[Sortie]],"")</f>
        <v>19</v>
      </c>
      <c r="J30" s="1">
        <f>IFERROR(YEAR(TabListemouv[[#This Row],[Date]]),"")</f>
        <v>2020</v>
      </c>
      <c r="K30" s="1" t="str">
        <f>IFERROR(TEXT(TabListemouv[[#This Row],[Date]],"mmmm"),"")</f>
        <v>février</v>
      </c>
      <c r="L30" s="30">
        <f>TabListemouv[[#This Row],[Prix TTC]]*TabListemouv[[#This Row],[Conso]]</f>
        <v>2.4700000000000002</v>
      </c>
      <c r="M30" s="30">
        <f>TabListemouv[[#This Row],[Prix Vente]]*TabListemouv[[#This Row],[Conso]]</f>
        <v>11.4</v>
      </c>
      <c r="N30" s="21">
        <f>TabListemouv[[#This Row],[Total Vente]]-TabListemouv[[#This Row],[Total Achat]]</f>
        <v>8.93</v>
      </c>
    </row>
    <row r="31" spans="2:14" hidden="1" x14ac:dyDescent="0.25">
      <c r="B31" s="29" t="s">
        <v>98</v>
      </c>
      <c r="C31" s="1" t="s">
        <v>25</v>
      </c>
      <c r="D31" s="27">
        <f>IFERROR(VLOOKUP(TabListemouv[[#This Row],[Produit]],TabListeProduits[],2,0),"")</f>
        <v>8.34</v>
      </c>
      <c r="E31" s="27">
        <f>IFERROR(VLOOKUP(TabListemouv[[#This Row],[Produit]],TabListeProduits[],3,0),"")</f>
        <v>9</v>
      </c>
      <c r="F31" s="1">
        <v>5</v>
      </c>
      <c r="G31" s="1">
        <v>22</v>
      </c>
      <c r="H31" s="1">
        <v>24</v>
      </c>
      <c r="I31" s="21">
        <f>IFERROR(TabListemouv[[#This Row],[Début]]-TabListemouv[[#This Row],[Fin]]+TabListemouv[[#This Row],[Sortie]],"")</f>
        <v>7</v>
      </c>
      <c r="J31" s="1">
        <f>IFERROR(YEAR(TabListemouv[[#This Row],[Date]]),"")</f>
        <v>2020</v>
      </c>
      <c r="K31" s="1" t="str">
        <f>IFERROR(TEXT(TabListemouv[[#This Row],[Date]],"mmmm"),"")</f>
        <v>février</v>
      </c>
      <c r="L31" s="30">
        <f>TabListemouv[[#This Row],[Prix TTC]]*TabListemouv[[#This Row],[Conso]]</f>
        <v>58.379999999999995</v>
      </c>
      <c r="M31" s="30">
        <f>TabListemouv[[#This Row],[Prix Vente]]*TabListemouv[[#This Row],[Conso]]</f>
        <v>63</v>
      </c>
      <c r="N31" s="21">
        <f>TabListemouv[[#This Row],[Total Vente]]-TabListemouv[[#This Row],[Total Achat]]</f>
        <v>4.6200000000000045</v>
      </c>
    </row>
    <row r="32" spans="2:14" hidden="1" x14ac:dyDescent="0.25">
      <c r="B32" s="29" t="s">
        <v>98</v>
      </c>
      <c r="C32" s="1" t="s">
        <v>27</v>
      </c>
      <c r="D32" s="27">
        <f>IFERROR(VLOOKUP(TabListemouv[[#This Row],[Produit]],TabListeProduits[],2,0),"")</f>
        <v>0.5</v>
      </c>
      <c r="E32" s="27">
        <f>IFERROR(VLOOKUP(TabListemouv[[#This Row],[Produit]],TabListeProduits[],3,0),"")</f>
        <v>1.5</v>
      </c>
      <c r="F32" s="1">
        <v>22</v>
      </c>
      <c r="G32" s="1">
        <v>15</v>
      </c>
      <c r="H32" s="1">
        <v>12</v>
      </c>
      <c r="I32" s="21">
        <f>IFERROR(TabListemouv[[#This Row],[Début]]-TabListemouv[[#This Row],[Fin]]+TabListemouv[[#This Row],[Sortie]],"")</f>
        <v>19</v>
      </c>
      <c r="J32" s="1">
        <f>IFERROR(YEAR(TabListemouv[[#This Row],[Date]]),"")</f>
        <v>2020</v>
      </c>
      <c r="K32" s="1" t="str">
        <f>IFERROR(TEXT(TabListemouv[[#This Row],[Date]],"mmmm"),"")</f>
        <v>février</v>
      </c>
      <c r="L32" s="30">
        <f>TabListemouv[[#This Row],[Prix TTC]]*TabListemouv[[#This Row],[Conso]]</f>
        <v>9.5</v>
      </c>
      <c r="M32" s="30">
        <f>TabListemouv[[#This Row],[Prix Vente]]*TabListemouv[[#This Row],[Conso]]</f>
        <v>28.5</v>
      </c>
      <c r="N32" s="21">
        <f>TabListemouv[[#This Row],[Total Vente]]-TabListemouv[[#This Row],[Total Achat]]</f>
        <v>19</v>
      </c>
    </row>
    <row r="33" spans="2:14" hidden="1" x14ac:dyDescent="0.25">
      <c r="B33" s="29" t="s">
        <v>98</v>
      </c>
      <c r="C33" s="1" t="s">
        <v>29</v>
      </c>
      <c r="D33" s="27">
        <f>IFERROR(VLOOKUP(TabListemouv[[#This Row],[Produit]],TabListeProduits[],2,0),"")</f>
        <v>0</v>
      </c>
      <c r="E33" s="27">
        <f>IFERROR(VLOOKUP(TabListemouv[[#This Row],[Produit]],TabListeProduits[],3,0),"")</f>
        <v>0.5</v>
      </c>
      <c r="F33" s="1">
        <v>29</v>
      </c>
      <c r="G33" s="1">
        <v>23</v>
      </c>
      <c r="H33" s="1">
        <v>0</v>
      </c>
      <c r="I33" s="21">
        <f>IFERROR(TabListemouv[[#This Row],[Début]]-TabListemouv[[#This Row],[Fin]]+TabListemouv[[#This Row],[Sortie]],"")</f>
        <v>6</v>
      </c>
      <c r="J33" s="1">
        <f>IFERROR(YEAR(TabListemouv[[#This Row],[Date]]),"")</f>
        <v>2020</v>
      </c>
      <c r="K33" s="1" t="str">
        <f>IFERROR(TEXT(TabListemouv[[#This Row],[Date]],"mmmm"),"")</f>
        <v>février</v>
      </c>
      <c r="L33" s="30">
        <f>TabListemouv[[#This Row],[Prix TTC]]*TabListemouv[[#This Row],[Conso]]</f>
        <v>0</v>
      </c>
      <c r="M33" s="30">
        <f>TabListemouv[[#This Row],[Prix Vente]]*TabListemouv[[#This Row],[Conso]]</f>
        <v>3</v>
      </c>
      <c r="N33" s="21">
        <f>TabListemouv[[#This Row],[Total Vente]]-TabListemouv[[#This Row],[Total Achat]]</f>
        <v>3</v>
      </c>
    </row>
    <row r="34" spans="2:14" hidden="1" x14ac:dyDescent="0.25">
      <c r="B34" s="29" t="s">
        <v>98</v>
      </c>
      <c r="C34" s="1" t="s">
        <v>30</v>
      </c>
      <c r="D34" s="27">
        <f>IFERROR(VLOOKUP(TabListemouv[[#This Row],[Produit]],TabListeProduits[],2,0),"")</f>
        <v>0.18</v>
      </c>
      <c r="E34" s="27">
        <f>IFERROR(VLOOKUP(TabListemouv[[#This Row],[Produit]],TabListeProduits[],3,0),"")</f>
        <v>1</v>
      </c>
      <c r="F34" s="1">
        <v>1</v>
      </c>
      <c r="G34" s="1">
        <v>1</v>
      </c>
      <c r="H34" s="1">
        <v>0</v>
      </c>
      <c r="I34" s="21">
        <f>IFERROR(TabListemouv[[#This Row],[Début]]-TabListemouv[[#This Row],[Fin]]+TabListemouv[[#This Row],[Sortie]],"")</f>
        <v>0</v>
      </c>
      <c r="J34" s="1">
        <f>IFERROR(YEAR(TabListemouv[[#This Row],[Date]]),"")</f>
        <v>2020</v>
      </c>
      <c r="K34" s="1" t="str">
        <f>IFERROR(TEXT(TabListemouv[[#This Row],[Date]],"mmmm"),"")</f>
        <v>février</v>
      </c>
      <c r="L34" s="30">
        <f>TabListemouv[[#This Row],[Prix TTC]]*TabListemouv[[#This Row],[Conso]]</f>
        <v>0</v>
      </c>
      <c r="M34" s="30">
        <f>TabListemouv[[#This Row],[Prix Vente]]*TabListemouv[[#This Row],[Conso]]</f>
        <v>0</v>
      </c>
      <c r="N34" s="21">
        <f>TabListemouv[[#This Row],[Total Vente]]-TabListemouv[[#This Row],[Total Achat]]</f>
        <v>0</v>
      </c>
    </row>
    <row r="35" spans="2:14" hidden="1" x14ac:dyDescent="0.25">
      <c r="B35" s="29" t="s">
        <v>98</v>
      </c>
      <c r="C35" s="1" t="s">
        <v>31</v>
      </c>
      <c r="D35" s="27">
        <f>IFERROR(VLOOKUP(TabListemouv[[#This Row],[Produit]],TabListeProduits[],2,0),"")</f>
        <v>0</v>
      </c>
      <c r="E35" s="27">
        <f>IFERROR(VLOOKUP(TabListemouv[[#This Row],[Produit]],TabListeProduits[],3,0),"")</f>
        <v>1.5</v>
      </c>
      <c r="F35" s="1">
        <v>4</v>
      </c>
      <c r="G35" s="1">
        <v>1</v>
      </c>
      <c r="H35" s="1">
        <v>0</v>
      </c>
      <c r="I35" s="21">
        <f>IFERROR(TabListemouv[[#This Row],[Début]]-TabListemouv[[#This Row],[Fin]]+TabListemouv[[#This Row],[Sortie]],"")</f>
        <v>3</v>
      </c>
      <c r="J35" s="1">
        <f>IFERROR(YEAR(TabListemouv[[#This Row],[Date]]),"")</f>
        <v>2020</v>
      </c>
      <c r="K35" s="1" t="str">
        <f>IFERROR(TEXT(TabListemouv[[#This Row],[Date]],"mmmm"),"")</f>
        <v>février</v>
      </c>
      <c r="L35" s="30">
        <f>TabListemouv[[#This Row],[Prix TTC]]*TabListemouv[[#This Row],[Conso]]</f>
        <v>0</v>
      </c>
      <c r="M35" s="30">
        <f>TabListemouv[[#This Row],[Prix Vente]]*TabListemouv[[#This Row],[Conso]]</f>
        <v>4.5</v>
      </c>
      <c r="N35" s="21">
        <f>TabListemouv[[#This Row],[Total Vente]]-TabListemouv[[#This Row],[Total Achat]]</f>
        <v>4.5</v>
      </c>
    </row>
    <row r="36" spans="2:14" hidden="1" x14ac:dyDescent="0.25">
      <c r="B36" s="29" t="s">
        <v>98</v>
      </c>
      <c r="C36" s="1" t="s">
        <v>33</v>
      </c>
      <c r="D36" s="27">
        <f>IFERROR(VLOOKUP(TabListemouv[[#This Row],[Produit]],TabListeProduits[],2,0),"")</f>
        <v>0.22</v>
      </c>
      <c r="E36" s="27">
        <f>IFERROR(VLOOKUP(TabListemouv[[#This Row],[Produit]],TabListeProduits[],3,0),"")</f>
        <v>1.5</v>
      </c>
      <c r="F36" s="1">
        <v>13</v>
      </c>
      <c r="G36" s="1">
        <v>13</v>
      </c>
      <c r="H36" s="1">
        <v>0</v>
      </c>
      <c r="I36" s="21">
        <f>IFERROR(TabListemouv[[#This Row],[Début]]-TabListemouv[[#This Row],[Fin]]+TabListemouv[[#This Row],[Sortie]],"")</f>
        <v>0</v>
      </c>
      <c r="J36" s="1">
        <f>IFERROR(YEAR(TabListemouv[[#This Row],[Date]]),"")</f>
        <v>2020</v>
      </c>
      <c r="K36" s="1" t="str">
        <f>IFERROR(TEXT(TabListemouv[[#This Row],[Date]],"mmmm"),"")</f>
        <v>février</v>
      </c>
      <c r="L36" s="30">
        <f>TabListemouv[[#This Row],[Prix TTC]]*TabListemouv[[#This Row],[Conso]]</f>
        <v>0</v>
      </c>
      <c r="M36" s="30">
        <f>TabListemouv[[#This Row],[Prix Vente]]*TabListemouv[[#This Row],[Conso]]</f>
        <v>0</v>
      </c>
      <c r="N36" s="21">
        <f>TabListemouv[[#This Row],[Total Vente]]-TabListemouv[[#This Row],[Total Achat]]</f>
        <v>0</v>
      </c>
    </row>
    <row r="37" spans="2:14" hidden="1" x14ac:dyDescent="0.25">
      <c r="B37" s="29" t="s">
        <v>81</v>
      </c>
      <c r="C37" s="1" t="s">
        <v>10</v>
      </c>
      <c r="D37" s="31">
        <f>IFERROR(VLOOKUP(TabListemouv[[#This Row],[Produit]],TabListeProduits[],2,0),"")</f>
        <v>2.25</v>
      </c>
      <c r="E37" s="31">
        <f>IFERROR(VLOOKUP(TabListemouv[[#This Row],[Produit]],TabListeProduits[],3,0),"")</f>
        <v>3</v>
      </c>
      <c r="F37" s="1" t="s">
        <v>99</v>
      </c>
      <c r="G37" s="1">
        <v>49</v>
      </c>
      <c r="H37" s="1">
        <v>38</v>
      </c>
      <c r="I37" s="21">
        <f>IFERROR(TabListemouv[[#This Row],[Début]]-TabListemouv[[#This Row],[Fin]]+TabListemouv[[#This Row],[Sortie]],"")</f>
        <v>29.5</v>
      </c>
      <c r="J37" s="21">
        <f>IFERROR(YEAR(TabListemouv[[#This Row],[Date]]),"")</f>
        <v>2020</v>
      </c>
      <c r="K37" s="21" t="str">
        <f>IFERROR(TEXT(TabListemouv[[#This Row],[Date]],"mmmm"),"")</f>
        <v>mars</v>
      </c>
      <c r="L37" s="30">
        <f>TabListemouv[[#This Row],[Prix TTC]]*TabListemouv[[#This Row],[Conso]]</f>
        <v>66.375</v>
      </c>
      <c r="M37" s="30">
        <f>TabListemouv[[#This Row],[Prix Vente]]*TabListemouv[[#This Row],[Conso]]</f>
        <v>88.5</v>
      </c>
      <c r="N37" s="21">
        <f>TabListemouv[[#This Row],[Total Vente]]-TabListemouv[[#This Row],[Total Achat]]</f>
        <v>22.125</v>
      </c>
    </row>
    <row r="38" spans="2:14" hidden="1" x14ac:dyDescent="0.25">
      <c r="B38" s="29" t="s">
        <v>81</v>
      </c>
      <c r="C38" s="1" t="s">
        <v>12</v>
      </c>
      <c r="D38" s="31">
        <f>IFERROR(VLOOKUP(TabListemouv[[#This Row],[Produit]],TabListeProduits[],2,0),"")</f>
        <v>1.6</v>
      </c>
      <c r="E38" s="31">
        <f>IFERROR(VLOOKUP(TabListemouv[[#This Row],[Produit]],TabListeProduits[],3,0),"")</f>
        <v>3</v>
      </c>
      <c r="F38" s="1">
        <v>29</v>
      </c>
      <c r="G38" s="1">
        <v>26</v>
      </c>
      <c r="H38" s="1">
        <v>52</v>
      </c>
      <c r="I38" s="21">
        <f>IFERROR(TabListemouv[[#This Row],[Début]]-TabListemouv[[#This Row],[Fin]]+TabListemouv[[#This Row],[Sortie]],"")</f>
        <v>55</v>
      </c>
      <c r="J38" s="21">
        <f>IFERROR(YEAR(TabListemouv[[#This Row],[Date]]),"")</f>
        <v>2020</v>
      </c>
      <c r="K38" s="21" t="str">
        <f>IFERROR(TEXT(TabListemouv[[#This Row],[Date]],"mmmm"),"")</f>
        <v>mars</v>
      </c>
      <c r="L38" s="30">
        <f>TabListemouv[[#This Row],[Prix TTC]]*TabListemouv[[#This Row],[Conso]]</f>
        <v>88</v>
      </c>
      <c r="M38" s="30">
        <f>TabListemouv[[#This Row],[Prix Vente]]*TabListemouv[[#This Row],[Conso]]</f>
        <v>165</v>
      </c>
      <c r="N38" s="21">
        <f>TabListemouv[[#This Row],[Total Vente]]-TabListemouv[[#This Row],[Total Achat]]</f>
        <v>77</v>
      </c>
    </row>
    <row r="39" spans="2:14" hidden="1" x14ac:dyDescent="0.25">
      <c r="B39" s="29" t="s">
        <v>81</v>
      </c>
      <c r="C39" s="1" t="s">
        <v>8</v>
      </c>
      <c r="D39" s="31">
        <f>IFERROR(VLOOKUP(TabListemouv[[#This Row],[Produit]],TabListeProduits[],2,0),"")</f>
        <v>1.98</v>
      </c>
      <c r="E39" s="31">
        <f>IFERROR(VLOOKUP(TabListemouv[[#This Row],[Produit]],TabListeProduits[],3,0),"")</f>
        <v>3</v>
      </c>
      <c r="F39" s="1" t="s">
        <v>100</v>
      </c>
      <c r="G39" s="1" t="s">
        <v>107</v>
      </c>
      <c r="H39" s="1">
        <v>15</v>
      </c>
      <c r="I39" s="21">
        <f>IFERROR(TabListemouv[[#This Row],[Début]]-TabListemouv[[#This Row],[Fin]]+TabListemouv[[#This Row],[Sortie]],"")</f>
        <v>24</v>
      </c>
      <c r="J39" s="21">
        <f>IFERROR(YEAR(TabListemouv[[#This Row],[Date]]),"")</f>
        <v>2020</v>
      </c>
      <c r="K39" s="21" t="str">
        <f>IFERROR(TEXT(TabListemouv[[#This Row],[Date]],"mmmm"),"")</f>
        <v>mars</v>
      </c>
      <c r="L39" s="30">
        <f>TabListemouv[[#This Row],[Prix TTC]]*TabListemouv[[#This Row],[Conso]]</f>
        <v>47.519999999999996</v>
      </c>
      <c r="M39" s="30">
        <f>TabListemouv[[#This Row],[Prix Vente]]*TabListemouv[[#This Row],[Conso]]</f>
        <v>72</v>
      </c>
      <c r="N39" s="21">
        <f>TabListemouv[[#This Row],[Total Vente]]-TabListemouv[[#This Row],[Total Achat]]</f>
        <v>24.480000000000004</v>
      </c>
    </row>
    <row r="40" spans="2:14" hidden="1" x14ac:dyDescent="0.25">
      <c r="B40" s="29" t="s">
        <v>81</v>
      </c>
      <c r="C40" s="1" t="s">
        <v>4</v>
      </c>
      <c r="D40" s="31">
        <f>IFERROR(VLOOKUP(TabListemouv[[#This Row],[Produit]],TabListeProduits[],2,0),"")</f>
        <v>1.98</v>
      </c>
      <c r="E40" s="31">
        <f>IFERROR(VLOOKUP(TabListemouv[[#This Row],[Produit]],TabListeProduits[],3,0),"")</f>
        <v>3</v>
      </c>
      <c r="F40" s="1" t="s">
        <v>101</v>
      </c>
      <c r="G40" s="1">
        <v>10</v>
      </c>
      <c r="H40" s="1">
        <v>15</v>
      </c>
      <c r="I40" s="21">
        <f>IFERROR(TabListemouv[[#This Row],[Début]]-TabListemouv[[#This Row],[Fin]]+TabListemouv[[#This Row],[Sortie]],"")</f>
        <v>14.5</v>
      </c>
      <c r="J40" s="21">
        <f>IFERROR(YEAR(TabListemouv[[#This Row],[Date]]),"")</f>
        <v>2020</v>
      </c>
      <c r="K40" s="21" t="str">
        <f>IFERROR(TEXT(TabListemouv[[#This Row],[Date]],"mmmm"),"")</f>
        <v>mars</v>
      </c>
      <c r="L40" s="30">
        <f>TabListemouv[[#This Row],[Prix TTC]]*TabListemouv[[#This Row],[Conso]]</f>
        <v>28.71</v>
      </c>
      <c r="M40" s="30">
        <f>TabListemouv[[#This Row],[Prix Vente]]*TabListemouv[[#This Row],[Conso]]</f>
        <v>43.5</v>
      </c>
      <c r="N40" s="21">
        <f>TabListemouv[[#This Row],[Total Vente]]-TabListemouv[[#This Row],[Total Achat]]</f>
        <v>14.79</v>
      </c>
    </row>
    <row r="41" spans="2:14" hidden="1" x14ac:dyDescent="0.25">
      <c r="B41" s="29" t="s">
        <v>81</v>
      </c>
      <c r="C41" s="1" t="s">
        <v>14</v>
      </c>
      <c r="D41" s="31">
        <f>IFERROR(VLOOKUP(TabListemouv[[#This Row],[Produit]],TabListeProduits[],2,0),"")</f>
        <v>0.42</v>
      </c>
      <c r="E41" s="31">
        <f>IFERROR(VLOOKUP(TabListemouv[[#This Row],[Produit]],TabListeProduits[],3,0),"")</f>
        <v>1.5</v>
      </c>
      <c r="F41" s="1">
        <v>32</v>
      </c>
      <c r="G41" s="1">
        <v>30</v>
      </c>
      <c r="H41" s="1">
        <v>26</v>
      </c>
      <c r="I41" s="21">
        <f>IFERROR(TabListemouv[[#This Row],[Début]]-TabListemouv[[#This Row],[Fin]]+TabListemouv[[#This Row],[Sortie]],"")</f>
        <v>28</v>
      </c>
      <c r="J41" s="21">
        <f>IFERROR(YEAR(TabListemouv[[#This Row],[Date]]),"")</f>
        <v>2020</v>
      </c>
      <c r="K41" s="21" t="str">
        <f>IFERROR(TEXT(TabListemouv[[#This Row],[Date]],"mmmm"),"")</f>
        <v>mars</v>
      </c>
      <c r="L41" s="30">
        <f>TabListemouv[[#This Row],[Prix TTC]]*TabListemouv[[#This Row],[Conso]]</f>
        <v>11.76</v>
      </c>
      <c r="M41" s="30">
        <f>TabListemouv[[#This Row],[Prix Vente]]*TabListemouv[[#This Row],[Conso]]</f>
        <v>42</v>
      </c>
      <c r="N41" s="21">
        <f>TabListemouv[[#This Row],[Total Vente]]-TabListemouv[[#This Row],[Total Achat]]</f>
        <v>30.240000000000002</v>
      </c>
    </row>
    <row r="42" spans="2:14" hidden="1" x14ac:dyDescent="0.25">
      <c r="B42" s="29" t="s">
        <v>81</v>
      </c>
      <c r="C42" s="1" t="s">
        <v>16</v>
      </c>
      <c r="D42" s="31">
        <f>IFERROR(VLOOKUP(TabListemouv[[#This Row],[Produit]],TabListeProduits[],2,0),"")</f>
        <v>0.3</v>
      </c>
      <c r="E42" s="31">
        <f>IFERROR(VLOOKUP(TabListemouv[[#This Row],[Produit]],TabListeProduits[],3,0),"")</f>
        <v>1.5</v>
      </c>
      <c r="F42" s="1">
        <v>16</v>
      </c>
      <c r="G42" s="1">
        <v>8</v>
      </c>
      <c r="H42" s="1">
        <v>6</v>
      </c>
      <c r="I42" s="21">
        <f>IFERROR(TabListemouv[[#This Row],[Début]]-TabListemouv[[#This Row],[Fin]]+TabListemouv[[#This Row],[Sortie]],"")</f>
        <v>14</v>
      </c>
      <c r="J42" s="21">
        <f>IFERROR(YEAR(TabListemouv[[#This Row],[Date]]),"")</f>
        <v>2020</v>
      </c>
      <c r="K42" s="21" t="str">
        <f>IFERROR(TEXT(TabListemouv[[#This Row],[Date]],"mmmm"),"")</f>
        <v>mars</v>
      </c>
      <c r="L42" s="30">
        <f>TabListemouv[[#This Row],[Prix TTC]]*TabListemouv[[#This Row],[Conso]]</f>
        <v>4.2</v>
      </c>
      <c r="M42" s="30">
        <f>TabListemouv[[#This Row],[Prix Vente]]*TabListemouv[[#This Row],[Conso]]</f>
        <v>21</v>
      </c>
      <c r="N42" s="21">
        <f>TabListemouv[[#This Row],[Total Vente]]-TabListemouv[[#This Row],[Total Achat]]</f>
        <v>16.8</v>
      </c>
    </row>
    <row r="43" spans="2:14" hidden="1" x14ac:dyDescent="0.25">
      <c r="B43" s="29" t="s">
        <v>81</v>
      </c>
      <c r="C43" s="1" t="s">
        <v>22</v>
      </c>
      <c r="D43" s="31">
        <f>IFERROR(VLOOKUP(TabListemouv[[#This Row],[Produit]],TabListeProduits[],2,0),"")</f>
        <v>0.13</v>
      </c>
      <c r="E43" s="31">
        <f>IFERROR(VLOOKUP(TabListemouv[[#This Row],[Produit]],TabListeProduits[],3,0),"")</f>
        <v>0.6</v>
      </c>
      <c r="F43" s="1">
        <v>19</v>
      </c>
      <c r="G43" s="1">
        <v>11</v>
      </c>
      <c r="H43" s="1">
        <v>0</v>
      </c>
      <c r="I43" s="21">
        <f>IFERROR(TabListemouv[[#This Row],[Début]]-TabListemouv[[#This Row],[Fin]]+TabListemouv[[#This Row],[Sortie]],"")</f>
        <v>8</v>
      </c>
      <c r="J43" s="21">
        <f>IFERROR(YEAR(TabListemouv[[#This Row],[Date]]),"")</f>
        <v>2020</v>
      </c>
      <c r="K43" s="21" t="str">
        <f>IFERROR(TEXT(TabListemouv[[#This Row],[Date]],"mmmm"),"")</f>
        <v>mars</v>
      </c>
      <c r="L43" s="30">
        <f>TabListemouv[[#This Row],[Prix TTC]]*TabListemouv[[#This Row],[Conso]]</f>
        <v>1.04</v>
      </c>
      <c r="M43" s="30">
        <f>TabListemouv[[#This Row],[Prix Vente]]*TabListemouv[[#This Row],[Conso]]</f>
        <v>4.8</v>
      </c>
      <c r="N43" s="21">
        <f>TabListemouv[[#This Row],[Total Vente]]-TabListemouv[[#This Row],[Total Achat]]</f>
        <v>3.76</v>
      </c>
    </row>
    <row r="44" spans="2:14" hidden="1" x14ac:dyDescent="0.25">
      <c r="B44" s="29" t="s">
        <v>81</v>
      </c>
      <c r="C44" s="1" t="s">
        <v>20</v>
      </c>
      <c r="D44" s="31">
        <f>IFERROR(VLOOKUP(TabListemouv[[#This Row],[Produit]],TabListeProduits[],2,0),"")</f>
        <v>0.36</v>
      </c>
      <c r="E44" s="31">
        <f>IFERROR(VLOOKUP(TabListemouv[[#This Row],[Produit]],TabListeProduits[],3,0),"")</f>
        <v>1.5</v>
      </c>
      <c r="F44" s="1">
        <v>9</v>
      </c>
      <c r="G44" s="1">
        <v>9</v>
      </c>
      <c r="H44" s="1">
        <v>0</v>
      </c>
      <c r="I44" s="21">
        <f>IFERROR(TabListemouv[[#This Row],[Début]]-TabListemouv[[#This Row],[Fin]]+TabListemouv[[#This Row],[Sortie]],"")</f>
        <v>0</v>
      </c>
      <c r="J44" s="21">
        <f>IFERROR(YEAR(TabListemouv[[#This Row],[Date]]),"")</f>
        <v>2020</v>
      </c>
      <c r="K44" s="21" t="str">
        <f>IFERROR(TEXT(TabListemouv[[#This Row],[Date]],"mmmm"),"")</f>
        <v>mars</v>
      </c>
      <c r="L44" s="30">
        <f>TabListemouv[[#This Row],[Prix TTC]]*TabListemouv[[#This Row],[Conso]]</f>
        <v>0</v>
      </c>
      <c r="M44" s="30">
        <f>TabListemouv[[#This Row],[Prix Vente]]*TabListemouv[[#This Row],[Conso]]</f>
        <v>0</v>
      </c>
      <c r="N44" s="21">
        <f>TabListemouv[[#This Row],[Total Vente]]-TabListemouv[[#This Row],[Total Achat]]</f>
        <v>0</v>
      </c>
    </row>
    <row r="45" spans="2:14" hidden="1" x14ac:dyDescent="0.25">
      <c r="B45" s="29" t="s">
        <v>81</v>
      </c>
      <c r="C45" s="1" t="s">
        <v>25</v>
      </c>
      <c r="D45" s="31">
        <f>IFERROR(VLOOKUP(TabListemouv[[#This Row],[Produit]],TabListeProduits[],2,0),"")</f>
        <v>8.34</v>
      </c>
      <c r="E45" s="31">
        <f>IFERROR(VLOOKUP(TabListemouv[[#This Row],[Produit]],TabListeProduits[],3,0),"")</f>
        <v>9</v>
      </c>
      <c r="F45" s="1">
        <v>22</v>
      </c>
      <c r="G45" s="1">
        <v>20</v>
      </c>
      <c r="H45" s="1">
        <v>0</v>
      </c>
      <c r="I45" s="21">
        <f>IFERROR(TabListemouv[[#This Row],[Début]]-TabListemouv[[#This Row],[Fin]]+TabListemouv[[#This Row],[Sortie]],"")</f>
        <v>2</v>
      </c>
      <c r="J45" s="21">
        <f>IFERROR(YEAR(TabListemouv[[#This Row],[Date]]),"")</f>
        <v>2020</v>
      </c>
      <c r="K45" s="21" t="str">
        <f>IFERROR(TEXT(TabListemouv[[#This Row],[Date]],"mmmm"),"")</f>
        <v>mars</v>
      </c>
      <c r="L45" s="30">
        <f>TabListemouv[[#This Row],[Prix TTC]]*TabListemouv[[#This Row],[Conso]]</f>
        <v>16.68</v>
      </c>
      <c r="M45" s="30">
        <f>TabListemouv[[#This Row],[Prix Vente]]*TabListemouv[[#This Row],[Conso]]</f>
        <v>18</v>
      </c>
      <c r="N45" s="21">
        <f>TabListemouv[[#This Row],[Total Vente]]-TabListemouv[[#This Row],[Total Achat]]</f>
        <v>1.3200000000000003</v>
      </c>
    </row>
    <row r="46" spans="2:14" hidden="1" x14ac:dyDescent="0.25">
      <c r="B46" s="29" t="s">
        <v>81</v>
      </c>
      <c r="C46" s="1" t="s">
        <v>27</v>
      </c>
      <c r="D46" s="31">
        <f>IFERROR(VLOOKUP(TabListemouv[[#This Row],[Produit]],TabListeProduits[],2,0),"")</f>
        <v>0.5</v>
      </c>
      <c r="E46" s="31">
        <f>IFERROR(VLOOKUP(TabListemouv[[#This Row],[Produit]],TabListeProduits[],3,0),"")</f>
        <v>1.5</v>
      </c>
      <c r="F46" s="1">
        <v>15</v>
      </c>
      <c r="G46" s="1">
        <v>23</v>
      </c>
      <c r="H46" s="1">
        <v>12</v>
      </c>
      <c r="I46" s="21">
        <f>IFERROR(TabListemouv[[#This Row],[Début]]-TabListemouv[[#This Row],[Fin]]+TabListemouv[[#This Row],[Sortie]],"")</f>
        <v>4</v>
      </c>
      <c r="J46" s="21">
        <f>IFERROR(YEAR(TabListemouv[[#This Row],[Date]]),"")</f>
        <v>2020</v>
      </c>
      <c r="K46" s="21" t="str">
        <f>IFERROR(TEXT(TabListemouv[[#This Row],[Date]],"mmmm"),"")</f>
        <v>mars</v>
      </c>
      <c r="L46" s="30">
        <f>TabListemouv[[#This Row],[Prix TTC]]*TabListemouv[[#This Row],[Conso]]</f>
        <v>2</v>
      </c>
      <c r="M46" s="30">
        <f>TabListemouv[[#This Row],[Prix Vente]]*TabListemouv[[#This Row],[Conso]]</f>
        <v>6</v>
      </c>
      <c r="N46" s="21">
        <f>TabListemouv[[#This Row],[Total Vente]]-TabListemouv[[#This Row],[Total Achat]]</f>
        <v>4</v>
      </c>
    </row>
    <row r="47" spans="2:14" hidden="1" x14ac:dyDescent="0.25">
      <c r="B47" s="29" t="s">
        <v>81</v>
      </c>
      <c r="C47" s="1" t="s">
        <v>29</v>
      </c>
      <c r="D47" s="31">
        <f>IFERROR(VLOOKUP(TabListemouv[[#This Row],[Produit]],TabListeProduits[],2,0),"")</f>
        <v>0</v>
      </c>
      <c r="E47" s="31">
        <f>IFERROR(VLOOKUP(TabListemouv[[#This Row],[Produit]],TabListeProduits[],3,0),"")</f>
        <v>0.5</v>
      </c>
      <c r="F47" s="1">
        <v>23</v>
      </c>
      <c r="G47" s="1">
        <v>20</v>
      </c>
      <c r="H47" s="1">
        <v>0</v>
      </c>
      <c r="I47" s="21">
        <f>IFERROR(TabListemouv[[#This Row],[Début]]-TabListemouv[[#This Row],[Fin]]+TabListemouv[[#This Row],[Sortie]],"")</f>
        <v>3</v>
      </c>
      <c r="J47" s="21">
        <f>IFERROR(YEAR(TabListemouv[[#This Row],[Date]]),"")</f>
        <v>2020</v>
      </c>
      <c r="K47" s="21" t="str">
        <f>IFERROR(TEXT(TabListemouv[[#This Row],[Date]],"mmmm"),"")</f>
        <v>mars</v>
      </c>
      <c r="L47" s="30">
        <f>TabListemouv[[#This Row],[Prix TTC]]*TabListemouv[[#This Row],[Conso]]</f>
        <v>0</v>
      </c>
      <c r="M47" s="30">
        <f>TabListemouv[[#This Row],[Prix Vente]]*TabListemouv[[#This Row],[Conso]]</f>
        <v>1.5</v>
      </c>
      <c r="N47" s="21">
        <f>TabListemouv[[#This Row],[Total Vente]]-TabListemouv[[#This Row],[Total Achat]]</f>
        <v>1.5</v>
      </c>
    </row>
    <row r="48" spans="2:14" hidden="1" x14ac:dyDescent="0.25">
      <c r="B48" s="29" t="s">
        <v>81</v>
      </c>
      <c r="C48" s="1" t="s">
        <v>30</v>
      </c>
      <c r="D48" s="31">
        <f>IFERROR(VLOOKUP(TabListemouv[[#This Row],[Produit]],TabListeProduits[],2,0),"")</f>
        <v>0.18</v>
      </c>
      <c r="E48" s="31">
        <f>IFERROR(VLOOKUP(TabListemouv[[#This Row],[Produit]],TabListeProduits[],3,0),"")</f>
        <v>1</v>
      </c>
      <c r="F48" s="1">
        <v>1</v>
      </c>
      <c r="G48" s="1">
        <v>1</v>
      </c>
      <c r="H48" s="1">
        <v>0</v>
      </c>
      <c r="I48" s="21">
        <f>IFERROR(TabListemouv[[#This Row],[Début]]-TabListemouv[[#This Row],[Fin]]+TabListemouv[[#This Row],[Sortie]],"")</f>
        <v>0</v>
      </c>
      <c r="J48" s="21">
        <f>IFERROR(YEAR(TabListemouv[[#This Row],[Date]]),"")</f>
        <v>2020</v>
      </c>
      <c r="K48" s="21" t="str">
        <f>IFERROR(TEXT(TabListemouv[[#This Row],[Date]],"mmmm"),"")</f>
        <v>mars</v>
      </c>
      <c r="L48" s="30">
        <f>TabListemouv[[#This Row],[Prix TTC]]*TabListemouv[[#This Row],[Conso]]</f>
        <v>0</v>
      </c>
      <c r="M48" s="30">
        <f>TabListemouv[[#This Row],[Prix Vente]]*TabListemouv[[#This Row],[Conso]]</f>
        <v>0</v>
      </c>
      <c r="N48" s="21">
        <f>TabListemouv[[#This Row],[Total Vente]]-TabListemouv[[#This Row],[Total Achat]]</f>
        <v>0</v>
      </c>
    </row>
    <row r="49" spans="2:14" hidden="1" x14ac:dyDescent="0.25">
      <c r="B49" s="29" t="s">
        <v>81</v>
      </c>
      <c r="C49" s="1" t="s">
        <v>31</v>
      </c>
      <c r="D49" s="31">
        <f>IFERROR(VLOOKUP(TabListemouv[[#This Row],[Produit]],TabListeProduits[],2,0),"")</f>
        <v>0</v>
      </c>
      <c r="E49" s="31">
        <f>IFERROR(VLOOKUP(TabListemouv[[#This Row],[Produit]],TabListeProduits[],3,0),"")</f>
        <v>1.5</v>
      </c>
      <c r="F49" s="1">
        <v>1</v>
      </c>
      <c r="G49" s="1">
        <v>1</v>
      </c>
      <c r="H49" s="1">
        <v>0</v>
      </c>
      <c r="I49" s="21">
        <f>IFERROR(TabListemouv[[#This Row],[Début]]-TabListemouv[[#This Row],[Fin]]+TabListemouv[[#This Row],[Sortie]],"")</f>
        <v>0</v>
      </c>
      <c r="J49" s="21">
        <f>IFERROR(YEAR(TabListemouv[[#This Row],[Date]]),"")</f>
        <v>2020</v>
      </c>
      <c r="K49" s="21" t="str">
        <f>IFERROR(TEXT(TabListemouv[[#This Row],[Date]],"mmmm"),"")</f>
        <v>mars</v>
      </c>
      <c r="L49" s="30">
        <f>TabListemouv[[#This Row],[Prix TTC]]*TabListemouv[[#This Row],[Conso]]</f>
        <v>0</v>
      </c>
      <c r="M49" s="30">
        <f>TabListemouv[[#This Row],[Prix Vente]]*TabListemouv[[#This Row],[Conso]]</f>
        <v>0</v>
      </c>
      <c r="N49" s="21">
        <f>TabListemouv[[#This Row],[Total Vente]]-TabListemouv[[#This Row],[Total Achat]]</f>
        <v>0</v>
      </c>
    </row>
    <row r="50" spans="2:14" hidden="1" x14ac:dyDescent="0.25">
      <c r="B50" s="29" t="s">
        <v>81</v>
      </c>
      <c r="C50" s="1" t="s">
        <v>33</v>
      </c>
      <c r="D50" s="31">
        <f>IFERROR(VLOOKUP(TabListemouv[[#This Row],[Produit]],TabListeProduits[],2,0),"")</f>
        <v>0.22</v>
      </c>
      <c r="E50" s="31">
        <f>IFERROR(VLOOKUP(TabListemouv[[#This Row],[Produit]],TabListeProduits[],3,0),"")</f>
        <v>1.5</v>
      </c>
      <c r="F50" s="1">
        <v>13</v>
      </c>
      <c r="G50" s="1">
        <v>13</v>
      </c>
      <c r="H50" s="1">
        <v>0</v>
      </c>
      <c r="I50" s="21">
        <f>IFERROR(TabListemouv[[#This Row],[Début]]-TabListemouv[[#This Row],[Fin]]+TabListemouv[[#This Row],[Sortie]],"")</f>
        <v>0</v>
      </c>
      <c r="J50" s="21">
        <f>IFERROR(YEAR(TabListemouv[[#This Row],[Date]]),"")</f>
        <v>2020</v>
      </c>
      <c r="K50" s="21" t="str">
        <f>IFERROR(TEXT(TabListemouv[[#This Row],[Date]],"mmmm"),"")</f>
        <v>mars</v>
      </c>
      <c r="L50" s="30">
        <f>TabListemouv[[#This Row],[Prix TTC]]*TabListemouv[[#This Row],[Conso]]</f>
        <v>0</v>
      </c>
      <c r="M50" s="30">
        <f>TabListemouv[[#This Row],[Prix Vente]]*TabListemouv[[#This Row],[Conso]]</f>
        <v>0</v>
      </c>
      <c r="N50" s="21">
        <f>TabListemouv[[#This Row],[Total Vente]]-TabListemouv[[#This Row],[Total Achat]]</f>
        <v>0</v>
      </c>
    </row>
    <row r="51" spans="2:14" hidden="1" x14ac:dyDescent="0.25">
      <c r="B51" s="29" t="s">
        <v>108</v>
      </c>
      <c r="C51" s="1" t="s">
        <v>8</v>
      </c>
      <c r="D51" s="31">
        <f>IFERROR(VLOOKUP(TabListemouv[[#This Row],[Produit]],TabListeProduits[],2,0),"")</f>
        <v>1.98</v>
      </c>
      <c r="E51" s="31">
        <f>IFERROR(VLOOKUP(TabListemouv[[#This Row],[Produit]],TabListeProduits[],3,0),"")</f>
        <v>3</v>
      </c>
      <c r="F51" s="1" t="s">
        <v>107</v>
      </c>
      <c r="G51" s="1">
        <v>16</v>
      </c>
      <c r="H51" s="1">
        <v>0</v>
      </c>
      <c r="I51" s="21">
        <f>IFERROR(TabListemouv[[#This Row],[Début]]-TabListemouv[[#This Row],[Fin]]+TabListemouv[[#This Row],[Sortie]],"")</f>
        <v>2.5</v>
      </c>
      <c r="J51" s="21">
        <f>IFERROR(YEAR(TabListemouv[[#This Row],[Date]]),"")</f>
        <v>2020</v>
      </c>
      <c r="K51" s="21" t="str">
        <f>IFERROR(TEXT(TabListemouv[[#This Row],[Date]],"mmmm"),"")</f>
        <v>avril</v>
      </c>
      <c r="L51" s="30">
        <f>TabListemouv[[#This Row],[Prix TTC]]*TabListemouv[[#This Row],[Conso]]</f>
        <v>4.95</v>
      </c>
      <c r="M51" s="30">
        <f>TabListemouv[[#This Row],[Prix Vente]]*TabListemouv[[#This Row],[Conso]]</f>
        <v>7.5</v>
      </c>
      <c r="N51" s="21">
        <f>TabListemouv[[#This Row],[Total Vente]]-TabListemouv[[#This Row],[Total Achat]]</f>
        <v>2.5499999999999998</v>
      </c>
    </row>
    <row r="52" spans="2:14" hidden="1" x14ac:dyDescent="0.25">
      <c r="B52" s="29" t="s">
        <v>108</v>
      </c>
      <c r="C52" s="1" t="s">
        <v>14</v>
      </c>
      <c r="D52" s="31">
        <f>IFERROR(VLOOKUP(TabListemouv[[#This Row],[Produit]],TabListeProduits[],2,0),"")</f>
        <v>0.42</v>
      </c>
      <c r="E52" s="31">
        <f>IFERROR(VLOOKUP(TabListemouv[[#This Row],[Produit]],TabListeProduits[],3,0),"")</f>
        <v>1.5</v>
      </c>
      <c r="F52" s="1">
        <v>30</v>
      </c>
      <c r="G52" s="1">
        <v>22</v>
      </c>
      <c r="H52" s="1">
        <v>0</v>
      </c>
      <c r="I52" s="21">
        <f>IFERROR(TabListemouv[[#This Row],[Début]]-TabListemouv[[#This Row],[Fin]]+TabListemouv[[#This Row],[Sortie]],"")</f>
        <v>8</v>
      </c>
      <c r="J52" s="21">
        <f>IFERROR(YEAR(TabListemouv[[#This Row],[Date]]),"")</f>
        <v>2020</v>
      </c>
      <c r="K52" s="21" t="str">
        <f>IFERROR(TEXT(TabListemouv[[#This Row],[Date]],"mmmm"),"")</f>
        <v>avril</v>
      </c>
      <c r="L52" s="30">
        <f>TabListemouv[[#This Row],[Prix TTC]]*TabListemouv[[#This Row],[Conso]]</f>
        <v>3.36</v>
      </c>
      <c r="M52" s="30">
        <f>TabListemouv[[#This Row],[Prix Vente]]*TabListemouv[[#This Row],[Conso]]</f>
        <v>12</v>
      </c>
      <c r="N52" s="21">
        <f>TabListemouv[[#This Row],[Total Vente]]-TabListemouv[[#This Row],[Total Achat]]</f>
        <v>8.64</v>
      </c>
    </row>
    <row r="53" spans="2:14" hidden="1" x14ac:dyDescent="0.25">
      <c r="B53" s="29" t="s">
        <v>108</v>
      </c>
      <c r="C53" s="1" t="s">
        <v>27</v>
      </c>
      <c r="D53" s="31">
        <f>IFERROR(VLOOKUP(TabListemouv[[#This Row],[Produit]],TabListeProduits[],2,0),"")</f>
        <v>0.5</v>
      </c>
      <c r="E53" s="31">
        <f>IFERROR(VLOOKUP(TabListemouv[[#This Row],[Produit]],TabListeProduits[],3,0),"")</f>
        <v>1.5</v>
      </c>
      <c r="F53" s="1">
        <v>23</v>
      </c>
      <c r="G53" s="1">
        <v>22</v>
      </c>
      <c r="H53" s="1">
        <v>0</v>
      </c>
      <c r="I53" s="21">
        <f>IFERROR(TabListemouv[[#This Row],[Début]]-TabListemouv[[#This Row],[Fin]]+TabListemouv[[#This Row],[Sortie]],"")</f>
        <v>1</v>
      </c>
      <c r="J53" s="21">
        <f>IFERROR(YEAR(TabListemouv[[#This Row],[Date]]),"")</f>
        <v>2020</v>
      </c>
      <c r="K53" s="21" t="str">
        <f>IFERROR(TEXT(TabListemouv[[#This Row],[Date]],"mmmm"),"")</f>
        <v>avril</v>
      </c>
      <c r="L53" s="30">
        <f>TabListemouv[[#This Row],[Prix TTC]]*TabListemouv[[#This Row],[Conso]]</f>
        <v>0.5</v>
      </c>
      <c r="M53" s="30">
        <f>TabListemouv[[#This Row],[Prix Vente]]*TabListemouv[[#This Row],[Conso]]</f>
        <v>1.5</v>
      </c>
      <c r="N53" s="21">
        <f>TabListemouv[[#This Row],[Total Vente]]-TabListemouv[[#This Row],[Total Achat]]</f>
        <v>1</v>
      </c>
    </row>
    <row r="54" spans="2:14" hidden="1" x14ac:dyDescent="0.25">
      <c r="B54" s="29" t="s">
        <v>108</v>
      </c>
      <c r="C54" s="1" t="s">
        <v>31</v>
      </c>
      <c r="D54" s="31">
        <f>IFERROR(VLOOKUP(TabListemouv[[#This Row],[Produit]],TabListeProduits[],2,0),"")</f>
        <v>0</v>
      </c>
      <c r="E54" s="31">
        <f>IFERROR(VLOOKUP(TabListemouv[[#This Row],[Produit]],TabListeProduits[],3,0),"")</f>
        <v>1.5</v>
      </c>
      <c r="F54" s="1">
        <v>1</v>
      </c>
      <c r="G54" s="1">
        <v>0</v>
      </c>
      <c r="H54" s="1">
        <v>0</v>
      </c>
      <c r="I54" s="21">
        <f>IFERROR(TabListemouv[[#This Row],[Début]]-TabListemouv[[#This Row],[Fin]]+TabListemouv[[#This Row],[Sortie]],"")</f>
        <v>1</v>
      </c>
      <c r="J54" s="21">
        <f>IFERROR(YEAR(TabListemouv[[#This Row],[Date]]),"")</f>
        <v>2020</v>
      </c>
      <c r="K54" s="21" t="str">
        <f>IFERROR(TEXT(TabListemouv[[#This Row],[Date]],"mmmm"),"")</f>
        <v>avril</v>
      </c>
      <c r="L54" s="30">
        <f>TabListemouv[[#This Row],[Prix TTC]]*TabListemouv[[#This Row],[Conso]]</f>
        <v>0</v>
      </c>
      <c r="M54" s="30">
        <f>TabListemouv[[#This Row],[Prix Vente]]*TabListemouv[[#This Row],[Conso]]</f>
        <v>1.5</v>
      </c>
      <c r="N54" s="21">
        <f>TabListemouv[[#This Row],[Total Vente]]-TabListemouv[[#This Row],[Total Achat]]</f>
        <v>1.5</v>
      </c>
    </row>
    <row r="55" spans="2:14" hidden="1" x14ac:dyDescent="0.25">
      <c r="B55" s="29" t="s">
        <v>112</v>
      </c>
      <c r="C55" s="1" t="s">
        <v>10</v>
      </c>
      <c r="D55" s="31">
        <f>IFERROR(VLOOKUP(TabListemouv[[#This Row],[Produit]],TabListeProduits[],2,0),"")</f>
        <v>2.25</v>
      </c>
      <c r="E55" s="31">
        <f>IFERROR(VLOOKUP(TabListemouv[[#This Row],[Produit]],TabListeProduits[],3,0),"")</f>
        <v>3</v>
      </c>
      <c r="F55" s="1">
        <v>27</v>
      </c>
      <c r="G55" s="1" t="s">
        <v>99</v>
      </c>
      <c r="H55" s="1">
        <v>30</v>
      </c>
      <c r="I55" s="21">
        <f>IFERROR(TabListemouv[[#This Row],[Début]]-TabListemouv[[#This Row],[Fin]]+TabListemouv[[#This Row],[Sortie]],"")</f>
        <v>16.5</v>
      </c>
      <c r="J55" s="21">
        <f>IFERROR(YEAR(TabListemouv[[#This Row],[Date]]),"")</f>
        <v>2021</v>
      </c>
      <c r="K55" s="21" t="str">
        <f>IFERROR(TEXT(TabListemouv[[#This Row],[Date]],"mmmm"),"")</f>
        <v>mai</v>
      </c>
      <c r="L55" s="30">
        <f>TabListemouv[[#This Row],[Prix TTC]]*TabListemouv[[#This Row],[Conso]]</f>
        <v>37.125</v>
      </c>
      <c r="M55" s="30">
        <f>TabListemouv[[#This Row],[Prix Vente]]*TabListemouv[[#This Row],[Conso]]</f>
        <v>49.5</v>
      </c>
      <c r="N55" s="21">
        <f>TabListemouv[[#This Row],[Total Vente]]-TabListemouv[[#This Row],[Total Achat]]</f>
        <v>12.375</v>
      </c>
    </row>
    <row r="56" spans="2:14" hidden="1" x14ac:dyDescent="0.25">
      <c r="B56" s="29" t="s">
        <v>112</v>
      </c>
      <c r="C56" s="1" t="s">
        <v>12</v>
      </c>
      <c r="D56" s="31">
        <f>IFERROR(VLOOKUP(TabListemouv[[#This Row],[Produit]],TabListeProduits[],2,0),"")</f>
        <v>1.6</v>
      </c>
      <c r="E56" s="31">
        <f>IFERROR(VLOOKUP(TabListemouv[[#This Row],[Produit]],TabListeProduits[],3,0),"")</f>
        <v>3</v>
      </c>
      <c r="F56" s="1">
        <v>7</v>
      </c>
      <c r="G56" s="1">
        <v>4</v>
      </c>
      <c r="H56" s="1">
        <v>90</v>
      </c>
      <c r="I56" s="21">
        <f>IFERROR(TabListemouv[[#This Row],[Début]]-TabListemouv[[#This Row],[Fin]]+TabListemouv[[#This Row],[Sortie]],"")</f>
        <v>93</v>
      </c>
      <c r="J56" s="21">
        <f>IFERROR(YEAR(TabListemouv[[#This Row],[Date]]),"")</f>
        <v>2021</v>
      </c>
      <c r="K56" s="21" t="str">
        <f>IFERROR(TEXT(TabListemouv[[#This Row],[Date]],"mmmm"),"")</f>
        <v>mai</v>
      </c>
      <c r="L56" s="30">
        <f>TabListemouv[[#This Row],[Prix TTC]]*TabListemouv[[#This Row],[Conso]]</f>
        <v>148.80000000000001</v>
      </c>
      <c r="M56" s="30">
        <f>TabListemouv[[#This Row],[Prix Vente]]*TabListemouv[[#This Row],[Conso]]</f>
        <v>279</v>
      </c>
      <c r="N56" s="21">
        <f>TabListemouv[[#This Row],[Total Vente]]-TabListemouv[[#This Row],[Total Achat]]</f>
        <v>130.19999999999999</v>
      </c>
    </row>
    <row r="57" spans="2:14" hidden="1" x14ac:dyDescent="0.25">
      <c r="B57" s="29" t="s">
        <v>112</v>
      </c>
      <c r="C57" s="1" t="s">
        <v>8</v>
      </c>
      <c r="D57" s="31">
        <f>IFERROR(VLOOKUP(TabListemouv[[#This Row],[Produit]],TabListeProduits[],2,0),"")</f>
        <v>1.98</v>
      </c>
      <c r="E57" s="31">
        <f>IFERROR(VLOOKUP(TabListemouv[[#This Row],[Produit]],TabListeProduits[],3,0),"")</f>
        <v>3</v>
      </c>
      <c r="F57" s="1" t="s">
        <v>107</v>
      </c>
      <c r="G57" s="1">
        <v>13</v>
      </c>
      <c r="H57" s="1">
        <v>44</v>
      </c>
      <c r="I57" s="21">
        <f>IFERROR(TabListemouv[[#This Row],[Début]]-TabListemouv[[#This Row],[Fin]]+TabListemouv[[#This Row],[Sortie]],"")</f>
        <v>49.5</v>
      </c>
      <c r="J57" s="21">
        <f>IFERROR(YEAR(TabListemouv[[#This Row],[Date]]),"")</f>
        <v>2021</v>
      </c>
      <c r="K57" s="21" t="str">
        <f>IFERROR(TEXT(TabListemouv[[#This Row],[Date]],"mmmm"),"")</f>
        <v>mai</v>
      </c>
      <c r="L57" s="30">
        <f>TabListemouv[[#This Row],[Prix TTC]]*TabListemouv[[#This Row],[Conso]]</f>
        <v>98.01</v>
      </c>
      <c r="M57" s="30">
        <f>TabListemouv[[#This Row],[Prix Vente]]*TabListemouv[[#This Row],[Conso]]</f>
        <v>148.5</v>
      </c>
      <c r="N57" s="21">
        <f>TabListemouv[[#This Row],[Total Vente]]-TabListemouv[[#This Row],[Total Achat]]</f>
        <v>50.489999999999995</v>
      </c>
    </row>
    <row r="58" spans="2:14" hidden="1" x14ac:dyDescent="0.25">
      <c r="B58" s="29" t="s">
        <v>112</v>
      </c>
      <c r="C58" s="1" t="s">
        <v>4</v>
      </c>
      <c r="D58" s="31">
        <f>IFERROR(VLOOKUP(TabListemouv[[#This Row],[Produit]],TabListeProduits[],2,0),"")</f>
        <v>1.98</v>
      </c>
      <c r="E58" s="31">
        <f>IFERROR(VLOOKUP(TabListemouv[[#This Row],[Produit]],TabListeProduits[],3,0),"")</f>
        <v>3</v>
      </c>
      <c r="F58" s="1" t="s">
        <v>113</v>
      </c>
      <c r="G58" s="1">
        <v>12</v>
      </c>
      <c r="H58" s="1">
        <v>0</v>
      </c>
      <c r="I58" s="21">
        <f>IFERROR(TabListemouv[[#This Row],[Début]]-TabListemouv[[#This Row],[Fin]]+TabListemouv[[#This Row],[Sortie]],"")</f>
        <v>1.5</v>
      </c>
      <c r="J58" s="21">
        <f>IFERROR(YEAR(TabListemouv[[#This Row],[Date]]),"")</f>
        <v>2021</v>
      </c>
      <c r="K58" s="21" t="str">
        <f>IFERROR(TEXT(TabListemouv[[#This Row],[Date]],"mmmm"),"")</f>
        <v>mai</v>
      </c>
      <c r="L58" s="30">
        <f>TabListemouv[[#This Row],[Prix TTC]]*TabListemouv[[#This Row],[Conso]]</f>
        <v>2.9699999999999998</v>
      </c>
      <c r="M58" s="30">
        <f>TabListemouv[[#This Row],[Prix Vente]]*TabListemouv[[#This Row],[Conso]]</f>
        <v>4.5</v>
      </c>
      <c r="N58" s="21">
        <f>TabListemouv[[#This Row],[Total Vente]]-TabListemouv[[#This Row],[Total Achat]]</f>
        <v>1.5300000000000002</v>
      </c>
    </row>
    <row r="59" spans="2:14" hidden="1" x14ac:dyDescent="0.25">
      <c r="B59" s="29" t="s">
        <v>112</v>
      </c>
      <c r="C59" s="1" t="s">
        <v>14</v>
      </c>
      <c r="D59" s="31">
        <f>IFERROR(VLOOKUP(TabListemouv[[#This Row],[Produit]],TabListeProduits[],2,0),"")</f>
        <v>0.42</v>
      </c>
      <c r="E59" s="31">
        <f>IFERROR(VLOOKUP(TabListemouv[[#This Row],[Produit]],TabListeProduits[],3,0),"")</f>
        <v>1.5</v>
      </c>
      <c r="F59" s="1">
        <v>5</v>
      </c>
      <c r="G59" s="1">
        <v>8</v>
      </c>
      <c r="H59" s="1">
        <v>26</v>
      </c>
      <c r="I59" s="21">
        <f>IFERROR(TabListemouv[[#This Row],[Début]]-TabListemouv[[#This Row],[Fin]]+TabListemouv[[#This Row],[Sortie]],"")</f>
        <v>23</v>
      </c>
      <c r="J59" s="21">
        <f>IFERROR(YEAR(TabListemouv[[#This Row],[Date]]),"")</f>
        <v>2021</v>
      </c>
      <c r="K59" s="21" t="str">
        <f>IFERROR(TEXT(TabListemouv[[#This Row],[Date]],"mmmm"),"")</f>
        <v>mai</v>
      </c>
      <c r="L59" s="30">
        <f>TabListemouv[[#This Row],[Prix TTC]]*TabListemouv[[#This Row],[Conso]]</f>
        <v>9.66</v>
      </c>
      <c r="M59" s="30">
        <f>TabListemouv[[#This Row],[Prix Vente]]*TabListemouv[[#This Row],[Conso]]</f>
        <v>34.5</v>
      </c>
      <c r="N59" s="21">
        <f>TabListemouv[[#This Row],[Total Vente]]-TabListemouv[[#This Row],[Total Achat]]</f>
        <v>24.84</v>
      </c>
    </row>
    <row r="60" spans="2:14" hidden="1" x14ac:dyDescent="0.25">
      <c r="B60" s="29" t="s">
        <v>112</v>
      </c>
      <c r="C60" s="1" t="s">
        <v>16</v>
      </c>
      <c r="D60" s="31">
        <f>IFERROR(VLOOKUP(TabListemouv[[#This Row],[Produit]],TabListeProduits[],2,0),"")</f>
        <v>0.3</v>
      </c>
      <c r="E60" s="31">
        <f>IFERROR(VLOOKUP(TabListemouv[[#This Row],[Produit]],TabListeProduits[],3,0),"")</f>
        <v>1.5</v>
      </c>
      <c r="F60" s="1">
        <v>7</v>
      </c>
      <c r="G60" s="1">
        <v>19</v>
      </c>
      <c r="H60" s="1">
        <v>30</v>
      </c>
      <c r="I60" s="21">
        <f>IFERROR(TabListemouv[[#This Row],[Début]]-TabListemouv[[#This Row],[Fin]]+TabListemouv[[#This Row],[Sortie]],"")</f>
        <v>18</v>
      </c>
      <c r="J60" s="21">
        <f>IFERROR(YEAR(TabListemouv[[#This Row],[Date]]),"")</f>
        <v>2021</v>
      </c>
      <c r="K60" s="21" t="str">
        <f>IFERROR(TEXT(TabListemouv[[#This Row],[Date]],"mmmm"),"")</f>
        <v>mai</v>
      </c>
      <c r="L60" s="30">
        <f>TabListemouv[[#This Row],[Prix TTC]]*TabListemouv[[#This Row],[Conso]]</f>
        <v>5.3999999999999995</v>
      </c>
      <c r="M60" s="30">
        <f>TabListemouv[[#This Row],[Prix Vente]]*TabListemouv[[#This Row],[Conso]]</f>
        <v>27</v>
      </c>
      <c r="N60" s="21">
        <f>TabListemouv[[#This Row],[Total Vente]]-TabListemouv[[#This Row],[Total Achat]]</f>
        <v>21.6</v>
      </c>
    </row>
    <row r="61" spans="2:14" hidden="1" x14ac:dyDescent="0.25">
      <c r="B61" s="29" t="s">
        <v>112</v>
      </c>
      <c r="C61" s="1" t="s">
        <v>18</v>
      </c>
      <c r="D61" s="31">
        <f>IFERROR(VLOOKUP(TabListemouv[[#This Row],[Produit]],TabListeProduits[],2,0),"")</f>
        <v>0.53</v>
      </c>
      <c r="E61" s="31">
        <f>IFERROR(VLOOKUP(TabListemouv[[#This Row],[Produit]],TabListeProduits[],3,0),"")</f>
        <v>1.5</v>
      </c>
      <c r="F61" s="1">
        <v>11</v>
      </c>
      <c r="G61" s="1">
        <v>0</v>
      </c>
      <c r="H61" s="1">
        <v>0</v>
      </c>
      <c r="I61" s="21">
        <f>IFERROR(TabListemouv[[#This Row],[Début]]-TabListemouv[[#This Row],[Fin]]+TabListemouv[[#This Row],[Sortie]],"")</f>
        <v>11</v>
      </c>
      <c r="J61" s="21">
        <f>IFERROR(YEAR(TabListemouv[[#This Row],[Date]]),"")</f>
        <v>2021</v>
      </c>
      <c r="K61" s="21" t="str">
        <f>IFERROR(TEXT(TabListemouv[[#This Row],[Date]],"mmmm"),"")</f>
        <v>mai</v>
      </c>
      <c r="L61" s="30">
        <f>TabListemouv[[#This Row],[Prix TTC]]*TabListemouv[[#This Row],[Conso]]</f>
        <v>5.83</v>
      </c>
      <c r="M61" s="30">
        <f>TabListemouv[[#This Row],[Prix Vente]]*TabListemouv[[#This Row],[Conso]]</f>
        <v>16.5</v>
      </c>
      <c r="N61" s="21">
        <f>TabListemouv[[#This Row],[Total Vente]]-TabListemouv[[#This Row],[Total Achat]]</f>
        <v>10.67</v>
      </c>
    </row>
    <row r="62" spans="2:14" hidden="1" x14ac:dyDescent="0.25">
      <c r="B62" s="29" t="s">
        <v>112</v>
      </c>
      <c r="C62" s="1" t="s">
        <v>20</v>
      </c>
      <c r="D62" s="31">
        <f>IFERROR(VLOOKUP(TabListemouv[[#This Row],[Produit]],TabListeProduits[],2,0),"")</f>
        <v>0.36</v>
      </c>
      <c r="E62" s="31">
        <f>IFERROR(VLOOKUP(TabListemouv[[#This Row],[Produit]],TabListeProduits[],3,0),"")</f>
        <v>1.5</v>
      </c>
      <c r="F62" s="1">
        <v>18</v>
      </c>
      <c r="G62" s="1">
        <v>18</v>
      </c>
      <c r="H62" s="1">
        <v>0</v>
      </c>
      <c r="I62" s="21">
        <f>IFERROR(TabListemouv[[#This Row],[Début]]-TabListemouv[[#This Row],[Fin]]+TabListemouv[[#This Row],[Sortie]],"")</f>
        <v>0</v>
      </c>
      <c r="J62" s="21">
        <f>IFERROR(YEAR(TabListemouv[[#This Row],[Date]]),"")</f>
        <v>2021</v>
      </c>
      <c r="K62" s="21" t="str">
        <f>IFERROR(TEXT(TabListemouv[[#This Row],[Date]],"mmmm"),"")</f>
        <v>mai</v>
      </c>
      <c r="L62" s="30">
        <f>TabListemouv[[#This Row],[Prix TTC]]*TabListemouv[[#This Row],[Conso]]</f>
        <v>0</v>
      </c>
      <c r="M62" s="30">
        <f>TabListemouv[[#This Row],[Prix Vente]]*TabListemouv[[#This Row],[Conso]]</f>
        <v>0</v>
      </c>
      <c r="N62" s="21">
        <f>TabListemouv[[#This Row],[Total Vente]]-TabListemouv[[#This Row],[Total Achat]]</f>
        <v>0</v>
      </c>
    </row>
    <row r="63" spans="2:14" hidden="1" x14ac:dyDescent="0.25">
      <c r="B63" s="29" t="s">
        <v>112</v>
      </c>
      <c r="C63" s="1" t="s">
        <v>22</v>
      </c>
      <c r="D63" s="31">
        <f>IFERROR(VLOOKUP(TabListemouv[[#This Row],[Produit]],TabListeProduits[],2,0),"")</f>
        <v>0.13</v>
      </c>
      <c r="E63" s="31">
        <f>IFERROR(VLOOKUP(TabListemouv[[#This Row],[Produit]],TabListeProduits[],3,0),"")</f>
        <v>0.6</v>
      </c>
      <c r="F63" s="1">
        <v>7</v>
      </c>
      <c r="G63" s="1">
        <v>18</v>
      </c>
      <c r="H63" s="1">
        <v>12</v>
      </c>
      <c r="I63" s="21">
        <f>IFERROR(TabListemouv[[#This Row],[Début]]-TabListemouv[[#This Row],[Fin]]+TabListemouv[[#This Row],[Sortie]],"")</f>
        <v>1</v>
      </c>
      <c r="J63" s="21">
        <f>IFERROR(YEAR(TabListemouv[[#This Row],[Date]]),"")</f>
        <v>2021</v>
      </c>
      <c r="K63" s="21" t="str">
        <f>IFERROR(TEXT(TabListemouv[[#This Row],[Date]],"mmmm"),"")</f>
        <v>mai</v>
      </c>
      <c r="L63" s="30">
        <f>TabListemouv[[#This Row],[Prix TTC]]*TabListemouv[[#This Row],[Conso]]</f>
        <v>0.13</v>
      </c>
      <c r="M63" s="30">
        <f>TabListemouv[[#This Row],[Prix Vente]]*TabListemouv[[#This Row],[Conso]]</f>
        <v>0.6</v>
      </c>
      <c r="N63" s="21">
        <f>TabListemouv[[#This Row],[Total Vente]]-TabListemouv[[#This Row],[Total Achat]]</f>
        <v>0.47</v>
      </c>
    </row>
    <row r="64" spans="2:14" hidden="1" x14ac:dyDescent="0.25">
      <c r="B64" s="29" t="s">
        <v>112</v>
      </c>
      <c r="C64" s="1" t="s">
        <v>25</v>
      </c>
      <c r="D64" s="31">
        <f>IFERROR(VLOOKUP(TabListemouv[[#This Row],[Produit]],TabListeProduits[],2,0),"")</f>
        <v>8.34</v>
      </c>
      <c r="E64" s="31">
        <f>IFERROR(VLOOKUP(TabListemouv[[#This Row],[Produit]],TabListeProduits[],3,0),"")</f>
        <v>9</v>
      </c>
      <c r="F64" s="1">
        <v>14</v>
      </c>
      <c r="G64" s="1">
        <v>13</v>
      </c>
      <c r="H64" s="1">
        <v>0</v>
      </c>
      <c r="I64" s="21">
        <f>IFERROR(TabListemouv[[#This Row],[Début]]-TabListemouv[[#This Row],[Fin]]+TabListemouv[[#This Row],[Sortie]],"")</f>
        <v>1</v>
      </c>
      <c r="J64" s="21">
        <f>IFERROR(YEAR(TabListemouv[[#This Row],[Date]]),"")</f>
        <v>2021</v>
      </c>
      <c r="K64" s="21" t="str">
        <f>IFERROR(TEXT(TabListemouv[[#This Row],[Date]],"mmmm"),"")</f>
        <v>mai</v>
      </c>
      <c r="L64" s="30">
        <f>TabListemouv[[#This Row],[Prix TTC]]*TabListemouv[[#This Row],[Conso]]</f>
        <v>8.34</v>
      </c>
      <c r="M64" s="30">
        <f>TabListemouv[[#This Row],[Prix Vente]]*TabListemouv[[#This Row],[Conso]]</f>
        <v>9</v>
      </c>
      <c r="N64" s="21">
        <f>TabListemouv[[#This Row],[Total Vente]]-TabListemouv[[#This Row],[Total Achat]]</f>
        <v>0.66000000000000014</v>
      </c>
    </row>
    <row r="65" spans="2:14" hidden="1" x14ac:dyDescent="0.25">
      <c r="B65" s="29" t="s">
        <v>112</v>
      </c>
      <c r="C65" s="1" t="s">
        <v>27</v>
      </c>
      <c r="D65" s="31">
        <f>IFERROR(VLOOKUP(TabListemouv[[#This Row],[Produit]],TabListeProduits[],2,0),"")</f>
        <v>0.5</v>
      </c>
      <c r="E65" s="31">
        <f>IFERROR(VLOOKUP(TabListemouv[[#This Row],[Produit]],TabListeProduits[],3,0),"")</f>
        <v>1.5</v>
      </c>
      <c r="F65" s="1">
        <v>6</v>
      </c>
      <c r="G65" s="1">
        <v>0</v>
      </c>
      <c r="H65" s="1">
        <v>0</v>
      </c>
      <c r="I65" s="21">
        <f>IFERROR(TabListemouv[[#This Row],[Début]]-TabListemouv[[#This Row],[Fin]]+TabListemouv[[#This Row],[Sortie]],"")</f>
        <v>6</v>
      </c>
      <c r="J65" s="21">
        <f>IFERROR(YEAR(TabListemouv[[#This Row],[Date]]),"")</f>
        <v>2021</v>
      </c>
      <c r="K65" s="21" t="str">
        <f>IFERROR(TEXT(TabListemouv[[#This Row],[Date]],"mmmm"),"")</f>
        <v>mai</v>
      </c>
      <c r="L65" s="30">
        <f>TabListemouv[[#This Row],[Prix TTC]]*TabListemouv[[#This Row],[Conso]]</f>
        <v>3</v>
      </c>
      <c r="M65" s="30">
        <f>TabListemouv[[#This Row],[Prix Vente]]*TabListemouv[[#This Row],[Conso]]</f>
        <v>9</v>
      </c>
      <c r="N65" s="21">
        <f>TabListemouv[[#This Row],[Total Vente]]-TabListemouv[[#This Row],[Total Achat]]</f>
        <v>6</v>
      </c>
    </row>
    <row r="66" spans="2:14" hidden="1" x14ac:dyDescent="0.25">
      <c r="B66" s="29" t="s">
        <v>112</v>
      </c>
      <c r="C66" s="1" t="s">
        <v>29</v>
      </c>
      <c r="D66" s="31">
        <f>IFERROR(VLOOKUP(TabListemouv[[#This Row],[Produit]],TabListeProduits[],2,0),"")</f>
        <v>0</v>
      </c>
      <c r="E66" s="31">
        <f>IFERROR(VLOOKUP(TabListemouv[[#This Row],[Produit]],TabListeProduits[],3,0),"")</f>
        <v>0.5</v>
      </c>
      <c r="F66" s="1">
        <v>29</v>
      </c>
      <c r="G66" s="1">
        <v>10</v>
      </c>
      <c r="H66" s="1">
        <v>0</v>
      </c>
      <c r="I66" s="21">
        <f>IFERROR(TabListemouv[[#This Row],[Début]]-TabListemouv[[#This Row],[Fin]]+TabListemouv[[#This Row],[Sortie]],"")</f>
        <v>19</v>
      </c>
      <c r="J66" s="21">
        <f>IFERROR(YEAR(TabListemouv[[#This Row],[Date]]),"")</f>
        <v>2021</v>
      </c>
      <c r="K66" s="21" t="str">
        <f>IFERROR(TEXT(TabListemouv[[#This Row],[Date]],"mmmm"),"")</f>
        <v>mai</v>
      </c>
      <c r="L66" s="30">
        <f>TabListemouv[[#This Row],[Prix TTC]]*TabListemouv[[#This Row],[Conso]]</f>
        <v>0</v>
      </c>
      <c r="M66" s="30">
        <f>TabListemouv[[#This Row],[Prix Vente]]*TabListemouv[[#This Row],[Conso]]</f>
        <v>9.5</v>
      </c>
      <c r="N66" s="21">
        <f>TabListemouv[[#This Row],[Total Vente]]-TabListemouv[[#This Row],[Total Achat]]</f>
        <v>9.5</v>
      </c>
    </row>
    <row r="67" spans="2:14" hidden="1" x14ac:dyDescent="0.25">
      <c r="B67" s="29" t="s">
        <v>114</v>
      </c>
      <c r="C67" s="1" t="s">
        <v>10</v>
      </c>
      <c r="D67" s="31">
        <f>IFERROR(VLOOKUP(TabListemouv[[#This Row],[Produit]],TabListeProduits[],2,0),"")</f>
        <v>2.25</v>
      </c>
      <c r="E67" s="31">
        <f>IFERROR(VLOOKUP(TabListemouv[[#This Row],[Produit]],TabListeProduits[],3,0),"")</f>
        <v>3</v>
      </c>
      <c r="F67" s="1">
        <v>34</v>
      </c>
      <c r="G67" s="1" t="s">
        <v>100</v>
      </c>
      <c r="H67" s="1">
        <v>55</v>
      </c>
      <c r="I67" s="21">
        <f>IFERROR(TabListemouv[[#This Row],[Début]]-TabListemouv[[#This Row],[Fin]]+TabListemouv[[#This Row],[Sortie]],"")</f>
        <v>61.5</v>
      </c>
      <c r="J67" s="21">
        <f>IFERROR(YEAR(TabListemouv[[#This Row],[Date]]),"")</f>
        <v>2020</v>
      </c>
      <c r="K67" s="21" t="str">
        <f>IFERROR(TEXT(TabListemouv[[#This Row],[Date]],"mmmm"),"")</f>
        <v>août</v>
      </c>
      <c r="L67" s="30">
        <f>TabListemouv[[#This Row],[Prix TTC]]*TabListemouv[[#This Row],[Conso]]</f>
        <v>138.375</v>
      </c>
      <c r="M67" s="30">
        <f>TabListemouv[[#This Row],[Prix Vente]]*TabListemouv[[#This Row],[Conso]]</f>
        <v>184.5</v>
      </c>
      <c r="N67" s="21">
        <f>TabListemouv[[#This Row],[Total Vente]]-TabListemouv[[#This Row],[Total Achat]]</f>
        <v>46.125</v>
      </c>
    </row>
    <row r="68" spans="2:14" hidden="1" x14ac:dyDescent="0.25">
      <c r="B68" s="29" t="s">
        <v>114</v>
      </c>
      <c r="C68" s="1" t="s">
        <v>12</v>
      </c>
      <c r="D68" s="31">
        <f>IFERROR(VLOOKUP(TabListemouv[[#This Row],[Produit]],TabListeProduits[],2,0),"")</f>
        <v>1.6</v>
      </c>
      <c r="E68" s="31">
        <f>IFERROR(VLOOKUP(TabListemouv[[#This Row],[Produit]],TabListeProduits[],3,0),"")</f>
        <v>3</v>
      </c>
      <c r="F68" s="1">
        <v>32</v>
      </c>
      <c r="G68" s="1">
        <v>12</v>
      </c>
      <c r="H68" s="1">
        <v>182</v>
      </c>
      <c r="I68" s="21">
        <f>IFERROR(TabListemouv[[#This Row],[Début]]-TabListemouv[[#This Row],[Fin]]+TabListemouv[[#This Row],[Sortie]],"")</f>
        <v>202</v>
      </c>
      <c r="J68" s="21">
        <f>IFERROR(YEAR(TabListemouv[[#This Row],[Date]]),"")</f>
        <v>2020</v>
      </c>
      <c r="K68" s="21" t="str">
        <f>IFERROR(TEXT(TabListemouv[[#This Row],[Date]],"mmmm"),"")</f>
        <v>août</v>
      </c>
      <c r="L68" s="30">
        <f>TabListemouv[[#This Row],[Prix TTC]]*TabListemouv[[#This Row],[Conso]]</f>
        <v>323.20000000000005</v>
      </c>
      <c r="M68" s="30">
        <f>TabListemouv[[#This Row],[Prix Vente]]*TabListemouv[[#This Row],[Conso]]</f>
        <v>606</v>
      </c>
      <c r="N68" s="21">
        <f>TabListemouv[[#This Row],[Total Vente]]-TabListemouv[[#This Row],[Total Achat]]</f>
        <v>282.79999999999995</v>
      </c>
    </row>
    <row r="69" spans="2:14" hidden="1" x14ac:dyDescent="0.25">
      <c r="B69" s="29" t="s">
        <v>114</v>
      </c>
      <c r="C69" s="1" t="s">
        <v>8</v>
      </c>
      <c r="D69" s="31">
        <f>IFERROR(VLOOKUP(TabListemouv[[#This Row],[Produit]],TabListeProduits[],2,0),"")</f>
        <v>1.98</v>
      </c>
      <c r="E69" s="31">
        <f>IFERROR(VLOOKUP(TabListemouv[[#This Row],[Produit]],TabListeProduits[],3,0),"")</f>
        <v>3</v>
      </c>
      <c r="F69" s="1" t="s">
        <v>115</v>
      </c>
      <c r="G69" s="1">
        <v>11</v>
      </c>
      <c r="H69" s="1">
        <v>100</v>
      </c>
      <c r="I69" s="21">
        <f>IFERROR(TabListemouv[[#This Row],[Début]]-TabListemouv[[#This Row],[Fin]]+TabListemouv[[#This Row],[Sortie]],"")</f>
        <v>124.5</v>
      </c>
      <c r="J69" s="21">
        <f>IFERROR(YEAR(TabListemouv[[#This Row],[Date]]),"")</f>
        <v>2020</v>
      </c>
      <c r="K69" s="21" t="str">
        <f>IFERROR(TEXT(TabListemouv[[#This Row],[Date]],"mmmm"),"")</f>
        <v>août</v>
      </c>
      <c r="L69" s="30">
        <f>TabListemouv[[#This Row],[Prix TTC]]*TabListemouv[[#This Row],[Conso]]</f>
        <v>246.51</v>
      </c>
      <c r="M69" s="30">
        <f>TabListemouv[[#This Row],[Prix Vente]]*TabListemouv[[#This Row],[Conso]]</f>
        <v>373.5</v>
      </c>
      <c r="N69" s="21">
        <f>TabListemouv[[#This Row],[Total Vente]]-TabListemouv[[#This Row],[Total Achat]]</f>
        <v>126.99000000000001</v>
      </c>
    </row>
    <row r="70" spans="2:14" hidden="1" x14ac:dyDescent="0.25">
      <c r="B70" s="29" t="s">
        <v>114</v>
      </c>
      <c r="C70" s="1" t="s">
        <v>4</v>
      </c>
      <c r="D70" s="31">
        <f>IFERROR(VLOOKUP(TabListemouv[[#This Row],[Produit]],TabListeProduits[],2,0),"")</f>
        <v>1.98</v>
      </c>
      <c r="E70" s="31">
        <f>IFERROR(VLOOKUP(TabListemouv[[#This Row],[Produit]],TabListeProduits[],3,0),"")</f>
        <v>3</v>
      </c>
      <c r="F70" s="1" t="s">
        <v>113</v>
      </c>
      <c r="G70" s="1">
        <v>11</v>
      </c>
      <c r="H70" s="1">
        <v>20</v>
      </c>
      <c r="I70" s="21">
        <f>IFERROR(TabListemouv[[#This Row],[Début]]-TabListemouv[[#This Row],[Fin]]+TabListemouv[[#This Row],[Sortie]],"")</f>
        <v>22.5</v>
      </c>
      <c r="J70" s="21">
        <f>IFERROR(YEAR(TabListemouv[[#This Row],[Date]]),"")</f>
        <v>2020</v>
      </c>
      <c r="K70" s="21" t="str">
        <f>IFERROR(TEXT(TabListemouv[[#This Row],[Date]],"mmmm"),"")</f>
        <v>août</v>
      </c>
      <c r="L70" s="30">
        <f>TabListemouv[[#This Row],[Prix TTC]]*TabListemouv[[#This Row],[Conso]]</f>
        <v>44.55</v>
      </c>
      <c r="M70" s="30">
        <f>TabListemouv[[#This Row],[Prix Vente]]*TabListemouv[[#This Row],[Conso]]</f>
        <v>67.5</v>
      </c>
      <c r="N70" s="21">
        <f>TabListemouv[[#This Row],[Total Vente]]-TabListemouv[[#This Row],[Total Achat]]</f>
        <v>22.950000000000003</v>
      </c>
    </row>
    <row r="71" spans="2:14" hidden="1" x14ac:dyDescent="0.25">
      <c r="B71" s="29" t="s">
        <v>114</v>
      </c>
      <c r="C71" s="1" t="s">
        <v>14</v>
      </c>
      <c r="D71" s="31">
        <f>IFERROR(VLOOKUP(TabListemouv[[#This Row],[Produit]],TabListeProduits[],2,0),"")</f>
        <v>0.42</v>
      </c>
      <c r="E71" s="31">
        <f>IFERROR(VLOOKUP(TabListemouv[[#This Row],[Produit]],TabListeProduits[],3,0),"")</f>
        <v>1.5</v>
      </c>
      <c r="F71" s="1">
        <v>30</v>
      </c>
      <c r="G71" s="1">
        <v>18</v>
      </c>
      <c r="H71" s="1">
        <v>104</v>
      </c>
      <c r="I71" s="21">
        <f>IFERROR(TabListemouv[[#This Row],[Début]]-TabListemouv[[#This Row],[Fin]]+TabListemouv[[#This Row],[Sortie]],"")</f>
        <v>116</v>
      </c>
      <c r="J71" s="21">
        <f>IFERROR(YEAR(TabListemouv[[#This Row],[Date]]),"")</f>
        <v>2020</v>
      </c>
      <c r="K71" s="21" t="str">
        <f>IFERROR(TEXT(TabListemouv[[#This Row],[Date]],"mmmm"),"")</f>
        <v>août</v>
      </c>
      <c r="L71" s="30">
        <f>TabListemouv[[#This Row],[Prix TTC]]*TabListemouv[[#This Row],[Conso]]</f>
        <v>48.72</v>
      </c>
      <c r="M71" s="30">
        <f>TabListemouv[[#This Row],[Prix Vente]]*TabListemouv[[#This Row],[Conso]]</f>
        <v>174</v>
      </c>
      <c r="N71" s="21">
        <f>TabListemouv[[#This Row],[Total Vente]]-TabListemouv[[#This Row],[Total Achat]]</f>
        <v>125.28</v>
      </c>
    </row>
    <row r="72" spans="2:14" hidden="1" x14ac:dyDescent="0.25">
      <c r="B72" s="29" t="s">
        <v>114</v>
      </c>
      <c r="C72" s="1" t="s">
        <v>16</v>
      </c>
      <c r="D72" s="31">
        <f>IFERROR(VLOOKUP(TabListemouv[[#This Row],[Produit]],TabListeProduits[],2,0),"")</f>
        <v>0.3</v>
      </c>
      <c r="E72" s="31">
        <f>IFERROR(VLOOKUP(TabListemouv[[#This Row],[Produit]],TabListeProduits[],3,0),"")</f>
        <v>1.5</v>
      </c>
      <c r="F72" s="1">
        <v>8</v>
      </c>
      <c r="G72" s="1">
        <v>12</v>
      </c>
      <c r="H72" s="1">
        <v>30</v>
      </c>
      <c r="I72" s="21">
        <f>IFERROR(TabListemouv[[#This Row],[Début]]-TabListemouv[[#This Row],[Fin]]+TabListemouv[[#This Row],[Sortie]],"")</f>
        <v>26</v>
      </c>
      <c r="J72" s="21">
        <f>IFERROR(YEAR(TabListemouv[[#This Row],[Date]]),"")</f>
        <v>2020</v>
      </c>
      <c r="K72" s="21" t="str">
        <f>IFERROR(TEXT(TabListemouv[[#This Row],[Date]],"mmmm"),"")</f>
        <v>août</v>
      </c>
      <c r="L72" s="30">
        <f>TabListemouv[[#This Row],[Prix TTC]]*TabListemouv[[#This Row],[Conso]]</f>
        <v>7.8</v>
      </c>
      <c r="M72" s="30">
        <f>TabListemouv[[#This Row],[Prix Vente]]*TabListemouv[[#This Row],[Conso]]</f>
        <v>39</v>
      </c>
      <c r="N72" s="21">
        <f>TabListemouv[[#This Row],[Total Vente]]-TabListemouv[[#This Row],[Total Achat]]</f>
        <v>31.2</v>
      </c>
    </row>
    <row r="73" spans="2:14" hidden="1" x14ac:dyDescent="0.25">
      <c r="B73" s="29" t="s">
        <v>114</v>
      </c>
      <c r="C73" s="1" t="s">
        <v>18</v>
      </c>
      <c r="D73" s="31">
        <f>IFERROR(VLOOKUP(TabListemouv[[#This Row],[Produit]],TabListeProduits[],2,0),"")</f>
        <v>0.53</v>
      </c>
      <c r="E73" s="31">
        <f>IFERROR(VLOOKUP(TabListemouv[[#This Row],[Produit]],TabListeProduits[],3,0),"")</f>
        <v>1.5</v>
      </c>
      <c r="F73" s="1">
        <v>12</v>
      </c>
      <c r="G73" s="1">
        <v>12</v>
      </c>
      <c r="H73" s="1">
        <v>0</v>
      </c>
      <c r="I73" s="21">
        <f>IFERROR(TabListemouv[[#This Row],[Début]]-TabListemouv[[#This Row],[Fin]]+TabListemouv[[#This Row],[Sortie]],"")</f>
        <v>0</v>
      </c>
      <c r="J73" s="21">
        <f>IFERROR(YEAR(TabListemouv[[#This Row],[Date]]),"")</f>
        <v>2020</v>
      </c>
      <c r="K73" s="21" t="str">
        <f>IFERROR(TEXT(TabListemouv[[#This Row],[Date]],"mmmm"),"")</f>
        <v>août</v>
      </c>
      <c r="L73" s="30">
        <f>TabListemouv[[#This Row],[Prix TTC]]*TabListemouv[[#This Row],[Conso]]</f>
        <v>0</v>
      </c>
      <c r="M73" s="30">
        <f>TabListemouv[[#This Row],[Prix Vente]]*TabListemouv[[#This Row],[Conso]]</f>
        <v>0</v>
      </c>
      <c r="N73" s="21">
        <f>TabListemouv[[#This Row],[Total Vente]]-TabListemouv[[#This Row],[Total Achat]]</f>
        <v>0</v>
      </c>
    </row>
    <row r="74" spans="2:14" hidden="1" x14ac:dyDescent="0.25">
      <c r="B74" s="29" t="s">
        <v>114</v>
      </c>
      <c r="C74" s="1" t="s">
        <v>20</v>
      </c>
      <c r="D74" s="31">
        <f>IFERROR(VLOOKUP(TabListemouv[[#This Row],[Produit]],TabListeProduits[],2,0),"")</f>
        <v>0.36</v>
      </c>
      <c r="E74" s="31">
        <f>IFERROR(VLOOKUP(TabListemouv[[#This Row],[Produit]],TabListeProduits[],3,0),"")</f>
        <v>1.5</v>
      </c>
      <c r="F74" s="1">
        <v>7</v>
      </c>
      <c r="G74" s="1">
        <v>11</v>
      </c>
      <c r="H74" s="1">
        <v>6</v>
      </c>
      <c r="I74" s="21">
        <f>IFERROR(TabListemouv[[#This Row],[Début]]-TabListemouv[[#This Row],[Fin]]+TabListemouv[[#This Row],[Sortie]],"")</f>
        <v>2</v>
      </c>
      <c r="J74" s="21">
        <f>IFERROR(YEAR(TabListemouv[[#This Row],[Date]]),"")</f>
        <v>2020</v>
      </c>
      <c r="K74" s="21" t="str">
        <f>IFERROR(TEXT(TabListemouv[[#This Row],[Date]],"mmmm"),"")</f>
        <v>août</v>
      </c>
      <c r="L74" s="30">
        <f>TabListemouv[[#This Row],[Prix TTC]]*TabListemouv[[#This Row],[Conso]]</f>
        <v>0.72</v>
      </c>
      <c r="M74" s="30">
        <f>TabListemouv[[#This Row],[Prix Vente]]*TabListemouv[[#This Row],[Conso]]</f>
        <v>3</v>
      </c>
      <c r="N74" s="21">
        <f>TabListemouv[[#This Row],[Total Vente]]-TabListemouv[[#This Row],[Total Achat]]</f>
        <v>2.2800000000000002</v>
      </c>
    </row>
    <row r="75" spans="2:14" hidden="1" x14ac:dyDescent="0.25">
      <c r="B75" s="29" t="s">
        <v>114</v>
      </c>
      <c r="C75" s="1" t="s">
        <v>22</v>
      </c>
      <c r="D75" s="31">
        <f>IFERROR(VLOOKUP(TabListemouv[[#This Row],[Produit]],TabListeProduits[],2,0),"")</f>
        <v>0.13</v>
      </c>
      <c r="E75" s="31">
        <f>IFERROR(VLOOKUP(TabListemouv[[#This Row],[Produit]],TabListeProduits[],3,0),"")</f>
        <v>0.6</v>
      </c>
      <c r="F75" s="1">
        <v>15</v>
      </c>
      <c r="G75" s="1">
        <v>19</v>
      </c>
      <c r="H75" s="1">
        <v>12</v>
      </c>
      <c r="I75" s="21">
        <f>IFERROR(TabListemouv[[#This Row],[Début]]-TabListemouv[[#This Row],[Fin]]+TabListemouv[[#This Row],[Sortie]],"")</f>
        <v>8</v>
      </c>
      <c r="J75" s="21">
        <f>IFERROR(YEAR(TabListemouv[[#This Row],[Date]]),"")</f>
        <v>2020</v>
      </c>
      <c r="K75" s="21" t="str">
        <f>IFERROR(TEXT(TabListemouv[[#This Row],[Date]],"mmmm"),"")</f>
        <v>août</v>
      </c>
      <c r="L75" s="30">
        <f>TabListemouv[[#This Row],[Prix TTC]]*TabListemouv[[#This Row],[Conso]]</f>
        <v>1.04</v>
      </c>
      <c r="M75" s="30">
        <f>TabListemouv[[#This Row],[Prix Vente]]*TabListemouv[[#This Row],[Conso]]</f>
        <v>4.8</v>
      </c>
      <c r="N75" s="21">
        <f>TabListemouv[[#This Row],[Total Vente]]-TabListemouv[[#This Row],[Total Achat]]</f>
        <v>3.76</v>
      </c>
    </row>
    <row r="76" spans="2:14" hidden="1" x14ac:dyDescent="0.25">
      <c r="B76" s="29" t="s">
        <v>114</v>
      </c>
      <c r="C76" s="1" t="s">
        <v>25</v>
      </c>
      <c r="D76" s="31">
        <f>IFERROR(VLOOKUP(TabListemouv[[#This Row],[Produit]],TabListeProduits[],2,0),"")</f>
        <v>8.34</v>
      </c>
      <c r="E76" s="31">
        <f>IFERROR(VLOOKUP(TabListemouv[[#This Row],[Produit]],TabListeProduits[],3,0),"")</f>
        <v>9</v>
      </c>
      <c r="F76" s="1">
        <v>10</v>
      </c>
      <c r="G76" s="1">
        <v>9</v>
      </c>
      <c r="H76" s="1">
        <v>0</v>
      </c>
      <c r="I76" s="21">
        <f>IFERROR(TabListemouv[[#This Row],[Début]]-TabListemouv[[#This Row],[Fin]]+TabListemouv[[#This Row],[Sortie]],"")</f>
        <v>1</v>
      </c>
      <c r="J76" s="21">
        <f>IFERROR(YEAR(TabListemouv[[#This Row],[Date]]),"")</f>
        <v>2020</v>
      </c>
      <c r="K76" s="21" t="str">
        <f>IFERROR(TEXT(TabListemouv[[#This Row],[Date]],"mmmm"),"")</f>
        <v>août</v>
      </c>
      <c r="L76" s="30">
        <f>TabListemouv[[#This Row],[Prix TTC]]*TabListemouv[[#This Row],[Conso]]</f>
        <v>8.34</v>
      </c>
      <c r="M76" s="30">
        <f>TabListemouv[[#This Row],[Prix Vente]]*TabListemouv[[#This Row],[Conso]]</f>
        <v>9</v>
      </c>
      <c r="N76" s="21">
        <f>TabListemouv[[#This Row],[Total Vente]]-TabListemouv[[#This Row],[Total Achat]]</f>
        <v>0.66000000000000014</v>
      </c>
    </row>
    <row r="77" spans="2:14" hidden="1" x14ac:dyDescent="0.25">
      <c r="B77" s="29" t="s">
        <v>114</v>
      </c>
      <c r="C77" s="1" t="s">
        <v>27</v>
      </c>
      <c r="D77" s="31">
        <f>IFERROR(VLOOKUP(TabListemouv[[#This Row],[Produit]],TabListeProduits[],2,0),"")</f>
        <v>0.5</v>
      </c>
      <c r="E77" s="31">
        <f>IFERROR(VLOOKUP(TabListemouv[[#This Row],[Produit]],TabListeProduits[],3,0),"")</f>
        <v>1.5</v>
      </c>
      <c r="F77" s="1">
        <v>13</v>
      </c>
      <c r="G77" s="1">
        <v>10</v>
      </c>
      <c r="H77" s="1">
        <v>0</v>
      </c>
      <c r="I77" s="21">
        <f>IFERROR(TabListemouv[[#This Row],[Début]]-TabListemouv[[#This Row],[Fin]]+TabListemouv[[#This Row],[Sortie]],"")</f>
        <v>3</v>
      </c>
      <c r="J77" s="21">
        <f>IFERROR(YEAR(TabListemouv[[#This Row],[Date]]),"")</f>
        <v>2020</v>
      </c>
      <c r="K77" s="21" t="str">
        <f>IFERROR(TEXT(TabListemouv[[#This Row],[Date]],"mmmm"),"")</f>
        <v>août</v>
      </c>
      <c r="L77" s="30">
        <f>TabListemouv[[#This Row],[Prix TTC]]*TabListemouv[[#This Row],[Conso]]</f>
        <v>1.5</v>
      </c>
      <c r="M77" s="30">
        <f>TabListemouv[[#This Row],[Prix Vente]]*TabListemouv[[#This Row],[Conso]]</f>
        <v>4.5</v>
      </c>
      <c r="N77" s="21">
        <f>TabListemouv[[#This Row],[Total Vente]]-TabListemouv[[#This Row],[Total Achat]]</f>
        <v>3</v>
      </c>
    </row>
    <row r="78" spans="2:14" hidden="1" x14ac:dyDescent="0.25">
      <c r="B78" s="29" t="s">
        <v>114</v>
      </c>
      <c r="C78" s="1" t="s">
        <v>29</v>
      </c>
      <c r="D78" s="31">
        <f>IFERROR(VLOOKUP(TabListemouv[[#This Row],[Produit]],TabListeProduits[],2,0),"")</f>
        <v>0</v>
      </c>
      <c r="E78" s="31">
        <f>IFERROR(VLOOKUP(TabListemouv[[#This Row],[Produit]],TabListeProduits[],3,0),"")</f>
        <v>0.5</v>
      </c>
      <c r="F78" s="1">
        <v>20</v>
      </c>
      <c r="G78" s="1">
        <v>15</v>
      </c>
      <c r="H78" s="1">
        <v>0</v>
      </c>
      <c r="I78" s="21">
        <f>IFERROR(TabListemouv[[#This Row],[Début]]-TabListemouv[[#This Row],[Fin]]+TabListemouv[[#This Row],[Sortie]],"")</f>
        <v>5</v>
      </c>
      <c r="J78" s="21">
        <f>IFERROR(YEAR(TabListemouv[[#This Row],[Date]]),"")</f>
        <v>2020</v>
      </c>
      <c r="K78" s="21" t="str">
        <f>IFERROR(TEXT(TabListemouv[[#This Row],[Date]],"mmmm"),"")</f>
        <v>août</v>
      </c>
      <c r="L78" s="30">
        <f>TabListemouv[[#This Row],[Prix TTC]]*TabListemouv[[#This Row],[Conso]]</f>
        <v>0</v>
      </c>
      <c r="M78" s="30">
        <f>TabListemouv[[#This Row],[Prix Vente]]*TabListemouv[[#This Row],[Conso]]</f>
        <v>2.5</v>
      </c>
      <c r="N78" s="21">
        <f>TabListemouv[[#This Row],[Total Vente]]-TabListemouv[[#This Row],[Total Achat]]</f>
        <v>2.5</v>
      </c>
    </row>
    <row r="79" spans="2:14" hidden="1" x14ac:dyDescent="0.25">
      <c r="B79" s="29" t="s">
        <v>114</v>
      </c>
      <c r="C79" s="1" t="s">
        <v>31</v>
      </c>
      <c r="D79" s="31">
        <f>IFERROR(VLOOKUP(TabListemouv[[#This Row],[Produit]],TabListeProduits[],2,0),"")</f>
        <v>0</v>
      </c>
      <c r="E79" s="31">
        <f>IFERROR(VLOOKUP(TabListemouv[[#This Row],[Produit]],TabListeProduits[],3,0),"")</f>
        <v>1.5</v>
      </c>
      <c r="F79" s="1">
        <v>3</v>
      </c>
      <c r="G79" s="1">
        <v>3</v>
      </c>
      <c r="H79" s="1">
        <v>4</v>
      </c>
      <c r="I79" s="21">
        <f>IFERROR(TabListemouv[[#This Row],[Début]]-TabListemouv[[#This Row],[Fin]]+TabListemouv[[#This Row],[Sortie]],"")</f>
        <v>4</v>
      </c>
      <c r="J79" s="21">
        <f>IFERROR(YEAR(TabListemouv[[#This Row],[Date]]),"")</f>
        <v>2020</v>
      </c>
      <c r="K79" s="21" t="str">
        <f>IFERROR(TEXT(TabListemouv[[#This Row],[Date]],"mmmm"),"")</f>
        <v>août</v>
      </c>
      <c r="L79" s="30">
        <f>TabListemouv[[#This Row],[Prix TTC]]*TabListemouv[[#This Row],[Conso]]</f>
        <v>0</v>
      </c>
      <c r="M79" s="30">
        <f>TabListemouv[[#This Row],[Prix Vente]]*TabListemouv[[#This Row],[Conso]]</f>
        <v>6</v>
      </c>
      <c r="N79" s="21">
        <f>TabListemouv[[#This Row],[Total Vente]]-TabListemouv[[#This Row],[Total Achat]]</f>
        <v>6</v>
      </c>
    </row>
    <row r="80" spans="2:14" hidden="1" x14ac:dyDescent="0.25">
      <c r="B80" s="29" t="s">
        <v>116</v>
      </c>
      <c r="C80" s="1" t="s">
        <v>12</v>
      </c>
      <c r="D80" s="31">
        <f>IFERROR(VLOOKUP(TabListemouv[[#This Row],[Produit]],TabListeProduits[],2,0),"")</f>
        <v>1.6</v>
      </c>
      <c r="E80" s="31">
        <f>IFERROR(VLOOKUP(TabListemouv[[#This Row],[Produit]],TabListeProduits[],3,0),"")</f>
        <v>3</v>
      </c>
      <c r="F80" s="1">
        <v>26</v>
      </c>
      <c r="G80" s="1">
        <v>24</v>
      </c>
      <c r="H80" s="1">
        <v>0</v>
      </c>
      <c r="I80" s="21">
        <f>IFERROR(TabListemouv[[#This Row],[Début]]-TabListemouv[[#This Row],[Fin]]+TabListemouv[[#This Row],[Sortie]],"")</f>
        <v>2</v>
      </c>
      <c r="J80" s="21">
        <f>IFERROR(YEAR(TabListemouv[[#This Row],[Date]]),"")</f>
        <v>2020</v>
      </c>
      <c r="K80" s="21" t="str">
        <f>IFERROR(TEXT(TabListemouv[[#This Row],[Date]],"mmmm"),"")</f>
        <v>mai</v>
      </c>
      <c r="L80" s="30">
        <f>TabListemouv[[#This Row],[Prix TTC]]*TabListemouv[[#This Row],[Conso]]</f>
        <v>3.2</v>
      </c>
      <c r="M80" s="30">
        <f>TabListemouv[[#This Row],[Prix Vente]]*TabListemouv[[#This Row],[Conso]]</f>
        <v>6</v>
      </c>
      <c r="N80" s="21">
        <f>TabListemouv[[#This Row],[Total Vente]]-TabListemouv[[#This Row],[Total Achat]]</f>
        <v>2.8</v>
      </c>
    </row>
    <row r="81" spans="2:14" hidden="1" x14ac:dyDescent="0.25">
      <c r="B81" s="29" t="s">
        <v>116</v>
      </c>
      <c r="C81" s="1" t="s">
        <v>8</v>
      </c>
      <c r="D81" s="31">
        <f>IFERROR(VLOOKUP(TabListemouv[[#This Row],[Produit]],TabListeProduits[],2,0),"")</f>
        <v>1.98</v>
      </c>
      <c r="E81" s="31">
        <f>IFERROR(VLOOKUP(TabListemouv[[#This Row],[Produit]],TabListeProduits[],3,0),"")</f>
        <v>3</v>
      </c>
      <c r="F81" s="1">
        <v>16</v>
      </c>
      <c r="G81" s="1" t="s">
        <v>117</v>
      </c>
      <c r="H81" s="1">
        <v>0</v>
      </c>
      <c r="I81" s="21">
        <f>IFERROR(TabListemouv[[#This Row],[Début]]-TabListemouv[[#This Row],[Fin]]+TabListemouv[[#This Row],[Sortie]],"")</f>
        <v>0.5</v>
      </c>
      <c r="J81" s="21">
        <f>IFERROR(YEAR(TabListemouv[[#This Row],[Date]]),"")</f>
        <v>2020</v>
      </c>
      <c r="K81" s="21" t="str">
        <f>IFERROR(TEXT(TabListemouv[[#This Row],[Date]],"mmmm"),"")</f>
        <v>mai</v>
      </c>
      <c r="L81" s="30">
        <f>TabListemouv[[#This Row],[Prix TTC]]*TabListemouv[[#This Row],[Conso]]</f>
        <v>0.99</v>
      </c>
      <c r="M81" s="30">
        <f>TabListemouv[[#This Row],[Prix Vente]]*TabListemouv[[#This Row],[Conso]]</f>
        <v>1.5</v>
      </c>
      <c r="N81" s="21">
        <f>TabListemouv[[#This Row],[Total Vente]]-TabListemouv[[#This Row],[Total Achat]]</f>
        <v>0.51</v>
      </c>
    </row>
    <row r="82" spans="2:14" hidden="1" x14ac:dyDescent="0.25">
      <c r="B82" s="29" t="s">
        <v>116</v>
      </c>
      <c r="C82" s="1" t="s">
        <v>16</v>
      </c>
      <c r="D82" s="31">
        <f>IFERROR(VLOOKUP(TabListemouv[[#This Row],[Produit]],TabListeProduits[],2,0),"")</f>
        <v>0.3</v>
      </c>
      <c r="E82" s="31">
        <f>IFERROR(VLOOKUP(TabListemouv[[#This Row],[Produit]],TabListeProduits[],3,0),"")</f>
        <v>1.5</v>
      </c>
      <c r="F82" s="1">
        <v>8</v>
      </c>
      <c r="G82" s="1">
        <v>0</v>
      </c>
      <c r="H82" s="1">
        <v>0</v>
      </c>
      <c r="I82" s="21">
        <f>IFERROR(TabListemouv[[#This Row],[Début]]-TabListemouv[[#This Row],[Fin]]+TabListemouv[[#This Row],[Sortie]],"")</f>
        <v>8</v>
      </c>
      <c r="J82" s="21">
        <f>IFERROR(YEAR(TabListemouv[[#This Row],[Date]]),"")</f>
        <v>2020</v>
      </c>
      <c r="K82" s="21" t="str">
        <f>IFERROR(TEXT(TabListemouv[[#This Row],[Date]],"mmmm"),"")</f>
        <v>mai</v>
      </c>
      <c r="L82" s="30">
        <f>TabListemouv[[#This Row],[Prix TTC]]*TabListemouv[[#This Row],[Conso]]</f>
        <v>2.4</v>
      </c>
      <c r="M82" s="30">
        <f>TabListemouv[[#This Row],[Prix Vente]]*TabListemouv[[#This Row],[Conso]]</f>
        <v>12</v>
      </c>
      <c r="N82" s="21">
        <f>TabListemouv[[#This Row],[Total Vente]]-TabListemouv[[#This Row],[Total Achat]]</f>
        <v>9.6</v>
      </c>
    </row>
    <row r="83" spans="2:14" hidden="1" x14ac:dyDescent="0.25">
      <c r="B83" s="29" t="s">
        <v>116</v>
      </c>
      <c r="C83" s="1" t="s">
        <v>20</v>
      </c>
      <c r="D83" s="31">
        <f>IFERROR(VLOOKUP(TabListemouv[[#This Row],[Produit]],TabListeProduits[],2,0),"")</f>
        <v>0.36</v>
      </c>
      <c r="E83" s="31">
        <f>IFERROR(VLOOKUP(TabListemouv[[#This Row],[Produit]],TabListeProduits[],3,0),"")</f>
        <v>1.5</v>
      </c>
      <c r="F83" s="1">
        <v>9</v>
      </c>
      <c r="G83" s="1">
        <v>0</v>
      </c>
      <c r="H83" s="1">
        <v>0</v>
      </c>
      <c r="I83" s="21">
        <f>IFERROR(TabListemouv[[#This Row],[Début]]-TabListemouv[[#This Row],[Fin]]+TabListemouv[[#This Row],[Sortie]],"")</f>
        <v>9</v>
      </c>
      <c r="J83" s="21">
        <f>IFERROR(YEAR(TabListemouv[[#This Row],[Date]]),"")</f>
        <v>2020</v>
      </c>
      <c r="K83" s="21" t="str">
        <f>IFERROR(TEXT(TabListemouv[[#This Row],[Date]],"mmmm"),"")</f>
        <v>mai</v>
      </c>
      <c r="L83" s="30">
        <f>TabListemouv[[#This Row],[Prix TTC]]*TabListemouv[[#This Row],[Conso]]</f>
        <v>3.2399999999999998</v>
      </c>
      <c r="M83" s="30">
        <f>TabListemouv[[#This Row],[Prix Vente]]*TabListemouv[[#This Row],[Conso]]</f>
        <v>13.5</v>
      </c>
      <c r="N83" s="21">
        <f>TabListemouv[[#This Row],[Total Vente]]-TabListemouv[[#This Row],[Total Achat]]</f>
        <v>10.26</v>
      </c>
    </row>
    <row r="84" spans="2:14" hidden="1" x14ac:dyDescent="0.25">
      <c r="B84" s="29" t="s">
        <v>116</v>
      </c>
      <c r="C84" s="1" t="s">
        <v>22</v>
      </c>
      <c r="D84" s="31">
        <f>IFERROR(VLOOKUP(TabListemouv[[#This Row],[Produit]],TabListeProduits[],2,0),"")</f>
        <v>0.13</v>
      </c>
      <c r="E84" s="31">
        <f>IFERROR(VLOOKUP(TabListemouv[[#This Row],[Produit]],TabListeProduits[],3,0),"")</f>
        <v>0.6</v>
      </c>
      <c r="F84" s="1">
        <v>11</v>
      </c>
      <c r="G84" s="1">
        <v>10</v>
      </c>
      <c r="H84" s="1">
        <v>0</v>
      </c>
      <c r="I84" s="21">
        <f>IFERROR(TabListemouv[[#This Row],[Début]]-TabListemouv[[#This Row],[Fin]]+TabListemouv[[#This Row],[Sortie]],"")</f>
        <v>1</v>
      </c>
      <c r="J84" s="21">
        <f>IFERROR(YEAR(TabListemouv[[#This Row],[Date]]),"")</f>
        <v>2020</v>
      </c>
      <c r="K84" s="21" t="str">
        <f>IFERROR(TEXT(TabListemouv[[#This Row],[Date]],"mmmm"),"")</f>
        <v>mai</v>
      </c>
      <c r="L84" s="30">
        <f>TabListemouv[[#This Row],[Prix TTC]]*TabListemouv[[#This Row],[Conso]]</f>
        <v>0.13</v>
      </c>
      <c r="M84" s="30">
        <f>TabListemouv[[#This Row],[Prix Vente]]*TabListemouv[[#This Row],[Conso]]</f>
        <v>0.6</v>
      </c>
      <c r="N84" s="21">
        <f>TabListemouv[[#This Row],[Total Vente]]-TabListemouv[[#This Row],[Total Achat]]</f>
        <v>0.47</v>
      </c>
    </row>
    <row r="85" spans="2:14" hidden="1" x14ac:dyDescent="0.25">
      <c r="B85" s="29" t="s">
        <v>116</v>
      </c>
      <c r="C85" s="1" t="s">
        <v>25</v>
      </c>
      <c r="D85" s="31">
        <f>IFERROR(VLOOKUP(TabListemouv[[#This Row],[Produit]],TabListeProduits[],2,0),"")</f>
        <v>8.34</v>
      </c>
      <c r="E85" s="31">
        <f>IFERROR(VLOOKUP(TabListemouv[[#This Row],[Produit]],TabListeProduits[],3,0),"")</f>
        <v>9</v>
      </c>
      <c r="F85" s="1">
        <v>20</v>
      </c>
      <c r="G85" s="1">
        <v>0</v>
      </c>
      <c r="H85" s="1">
        <v>0</v>
      </c>
      <c r="I85" s="21">
        <f>IFERROR(TabListemouv[[#This Row],[Début]]-TabListemouv[[#This Row],[Fin]]+TabListemouv[[#This Row],[Sortie]],"")</f>
        <v>20</v>
      </c>
      <c r="J85" s="21">
        <f>IFERROR(YEAR(TabListemouv[[#This Row],[Date]]),"")</f>
        <v>2020</v>
      </c>
      <c r="K85" s="21" t="str">
        <f>IFERROR(TEXT(TabListemouv[[#This Row],[Date]],"mmmm"),"")</f>
        <v>mai</v>
      </c>
      <c r="L85" s="30">
        <f>TabListemouv[[#This Row],[Prix TTC]]*TabListemouv[[#This Row],[Conso]]</f>
        <v>166.8</v>
      </c>
      <c r="M85" s="30">
        <f>TabListemouv[[#This Row],[Prix Vente]]*TabListemouv[[#This Row],[Conso]]</f>
        <v>180</v>
      </c>
      <c r="N85" s="21">
        <f>TabListemouv[[#This Row],[Total Vente]]-TabListemouv[[#This Row],[Total Achat]]</f>
        <v>13.199999999999989</v>
      </c>
    </row>
    <row r="86" spans="2:14" hidden="1" x14ac:dyDescent="0.25">
      <c r="B86" s="29" t="s">
        <v>116</v>
      </c>
      <c r="C86" s="1" t="s">
        <v>27</v>
      </c>
      <c r="D86" s="31">
        <f>IFERROR(VLOOKUP(TabListemouv[[#This Row],[Produit]],TabListeProduits[],2,0),"")</f>
        <v>0.5</v>
      </c>
      <c r="E86" s="31">
        <f>IFERROR(VLOOKUP(TabListemouv[[#This Row],[Produit]],TabListeProduits[],3,0),"")</f>
        <v>1.5</v>
      </c>
      <c r="F86" s="1">
        <v>22</v>
      </c>
      <c r="G86" s="1">
        <v>0</v>
      </c>
      <c r="H86" s="1">
        <v>0</v>
      </c>
      <c r="I86" s="21">
        <f>IFERROR(TabListemouv[[#This Row],[Début]]-TabListemouv[[#This Row],[Fin]]+TabListemouv[[#This Row],[Sortie]],"")</f>
        <v>22</v>
      </c>
      <c r="J86" s="21">
        <f>IFERROR(YEAR(TabListemouv[[#This Row],[Date]]),"")</f>
        <v>2020</v>
      </c>
      <c r="K86" s="21" t="str">
        <f>IFERROR(TEXT(TabListemouv[[#This Row],[Date]],"mmmm"),"")</f>
        <v>mai</v>
      </c>
      <c r="L86" s="30">
        <f>TabListemouv[[#This Row],[Prix TTC]]*TabListemouv[[#This Row],[Conso]]</f>
        <v>11</v>
      </c>
      <c r="M86" s="30">
        <f>TabListemouv[[#This Row],[Prix Vente]]*TabListemouv[[#This Row],[Conso]]</f>
        <v>33</v>
      </c>
      <c r="N86" s="21">
        <f>TabListemouv[[#This Row],[Total Vente]]-TabListemouv[[#This Row],[Total Achat]]</f>
        <v>22</v>
      </c>
    </row>
    <row r="87" spans="2:14" hidden="1" x14ac:dyDescent="0.25">
      <c r="B87" s="29" t="s">
        <v>116</v>
      </c>
      <c r="C87" s="1" t="s">
        <v>33</v>
      </c>
      <c r="D87" s="31">
        <f>IFERROR(VLOOKUP(TabListemouv[[#This Row],[Produit]],TabListeProduits[],2,0),"")</f>
        <v>0.22</v>
      </c>
      <c r="E87" s="31">
        <f>IFERROR(VLOOKUP(TabListemouv[[#This Row],[Produit]],TabListeProduits[],3,0),"")</f>
        <v>1.5</v>
      </c>
      <c r="F87" s="1">
        <v>13</v>
      </c>
      <c r="G87" s="1">
        <v>9</v>
      </c>
      <c r="H87" s="1">
        <v>0</v>
      </c>
      <c r="I87" s="21">
        <f>IFERROR(TabListemouv[[#This Row],[Début]]-TabListemouv[[#This Row],[Fin]]+TabListemouv[[#This Row],[Sortie]],"")</f>
        <v>4</v>
      </c>
      <c r="J87" s="21">
        <f>IFERROR(YEAR(TabListemouv[[#This Row],[Date]]),"")</f>
        <v>2020</v>
      </c>
      <c r="K87" s="21" t="str">
        <f>IFERROR(TEXT(TabListemouv[[#This Row],[Date]],"mmmm"),"")</f>
        <v>mai</v>
      </c>
      <c r="L87" s="30">
        <f>TabListemouv[[#This Row],[Prix TTC]]*TabListemouv[[#This Row],[Conso]]</f>
        <v>0.88</v>
      </c>
      <c r="M87" s="30">
        <f>TabListemouv[[#This Row],[Prix Vente]]*TabListemouv[[#This Row],[Conso]]</f>
        <v>6</v>
      </c>
      <c r="N87" s="21">
        <f>TabListemouv[[#This Row],[Total Vente]]-TabListemouv[[#This Row],[Total Achat]]</f>
        <v>5.12</v>
      </c>
    </row>
    <row r="88" spans="2:14" hidden="1" x14ac:dyDescent="0.25">
      <c r="B88" s="29" t="s">
        <v>118</v>
      </c>
      <c r="C88" s="1" t="s">
        <v>10</v>
      </c>
      <c r="D88" s="32">
        <f>IFERROR(VLOOKUP(TabListemouv[[#This Row],[Produit]],TabListeProduits[],2,0),"")</f>
        <v>2.25</v>
      </c>
      <c r="E88" s="32">
        <f>IFERROR(VLOOKUP(TabListemouv[[#This Row],[Produit]],TabListeProduits[],3,0),"")</f>
        <v>3</v>
      </c>
      <c r="F88" s="1" t="s">
        <v>99</v>
      </c>
      <c r="G88" s="1" t="s">
        <v>95</v>
      </c>
      <c r="H88" s="1">
        <v>0</v>
      </c>
      <c r="I88" s="21">
        <f>IFERROR(TabListemouv[[#This Row],[Début]]-TabListemouv[[#This Row],[Fin]]+TabListemouv[[#This Row],[Sortie]],"")</f>
        <v>18</v>
      </c>
      <c r="J88" s="21">
        <f>IFERROR(YEAR(TabListemouv[[#This Row],[Date]]),"")</f>
        <v>2021</v>
      </c>
      <c r="K88" s="21" t="str">
        <f>IFERROR(TEXT(TabListemouv[[#This Row],[Date]],"mmmm"),"")</f>
        <v>juin</v>
      </c>
      <c r="L88" s="30">
        <f>TabListemouv[[#This Row],[Prix TTC]]*TabListemouv[[#This Row],[Conso]]</f>
        <v>40.5</v>
      </c>
      <c r="M88" s="30">
        <f>TabListemouv[[#This Row],[Prix Vente]]*TabListemouv[[#This Row],[Conso]]</f>
        <v>54</v>
      </c>
      <c r="N88" s="21">
        <f>TabListemouv[[#This Row],[Total Vente]]-TabListemouv[[#This Row],[Total Achat]]</f>
        <v>13.5</v>
      </c>
    </row>
    <row r="89" spans="2:14" hidden="1" x14ac:dyDescent="0.25">
      <c r="B89" s="29" t="s">
        <v>118</v>
      </c>
      <c r="C89" s="1" t="s">
        <v>12</v>
      </c>
      <c r="D89" s="32">
        <f>IFERROR(VLOOKUP(TabListemouv[[#This Row],[Produit]],TabListeProduits[],2,0),"")</f>
        <v>1.6</v>
      </c>
      <c r="E89" s="32">
        <f>IFERROR(VLOOKUP(TabListemouv[[#This Row],[Produit]],TabListeProduits[],3,0),"")</f>
        <v>3</v>
      </c>
      <c r="F89" s="1">
        <v>4</v>
      </c>
      <c r="G89" s="1">
        <v>14</v>
      </c>
      <c r="H89" s="1">
        <v>320</v>
      </c>
      <c r="I89" s="21">
        <f>IFERROR(TabListemouv[[#This Row],[Début]]-TabListemouv[[#This Row],[Fin]]+TabListemouv[[#This Row],[Sortie]],"")</f>
        <v>310</v>
      </c>
      <c r="J89" s="21">
        <f>IFERROR(YEAR(TabListemouv[[#This Row],[Date]]),"")</f>
        <v>2021</v>
      </c>
      <c r="K89" s="21" t="str">
        <f>IFERROR(TEXT(TabListemouv[[#This Row],[Date]],"mmmm"),"")</f>
        <v>juin</v>
      </c>
      <c r="L89" s="30">
        <f>TabListemouv[[#This Row],[Prix TTC]]*TabListemouv[[#This Row],[Conso]]</f>
        <v>496</v>
      </c>
      <c r="M89" s="30">
        <f>TabListemouv[[#This Row],[Prix Vente]]*TabListemouv[[#This Row],[Conso]]</f>
        <v>930</v>
      </c>
      <c r="N89" s="21">
        <f>TabListemouv[[#This Row],[Total Vente]]-TabListemouv[[#This Row],[Total Achat]]</f>
        <v>434</v>
      </c>
    </row>
    <row r="90" spans="2:14" hidden="1" x14ac:dyDescent="0.25">
      <c r="B90" s="29" t="s">
        <v>118</v>
      </c>
      <c r="C90" s="1" t="s">
        <v>8</v>
      </c>
      <c r="D90" s="32">
        <f>IFERROR(VLOOKUP(TabListemouv[[#This Row],[Produit]],TabListeProduits[],2,0),"")</f>
        <v>1.98</v>
      </c>
      <c r="E90" s="32">
        <f>IFERROR(VLOOKUP(TabListemouv[[#This Row],[Produit]],TabListeProduits[],3,0),"")</f>
        <v>3</v>
      </c>
      <c r="F90" s="1">
        <v>13</v>
      </c>
      <c r="G90" s="1" t="s">
        <v>119</v>
      </c>
      <c r="H90" s="1">
        <v>92</v>
      </c>
      <c r="I90" s="21">
        <f>IFERROR(TabListemouv[[#This Row],[Début]]-TabListemouv[[#This Row],[Fin]]+TabListemouv[[#This Row],[Sortie]],"")</f>
        <v>83.5</v>
      </c>
      <c r="J90" s="21">
        <f>IFERROR(YEAR(TabListemouv[[#This Row],[Date]]),"")</f>
        <v>2021</v>
      </c>
      <c r="K90" s="21" t="str">
        <f>IFERROR(TEXT(TabListemouv[[#This Row],[Date]],"mmmm"),"")</f>
        <v>juin</v>
      </c>
      <c r="L90" s="30">
        <f>TabListemouv[[#This Row],[Prix TTC]]*TabListemouv[[#This Row],[Conso]]</f>
        <v>165.33</v>
      </c>
      <c r="M90" s="30">
        <f>TabListemouv[[#This Row],[Prix Vente]]*TabListemouv[[#This Row],[Conso]]</f>
        <v>250.5</v>
      </c>
      <c r="N90" s="21">
        <f>TabListemouv[[#This Row],[Total Vente]]-TabListemouv[[#This Row],[Total Achat]]</f>
        <v>85.169999999999987</v>
      </c>
    </row>
    <row r="91" spans="2:14" hidden="1" x14ac:dyDescent="0.25">
      <c r="B91" s="29" t="s">
        <v>118</v>
      </c>
      <c r="C91" s="1" t="s">
        <v>4</v>
      </c>
      <c r="D91" s="32">
        <f>IFERROR(VLOOKUP(TabListemouv[[#This Row],[Produit]],TabListeProduits[],2,0),"")</f>
        <v>1.98</v>
      </c>
      <c r="E91" s="32">
        <f>IFERROR(VLOOKUP(TabListemouv[[#This Row],[Produit]],TabListeProduits[],3,0),"")</f>
        <v>3</v>
      </c>
      <c r="F91" s="1">
        <v>12</v>
      </c>
      <c r="G91" s="1">
        <v>7</v>
      </c>
      <c r="H91" s="1">
        <v>1</v>
      </c>
      <c r="I91" s="21">
        <f>IFERROR(TabListemouv[[#This Row],[Début]]-TabListemouv[[#This Row],[Fin]]+TabListemouv[[#This Row],[Sortie]],"")</f>
        <v>6</v>
      </c>
      <c r="J91" s="21">
        <f>IFERROR(YEAR(TabListemouv[[#This Row],[Date]]),"")</f>
        <v>2021</v>
      </c>
      <c r="K91" s="21" t="str">
        <f>IFERROR(TEXT(TabListemouv[[#This Row],[Date]],"mmmm"),"")</f>
        <v>juin</v>
      </c>
      <c r="L91" s="30">
        <f>TabListemouv[[#This Row],[Prix TTC]]*TabListemouv[[#This Row],[Conso]]</f>
        <v>11.879999999999999</v>
      </c>
      <c r="M91" s="30">
        <f>TabListemouv[[#This Row],[Prix Vente]]*TabListemouv[[#This Row],[Conso]]</f>
        <v>18</v>
      </c>
      <c r="N91" s="21">
        <f>TabListemouv[[#This Row],[Total Vente]]-TabListemouv[[#This Row],[Total Achat]]</f>
        <v>6.120000000000001</v>
      </c>
    </row>
    <row r="92" spans="2:14" hidden="1" x14ac:dyDescent="0.25">
      <c r="B92" s="29" t="s">
        <v>118</v>
      </c>
      <c r="C92" s="1" t="s">
        <v>14</v>
      </c>
      <c r="D92" s="32">
        <f>IFERROR(VLOOKUP(TabListemouv[[#This Row],[Produit]],TabListeProduits[],2,0),"")</f>
        <v>0.42</v>
      </c>
      <c r="E92" s="32">
        <f>IFERROR(VLOOKUP(TabListemouv[[#This Row],[Produit]],TabListeProduits[],3,0),"")</f>
        <v>1.5</v>
      </c>
      <c r="F92" s="1">
        <v>8</v>
      </c>
      <c r="G92" s="1">
        <v>6</v>
      </c>
      <c r="H92" s="1">
        <v>130</v>
      </c>
      <c r="I92" s="21">
        <f>IFERROR(TabListemouv[[#This Row],[Début]]-TabListemouv[[#This Row],[Fin]]+TabListemouv[[#This Row],[Sortie]],"")</f>
        <v>132</v>
      </c>
      <c r="J92" s="21">
        <f>IFERROR(YEAR(TabListemouv[[#This Row],[Date]]),"")</f>
        <v>2021</v>
      </c>
      <c r="K92" s="21" t="str">
        <f>IFERROR(TEXT(TabListemouv[[#This Row],[Date]],"mmmm"),"")</f>
        <v>juin</v>
      </c>
      <c r="L92" s="30">
        <f>TabListemouv[[#This Row],[Prix TTC]]*TabListemouv[[#This Row],[Conso]]</f>
        <v>55.44</v>
      </c>
      <c r="M92" s="30">
        <f>TabListemouv[[#This Row],[Prix Vente]]*TabListemouv[[#This Row],[Conso]]</f>
        <v>198</v>
      </c>
      <c r="N92" s="21">
        <f>TabListemouv[[#This Row],[Total Vente]]-TabListemouv[[#This Row],[Total Achat]]</f>
        <v>142.56</v>
      </c>
    </row>
    <row r="93" spans="2:14" hidden="1" x14ac:dyDescent="0.25">
      <c r="B93" s="29" t="s">
        <v>118</v>
      </c>
      <c r="C93" s="1" t="s">
        <v>16</v>
      </c>
      <c r="D93" s="32">
        <f>IFERROR(VLOOKUP(TabListemouv[[#This Row],[Produit]],TabListeProduits[],2,0),"")</f>
        <v>0.3</v>
      </c>
      <c r="E93" s="32">
        <f>IFERROR(VLOOKUP(TabListemouv[[#This Row],[Produit]],TabListeProduits[],3,0),"")</f>
        <v>1.5</v>
      </c>
      <c r="F93" s="1">
        <v>19</v>
      </c>
      <c r="G93" s="1">
        <v>13</v>
      </c>
      <c r="H93" s="1">
        <v>0</v>
      </c>
      <c r="I93" s="21">
        <f>IFERROR(TabListemouv[[#This Row],[Début]]-TabListemouv[[#This Row],[Fin]]+TabListemouv[[#This Row],[Sortie]],"")</f>
        <v>6</v>
      </c>
      <c r="J93" s="21">
        <f>IFERROR(YEAR(TabListemouv[[#This Row],[Date]]),"")</f>
        <v>2021</v>
      </c>
      <c r="K93" s="21" t="str">
        <f>IFERROR(TEXT(TabListemouv[[#This Row],[Date]],"mmmm"),"")</f>
        <v>juin</v>
      </c>
      <c r="L93" s="30">
        <f>TabListemouv[[#This Row],[Prix TTC]]*TabListemouv[[#This Row],[Conso]]</f>
        <v>1.7999999999999998</v>
      </c>
      <c r="M93" s="30">
        <f>TabListemouv[[#This Row],[Prix Vente]]*TabListemouv[[#This Row],[Conso]]</f>
        <v>9</v>
      </c>
      <c r="N93" s="21">
        <f>TabListemouv[[#This Row],[Total Vente]]-TabListemouv[[#This Row],[Total Achat]]</f>
        <v>7.2</v>
      </c>
    </row>
    <row r="94" spans="2:14" hidden="1" x14ac:dyDescent="0.25">
      <c r="B94" s="29" t="s">
        <v>118</v>
      </c>
      <c r="C94" s="1" t="s">
        <v>20</v>
      </c>
      <c r="D94" s="32">
        <f>IFERROR(VLOOKUP(TabListemouv[[#This Row],[Produit]],TabListeProduits[],2,0),"")</f>
        <v>0.36</v>
      </c>
      <c r="E94" s="32">
        <f>IFERROR(VLOOKUP(TabListemouv[[#This Row],[Produit]],TabListeProduits[],3,0),"")</f>
        <v>1.5</v>
      </c>
      <c r="F94" s="1">
        <v>18</v>
      </c>
      <c r="G94" s="1">
        <v>13</v>
      </c>
      <c r="H94" s="1">
        <v>0</v>
      </c>
      <c r="I94" s="21">
        <f>IFERROR(TabListemouv[[#This Row],[Début]]-TabListemouv[[#This Row],[Fin]]+TabListemouv[[#This Row],[Sortie]],"")</f>
        <v>5</v>
      </c>
      <c r="J94" s="21">
        <f>IFERROR(YEAR(TabListemouv[[#This Row],[Date]]),"")</f>
        <v>2021</v>
      </c>
      <c r="K94" s="21" t="str">
        <f>IFERROR(TEXT(TabListemouv[[#This Row],[Date]],"mmmm"),"")</f>
        <v>juin</v>
      </c>
      <c r="L94" s="30">
        <f>TabListemouv[[#This Row],[Prix TTC]]*TabListemouv[[#This Row],[Conso]]</f>
        <v>1.7999999999999998</v>
      </c>
      <c r="M94" s="30">
        <f>TabListemouv[[#This Row],[Prix Vente]]*TabListemouv[[#This Row],[Conso]]</f>
        <v>7.5</v>
      </c>
      <c r="N94" s="21">
        <f>TabListemouv[[#This Row],[Total Vente]]-TabListemouv[[#This Row],[Total Achat]]</f>
        <v>5.7</v>
      </c>
    </row>
    <row r="95" spans="2:14" hidden="1" x14ac:dyDescent="0.25">
      <c r="B95" s="29" t="s">
        <v>118</v>
      </c>
      <c r="C95" s="1" t="s">
        <v>22</v>
      </c>
      <c r="D95" s="32">
        <f>IFERROR(VLOOKUP(TabListemouv[[#This Row],[Produit]],TabListeProduits[],2,0),"")</f>
        <v>0.13</v>
      </c>
      <c r="E95" s="32">
        <f>IFERROR(VLOOKUP(TabListemouv[[#This Row],[Produit]],TabListeProduits[],3,0),"")</f>
        <v>0.6</v>
      </c>
      <c r="F95" s="1">
        <v>18</v>
      </c>
      <c r="G95" s="1">
        <v>14</v>
      </c>
      <c r="H95" s="1">
        <v>12</v>
      </c>
      <c r="I95" s="21">
        <f>IFERROR(TabListemouv[[#This Row],[Début]]-TabListemouv[[#This Row],[Fin]]+TabListemouv[[#This Row],[Sortie]],"")</f>
        <v>16</v>
      </c>
      <c r="J95" s="21">
        <f>IFERROR(YEAR(TabListemouv[[#This Row],[Date]]),"")</f>
        <v>2021</v>
      </c>
      <c r="K95" s="21" t="str">
        <f>IFERROR(TEXT(TabListemouv[[#This Row],[Date]],"mmmm"),"")</f>
        <v>juin</v>
      </c>
      <c r="L95" s="30">
        <f>TabListemouv[[#This Row],[Prix TTC]]*TabListemouv[[#This Row],[Conso]]</f>
        <v>2.08</v>
      </c>
      <c r="M95" s="30">
        <f>TabListemouv[[#This Row],[Prix Vente]]*TabListemouv[[#This Row],[Conso]]</f>
        <v>9.6</v>
      </c>
      <c r="N95" s="21">
        <f>TabListemouv[[#This Row],[Total Vente]]-TabListemouv[[#This Row],[Total Achat]]</f>
        <v>7.52</v>
      </c>
    </row>
    <row r="96" spans="2:14" hidden="1" x14ac:dyDescent="0.25">
      <c r="B96" s="29" t="s">
        <v>118</v>
      </c>
      <c r="C96" s="1" t="s">
        <v>25</v>
      </c>
      <c r="D96" s="32">
        <f>IFERROR(VLOOKUP(TabListemouv[[#This Row],[Produit]],TabListeProduits[],2,0),"")</f>
        <v>8.34</v>
      </c>
      <c r="E96" s="32">
        <f>IFERROR(VLOOKUP(TabListemouv[[#This Row],[Produit]],TabListeProduits[],3,0),"")</f>
        <v>9</v>
      </c>
      <c r="F96" s="1">
        <v>13</v>
      </c>
      <c r="G96" s="1">
        <v>9</v>
      </c>
      <c r="H96" s="1">
        <v>0</v>
      </c>
      <c r="I96" s="21">
        <f>IFERROR(TabListemouv[[#This Row],[Début]]-TabListemouv[[#This Row],[Fin]]+TabListemouv[[#This Row],[Sortie]],"")</f>
        <v>4</v>
      </c>
      <c r="J96" s="21">
        <f>IFERROR(YEAR(TabListemouv[[#This Row],[Date]]),"")</f>
        <v>2021</v>
      </c>
      <c r="K96" s="21" t="str">
        <f>IFERROR(TEXT(TabListemouv[[#This Row],[Date]],"mmmm"),"")</f>
        <v>juin</v>
      </c>
      <c r="L96" s="30">
        <f>TabListemouv[[#This Row],[Prix TTC]]*TabListemouv[[#This Row],[Conso]]</f>
        <v>33.36</v>
      </c>
      <c r="M96" s="30">
        <f>TabListemouv[[#This Row],[Prix Vente]]*TabListemouv[[#This Row],[Conso]]</f>
        <v>36</v>
      </c>
      <c r="N96" s="21">
        <f>TabListemouv[[#This Row],[Total Vente]]-TabListemouv[[#This Row],[Total Achat]]</f>
        <v>2.6400000000000006</v>
      </c>
    </row>
    <row r="97" spans="2:14" hidden="1" x14ac:dyDescent="0.25">
      <c r="B97" s="29" t="s">
        <v>118</v>
      </c>
      <c r="C97" s="1" t="s">
        <v>27</v>
      </c>
      <c r="D97" s="32">
        <f>IFERROR(VLOOKUP(TabListemouv[[#This Row],[Produit]],TabListeProduits[],2,0),"")</f>
        <v>0.5</v>
      </c>
      <c r="E97" s="32">
        <f>IFERROR(VLOOKUP(TabListemouv[[#This Row],[Produit]],TabListeProduits[],3,0),"")</f>
        <v>1.5</v>
      </c>
      <c r="F97" s="1">
        <v>0</v>
      </c>
      <c r="G97" s="1">
        <v>7</v>
      </c>
      <c r="H97" s="1">
        <v>12</v>
      </c>
      <c r="I97" s="21">
        <f>IFERROR(TabListemouv[[#This Row],[Début]]-TabListemouv[[#This Row],[Fin]]+TabListemouv[[#This Row],[Sortie]],"")</f>
        <v>5</v>
      </c>
      <c r="J97" s="21">
        <f>IFERROR(YEAR(TabListemouv[[#This Row],[Date]]),"")</f>
        <v>2021</v>
      </c>
      <c r="K97" s="21" t="str">
        <f>IFERROR(TEXT(TabListemouv[[#This Row],[Date]],"mmmm"),"")</f>
        <v>juin</v>
      </c>
      <c r="L97" s="30">
        <f>TabListemouv[[#This Row],[Prix TTC]]*TabListemouv[[#This Row],[Conso]]</f>
        <v>2.5</v>
      </c>
      <c r="M97" s="30">
        <f>TabListemouv[[#This Row],[Prix Vente]]*TabListemouv[[#This Row],[Conso]]</f>
        <v>7.5</v>
      </c>
      <c r="N97" s="21">
        <f>TabListemouv[[#This Row],[Total Vente]]-TabListemouv[[#This Row],[Total Achat]]</f>
        <v>5</v>
      </c>
    </row>
    <row r="98" spans="2:14" hidden="1" x14ac:dyDescent="0.25">
      <c r="B98" s="29" t="s">
        <v>118</v>
      </c>
      <c r="C98" s="1" t="s">
        <v>29</v>
      </c>
      <c r="D98" s="32">
        <f>IFERROR(VLOOKUP(TabListemouv[[#This Row],[Produit]],TabListeProduits[],2,0),"")</f>
        <v>0</v>
      </c>
      <c r="E98" s="32">
        <f>IFERROR(VLOOKUP(TabListemouv[[#This Row],[Produit]],TabListeProduits[],3,0),"")</f>
        <v>0.5</v>
      </c>
      <c r="F98" s="1">
        <v>10</v>
      </c>
      <c r="G98" s="1">
        <v>10</v>
      </c>
      <c r="H98" s="1">
        <v>0</v>
      </c>
      <c r="I98" s="21">
        <f>IFERROR(TabListemouv[[#This Row],[Début]]-TabListemouv[[#This Row],[Fin]]+TabListemouv[[#This Row],[Sortie]],"")</f>
        <v>0</v>
      </c>
      <c r="J98" s="21">
        <f>IFERROR(YEAR(TabListemouv[[#This Row],[Date]]),"")</f>
        <v>2021</v>
      </c>
      <c r="K98" s="21" t="str">
        <f>IFERROR(TEXT(TabListemouv[[#This Row],[Date]],"mmmm"),"")</f>
        <v>juin</v>
      </c>
      <c r="L98" s="30">
        <f>TabListemouv[[#This Row],[Prix TTC]]*TabListemouv[[#This Row],[Conso]]</f>
        <v>0</v>
      </c>
      <c r="M98" s="30">
        <f>TabListemouv[[#This Row],[Prix Vente]]*TabListemouv[[#This Row],[Conso]]</f>
        <v>0</v>
      </c>
      <c r="N98" s="21">
        <f>TabListemouv[[#This Row],[Total Vente]]-TabListemouv[[#This Row],[Total Achat]]</f>
        <v>0</v>
      </c>
    </row>
    <row r="99" spans="2:14" hidden="1" x14ac:dyDescent="0.25">
      <c r="B99" s="29" t="s">
        <v>118</v>
      </c>
      <c r="C99" s="1" t="s">
        <v>31</v>
      </c>
      <c r="D99" s="32">
        <f>IFERROR(VLOOKUP(TabListemouv[[#This Row],[Produit]],TabListeProduits[],2,0),"")</f>
        <v>0</v>
      </c>
      <c r="E99" s="32">
        <f>IFERROR(VLOOKUP(TabListemouv[[#This Row],[Produit]],TabListeProduits[],3,0),"")</f>
        <v>1.5</v>
      </c>
      <c r="F99" s="1">
        <v>5</v>
      </c>
      <c r="G99" s="1">
        <v>4</v>
      </c>
      <c r="H99" s="1">
        <v>0</v>
      </c>
      <c r="I99" s="21">
        <f>IFERROR(TabListemouv[[#This Row],[Début]]-TabListemouv[[#This Row],[Fin]]+TabListemouv[[#This Row],[Sortie]],"")</f>
        <v>1</v>
      </c>
      <c r="J99" s="21">
        <f>IFERROR(YEAR(TabListemouv[[#This Row],[Date]]),"")</f>
        <v>2021</v>
      </c>
      <c r="K99" s="21" t="str">
        <f>IFERROR(TEXT(TabListemouv[[#This Row],[Date]],"mmmm"),"")</f>
        <v>juin</v>
      </c>
      <c r="L99" s="30">
        <f>TabListemouv[[#This Row],[Prix TTC]]*TabListemouv[[#This Row],[Conso]]</f>
        <v>0</v>
      </c>
      <c r="M99" s="30">
        <f>TabListemouv[[#This Row],[Prix Vente]]*TabListemouv[[#This Row],[Conso]]</f>
        <v>1.5</v>
      </c>
      <c r="N99" s="21">
        <f>TabListemouv[[#This Row],[Total Vente]]-TabListemouv[[#This Row],[Total Achat]]</f>
        <v>1.5</v>
      </c>
    </row>
    <row r="100" spans="2:14" hidden="1" x14ac:dyDescent="0.25">
      <c r="B100" s="29" t="s">
        <v>118</v>
      </c>
      <c r="C100" s="1" t="s">
        <v>33</v>
      </c>
      <c r="D100" s="32">
        <f>IFERROR(VLOOKUP(TabListemouv[[#This Row],[Produit]],TabListeProduits[],2,0),"")</f>
        <v>0.22</v>
      </c>
      <c r="E100" s="32">
        <f>IFERROR(VLOOKUP(TabListemouv[[#This Row],[Produit]],TabListeProduits[],3,0),"")</f>
        <v>1.5</v>
      </c>
      <c r="F100" s="1">
        <v>6</v>
      </c>
      <c r="G100" s="1">
        <v>3</v>
      </c>
      <c r="H100" s="1">
        <v>0</v>
      </c>
      <c r="I100" s="21">
        <f>IFERROR(TabListemouv[[#This Row],[Début]]-TabListemouv[[#This Row],[Fin]]+TabListemouv[[#This Row],[Sortie]],"")</f>
        <v>3</v>
      </c>
      <c r="J100" s="21">
        <f>IFERROR(YEAR(TabListemouv[[#This Row],[Date]]),"")</f>
        <v>2021</v>
      </c>
      <c r="K100" s="21" t="str">
        <f>IFERROR(TEXT(TabListemouv[[#This Row],[Date]],"mmmm"),"")</f>
        <v>juin</v>
      </c>
      <c r="L100" s="30">
        <f>TabListemouv[[#This Row],[Prix TTC]]*TabListemouv[[#This Row],[Conso]]</f>
        <v>0.66</v>
      </c>
      <c r="M100" s="30">
        <f>TabListemouv[[#This Row],[Prix Vente]]*TabListemouv[[#This Row],[Conso]]</f>
        <v>4.5</v>
      </c>
      <c r="N100" s="21">
        <f>TabListemouv[[#This Row],[Total Vente]]-TabListemouv[[#This Row],[Total Achat]]</f>
        <v>3.84</v>
      </c>
    </row>
    <row r="101" spans="2:14" x14ac:dyDescent="0.25">
      <c r="B101" s="29" t="s">
        <v>120</v>
      </c>
      <c r="C101" s="1" t="s">
        <v>10</v>
      </c>
      <c r="D101" s="32">
        <f>IFERROR(VLOOKUP(TabListemouv[[#This Row],[Produit]],TabListeProduits[],2,0),"")</f>
        <v>2.25</v>
      </c>
      <c r="E101" s="32">
        <f>IFERROR(VLOOKUP(TabListemouv[[#This Row],[Produit]],TabListeProduits[],3,0),"")</f>
        <v>3</v>
      </c>
      <c r="F101" s="1" t="s">
        <v>95</v>
      </c>
      <c r="G101" s="1">
        <v>11</v>
      </c>
      <c r="H101" s="1">
        <v>0</v>
      </c>
      <c r="I101" s="21">
        <f>IFERROR(TabListemouv[[#This Row],[Début]]-TabListemouv[[#This Row],[Fin]]+TabListemouv[[#This Row],[Sortie]],"")</f>
        <v>11.5</v>
      </c>
      <c r="J101" s="21">
        <f>IFERROR(YEAR(TabListemouv[[#This Row],[Date]]),"")</f>
        <v>2021</v>
      </c>
      <c r="K101" s="21" t="str">
        <f>IFERROR(TEXT(TabListemouv[[#This Row],[Date]],"mmmm"),"")</f>
        <v>juillet</v>
      </c>
      <c r="L101" s="30">
        <f>TabListemouv[[#This Row],[Prix TTC]]*TabListemouv[[#This Row],[Conso]]</f>
        <v>25.875</v>
      </c>
      <c r="M101" s="30">
        <f>TabListemouv[[#This Row],[Prix Vente]]*TabListemouv[[#This Row],[Conso]]</f>
        <v>34.5</v>
      </c>
      <c r="N101" s="21">
        <f>TabListemouv[[#This Row],[Total Vente]]-TabListemouv[[#This Row],[Total Achat]]</f>
        <v>8.625</v>
      </c>
    </row>
    <row r="102" spans="2:14" x14ac:dyDescent="0.25">
      <c r="B102" s="29" t="s">
        <v>120</v>
      </c>
      <c r="C102" s="1" t="s">
        <v>12</v>
      </c>
      <c r="D102" s="32">
        <f>IFERROR(VLOOKUP(TabListemouv[[#This Row],[Produit]],TabListeProduits[],2,0),"")</f>
        <v>1.6</v>
      </c>
      <c r="E102" s="32">
        <f>IFERROR(VLOOKUP(TabListemouv[[#This Row],[Produit]],TabListeProduits[],3,0),"")</f>
        <v>3</v>
      </c>
      <c r="F102" s="1">
        <v>14</v>
      </c>
      <c r="G102" s="1">
        <v>35</v>
      </c>
      <c r="H102" s="1">
        <v>221</v>
      </c>
      <c r="I102" s="21">
        <f>IFERROR(TabListemouv[[#This Row],[Début]]-TabListemouv[[#This Row],[Fin]]+TabListemouv[[#This Row],[Sortie]],"")</f>
        <v>200</v>
      </c>
      <c r="J102" s="21">
        <f>IFERROR(YEAR(TabListemouv[[#This Row],[Date]]),"")</f>
        <v>2021</v>
      </c>
      <c r="K102" s="21" t="str">
        <f>IFERROR(TEXT(TabListemouv[[#This Row],[Date]],"mmmm"),"")</f>
        <v>juillet</v>
      </c>
      <c r="L102" s="30">
        <f>TabListemouv[[#This Row],[Prix TTC]]*TabListemouv[[#This Row],[Conso]]</f>
        <v>320</v>
      </c>
      <c r="M102" s="30">
        <f>TabListemouv[[#This Row],[Prix Vente]]*TabListemouv[[#This Row],[Conso]]</f>
        <v>600</v>
      </c>
      <c r="N102" s="21">
        <f>TabListemouv[[#This Row],[Total Vente]]-TabListemouv[[#This Row],[Total Achat]]</f>
        <v>280</v>
      </c>
    </row>
    <row r="103" spans="2:14" x14ac:dyDescent="0.25">
      <c r="B103" s="29" t="s">
        <v>120</v>
      </c>
      <c r="C103" s="1" t="s">
        <v>8</v>
      </c>
      <c r="D103" s="32">
        <f>IFERROR(VLOOKUP(TabListemouv[[#This Row],[Produit]],TabListeProduits[],2,0),"")</f>
        <v>1.98</v>
      </c>
      <c r="E103" s="32">
        <f>IFERROR(VLOOKUP(TabListemouv[[#This Row],[Produit]],TabListeProduits[],3,0),"")</f>
        <v>3</v>
      </c>
      <c r="F103" s="1" t="s">
        <v>119</v>
      </c>
      <c r="G103" s="1">
        <v>23</v>
      </c>
      <c r="H103" s="1">
        <v>154</v>
      </c>
      <c r="I103" s="21">
        <f>IFERROR(TabListemouv[[#This Row],[Début]]-TabListemouv[[#This Row],[Fin]]+TabListemouv[[#This Row],[Sortie]],"")</f>
        <v>152.5</v>
      </c>
      <c r="J103" s="21">
        <f>IFERROR(YEAR(TabListemouv[[#This Row],[Date]]),"")</f>
        <v>2021</v>
      </c>
      <c r="K103" s="21" t="str">
        <f>IFERROR(TEXT(TabListemouv[[#This Row],[Date]],"mmmm"),"")</f>
        <v>juillet</v>
      </c>
      <c r="L103" s="30">
        <f>TabListemouv[[#This Row],[Prix TTC]]*TabListemouv[[#This Row],[Conso]]</f>
        <v>301.95</v>
      </c>
      <c r="M103" s="30">
        <f>TabListemouv[[#This Row],[Prix Vente]]*TabListemouv[[#This Row],[Conso]]</f>
        <v>457.5</v>
      </c>
      <c r="N103" s="21">
        <f>TabListemouv[[#This Row],[Total Vente]]-TabListemouv[[#This Row],[Total Achat]]</f>
        <v>155.55000000000001</v>
      </c>
    </row>
    <row r="104" spans="2:14" x14ac:dyDescent="0.25">
      <c r="B104" s="29" t="s">
        <v>120</v>
      </c>
      <c r="C104" s="1" t="s">
        <v>4</v>
      </c>
      <c r="D104" s="32">
        <f>IFERROR(VLOOKUP(TabListemouv[[#This Row],[Produit]],TabListeProduits[],2,0),"")</f>
        <v>1.98</v>
      </c>
      <c r="E104" s="32">
        <f>IFERROR(VLOOKUP(TabListemouv[[#This Row],[Produit]],TabListeProduits[],3,0),"")</f>
        <v>3</v>
      </c>
      <c r="F104" s="1">
        <v>7</v>
      </c>
      <c r="G104" s="1">
        <v>11</v>
      </c>
      <c r="H104" s="1">
        <v>10</v>
      </c>
      <c r="I104" s="21">
        <f>IFERROR(TabListemouv[[#This Row],[Début]]-TabListemouv[[#This Row],[Fin]]+TabListemouv[[#This Row],[Sortie]],"")</f>
        <v>6</v>
      </c>
      <c r="J104" s="21">
        <f>IFERROR(YEAR(TabListemouv[[#This Row],[Date]]),"")</f>
        <v>2021</v>
      </c>
      <c r="K104" s="21" t="str">
        <f>IFERROR(TEXT(TabListemouv[[#This Row],[Date]],"mmmm"),"")</f>
        <v>juillet</v>
      </c>
      <c r="L104" s="30">
        <f>TabListemouv[[#This Row],[Prix TTC]]*TabListemouv[[#This Row],[Conso]]</f>
        <v>11.879999999999999</v>
      </c>
      <c r="M104" s="30">
        <f>TabListemouv[[#This Row],[Prix Vente]]*TabListemouv[[#This Row],[Conso]]</f>
        <v>18</v>
      </c>
      <c r="N104" s="21">
        <f>TabListemouv[[#This Row],[Total Vente]]-TabListemouv[[#This Row],[Total Achat]]</f>
        <v>6.120000000000001</v>
      </c>
    </row>
    <row r="105" spans="2:14" x14ac:dyDescent="0.25">
      <c r="B105" s="29" t="s">
        <v>120</v>
      </c>
      <c r="C105" s="1" t="s">
        <v>14</v>
      </c>
      <c r="D105" s="32">
        <f>IFERROR(VLOOKUP(TabListemouv[[#This Row],[Produit]],TabListeProduits[],2,0),"")</f>
        <v>0.42</v>
      </c>
      <c r="E105" s="32">
        <f>IFERROR(VLOOKUP(TabListemouv[[#This Row],[Produit]],TabListeProduits[],3,0),"")</f>
        <v>1.5</v>
      </c>
      <c r="F105" s="1">
        <v>6</v>
      </c>
      <c r="G105" s="1">
        <v>44</v>
      </c>
      <c r="H105" s="1">
        <v>104</v>
      </c>
      <c r="I105" s="21">
        <f>IFERROR(TabListemouv[[#This Row],[Début]]-TabListemouv[[#This Row],[Fin]]+TabListemouv[[#This Row],[Sortie]],"")</f>
        <v>66</v>
      </c>
      <c r="J105" s="21">
        <f>IFERROR(YEAR(TabListemouv[[#This Row],[Date]]),"")</f>
        <v>2021</v>
      </c>
      <c r="K105" s="21" t="str">
        <f>IFERROR(TEXT(TabListemouv[[#This Row],[Date]],"mmmm"),"")</f>
        <v>juillet</v>
      </c>
      <c r="L105" s="30">
        <f>TabListemouv[[#This Row],[Prix TTC]]*TabListemouv[[#This Row],[Conso]]</f>
        <v>27.72</v>
      </c>
      <c r="M105" s="30">
        <f>TabListemouv[[#This Row],[Prix Vente]]*TabListemouv[[#This Row],[Conso]]</f>
        <v>99</v>
      </c>
      <c r="N105" s="21">
        <f>TabListemouv[[#This Row],[Total Vente]]-TabListemouv[[#This Row],[Total Achat]]</f>
        <v>71.28</v>
      </c>
    </row>
    <row r="106" spans="2:14" x14ac:dyDescent="0.25">
      <c r="B106" s="29" t="s">
        <v>120</v>
      </c>
      <c r="C106" s="1" t="s">
        <v>16</v>
      </c>
      <c r="D106" s="32">
        <f>IFERROR(VLOOKUP(TabListemouv[[#This Row],[Produit]],TabListeProduits[],2,0),"")</f>
        <v>0.3</v>
      </c>
      <c r="E106" s="32">
        <f>IFERROR(VLOOKUP(TabListemouv[[#This Row],[Produit]],TabListeProduits[],3,0),"")</f>
        <v>1.5</v>
      </c>
      <c r="F106" s="1">
        <v>13</v>
      </c>
      <c r="G106" s="1">
        <v>16</v>
      </c>
      <c r="H106" s="1">
        <v>30</v>
      </c>
      <c r="I106" s="21">
        <f>IFERROR(TabListemouv[[#This Row],[Début]]-TabListemouv[[#This Row],[Fin]]+TabListemouv[[#This Row],[Sortie]],"")</f>
        <v>27</v>
      </c>
      <c r="J106" s="21">
        <f>IFERROR(YEAR(TabListemouv[[#This Row],[Date]]),"")</f>
        <v>2021</v>
      </c>
      <c r="K106" s="21" t="str">
        <f>IFERROR(TEXT(TabListemouv[[#This Row],[Date]],"mmmm"),"")</f>
        <v>juillet</v>
      </c>
      <c r="L106" s="30">
        <f>TabListemouv[[#This Row],[Prix TTC]]*TabListemouv[[#This Row],[Conso]]</f>
        <v>8.1</v>
      </c>
      <c r="M106" s="30">
        <f>TabListemouv[[#This Row],[Prix Vente]]*TabListemouv[[#This Row],[Conso]]</f>
        <v>40.5</v>
      </c>
      <c r="N106" s="21">
        <f>TabListemouv[[#This Row],[Total Vente]]-TabListemouv[[#This Row],[Total Achat]]</f>
        <v>32.4</v>
      </c>
    </row>
    <row r="107" spans="2:14" x14ac:dyDescent="0.25">
      <c r="B107" s="29" t="s">
        <v>120</v>
      </c>
      <c r="C107" s="1" t="s">
        <v>20</v>
      </c>
      <c r="D107" s="32">
        <f>IFERROR(VLOOKUP(TabListemouv[[#This Row],[Produit]],TabListeProduits[],2,0),"")</f>
        <v>0.36</v>
      </c>
      <c r="E107" s="32">
        <f>IFERROR(VLOOKUP(TabListemouv[[#This Row],[Produit]],TabListeProduits[],3,0),"")</f>
        <v>1.5</v>
      </c>
      <c r="F107" s="1">
        <v>13</v>
      </c>
      <c r="G107" s="1">
        <v>8</v>
      </c>
      <c r="H107" s="1">
        <v>0</v>
      </c>
      <c r="I107" s="21">
        <f>IFERROR(TabListemouv[[#This Row],[Début]]-TabListemouv[[#This Row],[Fin]]+TabListemouv[[#This Row],[Sortie]],"")</f>
        <v>5</v>
      </c>
      <c r="J107" s="21">
        <f>IFERROR(YEAR(TabListemouv[[#This Row],[Date]]),"")</f>
        <v>2021</v>
      </c>
      <c r="K107" s="21" t="str">
        <f>IFERROR(TEXT(TabListemouv[[#This Row],[Date]],"mmmm"),"")</f>
        <v>juillet</v>
      </c>
      <c r="L107" s="30">
        <f>TabListemouv[[#This Row],[Prix TTC]]*TabListemouv[[#This Row],[Conso]]</f>
        <v>1.7999999999999998</v>
      </c>
      <c r="M107" s="30">
        <f>TabListemouv[[#This Row],[Prix Vente]]*TabListemouv[[#This Row],[Conso]]</f>
        <v>7.5</v>
      </c>
      <c r="N107" s="21">
        <f>TabListemouv[[#This Row],[Total Vente]]-TabListemouv[[#This Row],[Total Achat]]</f>
        <v>5.7</v>
      </c>
    </row>
    <row r="108" spans="2:14" x14ac:dyDescent="0.25">
      <c r="B108" s="29" t="s">
        <v>120</v>
      </c>
      <c r="C108" s="1" t="s">
        <v>22</v>
      </c>
      <c r="D108" s="32">
        <f>IFERROR(VLOOKUP(TabListemouv[[#This Row],[Produit]],TabListeProduits[],2,0),"")</f>
        <v>0.13</v>
      </c>
      <c r="E108" s="32">
        <f>IFERROR(VLOOKUP(TabListemouv[[#This Row],[Produit]],TabListeProduits[],3,0),"")</f>
        <v>0.6</v>
      </c>
      <c r="F108" s="1">
        <v>14</v>
      </c>
      <c r="G108" s="1">
        <v>2</v>
      </c>
      <c r="H108" s="1">
        <v>12</v>
      </c>
      <c r="I108" s="21">
        <f>IFERROR(TabListemouv[[#This Row],[Début]]-TabListemouv[[#This Row],[Fin]]+TabListemouv[[#This Row],[Sortie]],"")</f>
        <v>24</v>
      </c>
      <c r="J108" s="21">
        <f>IFERROR(YEAR(TabListemouv[[#This Row],[Date]]),"")</f>
        <v>2021</v>
      </c>
      <c r="K108" s="21" t="str">
        <f>IFERROR(TEXT(TabListemouv[[#This Row],[Date]],"mmmm"),"")</f>
        <v>juillet</v>
      </c>
      <c r="L108" s="30">
        <f>TabListemouv[[#This Row],[Prix TTC]]*TabListemouv[[#This Row],[Conso]]</f>
        <v>3.12</v>
      </c>
      <c r="M108" s="30">
        <f>TabListemouv[[#This Row],[Prix Vente]]*TabListemouv[[#This Row],[Conso]]</f>
        <v>14.399999999999999</v>
      </c>
      <c r="N108" s="21">
        <f>TabListemouv[[#This Row],[Total Vente]]-TabListemouv[[#This Row],[Total Achat]]</f>
        <v>11.279999999999998</v>
      </c>
    </row>
    <row r="109" spans="2:14" x14ac:dyDescent="0.25">
      <c r="B109" s="29" t="s">
        <v>120</v>
      </c>
      <c r="C109" s="1" t="s">
        <v>25</v>
      </c>
      <c r="D109" s="32">
        <f>IFERROR(VLOOKUP(TabListemouv[[#This Row],[Produit]],TabListeProduits[],2,0),"")</f>
        <v>8.34</v>
      </c>
      <c r="E109" s="32">
        <f>IFERROR(VLOOKUP(TabListemouv[[#This Row],[Produit]],TabListeProduits[],3,0),"")</f>
        <v>9</v>
      </c>
      <c r="F109" s="1">
        <v>9</v>
      </c>
      <c r="G109" s="1">
        <v>7</v>
      </c>
      <c r="H109" s="1">
        <v>0</v>
      </c>
      <c r="I109" s="21">
        <f>IFERROR(TabListemouv[[#This Row],[Début]]-TabListemouv[[#This Row],[Fin]]+TabListemouv[[#This Row],[Sortie]],"")</f>
        <v>2</v>
      </c>
      <c r="J109" s="21">
        <f>IFERROR(YEAR(TabListemouv[[#This Row],[Date]]),"")</f>
        <v>2021</v>
      </c>
      <c r="K109" s="21" t="str">
        <f>IFERROR(TEXT(TabListemouv[[#This Row],[Date]],"mmmm"),"")</f>
        <v>juillet</v>
      </c>
      <c r="L109" s="30">
        <f>TabListemouv[[#This Row],[Prix TTC]]*TabListemouv[[#This Row],[Conso]]</f>
        <v>16.68</v>
      </c>
      <c r="M109" s="30">
        <f>TabListemouv[[#This Row],[Prix Vente]]*TabListemouv[[#This Row],[Conso]]</f>
        <v>18</v>
      </c>
      <c r="N109" s="21">
        <f>TabListemouv[[#This Row],[Total Vente]]-TabListemouv[[#This Row],[Total Achat]]</f>
        <v>1.3200000000000003</v>
      </c>
    </row>
    <row r="110" spans="2:14" x14ac:dyDescent="0.25">
      <c r="B110" s="29" t="s">
        <v>120</v>
      </c>
      <c r="C110" s="1" t="s">
        <v>27</v>
      </c>
      <c r="D110" s="32">
        <f>IFERROR(VLOOKUP(TabListemouv[[#This Row],[Produit]],TabListeProduits[],2,0),"")</f>
        <v>0.5</v>
      </c>
      <c r="E110" s="32">
        <f>IFERROR(VLOOKUP(TabListemouv[[#This Row],[Produit]],TabListeProduits[],3,0),"")</f>
        <v>1.5</v>
      </c>
      <c r="F110" s="1">
        <v>7</v>
      </c>
      <c r="G110" s="1">
        <v>4</v>
      </c>
      <c r="H110" s="1">
        <v>0</v>
      </c>
      <c r="I110" s="21">
        <f>IFERROR(TabListemouv[[#This Row],[Début]]-TabListemouv[[#This Row],[Fin]]+TabListemouv[[#This Row],[Sortie]],"")</f>
        <v>3</v>
      </c>
      <c r="J110" s="21">
        <f>IFERROR(YEAR(TabListemouv[[#This Row],[Date]]),"")</f>
        <v>2021</v>
      </c>
      <c r="K110" s="21" t="str">
        <f>IFERROR(TEXT(TabListemouv[[#This Row],[Date]],"mmmm"),"")</f>
        <v>juillet</v>
      </c>
      <c r="L110" s="30">
        <f>TabListemouv[[#This Row],[Prix TTC]]*TabListemouv[[#This Row],[Conso]]</f>
        <v>1.5</v>
      </c>
      <c r="M110" s="30">
        <f>TabListemouv[[#This Row],[Prix Vente]]*TabListemouv[[#This Row],[Conso]]</f>
        <v>4.5</v>
      </c>
      <c r="N110" s="21">
        <f>TabListemouv[[#This Row],[Total Vente]]-TabListemouv[[#This Row],[Total Achat]]</f>
        <v>3</v>
      </c>
    </row>
    <row r="111" spans="2:14" x14ac:dyDescent="0.25">
      <c r="B111" s="29" t="s">
        <v>120</v>
      </c>
      <c r="C111" s="1" t="s">
        <v>29</v>
      </c>
      <c r="D111" s="32">
        <f>IFERROR(VLOOKUP(TabListemouv[[#This Row],[Produit]],TabListeProduits[],2,0),"")</f>
        <v>0</v>
      </c>
      <c r="E111" s="32">
        <f>IFERROR(VLOOKUP(TabListemouv[[#This Row],[Produit]],TabListeProduits[],3,0),"")</f>
        <v>0.5</v>
      </c>
      <c r="F111" s="1">
        <v>10</v>
      </c>
      <c r="G111" s="1">
        <v>7</v>
      </c>
      <c r="H111" s="1">
        <v>0</v>
      </c>
      <c r="I111" s="21">
        <f>IFERROR(TabListemouv[[#This Row],[Début]]-TabListemouv[[#This Row],[Fin]]+TabListemouv[[#This Row],[Sortie]],"")</f>
        <v>3</v>
      </c>
      <c r="J111" s="21">
        <f>IFERROR(YEAR(TabListemouv[[#This Row],[Date]]),"")</f>
        <v>2021</v>
      </c>
      <c r="K111" s="21" t="str">
        <f>IFERROR(TEXT(TabListemouv[[#This Row],[Date]],"mmmm"),"")</f>
        <v>juillet</v>
      </c>
      <c r="L111" s="30">
        <f>TabListemouv[[#This Row],[Prix TTC]]*TabListemouv[[#This Row],[Conso]]</f>
        <v>0</v>
      </c>
      <c r="M111" s="30">
        <f>TabListemouv[[#This Row],[Prix Vente]]*TabListemouv[[#This Row],[Conso]]</f>
        <v>1.5</v>
      </c>
      <c r="N111" s="21">
        <f>TabListemouv[[#This Row],[Total Vente]]-TabListemouv[[#This Row],[Total Achat]]</f>
        <v>1.5</v>
      </c>
    </row>
    <row r="112" spans="2:14" x14ac:dyDescent="0.25">
      <c r="B112" s="29" t="s">
        <v>120</v>
      </c>
      <c r="C112" s="1" t="s">
        <v>31</v>
      </c>
      <c r="D112" s="32">
        <f>IFERROR(VLOOKUP(TabListemouv[[#This Row],[Produit]],TabListeProduits[],2,0),"")</f>
        <v>0</v>
      </c>
      <c r="E112" s="32">
        <f>IFERROR(VLOOKUP(TabListemouv[[#This Row],[Produit]],TabListeProduits[],3,0),"")</f>
        <v>1.5</v>
      </c>
      <c r="F112" s="1">
        <v>4</v>
      </c>
      <c r="G112" s="1">
        <v>3</v>
      </c>
      <c r="H112" s="1">
        <v>0</v>
      </c>
      <c r="I112" s="21">
        <f>IFERROR(TabListemouv[[#This Row],[Début]]-TabListemouv[[#This Row],[Fin]]+TabListemouv[[#This Row],[Sortie]],"")</f>
        <v>1</v>
      </c>
      <c r="J112" s="21">
        <f>IFERROR(YEAR(TabListemouv[[#This Row],[Date]]),"")</f>
        <v>2021</v>
      </c>
      <c r="K112" s="21" t="str">
        <f>IFERROR(TEXT(TabListemouv[[#This Row],[Date]],"mmmm"),"")</f>
        <v>juillet</v>
      </c>
      <c r="L112" s="30">
        <f>TabListemouv[[#This Row],[Prix TTC]]*TabListemouv[[#This Row],[Conso]]</f>
        <v>0</v>
      </c>
      <c r="M112" s="30">
        <f>TabListemouv[[#This Row],[Prix Vente]]*TabListemouv[[#This Row],[Conso]]</f>
        <v>1.5</v>
      </c>
      <c r="N112" s="21">
        <f>TabListemouv[[#This Row],[Total Vente]]-TabListemouv[[#This Row],[Total Achat]]</f>
        <v>1.5</v>
      </c>
    </row>
    <row r="113" spans="2:14" x14ac:dyDescent="0.25">
      <c r="B113" s="29" t="s">
        <v>120</v>
      </c>
      <c r="C113" s="1" t="s">
        <v>33</v>
      </c>
      <c r="D113" s="32">
        <f>IFERROR(VLOOKUP(TabListemouv[[#This Row],[Produit]],TabListeProduits[],2,0),"")</f>
        <v>0.22</v>
      </c>
      <c r="E113" s="32">
        <f>IFERROR(VLOOKUP(TabListemouv[[#This Row],[Produit]],TabListeProduits[],3,0),"")</f>
        <v>1.5</v>
      </c>
      <c r="F113" s="1">
        <v>3</v>
      </c>
      <c r="G113" s="1">
        <v>3</v>
      </c>
      <c r="H113" s="1">
        <v>0</v>
      </c>
      <c r="I113" s="21">
        <f>IFERROR(TabListemouv[[#This Row],[Début]]-TabListemouv[[#This Row],[Fin]]+TabListemouv[[#This Row],[Sortie]],"")</f>
        <v>0</v>
      </c>
      <c r="J113" s="21">
        <f>IFERROR(YEAR(TabListemouv[[#This Row],[Date]]),"")</f>
        <v>2021</v>
      </c>
      <c r="K113" s="21" t="str">
        <f>IFERROR(TEXT(TabListemouv[[#This Row],[Date]],"mmmm"),"")</f>
        <v>juillet</v>
      </c>
      <c r="L113" s="30">
        <f>TabListemouv[[#This Row],[Prix TTC]]*TabListemouv[[#This Row],[Conso]]</f>
        <v>0</v>
      </c>
      <c r="M113" s="30">
        <f>TabListemouv[[#This Row],[Prix Vente]]*TabListemouv[[#This Row],[Conso]]</f>
        <v>0</v>
      </c>
      <c r="N113" s="21">
        <f>TabListemouv[[#This Row],[Total Vente]]-TabListemouv[[#This Row],[Total Achat]]</f>
        <v>0</v>
      </c>
    </row>
    <row r="114" spans="2:14" hidden="1" x14ac:dyDescent="0.25">
      <c r="B114" s="29" t="s">
        <v>121</v>
      </c>
      <c r="C114" s="1" t="s">
        <v>10</v>
      </c>
      <c r="D114" s="32">
        <f>IFERROR(VLOOKUP(TabListemouv[[#This Row],[Produit]],TabListeProduits[],2,0),"")</f>
        <v>2.25</v>
      </c>
      <c r="E114" s="32">
        <f>IFERROR(VLOOKUP(TabListemouv[[#This Row],[Produit]],TabListeProduits[],3,0),"")</f>
        <v>3</v>
      </c>
      <c r="F114" s="1">
        <v>49</v>
      </c>
      <c r="G114" s="1" t="s">
        <v>122</v>
      </c>
      <c r="H114" s="1">
        <v>40</v>
      </c>
      <c r="I114" s="21">
        <f>IFERROR(TabListemouv[[#This Row],[Début]]-TabListemouv[[#This Row],[Fin]]+TabListemouv[[#This Row],[Sortie]],"")</f>
        <v>52.5</v>
      </c>
      <c r="J114" s="21">
        <f>IFERROR(YEAR(TabListemouv[[#This Row],[Date]]),"")</f>
        <v>2020</v>
      </c>
      <c r="K114" s="21" t="str">
        <f>IFERROR(TEXT(TabListemouv[[#This Row],[Date]],"mmmm"),"")</f>
        <v>juin</v>
      </c>
      <c r="L114" s="30">
        <f>TabListemouv[[#This Row],[Prix TTC]]*TabListemouv[[#This Row],[Conso]]</f>
        <v>118.125</v>
      </c>
      <c r="M114" s="30">
        <f>TabListemouv[[#This Row],[Prix Vente]]*TabListemouv[[#This Row],[Conso]]</f>
        <v>157.5</v>
      </c>
      <c r="N114" s="21">
        <f>TabListemouv[[#This Row],[Total Vente]]-TabListemouv[[#This Row],[Total Achat]]</f>
        <v>39.375</v>
      </c>
    </row>
    <row r="115" spans="2:14" hidden="1" x14ac:dyDescent="0.25">
      <c r="B115" s="29" t="s">
        <v>121</v>
      </c>
      <c r="C115" s="1" t="s">
        <v>12</v>
      </c>
      <c r="D115" s="32">
        <f>IFERROR(VLOOKUP(TabListemouv[[#This Row],[Produit]],TabListeProduits[],2,0),"")</f>
        <v>1.6</v>
      </c>
      <c r="E115" s="32">
        <f>IFERROR(VLOOKUP(TabListemouv[[#This Row],[Produit]],TabListeProduits[],3,0),"")</f>
        <v>3</v>
      </c>
      <c r="F115" s="1">
        <v>24</v>
      </c>
      <c r="G115" s="1">
        <v>4</v>
      </c>
      <c r="H115" s="1">
        <v>223</v>
      </c>
      <c r="I115" s="21">
        <f>IFERROR(TabListemouv[[#This Row],[Début]]-TabListemouv[[#This Row],[Fin]]+TabListemouv[[#This Row],[Sortie]],"")</f>
        <v>243</v>
      </c>
      <c r="J115" s="21">
        <f>IFERROR(YEAR(TabListemouv[[#This Row],[Date]]),"")</f>
        <v>2020</v>
      </c>
      <c r="K115" s="21" t="str">
        <f>IFERROR(TEXT(TabListemouv[[#This Row],[Date]],"mmmm"),"")</f>
        <v>juin</v>
      </c>
      <c r="L115" s="30">
        <f>TabListemouv[[#This Row],[Prix TTC]]*TabListemouv[[#This Row],[Conso]]</f>
        <v>388.8</v>
      </c>
      <c r="M115" s="30">
        <f>TabListemouv[[#This Row],[Prix Vente]]*TabListemouv[[#This Row],[Conso]]</f>
        <v>729</v>
      </c>
      <c r="N115" s="21">
        <f>TabListemouv[[#This Row],[Total Vente]]-TabListemouv[[#This Row],[Total Achat]]</f>
        <v>340.2</v>
      </c>
    </row>
    <row r="116" spans="2:14" hidden="1" x14ac:dyDescent="0.25">
      <c r="B116" s="29" t="s">
        <v>121</v>
      </c>
      <c r="C116" s="1" t="s">
        <v>8</v>
      </c>
      <c r="D116" s="32">
        <f>IFERROR(VLOOKUP(TabListemouv[[#This Row],[Produit]],TabListeProduits[],2,0),"")</f>
        <v>1.98</v>
      </c>
      <c r="E116" s="32">
        <f>IFERROR(VLOOKUP(TabListemouv[[#This Row],[Produit]],TabListeProduits[],3,0),"")</f>
        <v>3</v>
      </c>
      <c r="F116" s="1" t="s">
        <v>117</v>
      </c>
      <c r="G116" s="1">
        <v>39</v>
      </c>
      <c r="H116" s="1">
        <v>130</v>
      </c>
      <c r="I116" s="21">
        <f>IFERROR(TabListemouv[[#This Row],[Début]]-TabListemouv[[#This Row],[Fin]]+TabListemouv[[#This Row],[Sortie]],"")</f>
        <v>106.5</v>
      </c>
      <c r="J116" s="21">
        <f>IFERROR(YEAR(TabListemouv[[#This Row],[Date]]),"")</f>
        <v>2020</v>
      </c>
      <c r="K116" s="21" t="str">
        <f>IFERROR(TEXT(TabListemouv[[#This Row],[Date]],"mmmm"),"")</f>
        <v>juin</v>
      </c>
      <c r="L116" s="30">
        <f>TabListemouv[[#This Row],[Prix TTC]]*TabListemouv[[#This Row],[Conso]]</f>
        <v>210.87</v>
      </c>
      <c r="M116" s="30">
        <f>TabListemouv[[#This Row],[Prix Vente]]*TabListemouv[[#This Row],[Conso]]</f>
        <v>319.5</v>
      </c>
      <c r="N116" s="21">
        <f>TabListemouv[[#This Row],[Total Vente]]-TabListemouv[[#This Row],[Total Achat]]</f>
        <v>108.63</v>
      </c>
    </row>
    <row r="117" spans="2:14" hidden="1" x14ac:dyDescent="0.25">
      <c r="B117" s="29" t="s">
        <v>121</v>
      </c>
      <c r="C117" s="1" t="s">
        <v>4</v>
      </c>
      <c r="D117" s="32">
        <f>IFERROR(VLOOKUP(TabListemouv[[#This Row],[Produit]],TabListeProduits[],2,0),"")</f>
        <v>1.98</v>
      </c>
      <c r="E117" s="32">
        <f>IFERROR(VLOOKUP(TabListemouv[[#This Row],[Produit]],TabListeProduits[],3,0),"")</f>
        <v>3</v>
      </c>
      <c r="F117" s="1">
        <v>10</v>
      </c>
      <c r="G117" s="1" t="s">
        <v>96</v>
      </c>
      <c r="H117" s="1">
        <v>19</v>
      </c>
      <c r="I117" s="21">
        <f>IFERROR(TabListemouv[[#This Row],[Début]]-TabListemouv[[#This Row],[Fin]]+TabListemouv[[#This Row],[Sortie]],"")</f>
        <v>22.5</v>
      </c>
      <c r="J117" s="21">
        <f>IFERROR(YEAR(TabListemouv[[#This Row],[Date]]),"")</f>
        <v>2020</v>
      </c>
      <c r="K117" s="21" t="str">
        <f>IFERROR(TEXT(TabListemouv[[#This Row],[Date]],"mmmm"),"")</f>
        <v>juin</v>
      </c>
      <c r="L117" s="30">
        <f>TabListemouv[[#This Row],[Prix TTC]]*TabListemouv[[#This Row],[Conso]]</f>
        <v>44.55</v>
      </c>
      <c r="M117" s="30">
        <f>TabListemouv[[#This Row],[Prix Vente]]*TabListemouv[[#This Row],[Conso]]</f>
        <v>67.5</v>
      </c>
      <c r="N117" s="21">
        <f>TabListemouv[[#This Row],[Total Vente]]-TabListemouv[[#This Row],[Total Achat]]</f>
        <v>22.950000000000003</v>
      </c>
    </row>
    <row r="118" spans="2:14" hidden="1" x14ac:dyDescent="0.25">
      <c r="B118" s="29" t="s">
        <v>121</v>
      </c>
      <c r="C118" s="1" t="s">
        <v>14</v>
      </c>
      <c r="D118" s="32">
        <f>IFERROR(VLOOKUP(TabListemouv[[#This Row],[Produit]],TabListeProduits[],2,0),"")</f>
        <v>0.42</v>
      </c>
      <c r="E118" s="32">
        <f>IFERROR(VLOOKUP(TabListemouv[[#This Row],[Produit]],TabListeProduits[],3,0),"")</f>
        <v>1.5</v>
      </c>
      <c r="F118" s="1">
        <v>22</v>
      </c>
      <c r="G118" s="1">
        <v>27</v>
      </c>
      <c r="H118" s="1">
        <v>78</v>
      </c>
      <c r="I118" s="21">
        <f>IFERROR(TabListemouv[[#This Row],[Début]]-TabListemouv[[#This Row],[Fin]]+TabListemouv[[#This Row],[Sortie]],"")</f>
        <v>73</v>
      </c>
      <c r="J118" s="21">
        <f>IFERROR(YEAR(TabListemouv[[#This Row],[Date]]),"")</f>
        <v>2020</v>
      </c>
      <c r="K118" s="21" t="str">
        <f>IFERROR(TEXT(TabListemouv[[#This Row],[Date]],"mmmm"),"")</f>
        <v>juin</v>
      </c>
      <c r="L118" s="30">
        <f>TabListemouv[[#This Row],[Prix TTC]]*TabListemouv[[#This Row],[Conso]]</f>
        <v>30.66</v>
      </c>
      <c r="M118" s="30">
        <f>TabListemouv[[#This Row],[Prix Vente]]*TabListemouv[[#This Row],[Conso]]</f>
        <v>109.5</v>
      </c>
      <c r="N118" s="21">
        <f>TabListemouv[[#This Row],[Total Vente]]-TabListemouv[[#This Row],[Total Achat]]</f>
        <v>78.84</v>
      </c>
    </row>
    <row r="119" spans="2:14" hidden="1" x14ac:dyDescent="0.25">
      <c r="B119" s="29" t="s">
        <v>121</v>
      </c>
      <c r="C119" s="1" t="s">
        <v>16</v>
      </c>
      <c r="D119" s="32">
        <f>IFERROR(VLOOKUP(TabListemouv[[#This Row],[Produit]],TabListeProduits[],2,0),"")</f>
        <v>0.3</v>
      </c>
      <c r="E119" s="32">
        <f>IFERROR(VLOOKUP(TabListemouv[[#This Row],[Produit]],TabListeProduits[],3,0),"")</f>
        <v>1.5</v>
      </c>
      <c r="F119" s="1">
        <v>0</v>
      </c>
      <c r="G119" s="1">
        <v>11</v>
      </c>
      <c r="H119" s="1">
        <v>18</v>
      </c>
      <c r="I119" s="21">
        <f>IFERROR(TabListemouv[[#This Row],[Début]]-TabListemouv[[#This Row],[Fin]]+TabListemouv[[#This Row],[Sortie]],"")</f>
        <v>7</v>
      </c>
      <c r="J119" s="21">
        <f>IFERROR(YEAR(TabListemouv[[#This Row],[Date]]),"")</f>
        <v>2020</v>
      </c>
      <c r="K119" s="21" t="str">
        <f>IFERROR(TEXT(TabListemouv[[#This Row],[Date]],"mmmm"),"")</f>
        <v>juin</v>
      </c>
      <c r="L119" s="30">
        <f>TabListemouv[[#This Row],[Prix TTC]]*TabListemouv[[#This Row],[Conso]]</f>
        <v>2.1</v>
      </c>
      <c r="M119" s="30">
        <f>TabListemouv[[#This Row],[Prix Vente]]*TabListemouv[[#This Row],[Conso]]</f>
        <v>10.5</v>
      </c>
      <c r="N119" s="21">
        <f>TabListemouv[[#This Row],[Total Vente]]-TabListemouv[[#This Row],[Total Achat]]</f>
        <v>8.4</v>
      </c>
    </row>
    <row r="120" spans="2:14" hidden="1" x14ac:dyDescent="0.25">
      <c r="B120" s="29" t="s">
        <v>121</v>
      </c>
      <c r="C120" s="1" t="s">
        <v>18</v>
      </c>
      <c r="D120" s="32">
        <f>IFERROR(VLOOKUP(TabListemouv[[#This Row],[Produit]],TabListeProduits[],2,0),"")</f>
        <v>0.53</v>
      </c>
      <c r="E120" s="32">
        <f>IFERROR(VLOOKUP(TabListemouv[[#This Row],[Produit]],TabListeProduits[],3,0),"")</f>
        <v>1.5</v>
      </c>
      <c r="F120" s="1">
        <v>0</v>
      </c>
      <c r="G120" s="1">
        <v>12</v>
      </c>
      <c r="H120" s="1">
        <v>12</v>
      </c>
      <c r="I120" s="21">
        <f>IFERROR(TabListemouv[[#This Row],[Début]]-TabListemouv[[#This Row],[Fin]]+TabListemouv[[#This Row],[Sortie]],"")</f>
        <v>0</v>
      </c>
      <c r="J120" s="21">
        <f>IFERROR(YEAR(TabListemouv[[#This Row],[Date]]),"")</f>
        <v>2020</v>
      </c>
      <c r="K120" s="21" t="str">
        <f>IFERROR(TEXT(TabListemouv[[#This Row],[Date]],"mmmm"),"")</f>
        <v>juin</v>
      </c>
      <c r="L120" s="30">
        <f>TabListemouv[[#This Row],[Prix TTC]]*TabListemouv[[#This Row],[Conso]]</f>
        <v>0</v>
      </c>
      <c r="M120" s="30">
        <f>TabListemouv[[#This Row],[Prix Vente]]*TabListemouv[[#This Row],[Conso]]</f>
        <v>0</v>
      </c>
      <c r="N120" s="21">
        <f>TabListemouv[[#This Row],[Total Vente]]-TabListemouv[[#This Row],[Total Achat]]</f>
        <v>0</v>
      </c>
    </row>
    <row r="121" spans="2:14" hidden="1" x14ac:dyDescent="0.25">
      <c r="B121" s="29" t="s">
        <v>121</v>
      </c>
      <c r="C121" s="1" t="s">
        <v>20</v>
      </c>
      <c r="D121" s="32">
        <f>IFERROR(VLOOKUP(TabListemouv[[#This Row],[Produit]],TabListeProduits[],2,0),"")</f>
        <v>0.36</v>
      </c>
      <c r="E121" s="32">
        <f>IFERROR(VLOOKUP(TabListemouv[[#This Row],[Produit]],TabListeProduits[],3,0),"")</f>
        <v>1.5</v>
      </c>
      <c r="F121" s="1">
        <v>0</v>
      </c>
      <c r="G121" s="1">
        <v>12</v>
      </c>
      <c r="H121" s="1">
        <v>12</v>
      </c>
      <c r="I121" s="21">
        <f>IFERROR(TabListemouv[[#This Row],[Début]]-TabListemouv[[#This Row],[Fin]]+TabListemouv[[#This Row],[Sortie]],"")</f>
        <v>0</v>
      </c>
      <c r="J121" s="21">
        <f>IFERROR(YEAR(TabListemouv[[#This Row],[Date]]),"")</f>
        <v>2020</v>
      </c>
      <c r="K121" s="21" t="str">
        <f>IFERROR(TEXT(TabListemouv[[#This Row],[Date]],"mmmm"),"")</f>
        <v>juin</v>
      </c>
      <c r="L121" s="30">
        <f>TabListemouv[[#This Row],[Prix TTC]]*TabListemouv[[#This Row],[Conso]]</f>
        <v>0</v>
      </c>
      <c r="M121" s="30">
        <f>TabListemouv[[#This Row],[Prix Vente]]*TabListemouv[[#This Row],[Conso]]</f>
        <v>0</v>
      </c>
      <c r="N121" s="21">
        <f>TabListemouv[[#This Row],[Total Vente]]-TabListemouv[[#This Row],[Total Achat]]</f>
        <v>0</v>
      </c>
    </row>
    <row r="122" spans="2:14" hidden="1" x14ac:dyDescent="0.25">
      <c r="B122" s="29" t="s">
        <v>121</v>
      </c>
      <c r="C122" s="1" t="s">
        <v>22</v>
      </c>
      <c r="D122" s="32">
        <f>IFERROR(VLOOKUP(TabListemouv[[#This Row],[Produit]],TabListeProduits[],2,0),"")</f>
        <v>0.13</v>
      </c>
      <c r="E122" s="32">
        <f>IFERROR(VLOOKUP(TabListemouv[[#This Row],[Produit]],TabListeProduits[],3,0),"")</f>
        <v>0.6</v>
      </c>
      <c r="F122" s="1">
        <v>10</v>
      </c>
      <c r="G122" s="1">
        <v>16</v>
      </c>
      <c r="H122" s="1">
        <v>12</v>
      </c>
      <c r="I122" s="21">
        <f>IFERROR(TabListemouv[[#This Row],[Début]]-TabListemouv[[#This Row],[Fin]]+TabListemouv[[#This Row],[Sortie]],"")</f>
        <v>6</v>
      </c>
      <c r="J122" s="21">
        <f>IFERROR(YEAR(TabListemouv[[#This Row],[Date]]),"")</f>
        <v>2020</v>
      </c>
      <c r="K122" s="21" t="str">
        <f>IFERROR(TEXT(TabListemouv[[#This Row],[Date]],"mmmm"),"")</f>
        <v>juin</v>
      </c>
      <c r="L122" s="30">
        <f>TabListemouv[[#This Row],[Prix TTC]]*TabListemouv[[#This Row],[Conso]]</f>
        <v>0.78</v>
      </c>
      <c r="M122" s="30">
        <f>TabListemouv[[#This Row],[Prix Vente]]*TabListemouv[[#This Row],[Conso]]</f>
        <v>3.5999999999999996</v>
      </c>
      <c r="N122" s="21">
        <f>TabListemouv[[#This Row],[Total Vente]]-TabListemouv[[#This Row],[Total Achat]]</f>
        <v>2.8199999999999994</v>
      </c>
    </row>
    <row r="123" spans="2:14" hidden="1" x14ac:dyDescent="0.25">
      <c r="B123" s="29" t="s">
        <v>121</v>
      </c>
      <c r="C123" s="1" t="s">
        <v>25</v>
      </c>
      <c r="D123" s="32">
        <f>IFERROR(VLOOKUP(TabListemouv[[#This Row],[Produit]],TabListeProduits[],2,0),"")</f>
        <v>8.34</v>
      </c>
      <c r="E123" s="32">
        <f>IFERROR(VLOOKUP(TabListemouv[[#This Row],[Produit]],TabListeProduits[],3,0),"")</f>
        <v>9</v>
      </c>
      <c r="F123" s="1">
        <v>0</v>
      </c>
      <c r="G123" s="1">
        <v>13</v>
      </c>
      <c r="H123" s="1">
        <v>14</v>
      </c>
      <c r="I123" s="21">
        <f>IFERROR(TabListemouv[[#This Row],[Début]]-TabListemouv[[#This Row],[Fin]]+TabListemouv[[#This Row],[Sortie]],"")</f>
        <v>1</v>
      </c>
      <c r="J123" s="21">
        <f>IFERROR(YEAR(TabListemouv[[#This Row],[Date]]),"")</f>
        <v>2020</v>
      </c>
      <c r="K123" s="21" t="str">
        <f>IFERROR(TEXT(TabListemouv[[#This Row],[Date]],"mmmm"),"")</f>
        <v>juin</v>
      </c>
      <c r="L123" s="30">
        <f>TabListemouv[[#This Row],[Prix TTC]]*TabListemouv[[#This Row],[Conso]]</f>
        <v>8.34</v>
      </c>
      <c r="M123" s="30">
        <f>TabListemouv[[#This Row],[Prix Vente]]*TabListemouv[[#This Row],[Conso]]</f>
        <v>9</v>
      </c>
      <c r="N123" s="21">
        <f>TabListemouv[[#This Row],[Total Vente]]-TabListemouv[[#This Row],[Total Achat]]</f>
        <v>0.66000000000000014</v>
      </c>
    </row>
    <row r="124" spans="2:14" hidden="1" x14ac:dyDescent="0.25">
      <c r="B124" s="29" t="s">
        <v>121</v>
      </c>
      <c r="C124" s="1" t="s">
        <v>27</v>
      </c>
      <c r="D124" s="32">
        <f>IFERROR(VLOOKUP(TabListemouv[[#This Row],[Produit]],TabListeProduits[],2,0),"")</f>
        <v>0.5</v>
      </c>
      <c r="E124" s="32">
        <f>IFERROR(VLOOKUP(TabListemouv[[#This Row],[Produit]],TabListeProduits[],3,0),"")</f>
        <v>1.5</v>
      </c>
      <c r="F124" s="1">
        <v>0</v>
      </c>
      <c r="G124" s="1">
        <v>11</v>
      </c>
      <c r="H124" s="1">
        <v>18</v>
      </c>
      <c r="I124" s="21">
        <f>IFERROR(TabListemouv[[#This Row],[Début]]-TabListemouv[[#This Row],[Fin]]+TabListemouv[[#This Row],[Sortie]],"")</f>
        <v>7</v>
      </c>
      <c r="J124" s="21">
        <f>IFERROR(YEAR(TabListemouv[[#This Row],[Date]]),"")</f>
        <v>2020</v>
      </c>
      <c r="K124" s="21" t="str">
        <f>IFERROR(TEXT(TabListemouv[[#This Row],[Date]],"mmmm"),"")</f>
        <v>juin</v>
      </c>
      <c r="L124" s="30">
        <f>TabListemouv[[#This Row],[Prix TTC]]*TabListemouv[[#This Row],[Conso]]</f>
        <v>3.5</v>
      </c>
      <c r="M124" s="30">
        <f>TabListemouv[[#This Row],[Prix Vente]]*TabListemouv[[#This Row],[Conso]]</f>
        <v>10.5</v>
      </c>
      <c r="N124" s="21">
        <f>TabListemouv[[#This Row],[Total Vente]]-TabListemouv[[#This Row],[Total Achat]]</f>
        <v>7</v>
      </c>
    </row>
    <row r="125" spans="2:14" hidden="1" x14ac:dyDescent="0.25">
      <c r="B125" s="29" t="s">
        <v>121</v>
      </c>
      <c r="C125" s="1" t="s">
        <v>29</v>
      </c>
      <c r="D125" s="32">
        <f>IFERROR(VLOOKUP(TabListemouv[[#This Row],[Produit]],TabListeProduits[],2,0),"")</f>
        <v>0</v>
      </c>
      <c r="E125" s="32">
        <f>IFERROR(VLOOKUP(TabListemouv[[#This Row],[Produit]],TabListeProduits[],3,0),"")</f>
        <v>0.5</v>
      </c>
      <c r="F125" s="1">
        <v>20</v>
      </c>
      <c r="G125" s="1">
        <v>20</v>
      </c>
      <c r="H125" s="1">
        <v>0</v>
      </c>
      <c r="I125" s="21">
        <f>IFERROR(TabListemouv[[#This Row],[Début]]-TabListemouv[[#This Row],[Fin]]+TabListemouv[[#This Row],[Sortie]],"")</f>
        <v>0</v>
      </c>
      <c r="J125" s="21">
        <f>IFERROR(YEAR(TabListemouv[[#This Row],[Date]]),"")</f>
        <v>2020</v>
      </c>
      <c r="K125" s="21" t="str">
        <f>IFERROR(TEXT(TabListemouv[[#This Row],[Date]],"mmmm"),"")</f>
        <v>juin</v>
      </c>
      <c r="L125" s="30">
        <f>TabListemouv[[#This Row],[Prix TTC]]*TabListemouv[[#This Row],[Conso]]</f>
        <v>0</v>
      </c>
      <c r="M125" s="30">
        <f>TabListemouv[[#This Row],[Prix Vente]]*TabListemouv[[#This Row],[Conso]]</f>
        <v>0</v>
      </c>
      <c r="N125" s="21">
        <f>TabListemouv[[#This Row],[Total Vente]]-TabListemouv[[#This Row],[Total Achat]]</f>
        <v>0</v>
      </c>
    </row>
    <row r="126" spans="2:14" hidden="1" x14ac:dyDescent="0.25">
      <c r="B126" s="29" t="s">
        <v>121</v>
      </c>
      <c r="C126" s="1" t="s">
        <v>30</v>
      </c>
      <c r="D126" s="32">
        <f>IFERROR(VLOOKUP(TabListemouv[[#This Row],[Produit]],TabListeProduits[],2,0),"")</f>
        <v>0.18</v>
      </c>
      <c r="E126" s="32">
        <f>IFERROR(VLOOKUP(TabListemouv[[#This Row],[Produit]],TabListeProduits[],3,0),"")</f>
        <v>1</v>
      </c>
      <c r="F126" s="1">
        <v>1</v>
      </c>
      <c r="G126" s="1">
        <v>0</v>
      </c>
      <c r="H126" s="1">
        <v>0</v>
      </c>
      <c r="I126" s="21">
        <f>IFERROR(TabListemouv[[#This Row],[Début]]-TabListemouv[[#This Row],[Fin]]+TabListemouv[[#This Row],[Sortie]],"")</f>
        <v>1</v>
      </c>
      <c r="J126" s="21">
        <f>IFERROR(YEAR(TabListemouv[[#This Row],[Date]]),"")</f>
        <v>2020</v>
      </c>
      <c r="K126" s="21" t="str">
        <f>IFERROR(TEXT(TabListemouv[[#This Row],[Date]],"mmmm"),"")</f>
        <v>juin</v>
      </c>
      <c r="L126" s="30">
        <f>TabListemouv[[#This Row],[Prix TTC]]*TabListemouv[[#This Row],[Conso]]</f>
        <v>0.18</v>
      </c>
      <c r="M126" s="30">
        <f>TabListemouv[[#This Row],[Prix Vente]]*TabListemouv[[#This Row],[Conso]]</f>
        <v>1</v>
      </c>
      <c r="N126" s="21">
        <f>TabListemouv[[#This Row],[Total Vente]]-TabListemouv[[#This Row],[Total Achat]]</f>
        <v>0.82000000000000006</v>
      </c>
    </row>
    <row r="127" spans="2:14" hidden="1" x14ac:dyDescent="0.25">
      <c r="B127" s="29" t="s">
        <v>121</v>
      </c>
      <c r="C127" s="1" t="s">
        <v>33</v>
      </c>
      <c r="D127" s="32">
        <f>IFERROR(VLOOKUP(TabListemouv[[#This Row],[Produit]],TabListeProduits[],2,0),"")</f>
        <v>0.22</v>
      </c>
      <c r="E127" s="32">
        <f>IFERROR(VLOOKUP(TabListemouv[[#This Row],[Produit]],TabListeProduits[],3,0),"")</f>
        <v>1.5</v>
      </c>
      <c r="F127" s="1">
        <v>9</v>
      </c>
      <c r="G127" s="1">
        <v>7</v>
      </c>
      <c r="H127" s="1">
        <v>0</v>
      </c>
      <c r="I127" s="21">
        <f>IFERROR(TabListemouv[[#This Row],[Début]]-TabListemouv[[#This Row],[Fin]]+TabListemouv[[#This Row],[Sortie]],"")</f>
        <v>2</v>
      </c>
      <c r="J127" s="21">
        <f>IFERROR(YEAR(TabListemouv[[#This Row],[Date]]),"")</f>
        <v>2020</v>
      </c>
      <c r="K127" s="21" t="str">
        <f>IFERROR(TEXT(TabListemouv[[#This Row],[Date]],"mmmm"),"")</f>
        <v>juin</v>
      </c>
      <c r="L127" s="30">
        <f>TabListemouv[[#This Row],[Prix TTC]]*TabListemouv[[#This Row],[Conso]]</f>
        <v>0.44</v>
      </c>
      <c r="M127" s="30">
        <f>TabListemouv[[#This Row],[Prix Vente]]*TabListemouv[[#This Row],[Conso]]</f>
        <v>3</v>
      </c>
      <c r="N127" s="21">
        <f>TabListemouv[[#This Row],[Total Vente]]-TabListemouv[[#This Row],[Total Achat]]</f>
        <v>2.56</v>
      </c>
    </row>
  </sheetData>
  <dataValidations count="1">
    <dataValidation type="list" allowBlank="1" showInputMessage="1" showErrorMessage="1" sqref="C6:C127" xr:uid="{00000000-0002-0000-0500-000000000000}">
      <formula1>boissons</formula1>
    </dataValidation>
  </dataValidation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5124" r:id="rId3" name="BtnInventaireBar">
          <controlPr defaultSize="0" autoLine="0" r:id="rId4">
            <anchor moveWithCells="1">
              <from>
                <xdr:col>8</xdr:col>
                <xdr:colOff>666750</xdr:colOff>
                <xdr:row>1</xdr:row>
                <xdr:rowOff>9525</xdr:rowOff>
              </from>
              <to>
                <xdr:col>10</xdr:col>
                <xdr:colOff>542925</xdr:colOff>
                <xdr:row>2</xdr:row>
                <xdr:rowOff>114300</xdr:rowOff>
              </to>
            </anchor>
          </controlPr>
        </control>
      </mc:Choice>
      <mc:Fallback>
        <control shapeId="5124" r:id="rId3" name="BtnInventaireBar"/>
      </mc:Fallback>
    </mc:AlternateContent>
  </controls>
  <tableParts count="1">
    <tablePart r:id="rId5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rId6"/>
      </x14:slicerList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7"/>
  <dimension ref="A1:G19"/>
  <sheetViews>
    <sheetView workbookViewId="0"/>
  </sheetViews>
  <sheetFormatPr baseColWidth="10" defaultRowHeight="15" x14ac:dyDescent="0.25"/>
  <cols>
    <col min="1" max="1" width="21" bestFit="1" customWidth="1"/>
    <col min="2" max="2" width="5" bestFit="1" customWidth="1"/>
    <col min="3" max="3" width="9.140625" bestFit="1" customWidth="1"/>
    <col min="4" max="4" width="5" bestFit="1" customWidth="1"/>
    <col min="5" max="5" width="9.28515625" bestFit="1" customWidth="1"/>
    <col min="6" max="6" width="6.28515625" bestFit="1" customWidth="1"/>
    <col min="7" max="7" width="11.140625" bestFit="1" customWidth="1"/>
    <col min="8" max="8" width="5" bestFit="1" customWidth="1"/>
    <col min="9" max="9" width="9.7109375" bestFit="1" customWidth="1"/>
    <col min="10" max="10" width="5" bestFit="1" customWidth="1"/>
    <col min="11" max="11" width="9.140625" bestFit="1" customWidth="1"/>
    <col min="12" max="12" width="6" bestFit="1" customWidth="1"/>
    <col min="13" max="13" width="9.85546875" bestFit="1" customWidth="1"/>
    <col min="14" max="14" width="6" bestFit="1" customWidth="1"/>
    <col min="15" max="15" width="9.28515625" bestFit="1" customWidth="1"/>
  </cols>
  <sheetData>
    <row r="1" spans="1:7" s="23" customFormat="1" ht="49.5" customHeight="1" x14ac:dyDescent="0.25"/>
    <row r="3" spans="1:7" x14ac:dyDescent="0.25">
      <c r="A3" s="19" t="s">
        <v>103</v>
      </c>
      <c r="B3" s="19" t="s">
        <v>86</v>
      </c>
    </row>
    <row r="4" spans="1:7" x14ac:dyDescent="0.25">
      <c r="B4" t="s">
        <v>123</v>
      </c>
      <c r="C4" t="s">
        <v>124</v>
      </c>
      <c r="D4" t="s">
        <v>125</v>
      </c>
      <c r="E4" t="s">
        <v>126</v>
      </c>
      <c r="F4" t="s">
        <v>127</v>
      </c>
      <c r="G4" t="s">
        <v>128</v>
      </c>
    </row>
    <row r="5" spans="1:7" x14ac:dyDescent="0.25">
      <c r="A5" s="19" t="s">
        <v>78</v>
      </c>
      <c r="B5">
        <v>2021</v>
      </c>
      <c r="D5">
        <v>2021</v>
      </c>
      <c r="F5">
        <v>2021</v>
      </c>
    </row>
    <row r="6" spans="1:7" x14ac:dyDescent="0.25">
      <c r="A6" s="20" t="s">
        <v>14</v>
      </c>
      <c r="B6" s="28">
        <v>23</v>
      </c>
      <c r="C6" s="28">
        <v>23</v>
      </c>
      <c r="D6" s="28">
        <v>132</v>
      </c>
      <c r="E6" s="28">
        <v>132</v>
      </c>
      <c r="F6" s="28">
        <v>66</v>
      </c>
      <c r="G6" s="28">
        <v>66</v>
      </c>
    </row>
    <row r="7" spans="1:7" x14ac:dyDescent="0.25">
      <c r="A7" s="20" t="s">
        <v>4</v>
      </c>
      <c r="B7" s="28">
        <v>1.5</v>
      </c>
      <c r="C7" s="28">
        <v>1.5</v>
      </c>
      <c r="D7" s="28">
        <v>6</v>
      </c>
      <c r="E7" s="28">
        <v>6</v>
      </c>
      <c r="F7" s="28">
        <v>6</v>
      </c>
      <c r="G7" s="28">
        <v>6</v>
      </c>
    </row>
    <row r="8" spans="1:7" x14ac:dyDescent="0.25">
      <c r="A8" s="20" t="s">
        <v>29</v>
      </c>
      <c r="B8" s="28">
        <v>19</v>
      </c>
      <c r="C8" s="28">
        <v>19</v>
      </c>
      <c r="D8" s="28">
        <v>0</v>
      </c>
      <c r="E8" s="28">
        <v>0</v>
      </c>
      <c r="F8" s="28">
        <v>3</v>
      </c>
      <c r="G8" s="28">
        <v>3</v>
      </c>
    </row>
    <row r="9" spans="1:7" x14ac:dyDescent="0.25">
      <c r="A9" s="20" t="s">
        <v>31</v>
      </c>
      <c r="B9" s="28"/>
      <c r="C9" s="28"/>
      <c r="D9" s="28">
        <v>1</v>
      </c>
      <c r="E9" s="28">
        <v>1</v>
      </c>
      <c r="F9" s="28">
        <v>1</v>
      </c>
      <c r="G9" s="28">
        <v>1</v>
      </c>
    </row>
    <row r="10" spans="1:7" x14ac:dyDescent="0.25">
      <c r="A10" s="20" t="s">
        <v>20</v>
      </c>
      <c r="B10" s="28">
        <v>0</v>
      </c>
      <c r="C10" s="28">
        <v>0</v>
      </c>
      <c r="D10" s="28">
        <v>5</v>
      </c>
      <c r="E10" s="28">
        <v>5</v>
      </c>
      <c r="F10" s="28">
        <v>5</v>
      </c>
      <c r="G10" s="28">
        <v>5</v>
      </c>
    </row>
    <row r="11" spans="1:7" x14ac:dyDescent="0.25">
      <c r="A11" s="20" t="s">
        <v>22</v>
      </c>
      <c r="B11" s="28">
        <v>1</v>
      </c>
      <c r="C11" s="28">
        <v>1</v>
      </c>
      <c r="D11" s="28">
        <v>16</v>
      </c>
      <c r="E11" s="28">
        <v>16</v>
      </c>
      <c r="F11" s="28">
        <v>24</v>
      </c>
      <c r="G11" s="28">
        <v>24</v>
      </c>
    </row>
    <row r="12" spans="1:7" x14ac:dyDescent="0.25">
      <c r="A12" s="20" t="s">
        <v>25</v>
      </c>
      <c r="B12" s="28">
        <v>1</v>
      </c>
      <c r="C12" s="28">
        <v>1</v>
      </c>
      <c r="D12" s="28">
        <v>4</v>
      </c>
      <c r="E12" s="28">
        <v>4</v>
      </c>
      <c r="F12" s="28">
        <v>2</v>
      </c>
      <c r="G12" s="28">
        <v>2</v>
      </c>
    </row>
    <row r="13" spans="1:7" x14ac:dyDescent="0.25">
      <c r="A13" s="20" t="s">
        <v>27</v>
      </c>
      <c r="B13" s="28">
        <v>6</v>
      </c>
      <c r="C13" s="28">
        <v>6</v>
      </c>
      <c r="D13" s="28">
        <v>5</v>
      </c>
      <c r="E13" s="28">
        <v>5</v>
      </c>
      <c r="F13" s="28">
        <v>3</v>
      </c>
      <c r="G13" s="28">
        <v>3</v>
      </c>
    </row>
    <row r="14" spans="1:7" x14ac:dyDescent="0.25">
      <c r="A14" s="20" t="s">
        <v>33</v>
      </c>
      <c r="B14" s="28"/>
      <c r="C14" s="28"/>
      <c r="D14" s="28">
        <v>3</v>
      </c>
      <c r="E14" s="28">
        <v>3</v>
      </c>
      <c r="F14" s="28">
        <v>0</v>
      </c>
      <c r="G14" s="28">
        <v>0</v>
      </c>
    </row>
    <row r="15" spans="1:7" x14ac:dyDescent="0.25">
      <c r="A15" s="20" t="s">
        <v>16</v>
      </c>
      <c r="B15" s="28">
        <v>18</v>
      </c>
      <c r="C15" s="28">
        <v>18</v>
      </c>
      <c r="D15" s="28">
        <v>6</v>
      </c>
      <c r="E15" s="28">
        <v>6</v>
      </c>
      <c r="F15" s="28">
        <v>27</v>
      </c>
      <c r="G15" s="28">
        <v>27</v>
      </c>
    </row>
    <row r="16" spans="1:7" x14ac:dyDescent="0.25">
      <c r="A16" s="20" t="s">
        <v>8</v>
      </c>
      <c r="B16" s="28">
        <v>49.5</v>
      </c>
      <c r="C16" s="28">
        <v>49.5</v>
      </c>
      <c r="D16" s="28">
        <v>83.5</v>
      </c>
      <c r="E16" s="28">
        <v>83.5</v>
      </c>
      <c r="F16" s="28">
        <v>152.5</v>
      </c>
      <c r="G16" s="28">
        <v>152.5</v>
      </c>
    </row>
    <row r="17" spans="1:7" x14ac:dyDescent="0.25">
      <c r="A17" s="20" t="s">
        <v>12</v>
      </c>
      <c r="B17" s="28">
        <v>93</v>
      </c>
      <c r="C17" s="28">
        <v>93</v>
      </c>
      <c r="D17" s="28">
        <v>310</v>
      </c>
      <c r="E17" s="28">
        <v>310</v>
      </c>
      <c r="F17" s="28">
        <v>200</v>
      </c>
      <c r="G17" s="28">
        <v>200</v>
      </c>
    </row>
    <row r="18" spans="1:7" x14ac:dyDescent="0.25">
      <c r="A18" s="20" t="s">
        <v>10</v>
      </c>
      <c r="B18" s="28">
        <v>16.5</v>
      </c>
      <c r="C18" s="28">
        <v>16.5</v>
      </c>
      <c r="D18" s="28">
        <v>18</v>
      </c>
      <c r="E18" s="28">
        <v>18</v>
      </c>
      <c r="F18" s="28">
        <v>11.5</v>
      </c>
      <c r="G18" s="28">
        <v>11.5</v>
      </c>
    </row>
    <row r="19" spans="1:7" x14ac:dyDescent="0.25">
      <c r="A19" s="20" t="s">
        <v>18</v>
      </c>
      <c r="B19" s="28">
        <v>11</v>
      </c>
      <c r="C19" s="28">
        <v>11</v>
      </c>
      <c r="D19" s="28"/>
      <c r="E19" s="28"/>
      <c r="F19" s="28"/>
      <c r="G19" s="28"/>
    </row>
  </sheetData>
  <pageMargins left="0.7" right="0.7" top="0.75" bottom="0.75" header="0.3" footer="0.3"/>
  <pageSetup paperSize="9" orientation="portrait" horizontalDpi="0" verticalDpi="0" r:id="rId2"/>
  <drawing r:id="rId3"/>
  <extLst>
    <ext xmlns:x14="http://schemas.microsoft.com/office/spreadsheetml/2009/9/main" uri="{A8765BA9-456A-4dab-B4F3-ACF838C121DE}">
      <x14:slicerList>
        <x14:slicer r:id="rId4"/>
      </x14:slicerList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8"/>
  <dimension ref="C1:J19"/>
  <sheetViews>
    <sheetView showGridLines="0" showRowColHeaders="0" workbookViewId="0">
      <selection activeCell="M22" sqref="M22"/>
    </sheetView>
  </sheetViews>
  <sheetFormatPr baseColWidth="10" defaultRowHeight="15" x14ac:dyDescent="0.25"/>
  <sheetData>
    <row r="1" spans="3:10" s="23" customFormat="1" ht="29.25" customHeight="1" x14ac:dyDescent="0.25"/>
    <row r="3" spans="3:10" x14ac:dyDescent="0.25">
      <c r="C3" s="39"/>
      <c r="D3" s="39"/>
      <c r="E3" s="39"/>
      <c r="H3" s="40"/>
      <c r="I3" s="40"/>
      <c r="J3" s="40"/>
    </row>
    <row r="4" spans="3:10" x14ac:dyDescent="0.25">
      <c r="C4" s="39"/>
      <c r="D4" s="39"/>
      <c r="E4" s="39"/>
      <c r="H4" s="40"/>
      <c r="I4" s="40"/>
      <c r="J4" s="40"/>
    </row>
    <row r="5" spans="3:10" x14ac:dyDescent="0.25">
      <c r="C5" s="37"/>
      <c r="D5" s="37"/>
      <c r="E5" s="37"/>
      <c r="H5" s="38"/>
      <c r="I5" s="38"/>
      <c r="J5" s="38"/>
    </row>
    <row r="6" spans="3:10" x14ac:dyDescent="0.25">
      <c r="C6" s="37"/>
      <c r="D6" s="37"/>
      <c r="E6" s="37"/>
      <c r="H6" s="38"/>
      <c r="I6" s="38"/>
      <c r="J6" s="38"/>
    </row>
    <row r="7" spans="3:10" x14ac:dyDescent="0.25">
      <c r="C7" s="37"/>
      <c r="D7" s="37"/>
      <c r="E7" s="37"/>
      <c r="H7" s="38"/>
      <c r="I7" s="38"/>
      <c r="J7" s="38"/>
    </row>
    <row r="8" spans="3:10" x14ac:dyDescent="0.25">
      <c r="C8" s="37"/>
      <c r="D8" s="37"/>
      <c r="E8" s="37"/>
      <c r="H8" s="38"/>
      <c r="I8" s="38"/>
      <c r="J8" s="38"/>
    </row>
    <row r="9" spans="3:10" x14ac:dyDescent="0.25">
      <c r="C9" s="37"/>
      <c r="D9" s="37"/>
      <c r="E9" s="37"/>
      <c r="H9" s="38"/>
      <c r="I9" s="38"/>
      <c r="J9" s="38"/>
    </row>
    <row r="10" spans="3:10" x14ac:dyDescent="0.25">
      <c r="C10" s="37"/>
      <c r="D10" s="37"/>
      <c r="E10" s="37"/>
      <c r="H10" s="38"/>
      <c r="I10" s="38"/>
      <c r="J10" s="38"/>
    </row>
    <row r="11" spans="3:10" x14ac:dyDescent="0.25">
      <c r="C11" s="37"/>
      <c r="D11" s="37"/>
      <c r="E11" s="37"/>
      <c r="H11" s="38"/>
      <c r="I11" s="38"/>
      <c r="J11" s="38"/>
    </row>
    <row r="12" spans="3:10" x14ac:dyDescent="0.25">
      <c r="C12" s="37"/>
      <c r="D12" s="37"/>
      <c r="E12" s="37"/>
      <c r="H12" s="38"/>
      <c r="I12" s="38"/>
      <c r="J12" s="38"/>
    </row>
    <row r="13" spans="3:10" x14ac:dyDescent="0.25">
      <c r="C13" s="37"/>
      <c r="D13" s="37"/>
      <c r="E13" s="37"/>
      <c r="H13" s="38"/>
      <c r="I13" s="38"/>
      <c r="J13" s="38"/>
    </row>
    <row r="14" spans="3:10" x14ac:dyDescent="0.25">
      <c r="C14" s="37"/>
      <c r="D14" s="37"/>
      <c r="E14" s="37"/>
      <c r="H14" s="38"/>
      <c r="I14" s="38"/>
      <c r="J14" s="38"/>
    </row>
    <row r="15" spans="3:10" x14ac:dyDescent="0.25">
      <c r="C15" s="37"/>
      <c r="D15" s="37"/>
      <c r="E15" s="37"/>
      <c r="H15" s="38"/>
      <c r="I15" s="38"/>
      <c r="J15" s="38"/>
    </row>
    <row r="16" spans="3:10" x14ac:dyDescent="0.25">
      <c r="C16" s="37"/>
      <c r="D16" s="37"/>
      <c r="E16" s="37"/>
      <c r="H16" s="38"/>
      <c r="I16" s="38"/>
      <c r="J16" s="38"/>
    </row>
    <row r="17" spans="3:10" x14ac:dyDescent="0.25">
      <c r="C17" s="37"/>
      <c r="D17" s="37"/>
      <c r="E17" s="37"/>
      <c r="H17" s="38"/>
      <c r="I17" s="38"/>
      <c r="J17" s="38"/>
    </row>
    <row r="18" spans="3:10" x14ac:dyDescent="0.25">
      <c r="C18" s="37"/>
      <c r="D18" s="37"/>
      <c r="E18" s="37"/>
      <c r="H18" s="38"/>
      <c r="I18" s="38"/>
      <c r="J18" s="38"/>
    </row>
    <row r="19" spans="3:10" x14ac:dyDescent="0.25">
      <c r="C19" s="37"/>
      <c r="D19" s="37"/>
      <c r="E19" s="37"/>
      <c r="H19" s="38"/>
      <c r="I19" s="38"/>
      <c r="J19" s="38"/>
    </row>
  </sheetData>
  <mergeCells count="4">
    <mergeCell ref="C5:E19"/>
    <mergeCell ref="H5:J19"/>
    <mergeCell ref="C3:E4"/>
    <mergeCell ref="H3:J4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3</vt:i4>
      </vt:variant>
    </vt:vector>
  </HeadingPairs>
  <TitlesOfParts>
    <vt:vector size="12" baseType="lpstr">
      <vt:lpstr>Accueil</vt:lpstr>
      <vt:lpstr>stock</vt:lpstr>
      <vt:lpstr>Mouvements</vt:lpstr>
      <vt:lpstr>TcdMouvements</vt:lpstr>
      <vt:lpstr>Listes</vt:lpstr>
      <vt:lpstr>Config</vt:lpstr>
      <vt:lpstr>Conso</vt:lpstr>
      <vt:lpstr>TcdConso</vt:lpstr>
      <vt:lpstr>Accueil2</vt:lpstr>
      <vt:lpstr>boissons</vt:lpstr>
      <vt:lpstr>equipes</vt:lpstr>
      <vt:lpstr>Mouvement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 Pidou</cp:lastModifiedBy>
  <dcterms:created xsi:type="dcterms:W3CDTF">2019-01-29T06:27:11Z</dcterms:created>
  <dcterms:modified xsi:type="dcterms:W3CDTF">2021-09-08T15:06:30Z</dcterms:modified>
</cp:coreProperties>
</file>