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tables/table20.xml" ContentType="application/vnd.openxmlformats-officedocument.spreadsheetml.table+xml"/>
  <Override PartName="/xl/tables/table21.xml" ContentType="application/vnd.openxmlformats-officedocument.spreadsheetml.table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3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3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tables/table22.xml" ContentType="application/vnd.openxmlformats-officedocument.spreadsheetml.table+xml"/>
  <Override PartName="/xl/pivotTables/pivotTable4.xml" ContentType="application/vnd.openxmlformats-officedocument.spreadsheetml.pivotTable+xml"/>
  <Override PartName="/xl/tables/table23.xml" ContentType="application/vnd.openxmlformats-officedocument.spreadsheetml.table+xml"/>
  <Override PartName="/xl/tables/table24.xml" ContentType="application/vnd.openxmlformats-officedocument.spreadsheetml.table+xml"/>
  <Override PartName="/xl/tables/table2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 codeName="{4D1C537B-E38A-612A-F078-A93A15B4B7F4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K:\societe\"/>
    </mc:Choice>
  </mc:AlternateContent>
  <xr:revisionPtr revIDLastSave="0" documentId="8_{0F39E5CA-8E9F-41FF-B1D3-6CB63AD2A519}" xr6:coauthVersionLast="47" xr6:coauthVersionMax="47" xr10:uidLastSave="{00000000-0000-0000-0000-000000000000}"/>
  <bookViews>
    <workbookView xWindow="-120" yWindow="-120" windowWidth="29040" windowHeight="15840" activeTab="6" xr2:uid="{00000000-000D-0000-FFFF-FFFF00000000}"/>
  </bookViews>
  <sheets>
    <sheet name="Catégorie" sheetId="1" r:id="rId1"/>
    <sheet name="Home" sheetId="7" r:id="rId2"/>
    <sheet name="Analyse" sheetId="5" r:id="rId3"/>
    <sheet name="Input" sheetId="4" r:id="rId4"/>
    <sheet name="Rapport" sheetId="6" r:id="rId5"/>
    <sheet name="Config" sheetId="2" r:id="rId6"/>
    <sheet name="Compte" sheetId="3" r:id="rId7"/>
  </sheets>
  <definedNames>
    <definedName name="_xlnm._FilterDatabase" localSheetId="0" hidden="1">Catégorie!$AI$2:$AJ$7</definedName>
    <definedName name="_xlnm._FilterDatabase" localSheetId="3" hidden="1">Input!$B$2:$O$11</definedName>
    <definedName name="compte">Tableau24[]</definedName>
    <definedName name="_xlnm.Criteria" localSheetId="3">Input!$X$3</definedName>
    <definedName name="decaler">OFFSET(Input!$Z$3,0,0,COUNTA(Input!$Z$3:'Input'!$AB$9999),14)</definedName>
    <definedName name="entrée">Tableau2[]</definedName>
    <definedName name="entrée1">Tableau20[]</definedName>
    <definedName name="entrée2">Tableau21[]</definedName>
    <definedName name="entrée3">Tableau22[]</definedName>
    <definedName name="entree4">Tableau5[]</definedName>
    <definedName name="_xlnm.Extract" localSheetId="3">Input!$Z$2:$AM$2</definedName>
    <definedName name="periode">Tableau4[]</definedName>
    <definedName name="Segment_Année">#N/A</definedName>
    <definedName name="Segment_Compte">#N/A</definedName>
    <definedName name="Segment_Mois">#N/A</definedName>
    <definedName name="sortie">Tableau1[]</definedName>
    <definedName name="sortie1">Tableau3[]</definedName>
    <definedName name="sortie10">Tableau15[]</definedName>
    <definedName name="sortie11">Tableau16[]</definedName>
    <definedName name="sortie12">Tableau17[]</definedName>
    <definedName name="sortie13">Tableau18[]</definedName>
    <definedName name="sortie14">Tableau19[]</definedName>
    <definedName name="sortie15">Tableau6[]</definedName>
    <definedName name="sortie2">Tableau7[]</definedName>
    <definedName name="sortie3">Tableau8[]</definedName>
    <definedName name="sortie4">Tableau9[]</definedName>
    <definedName name="sortie5">Tableau10[]</definedName>
    <definedName name="sortie6">Tableau11[]</definedName>
    <definedName name="sortie7">Tableau12[]</definedName>
    <definedName name="sortie8">Tableau13[]</definedName>
    <definedName name="sortie9">Tableau14[]</definedName>
    <definedName name="Type">Tableau23[Type]</definedName>
  </definedNames>
  <calcPr calcId="191029"/>
  <pivotCaches>
    <pivotCache cacheId="1" r:id="rId8"/>
  </pivotCaches>
  <fileRecoveryPr autoRecover="0"/>
  <extLst>
    <ext xmlns:x14="http://schemas.microsoft.com/office/spreadsheetml/2009/9/main" uri="{BBE1A952-AA13-448e-AADC-164F8A28A991}">
      <x14:slicerCaches>
        <x14:slicerCache r:id="rId9"/>
        <x14:slicerCache r:id="rId10"/>
        <x14:slicerCache r:id="rId11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5" i="3" l="1"/>
  <c r="E5" i="3" a="1"/>
  <c r="E5" i="3" s="1"/>
  <c r="B11" i="4"/>
  <c r="I11" i="4"/>
  <c r="M11" i="4"/>
  <c r="N11" i="4"/>
  <c r="B10" i="4"/>
  <c r="I10" i="4"/>
  <c r="M10" i="4"/>
  <c r="N10" i="4"/>
  <c r="B9" i="4"/>
  <c r="I9" i="4"/>
  <c r="M9" i="4"/>
  <c r="N9" i="4"/>
  <c r="B8" i="4"/>
  <c r="I8" i="4"/>
  <c r="M8" i="4"/>
  <c r="N8" i="4"/>
  <c r="B7" i="4"/>
  <c r="I7" i="4"/>
  <c r="M7" i="4"/>
  <c r="N7" i="4"/>
  <c r="I6" i="4"/>
  <c r="B6" i="4"/>
  <c r="M6" i="4"/>
  <c r="N6" i="4"/>
  <c r="B5" i="4"/>
  <c r="I5" i="4"/>
  <c r="M5" i="4"/>
  <c r="N5" i="4"/>
  <c r="B4" i="4"/>
  <c r="I4" i="4"/>
  <c r="M4" i="4"/>
  <c r="N4" i="4"/>
  <c r="B3" i="4"/>
  <c r="I3" i="4"/>
  <c r="M3" i="4"/>
  <c r="N3" i="4"/>
  <c r="K7" i="4"/>
  <c r="K8" i="4"/>
  <c r="K3" i="4"/>
  <c r="K6" i="4"/>
  <c r="K5" i="4"/>
  <c r="K4" i="4"/>
  <c r="K10" i="4"/>
  <c r="K11" i="4"/>
  <c r="K9" i="4"/>
  <c r="O11" i="4" l="1"/>
  <c r="O10" i="4"/>
  <c r="O9" i="4"/>
  <c r="O8" i="4"/>
  <c r="O7" i="4"/>
  <c r="O6" i="4"/>
  <c r="O5" i="4"/>
  <c r="O4" i="4"/>
  <c r="O3" i="4"/>
  <c r="AU2" i="1" l="1"/>
  <c r="N25" i="1" l="1"/>
  <c r="I26" i="5"/>
  <c r="R26" i="5"/>
  <c r="T26" i="5"/>
  <c r="P26" i="5"/>
  <c r="K26" i="5"/>
  <c r="N26" i="5"/>
  <c r="L26" i="5"/>
  <c r="J26" i="5"/>
  <c r="O26" i="5"/>
  <c r="M26" i="5"/>
  <c r="Q26" i="5"/>
  <c r="S26" i="5"/>
  <c r="B5" i="3" l="1"/>
  <c r="K25" i="1"/>
  <c r="H25" i="1"/>
  <c r="E25" i="1"/>
  <c r="H2" i="1"/>
  <c r="K2" i="1"/>
  <c r="N2" i="1"/>
  <c r="Q2" i="1"/>
  <c r="T2" i="1"/>
  <c r="W2" i="1"/>
  <c r="Z2" i="1"/>
  <c r="AC2" i="1"/>
  <c r="AF2" i="1"/>
  <c r="AI2" i="1"/>
  <c r="AL2" i="1"/>
  <c r="AO2" i="1"/>
  <c r="AR2" i="1"/>
  <c r="I25" i="5"/>
  <c r="J25" i="5"/>
  <c r="K25" i="5"/>
  <c r="P25" i="5"/>
  <c r="O25" i="5"/>
  <c r="N25" i="5"/>
  <c r="L25" i="5"/>
  <c r="V8" i="5"/>
  <c r="V9" i="5"/>
  <c r="T25" i="5"/>
  <c r="R25" i="5"/>
  <c r="S25" i="5"/>
  <c r="M25" i="5"/>
  <c r="Q25" i="5"/>
  <c r="E2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<sst xmlns="http://schemas.openxmlformats.org/spreadsheetml/2006/main" count="415" uniqueCount="281">
  <si>
    <t>ID</t>
  </si>
  <si>
    <t>Catégorie</t>
  </si>
  <si>
    <t>Catégorie Sortie</t>
  </si>
  <si>
    <t>Catégorie Entrée</t>
  </si>
  <si>
    <t xml:space="preserve">ID </t>
  </si>
  <si>
    <t>sous-catégorie</t>
  </si>
  <si>
    <t>1.1</t>
  </si>
  <si>
    <t>1.2</t>
  </si>
  <si>
    <t>1.3</t>
  </si>
  <si>
    <t>1.4</t>
  </si>
  <si>
    <t>1.5</t>
  </si>
  <si>
    <t>sub2</t>
  </si>
  <si>
    <t>subcat2</t>
  </si>
  <si>
    <t>sub3</t>
  </si>
  <si>
    <t>subcat3</t>
  </si>
  <si>
    <t>sub4</t>
  </si>
  <si>
    <t>subcat4</t>
  </si>
  <si>
    <t>sub5</t>
  </si>
  <si>
    <t>subcat5</t>
  </si>
  <si>
    <t>sub6</t>
  </si>
  <si>
    <t>subcat6</t>
  </si>
  <si>
    <t>sub7</t>
  </si>
  <si>
    <t>subcat7</t>
  </si>
  <si>
    <t>sub8</t>
  </si>
  <si>
    <t>subcat8</t>
  </si>
  <si>
    <t>sub9</t>
  </si>
  <si>
    <t>subcat9</t>
  </si>
  <si>
    <t>sub10</t>
  </si>
  <si>
    <t>subcat10</t>
  </si>
  <si>
    <t>sub11</t>
  </si>
  <si>
    <t>subcat11</t>
  </si>
  <si>
    <t>sub12</t>
  </si>
  <si>
    <t>subcat12</t>
  </si>
  <si>
    <t>sub13</t>
  </si>
  <si>
    <t>subcat13</t>
  </si>
  <si>
    <t>sub14</t>
  </si>
  <si>
    <t>subcat14</t>
  </si>
  <si>
    <t>2.1</t>
  </si>
  <si>
    <t>3.1</t>
  </si>
  <si>
    <t>4.1</t>
  </si>
  <si>
    <t>5.1</t>
  </si>
  <si>
    <t>6.1</t>
  </si>
  <si>
    <t>7.1</t>
  </si>
  <si>
    <t>8.1</t>
  </si>
  <si>
    <t>9.1</t>
  </si>
  <si>
    <t>11.1</t>
  </si>
  <si>
    <t>13.1</t>
  </si>
  <si>
    <t>2.2</t>
  </si>
  <si>
    <t>3.2</t>
  </si>
  <si>
    <t>4.2</t>
  </si>
  <si>
    <t>6.2</t>
  </si>
  <si>
    <t>7.2</t>
  </si>
  <si>
    <t>8.2</t>
  </si>
  <si>
    <t>9.2</t>
  </si>
  <si>
    <t>2.3</t>
  </si>
  <si>
    <t>Assurance</t>
  </si>
  <si>
    <t>3.3</t>
  </si>
  <si>
    <t>7.3</t>
  </si>
  <si>
    <t>8.3</t>
  </si>
  <si>
    <t>2.4</t>
  </si>
  <si>
    <t>3.4</t>
  </si>
  <si>
    <t>7.4</t>
  </si>
  <si>
    <t>Sortie</t>
  </si>
  <si>
    <t>7.5</t>
  </si>
  <si>
    <t>7.6</t>
  </si>
  <si>
    <t>sub1</t>
  </si>
  <si>
    <t>subcat1</t>
  </si>
  <si>
    <t>Type</t>
  </si>
  <si>
    <t>Entrée</t>
  </si>
  <si>
    <t>Compte</t>
  </si>
  <si>
    <t>Départ</t>
  </si>
  <si>
    <t>Calculé</t>
  </si>
  <si>
    <t>Solde</t>
  </si>
  <si>
    <t>Date</t>
  </si>
  <si>
    <t>Somme</t>
  </si>
  <si>
    <t>Description</t>
  </si>
  <si>
    <t>Catid</t>
  </si>
  <si>
    <t>SubId</t>
  </si>
  <si>
    <t>Sous-catégorie</t>
  </si>
  <si>
    <t>Commentaire</t>
  </si>
  <si>
    <t>Année</t>
  </si>
  <si>
    <t>Mois</t>
  </si>
  <si>
    <t>Recherche</t>
  </si>
  <si>
    <t>sortie</t>
  </si>
  <si>
    <t>entrée</t>
  </si>
  <si>
    <t>Total général</t>
  </si>
  <si>
    <t>Étiquettes de lignes</t>
  </si>
  <si>
    <t>Somme de Somme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</si>
  <si>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</si>
  <si>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</si>
  <si>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</si>
  <si>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</si>
  <si>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</si>
  <si>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</si>
  <si>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</si>
  <si>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</si>
  <si>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</si>
  <si>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</si>
  <si>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</si>
  <si>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</si>
  <si>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Péridoicité</t>
  </si>
  <si>
    <t>code</t>
  </si>
  <si>
    <t>Journalier</t>
  </si>
  <si>
    <t>Hebdomadaire</t>
  </si>
  <si>
    <t>Mensuel</t>
  </si>
  <si>
    <t>Trimestriel</t>
  </si>
  <si>
    <t>Annuel</t>
  </si>
  <si>
    <t>d</t>
  </si>
  <si>
    <t>WW</t>
  </si>
  <si>
    <t>M</t>
  </si>
  <si>
    <t>Q</t>
  </si>
  <si>
    <t>YYYY</t>
  </si>
  <si>
    <t/>
  </si>
  <si>
    <t>Achat Vin</t>
  </si>
  <si>
    <t>Achat autres Boissons</t>
  </si>
  <si>
    <t>Frais de fonctionnement</t>
  </si>
  <si>
    <t>Frais généraux</t>
  </si>
  <si>
    <t>Frais de réception</t>
  </si>
  <si>
    <t>Frais de représentation</t>
  </si>
  <si>
    <t>Challenge</t>
  </si>
  <si>
    <t>Frais de bureau</t>
  </si>
  <si>
    <t>Frais de déplacement</t>
  </si>
  <si>
    <t>Divers</t>
  </si>
  <si>
    <t>Travaux</t>
  </si>
  <si>
    <t>Frais d'entretien</t>
  </si>
  <si>
    <t>Robert et Marcel</t>
  </si>
  <si>
    <t>Saint Nicolas de Bourgueil</t>
  </si>
  <si>
    <t>Super U</t>
  </si>
  <si>
    <t>Intermarché</t>
  </si>
  <si>
    <t>Leclerc</t>
  </si>
  <si>
    <t>Ets Chudeau</t>
  </si>
  <si>
    <t>EDF</t>
  </si>
  <si>
    <t>GAZ</t>
  </si>
  <si>
    <t>Entretien chauffage</t>
  </si>
  <si>
    <t>Impot Foncier</t>
  </si>
  <si>
    <t>3.5</t>
  </si>
  <si>
    <t>3.6</t>
  </si>
  <si>
    <t>3.7</t>
  </si>
  <si>
    <t>Achat Super u</t>
  </si>
  <si>
    <t>Achat Vaisselle</t>
  </si>
  <si>
    <t>Repas des bénévoles</t>
  </si>
  <si>
    <t>Tête à Tête</t>
  </si>
  <si>
    <t>Communal</t>
  </si>
  <si>
    <t>Président</t>
  </si>
  <si>
    <t>3 Contre 3</t>
  </si>
  <si>
    <t>Actifs</t>
  </si>
  <si>
    <t>Retraités</t>
  </si>
  <si>
    <t>Noel AUDEBAULT</t>
  </si>
  <si>
    <t>Daniel DABURON</t>
  </si>
  <si>
    <t>Cotisation Fédération</t>
  </si>
  <si>
    <t>Plomberie</t>
  </si>
  <si>
    <t>Bar</t>
  </si>
  <si>
    <t>Jeu de boules</t>
  </si>
  <si>
    <t>Cotisation</t>
  </si>
  <si>
    <t>Crédit Boissons</t>
  </si>
  <si>
    <t>Concours de belote</t>
  </si>
  <si>
    <t>Engagement</t>
  </si>
  <si>
    <t>Encaissement mois précédent</t>
  </si>
  <si>
    <t>Intêret bancaire</t>
  </si>
  <si>
    <t>Compte Principal</t>
  </si>
  <si>
    <t>Total Entrée</t>
  </si>
  <si>
    <t>Encaissement</t>
  </si>
  <si>
    <t>1.6</t>
  </si>
  <si>
    <t>Réception</t>
  </si>
  <si>
    <t>1.7</t>
  </si>
  <si>
    <t>1.8</t>
  </si>
  <si>
    <t>1.9</t>
  </si>
  <si>
    <t>Total Encaissement</t>
  </si>
  <si>
    <t>1.10</t>
  </si>
  <si>
    <t>1.11</t>
  </si>
  <si>
    <t>Achat cartourche imprimante</t>
  </si>
  <si>
    <t>4.3</t>
  </si>
  <si>
    <t>Mise en bouteilles</t>
  </si>
  <si>
    <t>4.4</t>
  </si>
  <si>
    <t>Achat Mobilier</t>
  </si>
  <si>
    <t>12.1</t>
  </si>
  <si>
    <t>Achat Super U</t>
  </si>
  <si>
    <t>5.2</t>
  </si>
  <si>
    <t>Assemblée Générale</t>
  </si>
  <si>
    <t>9.3</t>
  </si>
  <si>
    <t>J.Luc DESPEIGNES</t>
  </si>
  <si>
    <t>10.3</t>
  </si>
  <si>
    <t>Achat enveloppes</t>
  </si>
  <si>
    <t>Achat timbres</t>
  </si>
  <si>
    <t>Club de l'age d'Or</t>
  </si>
  <si>
    <t>Autre participation</t>
  </si>
  <si>
    <t>7.7</t>
  </si>
  <si>
    <t>Smitcom</t>
  </si>
  <si>
    <t>Sandwich</t>
  </si>
  <si>
    <t>Tombola</t>
  </si>
  <si>
    <t>4.5</t>
  </si>
  <si>
    <t>Matériel Electrique</t>
  </si>
  <si>
    <t>Concours de Belote</t>
  </si>
  <si>
    <t>14.1</t>
  </si>
  <si>
    <t>14.2</t>
  </si>
  <si>
    <t>14.3</t>
  </si>
  <si>
    <t>Autre</t>
  </si>
  <si>
    <t>8.4</t>
  </si>
  <si>
    <t>10.4</t>
  </si>
  <si>
    <t>Clé Société</t>
  </si>
  <si>
    <t>Infirmerie</t>
  </si>
  <si>
    <t>Cochon grillé</t>
  </si>
  <si>
    <t>Repas</t>
  </si>
  <si>
    <t>Choucoute</t>
  </si>
  <si>
    <t>Participants</t>
  </si>
  <si>
    <t>Tombolas</t>
  </si>
  <si>
    <t>4.6</t>
  </si>
  <si>
    <t>Achat Bricomarché</t>
  </si>
  <si>
    <t>3.8</t>
  </si>
  <si>
    <t>Service des eaux</t>
  </si>
  <si>
    <t>12.2</t>
  </si>
  <si>
    <t>Autres achats</t>
  </si>
  <si>
    <t>10.5</t>
  </si>
  <si>
    <t>10.6</t>
  </si>
  <si>
    <t>Frais d'obsèques</t>
  </si>
  <si>
    <t>4.7</t>
  </si>
  <si>
    <t>11.2</t>
  </si>
  <si>
    <t>12.3</t>
  </si>
  <si>
    <t>Produits d'entretien</t>
  </si>
  <si>
    <t>4.8</t>
  </si>
  <si>
    <t>Cotisation Fédé du saumurois</t>
  </si>
  <si>
    <t>Champigny</t>
  </si>
  <si>
    <t>11.3</t>
  </si>
  <si>
    <t>5.4</t>
  </si>
  <si>
    <t>11.4</t>
  </si>
  <si>
    <t>Promocash</t>
  </si>
  <si>
    <t>4.9</t>
  </si>
  <si>
    <t>Achat Produits d'entretien</t>
  </si>
  <si>
    <t>5.5</t>
  </si>
  <si>
    <t>Facture Robert et Marcel</t>
  </si>
  <si>
    <t>4.10</t>
  </si>
  <si>
    <t>Achat bouteilles</t>
  </si>
  <si>
    <t>4.11</t>
  </si>
  <si>
    <t>Achat Lidl</t>
  </si>
  <si>
    <t>Electricité</t>
  </si>
  <si>
    <t>Plafond</t>
  </si>
  <si>
    <t>5.6</t>
  </si>
  <si>
    <t>14.4</t>
  </si>
  <si>
    <t>Lots</t>
  </si>
  <si>
    <t>6.3</t>
  </si>
  <si>
    <t>5.7</t>
  </si>
  <si>
    <t>Conchon Grillé</t>
  </si>
  <si>
    <t>13.2</t>
  </si>
  <si>
    <t>Choucroute</t>
  </si>
  <si>
    <t>sub15</t>
  </si>
  <si>
    <t>subcat15</t>
  </si>
  <si>
    <t>15.1</t>
  </si>
  <si>
    <t>15.2</t>
  </si>
  <si>
    <t>15.3</t>
  </si>
  <si>
    <t>15.4</t>
  </si>
  <si>
    <t>13.3</t>
  </si>
  <si>
    <t>9.4</t>
  </si>
  <si>
    <t>Ignoré</t>
  </si>
  <si>
    <t>9.5</t>
  </si>
  <si>
    <t>Michel PIDOU</t>
  </si>
  <si>
    <t xml:space="preserve"> </t>
  </si>
  <si>
    <t>Total Sortie</t>
  </si>
  <si>
    <t>15.5</t>
  </si>
  <si>
    <t>Boulangerie</t>
  </si>
  <si>
    <t>15.6</t>
  </si>
  <si>
    <t>Casse-croute</t>
  </si>
  <si>
    <t>15.7</t>
  </si>
  <si>
    <t>Boucherie</t>
  </si>
  <si>
    <t>15.8</t>
  </si>
  <si>
    <t>Calendrier pompiers</t>
  </si>
  <si>
    <t>15.9</t>
  </si>
  <si>
    <t>décembre</t>
  </si>
  <si>
    <t>test</t>
  </si>
  <si>
    <t>*test*</t>
  </si>
  <si>
    <t>10/12/2018</t>
  </si>
  <si>
    <t>remarque</t>
  </si>
  <si>
    <t>10/12/2018 Entrée 150 Compte Principal test Cochon grillé Repas remarque 2018 décembre</t>
  </si>
  <si>
    <t>janvier</t>
  </si>
  <si>
    <t>30/01/2021</t>
  </si>
  <si>
    <t>Total Frais de fonctionnement</t>
  </si>
  <si>
    <t>20/02/2021</t>
  </si>
  <si>
    <t>30/03/2021</t>
  </si>
  <si>
    <t>février</t>
  </si>
  <si>
    <t>mars</t>
  </si>
  <si>
    <t>Total Divers</t>
  </si>
  <si>
    <t>13 515,46€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</si>
</sst>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4">
    <numFmt numFmtId="44" formatCode="_-* #,##0.00\ &quot;€&quot;_-;\-* #,##0.00\ &quot;€&quot;_-;_-* &quot;-&quot;??\ &quot;€&quot;_-;_-@_-"/>
    <numFmt numFmtId="164" formatCode="_(&quot;€&quot;* #,##0.00_);_(&quot;€&quot;* \(#,##0.00\);_(&quot;€&quot;* &quot;-&quot;??_);_(@_)"/>
    <numFmt numFmtId="165" formatCode="#,##0.00\ &quot;€&quot;"/>
    <numFmt numFmtId="166" formatCode="m/d/yyyy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/>
        <bgColor theme="1"/>
      </patternFill>
    </fill>
    <fill>
      <patternFill patternType="solid">
        <fgColor theme="1"/>
        <bgColor indexed="64"/>
      </patternFill>
    </fill>
    <fill>
      <patternFill patternType="solid">
        <fgColor theme="4" tint="0.59999389629810485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theme="1"/>
      </left>
      <right/>
      <top style="thin">
        <color theme="1"/>
      </top>
      <bottom/>
      <diagonal/>
    </border>
    <border>
      <left/>
      <right/>
      <top style="thin">
        <color theme="1"/>
      </top>
      <bottom/>
      <diagonal/>
    </border>
    <border>
      <left/>
      <right style="thin">
        <color theme="1"/>
      </right>
      <top style="thin">
        <color theme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theme="1"/>
      </left>
      <right/>
      <top/>
      <bottom/>
      <diagonal/>
    </border>
    <border>
      <left/>
      <right style="thin">
        <color theme="1"/>
      </right>
      <top/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40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4" fillId="0" borderId="0" xfId="0" applyFont="1"/>
    <xf numFmtId="164" fontId="4" fillId="0" borderId="0" xfId="1" applyFont="1"/>
    <xf numFmtId="164" fontId="0" fillId="0" borderId="0" xfId="1" applyFont="1"/>
    <xf numFmtId="0" fontId="0" fillId="0" borderId="0" xfId="0" pivotButton="1"/>
    <xf numFmtId="0" fontId="0" fillId="0" borderId="0" xfId="0" applyAlignment="1">
      <alignment horizontal="left"/>
    </xf>
    <xf numFmtId="165" fontId="0" fillId="0" borderId="0" xfId="0" applyNumberFormat="1"/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  <xf numFmtId="0" fontId="0" fillId="0" borderId="6" xfId="0" applyBorder="1"/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9" xfId="0" applyFont="1" applyBorder="1"/>
    <xf numFmtId="0" fontId="2" fillId="0" borderId="11" xfId="0" applyFont="1" applyBorder="1"/>
    <xf numFmtId="164" fontId="0" fillId="0" borderId="5" xfId="1" applyFont="1" applyBorder="1"/>
    <xf numFmtId="164" fontId="0" fillId="0" borderId="10" xfId="1" applyFont="1" applyBorder="1"/>
    <xf numFmtId="164" fontId="0" fillId="0" borderId="12" xfId="1" applyFont="1" applyBorder="1"/>
    <xf numFmtId="0" fontId="3" fillId="0" borderId="0" xfId="0" applyFont="1"/>
    <xf numFmtId="0" fontId="6" fillId="4" borderId="13" xfId="0" applyFont="1" applyFill="1" applyBorder="1"/>
    <xf numFmtId="0" fontId="6" fillId="4" borderId="14" xfId="0" applyFont="1" applyFill="1" applyBorder="1"/>
    <xf numFmtId="0" fontId="6" fillId="4" borderId="15" xfId="0" applyFont="1" applyFill="1" applyBorder="1"/>
    <xf numFmtId="0" fontId="0" fillId="0" borderId="17" xfId="0" applyBorder="1"/>
    <xf numFmtId="0" fontId="3" fillId="5" borderId="16" xfId="0" applyFont="1" applyFill="1" applyBorder="1"/>
    <xf numFmtId="166" fontId="0" fillId="0" borderId="0" xfId="0" applyNumberFormat="1"/>
    <xf numFmtId="0" fontId="0" fillId="0" borderId="0" xfId="0" applyNumberFormat="1"/>
    <xf numFmtId="14" fontId="0" fillId="0" borderId="0" xfId="0" applyNumberFormat="1"/>
    <xf numFmtId="14" fontId="0" fillId="0" borderId="0" xfId="0" applyNumberFormat="1" applyAlignment="1">
      <alignment horizontal="left"/>
    </xf>
    <xf numFmtId="0" fontId="0" fillId="3" borderId="0" xfId="0" applyFill="1" applyAlignment="1">
      <alignment horizontal="center"/>
    </xf>
    <xf numFmtId="0" fontId="6" fillId="4" borderId="18" xfId="0" applyFont="1" applyFill="1" applyBorder="1" applyAlignment="1">
      <alignment horizontal="center" vertical="center"/>
    </xf>
    <xf numFmtId="0" fontId="6" fillId="4" borderId="19" xfId="0" applyFont="1" applyFill="1" applyBorder="1" applyAlignment="1">
      <alignment horizontal="center" vertical="center"/>
    </xf>
    <xf numFmtId="165" fontId="0" fillId="0" borderId="0" xfId="0" applyNumberFormat="1" applyAlignment="1">
      <alignment horizontal="center"/>
    </xf>
    <xf numFmtId="0" fontId="7" fillId="6" borderId="0" xfId="0" applyFont="1" applyFill="1"/>
    <xf numFmtId="166" fontId="0" fillId="0" borderId="0" xfId="0" applyNumberFormat="1" applyAlignment="1">
      <alignment horizontal="left"/>
    </xf>
    <xf numFmtId="0" fontId="5" fillId="2" borderId="1" xfId="0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center" vertical="center"/>
    </xf>
    <xf numFmtId="0" fontId="5" fillId="2" borderId="3" xfId="0" applyFont="1" applyFill="1" applyBorder="1" applyAlignment="1">
      <alignment horizontal="center" vertical="center"/>
    </xf>
    <xf numFmtId="0" fontId="5" fillId="2" borderId="4" xfId="0" applyFont="1" applyFill="1" applyBorder="1" applyAlignment="1">
      <alignment horizontal="center" vertical="center"/>
    </xf>
    <xf numFmtId="44" fontId="4" fillId="0" borderId="0" xfId="1" applyNumberFormat="1" applyFont="1" applyAlignment="1">
      <alignment horizontal="center" vertical="center"/>
    </xf>
  </cellXfs>
  <cellStyles count="2">
    <cellStyle name="Monétaire" xfId="1" builtinId="4"/>
    <cellStyle name="Normal" xfId="0" builtinId="0"/>
  </cellStyles>
  <dxfs count="60"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numFmt numFmtId="34" formatCode="_-* #,##0.00\ &quot;€&quot;_-;\-* #,##0.00\ &quot;€&quot;_-;_-* &quot;-&quot;??\ &quot;€&quot;_-;_-@_-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numFmt numFmtId="34" formatCode="_-* #,##0.00\ &quot;€&quot;_-;\-* #,##0.00\ &quot;€&quot;_-;_-* &quot;-&quot;??\ &quot;€&quot;_-;_-@_-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</dxf>
    <dxf>
      <alignment horizontal="center" readingOrder="0"/>
    </dxf>
    <dxf>
      <alignment horizontal="center" readingOrder="0"/>
    </dxf>
    <dxf>
      <numFmt numFmtId="0" formatCode="General"/>
    </dxf>
    <dxf>
      <numFmt numFmtId="166" formatCode="m/d/yyyy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font>
        <color theme="1"/>
      </font>
      <fill>
        <patternFill patternType="none">
          <bgColor auto="1"/>
        </patternFill>
      </fill>
    </dxf>
    <dxf>
      <fill>
        <patternFill>
          <bgColor theme="5"/>
        </patternFill>
      </fill>
    </dxf>
    <dxf>
      <font>
        <b/>
        <i val="0"/>
        <color theme="0" tint="-4.9989318521683403E-2"/>
      </font>
      <fill>
        <patternFill>
          <bgColor rgb="FFC00000"/>
        </patternFill>
      </fill>
    </dxf>
    <dxf>
      <fill>
        <patternFill>
          <bgColor rgb="FF00B050"/>
        </patternFill>
      </fill>
    </dxf>
    <dxf>
      <border outline="0">
        <top style="medium">
          <color indexed="64"/>
        </top>
      </border>
    </dxf>
    <dxf>
      <alignment horizontal="center" vertical="center" textRotation="0" wrapText="0" indent="0" justifyLastLine="0" shrinkToFit="0" readingOrder="0"/>
    </dxf>
    <dxf>
      <border outline="0">
        <top style="thin">
          <color theme="1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1"/>
          <bgColor theme="1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border outline="0">
        <top style="medium">
          <color indexed="64"/>
        </top>
      </border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color theme="1"/>
      </font>
    </dxf>
    <dxf>
      <font>
        <b/>
        <color theme="1"/>
      </font>
    </dxf>
    <dxf>
      <font>
        <b/>
        <color theme="1"/>
      </font>
    </dxf>
    <dxf>
      <font>
        <b/>
        <color theme="1"/>
      </font>
      <border>
        <left style="thin">
          <color theme="0" tint="-0.34998626667073579"/>
        </left>
        <right style="thin">
          <color theme="0" tint="-0.34998626667073579"/>
        </right>
      </border>
    </dxf>
    <dxf>
      <fill>
        <patternFill patternType="solid">
          <fgColor theme="0" tint="-0.14999847407452621"/>
          <bgColor theme="0" tint="-0.14999847407452621"/>
        </patternFill>
      </fill>
    </dxf>
    <dxf>
      <fill>
        <patternFill patternType="solid">
          <fgColor theme="0" tint="-0.14999847407452621"/>
          <bgColor theme="0" tint="-0.14999847407452621"/>
        </patternFill>
      </fill>
      <border>
        <top style="thin">
          <color theme="1" tint="0.499984740745262"/>
        </top>
        <bottom style="thin">
          <color theme="1" tint="0.499984740745262"/>
        </bottom>
      </border>
    </dxf>
    <dxf>
      <font>
        <b/>
        <color theme="1"/>
      </font>
    </dxf>
    <dxf>
      <font>
        <b/>
        <color theme="1"/>
      </font>
      <border>
        <top style="thin">
          <color theme="1" tint="0.499984740745262"/>
        </top>
      </border>
    </dxf>
    <dxf>
      <font>
        <b/>
        <color theme="1"/>
      </font>
      <border>
        <bottom style="thin">
          <color theme="1" tint="0.499984740745262"/>
        </bottom>
      </border>
    </dxf>
    <dxf>
      <font>
        <color theme="1"/>
      </font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  <vertical style="thin">
          <color theme="1" tint="0.499984740745262"/>
        </vertical>
        <horizontal style="thin">
          <color theme="1" tint="0.499984740745262"/>
        </horizontal>
      </border>
    </dxf>
  </dxfs>
  <tableStyles count="1" defaultTableStyle="TableStyleMedium2" defaultPivotStyle="PivotStyleLight16">
    <tableStyle name="PivotStyleLight22 2" table="0" count="10" xr9:uid="{00000000-0011-0000-FFFF-FFFF00000000}">
      <tableStyleElement type="wholeTable" dxfId="59"/>
      <tableStyleElement type="headerRow" dxfId="58"/>
      <tableStyleElement type="totalRow" dxfId="57"/>
      <tableStyleElement type="firstColumn" dxfId="56"/>
      <tableStyleElement type="firstRowStripe" dxfId="55"/>
      <tableStyleElement type="firstColumnStripe" dxfId="54"/>
      <tableStyleElement type="firstSubtotalColumn" dxfId="53"/>
      <tableStyleElement type="firstSubtotalRow" dxfId="52"/>
      <tableStyleElement type="secondSubtotalRow" dxfId="51"/>
      <tableStyleElement type="pageFieldLabels" dxfId="5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7/relationships/slicerCache" Target="slicerCaches/slicerCache3.xml"/><Relationship Id="rId5" Type="http://schemas.openxmlformats.org/officeDocument/2006/relationships/worksheet" Target="worksheets/sheet5.xml"/><Relationship Id="rId15" Type="http://schemas.openxmlformats.org/officeDocument/2006/relationships/sheetMetadata" Target="metadata.xml"/><Relationship Id="rId10" Type="http://schemas.microsoft.com/office/2007/relationships/slicerCache" Target="slicerCaches/slicerCache2.xml"/><Relationship Id="rId4" Type="http://schemas.openxmlformats.org/officeDocument/2006/relationships/worksheet" Target="worksheets/sheet4.xml"/><Relationship Id="rId9" Type="http://schemas.microsoft.com/office/2007/relationships/slicerCache" Target="slicerCaches/slicerCache1.xml"/><Relationship Id="rId1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[gestion budget_1.4_3.xlsm]Analyse!Tableau croisé dynamique1</c:name>
    <c:fmtId val="2"/>
  </c:pivotSource>
  <c:chart>
    <c:autoTitleDeleted val="1"/>
    <c:pivotFmts>
      <c:pivotFmt>
        <c:idx val="0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solidFill>
              <a:sysClr val="window" lastClr="FFFFFF"/>
            </a:solidFill>
            <a:ln>
              <a:solidFill>
                <a:sysClr val="windowText" lastClr="000000">
                  <a:lumMod val="25000"/>
                  <a:lumOff val="75000"/>
                </a:sysClr>
              </a:solidFill>
            </a:ln>
            <a:effectLst/>
          </c:spPr>
          <c:txPr>
            <a:bodyPr rot="0" spcFirstLastPara="1" vertOverflow="clip" horzOverflow="clip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dk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spPr xmlns:c15="http://schemas.microsoft.com/office/drawing/2012/chart">
                <a:prstGeom prst="wedgeRectCallout">
                  <a:avLst/>
                </a:prstGeom>
              </c15:spPr>
            </c:ext>
          </c:extLst>
        </c:dLbl>
      </c:pivotFmt>
      <c:pivotFmt>
        <c:idx val="1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solidFill>
              <a:sysClr val="window" lastClr="FFFFFF"/>
            </a:solidFill>
            <a:ln>
              <a:solidFill>
                <a:sysClr val="windowText" lastClr="000000">
                  <a:lumMod val="25000"/>
                  <a:lumOff val="75000"/>
                </a:sysClr>
              </a:solidFill>
            </a:ln>
            <a:effectLst/>
          </c:spPr>
          <c:txPr>
            <a:bodyPr rot="0" spcFirstLastPara="1" vertOverflow="clip" horzOverflow="clip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dk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spPr xmlns:c15="http://schemas.microsoft.com/office/drawing/2012/chart">
                <a:prstGeom prst="wedgeRectCallout">
                  <a:avLst/>
                </a:prstGeom>
              </c15:spPr>
            </c:ext>
          </c:extLst>
        </c:dLbl>
      </c:pivotFmt>
      <c:pivotFmt>
        <c:idx val="2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dLbl>
          <c:idx val="0"/>
          <c:spPr>
            <a:solidFill>
              <a:sysClr val="window" lastClr="FFFFFF"/>
            </a:solidFill>
            <a:ln>
              <a:solidFill>
                <a:sysClr val="windowText" lastClr="000000">
                  <a:lumMod val="25000"/>
                  <a:lumOff val="75000"/>
                </a:sysClr>
              </a:solidFill>
            </a:ln>
            <a:effectLst/>
          </c:spPr>
          <c:txPr>
            <a:bodyPr rot="0" spcFirstLastPara="1" vertOverflow="clip" horzOverflow="clip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dk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spPr xmlns:c15="http://schemas.microsoft.com/office/drawing/2012/chart">
                <a:prstGeom prst="wedgeRectCallout">
                  <a:avLst/>
                </a:prstGeom>
              </c15:spPr>
            </c:ext>
          </c:extLst>
        </c:dLbl>
      </c:pivotFmt>
      <c:pivotFmt>
        <c:idx val="3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dLblPos val="outEnd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5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6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7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8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9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0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1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</c:pivotFmts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tx>
            <c:strRef>
              <c:f>Analyse!$J$3:$J$4</c:f>
              <c:strCache>
                <c:ptCount val="1"/>
                <c:pt idx="0">
                  <c:v>Sortie</c:v>
                </c:pt>
              </c:strCache>
            </c:strRef>
          </c:tx>
          <c:dLbls>
            <c:spPr>
              <a:noFill/>
              <a:ln>
                <a:noFill/>
              </a:ln>
              <a:effectLst/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Analyse!$I$5:$I$7</c:f>
              <c:strCache>
                <c:ptCount val="2"/>
                <c:pt idx="0">
                  <c:v>Frais de fonctionnement</c:v>
                </c:pt>
                <c:pt idx="1">
                  <c:v>Divers</c:v>
                </c:pt>
              </c:strCache>
            </c:strRef>
          </c:cat>
          <c:val>
            <c:numRef>
              <c:f>Analyse!$J$5:$J$7</c:f>
              <c:numCache>
                <c:formatCode>#\ ##0.00\ "€"</c:formatCode>
                <c:ptCount val="2"/>
                <c:pt idx="0">
                  <c:v>115.67</c:v>
                </c:pt>
                <c:pt idx="1">
                  <c:v>25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A5D9-497C-82A3-95F8EB9525E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percentStacked"/>
        <c:varyColors val="0"/>
        <c:ser>
          <c:idx val="0"/>
          <c:order val="0"/>
          <c:tx>
            <c:strRef>
              <c:f>Analyse!$U$8</c:f>
              <c:strCache>
                <c:ptCount val="1"/>
                <c:pt idx="0">
                  <c:v>sortie</c:v>
                </c:pt>
              </c:strCache>
            </c:strRef>
          </c:tx>
          <c:spPr>
            <a:solidFill>
              <a:srgbClr val="C00000"/>
            </a:solidFill>
            <a:ln>
              <a:noFill/>
            </a:ln>
            <a:effectLst/>
          </c:spPr>
          <c:invertIfNegative val="0"/>
          <c:dLbls>
            <c:numFmt formatCode="#,##0.00\ &quot;€&quot;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1"/>
            <c:showPercent val="0"/>
            <c:showBubbleSize val="0"/>
            <c:separator>
</c:separator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Analyse!$V$8</c:f>
              <c:numCache>
                <c:formatCode>General</c:formatCode>
                <c:ptCount val="1"/>
                <c:pt idx="0">
                  <c:v>140.67000000000002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E0E-438E-A15C-CD5331FB8E45}"/>
            </c:ext>
          </c:extLst>
        </c:ser>
        <c:ser>
          <c:idx val="1"/>
          <c:order val="1"/>
          <c:tx>
            <c:strRef>
              <c:f>Analyse!$U$9</c:f>
              <c:strCache>
                <c:ptCount val="1"/>
                <c:pt idx="0">
                  <c:v>entrée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rgbClr val="00B050">
                  <a:alpha val="70000"/>
                </a:srgbClr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2-BE0E-438E-A15C-CD5331FB8E45}"/>
              </c:ext>
            </c:extLst>
          </c:dPt>
          <c:dLbls>
            <c:dLbl>
              <c:idx val="0"/>
              <c:dLblPos val="ctr"/>
              <c:showLegendKey val="0"/>
              <c:showVal val="1"/>
              <c:showCatName val="0"/>
              <c:showSerName val="1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2-BE0E-438E-A15C-CD5331FB8E45}"/>
                </c:ext>
              </c:extLst>
            </c:dLbl>
            <c:numFmt formatCode="#,##0.00\ &quot;€&quot;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Analyse!$V$9</c:f>
              <c:numCache>
                <c:formatCode>General</c:formatCode>
                <c:ptCount val="1"/>
                <c:pt idx="0">
                  <c:v>82.25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BE0E-438E-A15C-CD5331FB8E4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40"/>
        <c:overlap val="100"/>
        <c:axId val="120535296"/>
        <c:axId val="120549376"/>
      </c:barChart>
      <c:catAx>
        <c:axId val="120535296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120549376"/>
        <c:crosses val="autoZero"/>
        <c:auto val="1"/>
        <c:lblAlgn val="ctr"/>
        <c:lblOffset val="100"/>
        <c:noMultiLvlLbl val="0"/>
      </c:catAx>
      <c:valAx>
        <c:axId val="1205493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053529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Analyse!$H$25</c:f>
              <c:strCache>
                <c:ptCount val="1"/>
                <c:pt idx="0">
                  <c:v>sortie</c:v>
                </c:pt>
              </c:strCache>
            </c:strRef>
          </c:tx>
          <c:spPr>
            <a:solidFill>
              <a:srgbClr val="FF0000"/>
            </a:solidFill>
            <a:ln>
              <a:noFill/>
            </a:ln>
            <a:effectLst/>
          </c:spPr>
          <c:invertIfNegative val="0"/>
          <c:cat>
            <c:strRef>
              <c:f>Analyse!$I$24:$T$24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Analyse!$I$25:$T$25</c:f>
              <c:numCache>
                <c:formatCode>_("€"* #\ ##0.00_);_("€"* \(#\ ##0.00\);_("€"* "-"??_);_(@_)</c:formatCode>
                <c:ptCount val="12"/>
                <c:pt idx="0">
                  <c:v>49.66</c:v>
                </c:pt>
                <c:pt idx="1">
                  <c:v>71.010000000000005</c:v>
                </c:pt>
                <c:pt idx="2">
                  <c:v>20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0CB-4C02-99D7-C248A9A7FD0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axId val="120578816"/>
        <c:axId val="120580736"/>
      </c:barChart>
      <c:lineChart>
        <c:grouping val="stacked"/>
        <c:varyColors val="0"/>
        <c:ser>
          <c:idx val="1"/>
          <c:order val="1"/>
          <c:tx>
            <c:strRef>
              <c:f>Analyse!$H$26</c:f>
              <c:strCache>
                <c:ptCount val="1"/>
                <c:pt idx="0">
                  <c:v>Entrée</c:v>
                </c:pt>
              </c:strCache>
            </c:strRef>
          </c:tx>
          <c:spPr>
            <a:ln w="28575" cap="rnd">
              <a:noFill/>
              <a:round/>
            </a:ln>
            <a:effectLst/>
          </c:spPr>
          <c:marker>
            <c:symbol val="dash"/>
            <c:size val="30"/>
            <c:spPr>
              <a:solidFill>
                <a:schemeClr val="accent6"/>
              </a:solidFill>
              <a:ln w="9525">
                <a:solidFill>
                  <a:schemeClr val="accent2"/>
                </a:solidFill>
              </a:ln>
              <a:effectLst/>
            </c:spPr>
          </c:marker>
          <c:cat>
            <c:strRef>
              <c:f>Analyse!$I$24:$T$24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Analyse!$I$26:$T$26</c:f>
              <c:numCache>
                <c:formatCode>_("€"* #\ ##0.00_);_("€"* \(#\ ##0.00\);_("€"* "-"??_);_(@_)</c:formatCode>
                <c:ptCount val="12"/>
                <c:pt idx="0">
                  <c:v>36.35</c:v>
                </c:pt>
                <c:pt idx="1">
                  <c:v>0</c:v>
                </c:pt>
                <c:pt idx="2">
                  <c:v>45.9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70CB-4C02-99D7-C248A9A7FD0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20578816"/>
        <c:axId val="120580736"/>
      </c:lineChart>
      <c:catAx>
        <c:axId val="12057881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0580736"/>
        <c:crosses val="autoZero"/>
        <c:auto val="1"/>
        <c:lblAlgn val="ctr"/>
        <c:lblOffset val="100"/>
        <c:noMultiLvlLbl val="0"/>
      </c:catAx>
      <c:valAx>
        <c:axId val="12058073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_(&quot;€&quot;* #\ ##0.00_);_(&quot;€&quot;* \(#\ ##0.00\);_(&quot;€&quot;* &quot;-&quot;??_);_(@_)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057881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image" Target="../media/image2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57150</xdr:colOff>
      <xdr:row>0</xdr:row>
      <xdr:rowOff>38100</xdr:rowOff>
    </xdr:from>
    <xdr:ext cx="622093" cy="280205"/>
    <xdr:sp macro="[0]!ZoneTexte12_Cliquer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3209925" y="38100"/>
          <a:ext cx="622093" cy="28020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200" b="1">
              <a:solidFill>
                <a:srgbClr val="0070C0"/>
              </a:solidFill>
            </a:rPr>
            <a:t>Retour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276225</xdr:colOff>
          <xdr:row>15</xdr:row>
          <xdr:rowOff>57150</xdr:rowOff>
        </xdr:from>
        <xdr:to>
          <xdr:col>11</xdr:col>
          <xdr:colOff>200025</xdr:colOff>
          <xdr:row>20</xdr:row>
          <xdr:rowOff>171450</xdr:rowOff>
        </xdr:to>
        <xdr:sp macro="" textlink="">
          <xdr:nvSpPr>
            <xdr:cNvPr id="7169" name="CommandButton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00000000-0008-0000-0100-00000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300037</xdr:colOff>
      <xdr:row>3</xdr:row>
      <xdr:rowOff>9525</xdr:rowOff>
    </xdr:from>
    <xdr:to>
      <xdr:col>14</xdr:col>
      <xdr:colOff>361949</xdr:colOff>
      <xdr:row>14</xdr:row>
      <xdr:rowOff>66675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17</xdr:col>
      <xdr:colOff>229960</xdr:colOff>
      <xdr:row>2</xdr:row>
      <xdr:rowOff>168275</xdr:rowOff>
    </xdr:from>
    <xdr:to>
      <xdr:col>20</xdr:col>
      <xdr:colOff>472166</xdr:colOff>
      <xdr:row>13</xdr:row>
      <xdr:rowOff>169182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oneCell">
    <xdr:from>
      <xdr:col>6</xdr:col>
      <xdr:colOff>713240</xdr:colOff>
      <xdr:row>26</xdr:row>
      <xdr:rowOff>181881</xdr:rowOff>
    </xdr:from>
    <xdr:to>
      <xdr:col>19</xdr:col>
      <xdr:colOff>761489</xdr:colOff>
      <xdr:row>47</xdr:row>
      <xdr:rowOff>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 editAs="oneCell">
    <xdr:from>
      <xdr:col>1</xdr:col>
      <xdr:colOff>0</xdr:colOff>
      <xdr:row>2</xdr:row>
      <xdr:rowOff>0</xdr:rowOff>
    </xdr:from>
    <xdr:to>
      <xdr:col>2</xdr:col>
      <xdr:colOff>42862</xdr:colOff>
      <xdr:row>11</xdr:row>
      <xdr:rowOff>95250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5" name="Compte">
              <a:extLst>
                <a:ext uri="{FF2B5EF4-FFF2-40B4-BE49-F238E27FC236}">
                  <a16:creationId xmlns:a16="http://schemas.microsoft.com/office/drawing/2014/main" id="{00000000-0008-0000-0200-000005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mpt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7156" y="488156"/>
              <a:ext cx="1828800" cy="13335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2</xdr:col>
      <xdr:colOff>147637</xdr:colOff>
      <xdr:row>2</xdr:row>
      <xdr:rowOff>0</xdr:rowOff>
    </xdr:from>
    <xdr:to>
      <xdr:col>4</xdr:col>
      <xdr:colOff>0</xdr:colOff>
      <xdr:row>11</xdr:row>
      <xdr:rowOff>95250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6" name="Type">
              <a:extLst>
                <a:ext uri="{FF2B5EF4-FFF2-40B4-BE49-F238E27FC236}">
                  <a16:creationId xmlns:a16="http://schemas.microsoft.com/office/drawing/2014/main" id="{00000000-0008-0000-0200-000006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yp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040731" y="488156"/>
              <a:ext cx="1828800" cy="1333501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0</xdr:col>
      <xdr:colOff>95250</xdr:colOff>
      <xdr:row>12</xdr:row>
      <xdr:rowOff>13607</xdr:rowOff>
    </xdr:from>
    <xdr:to>
      <xdr:col>4</xdr:col>
      <xdr:colOff>9922</xdr:colOff>
      <xdr:row>19</xdr:row>
      <xdr:rowOff>109141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7" name="Mois">
              <a:extLst>
                <a:ext uri="{FF2B5EF4-FFF2-40B4-BE49-F238E27FC236}">
                  <a16:creationId xmlns:a16="http://schemas.microsoft.com/office/drawing/2014/main" id="{00000000-0008-0000-0200-000007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5250" y="2217964"/>
              <a:ext cx="1825398" cy="13335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6</xdr:col>
      <xdr:colOff>0</xdr:colOff>
      <xdr:row>3</xdr:row>
      <xdr:rowOff>178594</xdr:rowOff>
    </xdr:from>
    <xdr:to>
      <xdr:col>6</xdr:col>
      <xdr:colOff>0</xdr:colOff>
      <xdr:row>17</xdr:row>
      <xdr:rowOff>54520</xdr:rowOff>
    </xdr:to>
    <xdr:cxnSp macro="">
      <xdr:nvCxnSpPr>
        <xdr:cNvPr id="8" name="Connecteur droit 7">
          <a:extLst>
            <a:ext uri="{FF2B5EF4-FFF2-40B4-BE49-F238E27FC236}">
              <a16:creationId xmlns:a16="http://schemas.microsoft.com/office/drawing/2014/main" id="{00000000-0008-0000-0200-000008000000}"/>
            </a:ext>
          </a:extLst>
        </xdr:cNvPr>
        <xdr:cNvCxnSpPr/>
      </xdr:nvCxnSpPr>
      <xdr:spPr>
        <a:xfrm flipH="1" flipV="1">
          <a:off x="4798219" y="559594"/>
          <a:ext cx="0" cy="2542926"/>
        </a:xfrm>
        <a:prstGeom prst="line">
          <a:avLst/>
        </a:prstGeom>
        <a:ln w="38100">
          <a:solidFill>
            <a:schemeClr val="tx2">
              <a:lumMod val="50000"/>
            </a:schemeClr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259557</xdr:colOff>
      <xdr:row>28</xdr:row>
      <xdr:rowOff>124074</xdr:rowOff>
    </xdr:from>
    <xdr:to>
      <xdr:col>5</xdr:col>
      <xdr:colOff>259557</xdr:colOff>
      <xdr:row>42</xdr:row>
      <xdr:rowOff>0</xdr:rowOff>
    </xdr:to>
    <xdr:cxnSp macro="">
      <xdr:nvCxnSpPr>
        <xdr:cNvPr id="9" name="Connecteur droit 8">
          <a:extLst>
            <a:ext uri="{FF2B5EF4-FFF2-40B4-BE49-F238E27FC236}">
              <a16:creationId xmlns:a16="http://schemas.microsoft.com/office/drawing/2014/main" id="{00000000-0008-0000-0200-000009000000}"/>
            </a:ext>
          </a:extLst>
        </xdr:cNvPr>
        <xdr:cNvCxnSpPr/>
      </xdr:nvCxnSpPr>
      <xdr:spPr>
        <a:xfrm flipH="1" flipV="1">
          <a:off x="4748213" y="5100887"/>
          <a:ext cx="0" cy="2542926"/>
        </a:xfrm>
        <a:prstGeom prst="line">
          <a:avLst/>
        </a:prstGeom>
        <a:ln w="38100">
          <a:solidFill>
            <a:schemeClr val="tx2">
              <a:lumMod val="50000"/>
            </a:schemeClr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342250</xdr:colOff>
      <xdr:row>20</xdr:row>
      <xdr:rowOff>5013</xdr:rowOff>
    </xdr:from>
    <xdr:to>
      <xdr:col>3</xdr:col>
      <xdr:colOff>738188</xdr:colOff>
      <xdr:row>20</xdr:row>
      <xdr:rowOff>5013</xdr:rowOff>
    </xdr:to>
    <xdr:cxnSp macro="">
      <xdr:nvCxnSpPr>
        <xdr:cNvPr id="10" name="Connecteur droit 9">
          <a:extLst>
            <a:ext uri="{FF2B5EF4-FFF2-40B4-BE49-F238E27FC236}">
              <a16:creationId xmlns:a16="http://schemas.microsoft.com/office/drawing/2014/main" id="{00000000-0008-0000-0200-00000A000000}"/>
            </a:ext>
          </a:extLst>
        </xdr:cNvPr>
        <xdr:cNvCxnSpPr/>
      </xdr:nvCxnSpPr>
      <xdr:spPr>
        <a:xfrm>
          <a:off x="616094" y="3624513"/>
          <a:ext cx="3170094" cy="0"/>
        </a:xfrm>
        <a:prstGeom prst="line">
          <a:avLst/>
        </a:prstGeom>
        <a:ln w="38100">
          <a:solidFill>
            <a:schemeClr val="tx2">
              <a:lumMod val="50000"/>
            </a:schemeClr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0</xdr:colOff>
      <xdr:row>20</xdr:row>
      <xdr:rowOff>5013</xdr:rowOff>
    </xdr:from>
    <xdr:to>
      <xdr:col>18</xdr:col>
      <xdr:colOff>851808</xdr:colOff>
      <xdr:row>20</xdr:row>
      <xdr:rowOff>5013</xdr:rowOff>
    </xdr:to>
    <xdr:cxnSp macro="">
      <xdr:nvCxnSpPr>
        <xdr:cNvPr id="11" name="Connecteur droit 10">
          <a:extLst>
            <a:ext uri="{FF2B5EF4-FFF2-40B4-BE49-F238E27FC236}">
              <a16:creationId xmlns:a16="http://schemas.microsoft.com/office/drawing/2014/main" id="{00000000-0008-0000-0200-00000B000000}"/>
            </a:ext>
          </a:extLst>
        </xdr:cNvPr>
        <xdr:cNvCxnSpPr/>
      </xdr:nvCxnSpPr>
      <xdr:spPr>
        <a:xfrm>
          <a:off x="6012656" y="3624513"/>
          <a:ext cx="12043683" cy="0"/>
        </a:xfrm>
        <a:prstGeom prst="line">
          <a:avLst/>
        </a:prstGeom>
        <a:ln w="38100">
          <a:solidFill>
            <a:schemeClr val="tx2">
              <a:lumMod val="50000"/>
            </a:schemeClr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1</xdr:col>
      <xdr:colOff>71437</xdr:colOff>
      <xdr:row>0</xdr:row>
      <xdr:rowOff>47625</xdr:rowOff>
    </xdr:from>
    <xdr:ext cx="622093" cy="280205"/>
    <xdr:sp macro="[0]!ZoneTexte12_Cliquer" textlink="">
      <xdr:nvSpPr>
        <xdr:cNvPr id="13" name="ZoneTexte 12">
          <a:extLst>
            <a:ext uri="{FF2B5EF4-FFF2-40B4-BE49-F238E27FC236}">
              <a16:creationId xmlns:a16="http://schemas.microsoft.com/office/drawing/2014/main" id="{00000000-0008-0000-0200-00000D000000}"/>
            </a:ext>
          </a:extLst>
        </xdr:cNvPr>
        <xdr:cNvSpPr txBox="1"/>
      </xdr:nvSpPr>
      <xdr:spPr>
        <a:xfrm>
          <a:off x="178593" y="47625"/>
          <a:ext cx="622093" cy="28020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200" b="1">
              <a:solidFill>
                <a:srgbClr val="0070C0"/>
              </a:solidFill>
            </a:rPr>
            <a:t>Retour</a:t>
          </a:r>
        </a:p>
      </xdr:txBody>
    </xdr:sp>
    <xdr:clientData/>
  </xdr:oneCellAnchor>
  <xdr:twoCellAnchor editAs="oneCell">
    <xdr:from>
      <xdr:col>4</xdr:col>
      <xdr:colOff>33510</xdr:colOff>
      <xdr:row>17</xdr:row>
      <xdr:rowOff>99219</xdr:rowOff>
    </xdr:from>
    <xdr:to>
      <xdr:col>6</xdr:col>
      <xdr:colOff>436008</xdr:colOff>
      <xdr:row>24</xdr:row>
      <xdr:rowOff>93347</xdr:rowOff>
    </xdr:to>
    <xdr:pic>
      <xdr:nvPicPr>
        <xdr:cNvPr id="15" name="Image 14">
          <a:extLst>
            <a:ext uri="{FF2B5EF4-FFF2-40B4-BE49-F238E27FC236}">
              <a16:creationId xmlns:a16="http://schemas.microsoft.com/office/drawing/2014/main" id="{00000000-0008-0000-0200-00000F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912963" y="3224610"/>
          <a:ext cx="1156561" cy="1135143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Michel Pidou" refreshedDate="44433.379197916664" createdVersion="6" refreshedVersion="7" minRefreshableVersion="3" recordCount="9" xr:uid="{00000000-000A-0000-FFFF-FFFF00000000}">
  <cacheSource type="worksheet">
    <worksheetSource name="Tableau25"/>
  </cacheSource>
  <cacheFields count="14">
    <cacheField name="ID" numFmtId="0">
      <sharedItems containsSemiMixedTypes="0" containsString="0" containsNumber="1" containsInteger="1" minValue="1" maxValue="9"/>
    </cacheField>
    <cacheField name="Date" numFmtId="166">
      <sharedItems/>
    </cacheField>
    <cacheField name="Type" numFmtId="0">
      <sharedItems containsBlank="1" count="6">
        <s v="Entrée"/>
        <s v="Sortie"/>
        <m u="1"/>
        <s v="Budget" u="1"/>
        <s v="Transfer" u="1"/>
        <s v="i" u="1"/>
      </sharedItems>
    </cacheField>
    <cacheField name="Somme" numFmtId="164">
      <sharedItems containsSemiMixedTypes="0" containsString="0" containsNumber="1" minValue="3" maxValue="66.010000000000005"/>
    </cacheField>
    <cacheField name="Compte" numFmtId="0">
      <sharedItems containsMixedTypes="1" containsNumber="1" containsInteger="1" minValue="1" maxValue="1" count="2">
        <s v="Compte Principal"/>
        <n v="1" u="1"/>
      </sharedItems>
    </cacheField>
    <cacheField name="Description" numFmtId="0">
      <sharedItems containsBlank="1"/>
    </cacheField>
    <cacheField name="Catid" numFmtId="0">
      <sharedItems containsSemiMixedTypes="0" containsString="0" containsNumber="1" containsInteger="1" minValue="1" maxValue="10"/>
    </cacheField>
    <cacheField name="Catégorie" numFmtId="0">
      <sharedItems containsMixedTypes="1" containsNumber="1" containsInteger="1" minValue="1" maxValue="7" count="7">
        <s v="Encaissement"/>
        <s v="Frais de fonctionnement"/>
        <s v="Divers"/>
        <n v="2" u="1"/>
        <n v="7" u="1"/>
        <n v="1" u="1"/>
        <n v="3" u="1"/>
      </sharedItems>
    </cacheField>
    <cacheField name="SubId" numFmtId="0">
      <sharedItems containsBlank="1"/>
    </cacheField>
    <cacheField name="Sous-catégorie" numFmtId="0">
      <sharedItems count="125">
        <s v="Bar"/>
        <s v="Divers"/>
        <s v=""/>
        <s v="Ets Chudeau" u="1"/>
        <s v="Impot Foncier" u="1"/>
        <s v="Produits d'entretien" u="1"/>
        <s v="Noel AUDEBAULT" u="1"/>
        <s v="Cotisation Fédération" u="1"/>
        <s v="Tombola" u="1"/>
        <s v="Matériel Electrique" u="1"/>
        <s v="1.1" u="1"/>
        <s v="Cochon grillé" u="1"/>
        <s v="Dividende" u="1"/>
        <s v="Engagement" u="1"/>
        <s v="Autres achats" u="1"/>
        <s v="1.2" u="1"/>
        <s v="Ignoré" u="1"/>
        <s v="Réception" u="1"/>
        <s v="Cotisation" u="1"/>
        <s v="Club de l'age d'Or" u="1"/>
        <s v="1.3" u="1"/>
        <s v="Tête à Tête" u="1"/>
        <s v="Saint Nicolas de Bourgueil" u="1"/>
        <s v="Achat timbres" u="1"/>
        <s v="Frais transaction Titre" u="1"/>
        <s v="1.4" u="1"/>
        <s v="1.5" u="1"/>
        <s v="Soins corporels" u="1"/>
        <s v="Film" u="1"/>
        <s v="Achat bouteilles" u="1"/>
        <s v="Frais de Gestion compte" u="1"/>
        <s v="1.6" u="1"/>
        <s v="Service des eaux" u="1"/>
        <s v="gas" u="1"/>
        <s v="Boulangerie" u="1"/>
        <s v="hebergement" u="1"/>
        <s v="1.11" u="1"/>
        <s v="Tombole" u="1"/>
        <s v="Casse-croute" u="1"/>
        <s v="Actifs" u="1"/>
        <s v="Pension" u="1"/>
        <s v="Charges communes" u="1"/>
        <s v="Frais d'obsèques" u="1"/>
        <s v="Crédit" u="1"/>
        <s v="Plafond" u="1"/>
        <s v="Chaussures" u="1"/>
        <s v="Robert et Marcel" u="1"/>
        <s v="3 Contre 3" u="1"/>
        <s v="Loyer" u="1"/>
        <s v="Super U" u="1"/>
        <s v="Smitcom" u="1"/>
        <s v="Autre frais loisirs" u="1"/>
        <s v="Intêret bancaire" u="1"/>
        <s v="Achat Produits d'entretien" u="1"/>
        <s v="Calendrier pompiers" u="1"/>
        <s v="Encaissement mois précédent" u="1"/>
        <s v="Retraités" u="1"/>
        <s v="Achat Vaisselle" u="1"/>
        <s v="Autre" u="1"/>
        <s v="Smitvom" u="1"/>
        <s v="Restaurants" u="1"/>
        <s v="Achat Super u" u="1"/>
        <s v="Cotisation Fédé du saumurois" u="1"/>
        <s v="Entretiens" u="1"/>
        <s v="Jeu de boules" u="1"/>
        <s v="Achat cartourche imprimante" u="1"/>
        <s v="GAZ" u="1"/>
        <s v="Challenge" u="1"/>
        <s v="GSM" u="1"/>
        <s v="Enveloppe" u="1"/>
        <s v="Achat enveloppes" u="1"/>
        <s v="Crédit Boissons" u="1"/>
        <s v="Cotisation Fédération du Saumurois" u="1"/>
        <s v="cadastre" u="1"/>
        <s v="Autre dépense vacances" u="1"/>
        <s v="Lots" u="1"/>
        <s v="Autres assurances" u="1"/>
        <s v="Facture Robert et Marcel" u="1"/>
        <s v="2.2" u="1"/>
        <s v="Frais médicaux" u="1"/>
        <s v="Assemblée Générale" u="1"/>
        <s v="Autre dépense Transport" u="1"/>
        <s v="Boucherie" u="1"/>
        <s v="Achat Bricomarché" u="1"/>
        <s v="Autre participation" u="1"/>
        <s v="Autres frais soins de santé" u="1"/>
        <s v="Achat timbre" u="1"/>
        <s v="Michel PIDOU" u="1"/>
        <s v="2.4" u="1"/>
        <s v="EDF" u="1"/>
        <s v="Daniel DABURON" u="1"/>
        <s v="Assurance" u="1"/>
        <s v="Repas" u="1"/>
        <s v="Carburant" u="1"/>
        <s v="Concours de belote" u="1"/>
        <s v="Parking" u="1"/>
        <s v="Syndicat" u="1"/>
        <s v="Alimentation " u="1"/>
        <s v="nom de dommaine" u="1"/>
        <s v="Entretien chauffage" u="1"/>
        <s v="Plomberie" u="1"/>
        <s v="esddsai" u="1"/>
        <s v="Achat Lidl" u="1"/>
        <s v="autre dépense logment" u="1"/>
        <s v="Sandwich" u="1"/>
        <s v="Electricité" u="1"/>
        <s v="Activité Culturelle" u="1"/>
        <s v="Repas des bénévoles" u="1"/>
        <s v="Salaire" u="1"/>
        <s v="Frais Gestion Titre" u="1"/>
        <s v="Jeux Vidéo" u="1"/>
        <s v="Livre" u="1"/>
        <s v="Promocash" u="1"/>
        <s v="Infirmerie" u="1"/>
        <s v="Achat Mobilier" u="1"/>
        <s v="Clé Société" u="1"/>
        <s v="Mise en bouteilles" u="1"/>
        <s v="assurance habitation" u="1"/>
        <s v="J.Luc DESPEIGNES" u="1"/>
        <s v="Champigny" u="1"/>
        <s v="Habillement" u="1"/>
        <s v="3.1" u="1"/>
        <s v="Entrée" u="1"/>
        <s v="Sport" u="1"/>
        <s v="Communal" u="1"/>
      </sharedItems>
    </cacheField>
    <cacheField name="Commentaire" numFmtId="0">
      <sharedItems containsBlank="1"/>
    </cacheField>
    <cacheField name="Année" numFmtId="0">
      <sharedItems containsSemiMixedTypes="0" containsString="0" containsNumber="1" containsInteger="1" minValue="1900" maxValue="2021" count="6">
        <n v="2021"/>
        <n v="2020" u="1"/>
        <n v="2018" u="1"/>
        <n v="1900" u="1"/>
        <n v="2019" u="1"/>
        <n v="2017" u="1"/>
      </sharedItems>
    </cacheField>
    <cacheField name="Mois" numFmtId="0">
      <sharedItems count="16">
        <s v="janvier"/>
        <s v="février"/>
        <s v="mars"/>
        <s v="" u="1"/>
        <s v="cvb" u="1"/>
        <s v="juillet" u="1"/>
        <s v="octobre" u="1"/>
        <s v="mai" u="1"/>
        <s v="décembre" u="1"/>
        <s v="août" u="1"/>
        <s v="avril" u="1"/>
        <s v="esddsai" u="1"/>
        <s v="novembre" u="1"/>
        <s v="septembre" u="1"/>
        <s v="ras" u="1"/>
        <s v="juin" u="1"/>
      </sharedItems>
    </cacheField>
    <cacheField name="Recherche" numFmtId="0">
      <sharedItems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9">
  <r>
    <n v="1"/>
    <s v="30/01/2021"/>
    <x v="0"/>
    <n v="30"/>
    <x v="0"/>
    <s v=""/>
    <n v="1"/>
    <x v="0"/>
    <s v="1.11"/>
    <x v="0"/>
    <s v=""/>
    <x v="0"/>
    <x v="0"/>
    <s v="30/01/2021 Entrée 30 Compte Principal  Encaissement Bar  2021 janvier"/>
  </r>
  <r>
    <n v="2"/>
    <s v="30/01/2021"/>
    <x v="0"/>
    <n v="6.35"/>
    <x v="0"/>
    <s v=""/>
    <n v="1"/>
    <x v="0"/>
    <s v="1.5"/>
    <x v="1"/>
    <s v=""/>
    <x v="0"/>
    <x v="0"/>
    <s v="30/01/2021 Entrée 6,35 Compte Principal  Encaissement Divers  2021 janvier"/>
  </r>
  <r>
    <n v="3"/>
    <s v="30/01/2021"/>
    <x v="1"/>
    <n v="36.659999999999997"/>
    <x v="0"/>
    <s v=""/>
    <n v="3"/>
    <x v="1"/>
    <m/>
    <x v="2"/>
    <s v=""/>
    <x v="0"/>
    <x v="0"/>
    <s v="30/01/2021 Sortie 36,66 Compte Principal  Frais de fonctionnement   2021 janvier"/>
  </r>
  <r>
    <n v="4"/>
    <s v="30/01/2021"/>
    <x v="1"/>
    <n v="13"/>
    <x v="0"/>
    <m/>
    <n v="3"/>
    <x v="1"/>
    <m/>
    <x v="2"/>
    <m/>
    <x v="0"/>
    <x v="0"/>
    <s v="30/01/2021 Sortie 13 Compte Principal  Frais de fonctionnement   2021 janvier"/>
  </r>
  <r>
    <n v="5"/>
    <s v="20/02/2021"/>
    <x v="1"/>
    <n v="66.010000000000005"/>
    <x v="0"/>
    <s v=""/>
    <n v="3"/>
    <x v="1"/>
    <m/>
    <x v="2"/>
    <s v=""/>
    <x v="0"/>
    <x v="1"/>
    <s v="20/02/2021 Sortie 66,01 Compte Principal  Frais de fonctionnement   2021 février"/>
  </r>
  <r>
    <n v="6"/>
    <s v="20/02/2021"/>
    <x v="1"/>
    <n v="5"/>
    <x v="0"/>
    <s v=""/>
    <n v="10"/>
    <x v="2"/>
    <m/>
    <x v="2"/>
    <s v=""/>
    <x v="0"/>
    <x v="1"/>
    <s v="20/02/2021 Sortie 5 Compte Principal  Divers   2021 février"/>
  </r>
  <r>
    <n v="7"/>
    <s v="30/03/2021"/>
    <x v="1"/>
    <n v="20"/>
    <x v="0"/>
    <s v=""/>
    <n v="10"/>
    <x v="2"/>
    <m/>
    <x v="2"/>
    <s v=""/>
    <x v="0"/>
    <x v="2"/>
    <s v="30/03/2021 Sortie 20 Compte Principal  Divers   2021 mars"/>
  </r>
  <r>
    <n v="8"/>
    <s v="30/03/2021"/>
    <x v="0"/>
    <n v="3"/>
    <x v="0"/>
    <s v=""/>
    <n v="1"/>
    <x v="0"/>
    <s v="1.11"/>
    <x v="0"/>
    <s v=""/>
    <x v="0"/>
    <x v="2"/>
    <s v="30/03/2021 Entrée 3 Compte Principal  Encaissement Bar  2021 mars"/>
  </r>
  <r>
    <n v="9"/>
    <s v="30/03/2021"/>
    <x v="0"/>
    <n v="42.9"/>
    <x v="0"/>
    <s v=""/>
    <n v="1"/>
    <x v="0"/>
    <s v="1.5"/>
    <x v="1"/>
    <s v=""/>
    <x v="0"/>
    <x v="2"/>
    <s v="30/03/2021 Entrée 42,9 Compte Principal  Encaissement Divers  2021 mars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0000000}" name="Tableau croisé dynamique1" cacheId="1" applyNumberFormats="0" applyBorderFormats="0" applyFontFormats="0" applyPatternFormats="0" applyAlignmentFormats="0" applyWidthHeightFormats="1" dataCaption="Valeurs" updatedVersion="7" minRefreshableVersion="3" showDrill="0" colGrandTotals="0" itemPrintTitles="1" createdVersion="6" indent="0" showHeaders="0" outline="1" outlineData="1" multipleFieldFilters="0" chartFormat="3">
  <location ref="I3:J7" firstHeaderRow="1" firstDataRow="2" firstDataCol="1"/>
  <pivotFields count="14">
    <pivotField subtotalTop="0" showAll="0"/>
    <pivotField numFmtId="14" subtotalTop="0" showAll="0"/>
    <pivotField axis="axisCol" subtotalTop="0" showAll="0">
      <items count="7">
        <item h="1" x="0"/>
        <item h="1" m="1" x="4"/>
        <item x="1"/>
        <item m="1" x="3"/>
        <item h="1" m="1" x="2"/>
        <item h="1" m="1" x="5"/>
        <item t="default"/>
      </items>
    </pivotField>
    <pivotField dataField="1" numFmtId="164" subtotalTop="0" showAll="0"/>
    <pivotField subtotalTop="0" showAll="0">
      <items count="3">
        <item h="1" m="1" x="1"/>
        <item x="0"/>
        <item t="default"/>
      </items>
    </pivotField>
    <pivotField subtotalTop="0" showAll="0"/>
    <pivotField subtotalTop="0" showAll="0"/>
    <pivotField axis="axisRow" subtotalTop="0" showAll="0">
      <items count="8">
        <item m="1" x="5"/>
        <item m="1" x="3"/>
        <item m="1" x="4"/>
        <item m="1" x="6"/>
        <item x="0"/>
        <item x="1"/>
        <item x="2"/>
        <item t="default"/>
      </items>
    </pivotField>
    <pivotField subtotalTop="0" showAll="0"/>
    <pivotField subtotalTop="0" showAll="0"/>
    <pivotField subtotalTop="0" showAll="0"/>
    <pivotField subtotalTop="0" showAll="0">
      <items count="7">
        <item h="1" m="1" x="3"/>
        <item h="1" m="1" x="5"/>
        <item h="1" m="1" x="2"/>
        <item h="1" m="1" x="4"/>
        <item h="1" m="1" x="1"/>
        <item x="0"/>
        <item t="default"/>
      </items>
    </pivotField>
    <pivotField subtotalTop="0" showAll="0">
      <items count="17">
        <item x="0"/>
        <item x="1"/>
        <item x="2"/>
        <item m="1" x="10"/>
        <item m="1" x="7"/>
        <item m="1" x="15"/>
        <item m="1" x="5"/>
        <item m="1" x="9"/>
        <item m="1" x="13"/>
        <item m="1" x="6"/>
        <item m="1" x="12"/>
        <item m="1" x="8"/>
        <item m="1" x="3"/>
        <item m="1" x="4"/>
        <item m="1" x="11"/>
        <item m="1" x="14"/>
        <item t="default"/>
      </items>
    </pivotField>
    <pivotField subtotalTop="0" showAll="0"/>
  </pivotFields>
  <rowFields count="1">
    <field x="7"/>
  </rowFields>
  <rowItems count="3">
    <i>
      <x v="5"/>
    </i>
    <i>
      <x v="6"/>
    </i>
    <i t="grand">
      <x/>
    </i>
  </rowItems>
  <colFields count="1">
    <field x="2"/>
  </colFields>
  <colItems count="1">
    <i>
      <x v="2"/>
    </i>
  </colItems>
  <dataFields count="1">
    <dataField name="Somme de Somme" fld="3" baseField="8" baseItem="1" numFmtId="165"/>
  </dataFields>
  <formats count="1">
    <format dxfId="11">
      <pivotArea dataOnly="0" labelOnly="1" fieldPosition="0">
        <references count="1">
          <reference field="2" count="0"/>
        </references>
      </pivotArea>
    </format>
  </formats>
  <chartFormats count="3">
    <chartFormat chart="2" format="0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2" format="1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2" format="3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22 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2000000}" name="Tableau croisé dynamique3" cacheId="1" applyNumberFormats="0" applyBorderFormats="0" applyFontFormats="0" applyPatternFormats="0" applyAlignmentFormats="0" applyWidthHeightFormats="1" dataCaption="Valeurs" updatedVersion="7" minRefreshableVersion="3" rowGrandTotals="0" colGrandTotals="0" itemPrintTitles="1" createdVersion="6" indent="0" showHeaders="0" outline="1" outlineData="1" multipleFieldFilters="0">
  <location ref="B23:C28" firstHeaderRow="1" firstDataRow="2" firstDataCol="1"/>
  <pivotFields count="14">
    <pivotField subtotalTop="0" showAll="0" defaultSubtotal="0"/>
    <pivotField numFmtId="14" subtotalTop="0" showAll="0" defaultSubtotal="0"/>
    <pivotField axis="axisCol" subtotalTop="0" showAll="0" defaultSubtotal="0">
      <items count="6">
        <item h="1" x="0"/>
        <item x="1"/>
        <item h="1" m="1" x="4"/>
        <item m="1" x="3"/>
        <item h="1" m="1" x="2"/>
        <item h="1" m="1" x="5"/>
      </items>
    </pivotField>
    <pivotField dataField="1" numFmtId="164" subtotalTop="0" showAll="0" defaultSubtotal="0"/>
    <pivotField subtotalTop="0" showAll="0" defaultSubtotal="0">
      <items count="2">
        <item h="1" m="1" x="1"/>
        <item x="0"/>
      </items>
    </pivotField>
    <pivotField subtotalTop="0" showAll="0" defaultSubtotal="0"/>
    <pivotField subtotalTop="0" showAll="0" defaultSubtotal="0"/>
    <pivotField axis="axisRow" subtotalTop="0" showAll="0" defaultSubtotal="0">
      <items count="7">
        <item m="1" x="5"/>
        <item m="1" x="3"/>
        <item m="1" x="4"/>
        <item m="1" x="6"/>
        <item x="0"/>
        <item x="1"/>
        <item x="2"/>
      </items>
    </pivotField>
    <pivotField subtotalTop="0" showAll="0" defaultSubtotal="0"/>
    <pivotField axis="axisRow" subtotalTop="0" showAll="0" defaultSubtotal="0">
      <items count="125">
        <item x="2"/>
        <item m="1" x="43"/>
        <item m="1" x="48"/>
        <item m="1" x="108"/>
        <item m="1" x="30"/>
        <item m="1" x="91"/>
        <item m="1" x="24"/>
        <item m="1" x="109"/>
        <item m="1" x="12"/>
        <item m="1" x="41"/>
        <item m="1" x="33"/>
        <item m="1" x="85"/>
        <item m="1" x="73"/>
        <item m="1" x="40"/>
        <item m="1" x="110"/>
        <item m="1" x="79"/>
        <item m="1" x="76"/>
        <item m="1" x="68"/>
        <item m="1" x="74"/>
        <item m="1" x="96"/>
        <item m="1" x="63"/>
        <item m="1" x="60"/>
        <item m="1" x="28"/>
        <item m="1" x="106"/>
        <item m="1" x="51"/>
        <item m="1" x="97"/>
        <item m="1" x="120"/>
        <item m="1" x="45"/>
        <item m="1" x="81"/>
        <item m="1" x="95"/>
        <item m="1" x="27"/>
        <item m="1" x="93"/>
        <item m="1" x="123"/>
        <item m="1" x="103"/>
        <item m="1" x="111"/>
        <item m="1" x="98"/>
        <item m="1" x="35"/>
        <item m="1" x="117"/>
        <item m="1" x="55"/>
        <item m="1" x="13"/>
        <item m="1" x="64"/>
        <item x="0"/>
        <item m="1" x="52"/>
        <item m="1" x="26"/>
        <item m="1" x="25"/>
        <item m="1" x="94"/>
        <item m="1" x="31"/>
        <item m="1" x="15"/>
        <item m="1" x="71"/>
        <item m="1" x="10"/>
        <item m="1" x="78"/>
        <item m="1" x="47"/>
        <item m="1" x="22"/>
        <item m="1" x="46"/>
        <item m="1" x="36"/>
        <item m="1" x="121"/>
        <item m="1" x="101"/>
        <item m="1" x="3"/>
        <item m="1" x="49"/>
        <item m="1" x="57"/>
        <item m="1" x="61"/>
        <item m="1" x="107"/>
        <item m="1" x="90"/>
        <item m="1" x="72"/>
        <item m="1" x="7"/>
        <item m="1" x="69"/>
        <item x="1"/>
        <item m="1" x="100"/>
        <item m="1" x="18"/>
        <item m="1" x="89"/>
        <item m="1" x="66"/>
        <item m="1" x="116"/>
        <item m="1" x="114"/>
        <item m="1" x="80"/>
        <item m="1" x="6"/>
        <item m="1" x="65"/>
        <item m="1" x="118"/>
        <item m="1" x="86"/>
        <item m="1" x="21"/>
        <item m="1" x="23"/>
        <item m="1" x="19"/>
        <item m="1" x="67"/>
        <item m="1" x="59"/>
        <item m="1" x="99"/>
        <item m="1" x="50"/>
        <item m="1" x="84"/>
        <item m="1" x="9"/>
        <item m="1" x="104"/>
        <item m="1" x="58"/>
        <item m="1" x="70"/>
        <item m="1" x="56"/>
        <item m="1" x="39"/>
        <item m="1" x="113"/>
        <item m="1" x="92"/>
        <item m="1" x="37"/>
        <item m="1" x="8"/>
        <item m="1" x="83"/>
        <item m="1" x="11"/>
        <item m="1" x="124"/>
        <item m="1" x="32"/>
        <item m="1" x="42"/>
        <item m="1" x="14"/>
        <item m="1" x="4"/>
        <item m="1" x="5"/>
        <item m="1" x="62"/>
        <item m="1" x="119"/>
        <item m="1" x="112"/>
        <item m="1" x="53"/>
        <item m="1" x="77"/>
        <item m="1" x="29"/>
        <item m="1" x="102"/>
        <item m="1" x="105"/>
        <item m="1" x="44"/>
        <item m="1" x="17"/>
        <item m="1" x="75"/>
        <item m="1" x="16"/>
        <item m="1" x="115"/>
        <item m="1" x="87"/>
        <item m="1" x="122"/>
        <item m="1" x="34"/>
        <item m="1" x="38"/>
        <item m="1" x="82"/>
        <item m="1" x="54"/>
        <item m="1" x="20"/>
        <item m="1" x="88"/>
      </items>
    </pivotField>
    <pivotField subtotalTop="0" showAll="0" defaultSubtotal="0"/>
    <pivotField subtotalTop="0" showAll="0" defaultSubtotal="0">
      <items count="6">
        <item h="1" m="1" x="3"/>
        <item h="1" m="1" x="5"/>
        <item h="1" m="1" x="2"/>
        <item h="1" m="1" x="4"/>
        <item h="1" m="1" x="1"/>
        <item x="0"/>
      </items>
    </pivotField>
    <pivotField subtotalTop="0" showAll="0" defaultSubtotal="0">
      <items count="16">
        <item x="0"/>
        <item x="1"/>
        <item x="2"/>
        <item m="1" x="10"/>
        <item m="1" x="7"/>
        <item m="1" x="15"/>
        <item m="1" x="5"/>
        <item m="1" x="9"/>
        <item m="1" x="13"/>
        <item m="1" x="6"/>
        <item m="1" x="12"/>
        <item m="1" x="8"/>
        <item m="1" x="3"/>
        <item m="1" x="4"/>
        <item m="1" x="11"/>
        <item m="1" x="14"/>
      </items>
    </pivotField>
    <pivotField subtotalTop="0" showAll="0" defaultSubtotal="0"/>
  </pivotFields>
  <rowFields count="2">
    <field x="7"/>
    <field x="9"/>
  </rowFields>
  <rowItems count="4">
    <i>
      <x v="5"/>
    </i>
    <i r="1">
      <x/>
    </i>
    <i>
      <x v="6"/>
    </i>
    <i r="1">
      <x/>
    </i>
  </rowItems>
  <colFields count="1">
    <field x="2"/>
  </colFields>
  <colItems count="1">
    <i>
      <x v="1"/>
    </i>
  </colItems>
  <dataFields count="1">
    <dataField name="Somme de Somme" fld="3" baseField="8" baseItem="3" numFmtId="165"/>
  </dataFields>
  <formats count="3">
    <format dxfId="14">
      <pivotArea outline="0" collapsedLevelsAreSubtotals="1" fieldPosition="0"/>
    </format>
    <format dxfId="13">
      <pivotArea type="topRight" dataOnly="0" labelOnly="1" outline="0" fieldPosition="0"/>
    </format>
    <format dxfId="12">
      <pivotArea dataOnly="0" labelOnly="1" fieldPosition="0">
        <references count="1">
          <reference field="2" count="0"/>
        </references>
      </pivotArea>
    </format>
  </formats>
  <conditionalFormats count="4">
    <conditionalFormat priority="5">
      <pivotAreas count="1">
        <pivotArea type="data" outline="0" collapsedLevelsAreSubtotals="1" fieldPosition="0">
          <references count="2">
            <reference field="4294967294" count="1" selected="0">
              <x v="0"/>
            </reference>
            <reference field="2" count="1" selected="0">
              <x v="1"/>
            </reference>
          </references>
        </pivotArea>
      </pivotAreas>
    </conditionalFormat>
    <conditionalFormat priority="6">
      <pivotAreas count="1">
        <pivotArea type="data" outline="0" collapsedLevelsAreSubtotals="1" fieldPosition="0">
          <references count="2">
            <reference field="4294967294" count="1" selected="0">
              <x v="0"/>
            </reference>
            <reference field="2" count="1" selected="0">
              <x v="1"/>
            </reference>
          </references>
        </pivotArea>
      </pivotAreas>
    </conditionalFormat>
    <conditionalFormat priority="10">
      <pivotAreas count="1">
        <pivotArea type="data" outline="0" collapsedLevelsAreSubtotals="1" fieldPosition="0">
          <references count="2">
            <reference field="4294967294" count="1" selected="0">
              <x v="0"/>
            </reference>
            <reference field="2" count="1" selected="0">
              <x v="1"/>
            </reference>
          </references>
        </pivotArea>
      </pivotAreas>
    </conditionalFormat>
    <conditionalFormat priority="11">
      <pivotAreas count="1">
        <pivotArea type="data" outline="0" collapsedLevelsAreSubtotals="1" fieldPosition="0">
          <references count="2">
            <reference field="4294967294" count="1" selected="0">
              <x v="0"/>
            </reference>
            <reference field="2" count="1" selected="0">
              <x v="1"/>
            </reference>
          </references>
        </pivotArea>
      </pivotAreas>
    </conditionalFormat>
  </conditionalFormats>
  <pivotTableStyleInfo name="PivotStyleLight22 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1000000}" name="Tableau croisé dynamique2" cacheId="1" applyNumberFormats="0" applyBorderFormats="0" applyFontFormats="0" applyPatternFormats="0" applyAlignmentFormats="0" applyWidthHeightFormats="1" dataCaption="Valeurs" updatedVersion="7" minRefreshableVersion="3" showDrill="0" colGrandTotals="0" itemPrintTitles="1" createdVersion="6" indent="0" showHeaders="0" outline="1" outlineData="1" multipleFieldFilters="0">
  <location ref="P3:Q6" firstHeaderRow="1" firstDataRow="2" firstDataCol="1"/>
  <pivotFields count="14">
    <pivotField subtotalTop="0" showAll="0"/>
    <pivotField numFmtId="14" subtotalTop="0" showAll="0"/>
    <pivotField axis="axisCol" subtotalTop="0" showAll="0">
      <items count="7">
        <item h="1" m="1" x="3"/>
        <item x="0"/>
        <item h="1" x="1"/>
        <item h="1" m="1" x="4"/>
        <item h="1" m="1" x="2"/>
        <item h="1" m="1" x="5"/>
        <item t="default"/>
      </items>
    </pivotField>
    <pivotField dataField="1" numFmtId="164" subtotalTop="0" showAll="0"/>
    <pivotField subtotalTop="0" showAll="0">
      <items count="3">
        <item h="1" m="1" x="1"/>
        <item x="0"/>
        <item t="default"/>
      </items>
    </pivotField>
    <pivotField subtotalTop="0" showAll="0"/>
    <pivotField subtotalTop="0" showAll="0"/>
    <pivotField axis="axisRow" subtotalTop="0" showAll="0">
      <items count="8">
        <item m="1" x="5"/>
        <item m="1" x="3"/>
        <item m="1" x="4"/>
        <item m="1" x="6"/>
        <item x="0"/>
        <item x="1"/>
        <item x="2"/>
        <item t="default"/>
      </items>
    </pivotField>
    <pivotField subtotalTop="0" showAll="0"/>
    <pivotField subtotalTop="0" showAll="0"/>
    <pivotField subtotalTop="0" showAll="0"/>
    <pivotField subtotalTop="0" showAll="0">
      <items count="7">
        <item h="1" m="1" x="3"/>
        <item h="1" m="1" x="5"/>
        <item h="1" m="1" x="2"/>
        <item h="1" m="1" x="4"/>
        <item h="1" m="1" x="1"/>
        <item x="0"/>
        <item t="default"/>
      </items>
    </pivotField>
    <pivotField subtotalTop="0" showAll="0">
      <items count="17">
        <item x="0"/>
        <item x="1"/>
        <item x="2"/>
        <item m="1" x="10"/>
        <item m="1" x="7"/>
        <item m="1" x="15"/>
        <item m="1" x="5"/>
        <item m="1" x="9"/>
        <item m="1" x="13"/>
        <item m="1" x="6"/>
        <item m="1" x="12"/>
        <item m="1" x="8"/>
        <item m="1" x="3"/>
        <item m="1" x="4"/>
        <item m="1" x="11"/>
        <item m="1" x="14"/>
        <item t="default"/>
      </items>
    </pivotField>
    <pivotField subtotalTop="0" showAll="0"/>
  </pivotFields>
  <rowFields count="1">
    <field x="7"/>
  </rowFields>
  <rowItems count="2">
    <i>
      <x v="4"/>
    </i>
    <i t="grand">
      <x/>
    </i>
  </rowItems>
  <colFields count="1">
    <field x="2"/>
  </colFields>
  <colItems count="1">
    <i>
      <x v="1"/>
    </i>
  </colItems>
  <dataFields count="1">
    <dataField name="Somme de Somme" fld="3" baseField="8" baseItem="2" numFmtId="165"/>
  </dataFields>
  <formats count="2">
    <format dxfId="16">
      <pivotArea dataOnly="0" labelOnly="1" fieldPosition="0">
        <references count="1">
          <reference field="2" count="0"/>
        </references>
      </pivotArea>
    </format>
    <format dxfId="15">
      <pivotArea dataOnly="0" labelOnly="1" fieldPosition="0">
        <references count="1">
          <reference field="2" count="0"/>
        </references>
      </pivotArea>
    </format>
  </formats>
  <pivotTableStyleInfo name="PivotStyleLight22 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400-000000000000}" name="Tableau croisé dynamique4" cacheId="1" applyNumberFormats="0" applyBorderFormats="0" applyFontFormats="0" applyPatternFormats="0" applyAlignmentFormats="0" applyWidthHeightFormats="1" dataCaption="Valeurs" updatedVersion="7" minRefreshableVersion="3" useAutoFormatting="1" itemPrintTitles="1" createdVersion="6" indent="0" outline="1" outlineData="1" multipleFieldFilters="0" colHeaderCaption=" ">
  <location ref="B3:F19" firstHeaderRow="1" firstDataRow="2" firstDataCol="1"/>
  <pivotFields count="14">
    <pivotField subtotalTop="0" showAll="0"/>
    <pivotField numFmtId="14" subtotalTop="0" showAll="0"/>
    <pivotField axis="axisRow" subtotalTop="0" showAll="0">
      <items count="7">
        <item h="1" m="1" x="3"/>
        <item x="0"/>
        <item x="1"/>
        <item h="1" m="1" x="4"/>
        <item h="1" m="1" x="2"/>
        <item h="1" m="1" x="5"/>
        <item t="default"/>
      </items>
    </pivotField>
    <pivotField dataField="1" numFmtId="164" subtotalTop="0" showAll="0"/>
    <pivotField subtotalTop="0" showAll="0">
      <items count="3">
        <item h="1" m="1" x="1"/>
        <item x="0"/>
        <item t="default"/>
      </items>
    </pivotField>
    <pivotField subtotalTop="0" showAll="0"/>
    <pivotField subtotalTop="0" showAll="0"/>
    <pivotField axis="axisRow" subtotalTop="0" showAll="0">
      <items count="8">
        <item m="1" x="5"/>
        <item m="1" x="3"/>
        <item m="1" x="4"/>
        <item m="1" x="6"/>
        <item x="0"/>
        <item x="1"/>
        <item x="2"/>
        <item t="default"/>
      </items>
    </pivotField>
    <pivotField subtotalTop="0" showAll="0"/>
    <pivotField axis="axisRow" subtotalTop="0" showAll="0">
      <items count="126">
        <item x="2"/>
        <item m="1" x="43"/>
        <item m="1" x="48"/>
        <item m="1" x="108"/>
        <item m="1" x="30"/>
        <item m="1" x="91"/>
        <item m="1" x="24"/>
        <item m="1" x="109"/>
        <item m="1" x="12"/>
        <item m="1" x="41"/>
        <item m="1" x="33"/>
        <item m="1" x="85"/>
        <item m="1" x="73"/>
        <item m="1" x="40"/>
        <item m="1" x="110"/>
        <item m="1" x="79"/>
        <item m="1" x="76"/>
        <item m="1" x="68"/>
        <item m="1" x="74"/>
        <item m="1" x="96"/>
        <item m="1" x="63"/>
        <item m="1" x="60"/>
        <item m="1" x="28"/>
        <item m="1" x="106"/>
        <item m="1" x="51"/>
        <item m="1" x="97"/>
        <item m="1" x="120"/>
        <item m="1" x="45"/>
        <item m="1" x="81"/>
        <item m="1" x="95"/>
        <item m="1" x="27"/>
        <item m="1" x="93"/>
        <item m="1" x="123"/>
        <item m="1" x="103"/>
        <item m="1" x="111"/>
        <item m="1" x="98"/>
        <item m="1" x="35"/>
        <item m="1" x="117"/>
        <item m="1" x="55"/>
        <item m="1" x="13"/>
        <item m="1" x="64"/>
        <item x="0"/>
        <item m="1" x="52"/>
        <item m="1" x="26"/>
        <item m="1" x="25"/>
        <item m="1" x="94"/>
        <item m="1" x="31"/>
        <item m="1" x="15"/>
        <item m="1" x="71"/>
        <item m="1" x="10"/>
        <item m="1" x="78"/>
        <item m="1" x="47"/>
        <item m="1" x="22"/>
        <item m="1" x="46"/>
        <item m="1" x="36"/>
        <item m="1" x="121"/>
        <item m="1" x="101"/>
        <item m="1" x="3"/>
        <item m="1" x="49"/>
        <item m="1" x="57"/>
        <item m="1" x="61"/>
        <item m="1" x="107"/>
        <item m="1" x="90"/>
        <item m="1" x="72"/>
        <item m="1" x="7"/>
        <item m="1" x="69"/>
        <item x="1"/>
        <item m="1" x="100"/>
        <item m="1" x="18"/>
        <item m="1" x="89"/>
        <item m="1" x="66"/>
        <item m="1" x="116"/>
        <item m="1" x="114"/>
        <item m="1" x="80"/>
        <item m="1" x="6"/>
        <item m="1" x="65"/>
        <item m="1" x="118"/>
        <item m="1" x="86"/>
        <item m="1" x="21"/>
        <item m="1" x="23"/>
        <item m="1" x="19"/>
        <item m="1" x="67"/>
        <item m="1" x="59"/>
        <item m="1" x="99"/>
        <item m="1" x="50"/>
        <item m="1" x="84"/>
        <item m="1" x="9"/>
        <item m="1" x="104"/>
        <item m="1" x="58"/>
        <item m="1" x="70"/>
        <item m="1" x="56"/>
        <item m="1" x="39"/>
        <item m="1" x="113"/>
        <item m="1" x="92"/>
        <item m="1" x="37"/>
        <item m="1" x="8"/>
        <item m="1" x="83"/>
        <item m="1" x="11"/>
        <item m="1" x="124"/>
        <item m="1" x="32"/>
        <item m="1" x="42"/>
        <item m="1" x="14"/>
        <item m="1" x="4"/>
        <item m="1" x="5"/>
        <item m="1" x="62"/>
        <item m="1" x="119"/>
        <item m="1" x="112"/>
        <item m="1" x="53"/>
        <item m="1" x="77"/>
        <item m="1" x="29"/>
        <item m="1" x="102"/>
        <item m="1" x="105"/>
        <item m="1" x="44"/>
        <item m="1" x="17"/>
        <item m="1" x="75"/>
        <item m="1" x="16"/>
        <item m="1" x="115"/>
        <item m="1" x="87"/>
        <item m="1" x="122"/>
        <item m="1" x="34"/>
        <item m="1" x="38"/>
        <item m="1" x="82"/>
        <item m="1" x="54"/>
        <item m="1" x="20"/>
        <item m="1" x="88"/>
        <item t="default"/>
      </items>
    </pivotField>
    <pivotField subtotalTop="0" showAll="0"/>
    <pivotField subtotalTop="0" showAll="0">
      <items count="7">
        <item h="1" m="1" x="3"/>
        <item h="1" m="1" x="5"/>
        <item h="1" m="1" x="2"/>
        <item h="1" m="1" x="4"/>
        <item h="1" m="1" x="1"/>
        <item x="0"/>
        <item t="default"/>
      </items>
    </pivotField>
    <pivotField axis="axisCol" subtotalTop="0" showAll="0" sortType="ascending">
      <items count="17">
        <item x="0"/>
        <item x="1"/>
        <item x="2"/>
        <item m="1" x="10"/>
        <item m="1" x="7"/>
        <item m="1" x="15"/>
        <item m="1" x="5"/>
        <item m="1" x="9"/>
        <item m="1" x="13"/>
        <item m="1" x="6"/>
        <item m="1" x="12"/>
        <item m="1" x="8"/>
        <item m="1" x="3"/>
        <item m="1" x="4"/>
        <item m="1" x="11"/>
        <item m="1" x="14"/>
        <item t="default"/>
      </items>
    </pivotField>
    <pivotField subtotalTop="0" showAll="0"/>
  </pivotFields>
  <rowFields count="3">
    <field x="2"/>
    <field x="7"/>
    <field x="9"/>
  </rowFields>
  <rowItems count="15">
    <i>
      <x v="1"/>
    </i>
    <i r="1">
      <x v="4"/>
    </i>
    <i r="2">
      <x v="41"/>
    </i>
    <i r="2">
      <x v="66"/>
    </i>
    <i t="default" r="1">
      <x v="4"/>
    </i>
    <i t="default">
      <x v="1"/>
    </i>
    <i>
      <x v="2"/>
    </i>
    <i r="1">
      <x v="5"/>
    </i>
    <i r="2">
      <x/>
    </i>
    <i t="default" r="1">
      <x v="5"/>
    </i>
    <i r="1">
      <x v="6"/>
    </i>
    <i r="2">
      <x/>
    </i>
    <i t="default" r="1">
      <x v="6"/>
    </i>
    <i t="default">
      <x v="2"/>
    </i>
    <i t="grand">
      <x/>
    </i>
  </rowItems>
  <colFields count="1">
    <field x="12"/>
  </colFields>
  <colItems count="4">
    <i>
      <x/>
    </i>
    <i>
      <x v="1"/>
    </i>
    <i>
      <x v="2"/>
    </i>
    <i t="grand">
      <x/>
    </i>
  </colItems>
  <dataFields count="1">
    <dataField name=" " fld="3" baseField="10" baseItem="2" numFmtId="165"/>
  </dataFields>
  <formats count="2">
    <format dxfId="8">
      <pivotArea dataOnly="0" labelOnly="1" fieldPosition="0">
        <references count="1">
          <reference field="12" count="0"/>
        </references>
      </pivotArea>
    </format>
    <format dxfId="7">
      <pivotArea dataOnly="0" labelOnly="1" grandCol="1" outline="0" fieldPosition="0"/>
    </format>
  </format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ompte" xr10:uid="{00000000-0013-0000-FFFF-FFFF01000000}" sourceName="Compte">
  <pivotTables>
    <pivotTable tabId="5" name="Tableau croisé dynamique1"/>
    <pivotTable tabId="5" name="Tableau croisé dynamique2"/>
    <pivotTable tabId="5" name="Tableau croisé dynamique3"/>
    <pivotTable tabId="6" name="Tableau croisé dynamique4"/>
  </pivotTables>
  <data>
    <tabular pivotCacheId="1" crossFilter="none">
      <items count="2">
        <i x="1"/>
        <i x="0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nnée" xr10:uid="{00000000-0013-0000-FFFF-FFFF02000000}" sourceName="Année">
  <pivotTables>
    <pivotTable tabId="5" name="Tableau croisé dynamique1"/>
    <pivotTable tabId="5" name="Tableau croisé dynamique2"/>
    <pivotTable tabId="5" name="Tableau croisé dynamique3"/>
    <pivotTable tabId="6" name="Tableau croisé dynamique4"/>
  </pivotTables>
  <data>
    <tabular pivotCacheId="1" crossFilter="none">
      <items count="6">
        <i x="3"/>
        <i x="5"/>
        <i x="2"/>
        <i x="4"/>
        <i x="1"/>
        <i x="0" s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is" xr10:uid="{00000000-0013-0000-FFFF-FFFF03000000}" sourceName="Mois">
  <pivotTables>
    <pivotTable tabId="5" name="Tableau croisé dynamique1"/>
    <pivotTable tabId="5" name="Tableau croisé dynamique2"/>
    <pivotTable tabId="6" name="Tableau croisé dynamique4"/>
    <pivotTable tabId="5" name="Tableau croisé dynamique3"/>
  </pivotTables>
  <data>
    <tabular pivotCacheId="1" crossFilter="none">
      <items count="16">
        <i x="0" s="1"/>
        <i x="1" s="1"/>
        <i x="2" s="1"/>
        <i x="10" s="1"/>
        <i x="7" s="1"/>
        <i x="15" s="1"/>
        <i x="5" s="1"/>
        <i x="9" s="1"/>
        <i x="13" s="1"/>
        <i x="6" s="1"/>
        <i x="12" s="1"/>
        <i x="8" s="1"/>
        <i x="3" s="1"/>
        <i x="4" s="1"/>
        <i x="11" s="1"/>
        <i x="14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Compte" xr10:uid="{00000000-0014-0000-FFFF-FFFF01000000}" cache="Segment_Compte" caption="Compte" rowHeight="241300"/>
  <slicer name="Type" xr10:uid="{00000000-0014-0000-FFFF-FFFF02000000}" cache="Segment_Année" caption="Année" startItem="2" rowHeight="241300"/>
  <slicer name="Mois" xr10:uid="{00000000-0014-0000-FFFF-FFFF03000000}" cache="Segment_Mois" caption="Mois" columnCount="3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B3:C18" totalsRowShown="0" headerRowDxfId="49">
  <autoFilter ref="B3:C18" xr:uid="{00000000-0009-0000-0100-000001000000}"/>
  <tableColumns count="2">
    <tableColumn id="1" xr3:uid="{00000000-0010-0000-0000-000001000000}" name="ID" dataDxfId="48"/>
    <tableColumn id="2" xr3:uid="{00000000-0010-0000-0000-000002000000}" name="Catégorie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B26:C30" totalsRowShown="0" headerRowDxfId="47">
  <autoFilter ref="B26:C30" xr:uid="{00000000-0009-0000-0100-000002000000}"/>
  <sortState xmlns:xlrd2="http://schemas.microsoft.com/office/spreadsheetml/2017/richdata2" ref="B27:C30">
    <sortCondition ref="B27:B30"/>
  </sortState>
  <tableColumns count="2">
    <tableColumn id="1" xr3:uid="{00000000-0010-0000-0100-000001000000}" name="ID" dataDxfId="46"/>
    <tableColumn id="2" xr3:uid="{00000000-0010-0000-0100-000002000000}" name="Catégorie"/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ableau3" displayName="Tableau3" ref="E3:F15" totalsRowShown="0" headerRowDxfId="45">
  <autoFilter ref="E3:F15" xr:uid="{00000000-0009-0000-0100-000003000000}"/>
  <sortState xmlns:xlrd2="http://schemas.microsoft.com/office/spreadsheetml/2017/richdata2" ref="E4:F15">
    <sortCondition ref="E4:E15"/>
  </sortState>
  <tableColumns count="2">
    <tableColumn id="1" xr3:uid="{00000000-0010-0000-0200-000001000000}" name="ID " dataDxfId="44"/>
    <tableColumn id="2" xr3:uid="{00000000-0010-0000-0200-000002000000}" name="sous-catégorie"/>
  </tableColumns>
  <tableStyleInfo name="TableStyleLight8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3000000}" name="Tableau7" displayName="Tableau7" ref="H3:I13" totalsRowShown="0" headerRowDxfId="43" tableBorderDxfId="42">
  <autoFilter ref="H3:I13" xr:uid="{00000000-0009-0000-0100-000007000000}"/>
  <sortState xmlns:xlrd2="http://schemas.microsoft.com/office/spreadsheetml/2017/richdata2" ref="H4:I13">
    <sortCondition ref="H4:H13"/>
  </sortState>
  <tableColumns count="2">
    <tableColumn id="1" xr3:uid="{00000000-0010-0000-0300-000001000000}" name="sub2" dataDxfId="41"/>
    <tableColumn id="2" xr3:uid="{00000000-0010-0000-0300-000002000000}" name="subcat2"/>
  </tableColumns>
  <tableStyleInfo name="TableStyleLight8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4000000}" name="Tableau8" displayName="Tableau8" ref="K3:L11" totalsRowShown="0" headerRowDxfId="40">
  <autoFilter ref="K3:L11" xr:uid="{00000000-0009-0000-0100-000008000000}"/>
  <sortState xmlns:xlrd2="http://schemas.microsoft.com/office/spreadsheetml/2017/richdata2" ref="K4:L11">
    <sortCondition ref="L4:L11"/>
  </sortState>
  <tableColumns count="2">
    <tableColumn id="1" xr3:uid="{00000000-0010-0000-0400-000001000000}" name="sub3"/>
    <tableColumn id="2" xr3:uid="{00000000-0010-0000-0400-000002000000}" name="subcat3"/>
  </tableColumns>
  <tableStyleInfo name="TableStyleLight8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0000000-000C-0000-FFFF-FFFF05000000}" name="Tableau9" displayName="Tableau9" ref="N3:O14" totalsRowShown="0" headerRowDxfId="39">
  <autoFilter ref="N3:O14" xr:uid="{00000000-0009-0000-0100-000009000000}"/>
  <sortState xmlns:xlrd2="http://schemas.microsoft.com/office/spreadsheetml/2017/richdata2" ref="N4:O14">
    <sortCondition ref="N4:N14"/>
  </sortState>
  <tableColumns count="2">
    <tableColumn id="1" xr3:uid="{00000000-0010-0000-0500-000001000000}" name="sub4"/>
    <tableColumn id="2" xr3:uid="{00000000-0010-0000-0500-000002000000}" name="subcat4"/>
  </tableColumns>
  <tableStyleInfo name="TableStyleLight8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00000000-000C-0000-FFFF-FFFF06000000}" name="Tableau10" displayName="Tableau10" ref="Q3:R9" totalsRowShown="0" headerRowDxfId="38">
  <autoFilter ref="Q3:R9" xr:uid="{00000000-0009-0000-0100-00000A000000}"/>
  <sortState xmlns:xlrd2="http://schemas.microsoft.com/office/spreadsheetml/2017/richdata2" ref="Q4:R9">
    <sortCondition ref="Q4:Q9"/>
  </sortState>
  <tableColumns count="2">
    <tableColumn id="1" xr3:uid="{00000000-0010-0000-0600-000001000000}" name="sub5"/>
    <tableColumn id="2" xr3:uid="{00000000-0010-0000-0600-000002000000}" name="subcat5"/>
  </tableColumns>
  <tableStyleInfo name="TableStyleLight8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00000000-000C-0000-FFFF-FFFF07000000}" name="Tableau11" displayName="Tableau11" ref="T3:U6" totalsRowShown="0" headerRowDxfId="37">
  <autoFilter ref="T3:U6" xr:uid="{00000000-0009-0000-0100-00000B000000}"/>
  <sortState xmlns:xlrd2="http://schemas.microsoft.com/office/spreadsheetml/2017/richdata2" ref="T4:U6">
    <sortCondition ref="U4:U6"/>
  </sortState>
  <tableColumns count="2">
    <tableColumn id="1" xr3:uid="{00000000-0010-0000-0700-000001000000}" name="sub6"/>
    <tableColumn id="2" xr3:uid="{00000000-0010-0000-0700-000002000000}" name="subcat6"/>
  </tableColumns>
  <tableStyleInfo name="TableStyleLight8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00000000-000C-0000-FFFF-FFFF08000000}" name="Tableau12" displayName="Tableau12" ref="W3:X11" totalsRowShown="0" headerRowDxfId="36">
  <sortState xmlns:xlrd2="http://schemas.microsoft.com/office/spreadsheetml/2017/richdata2" ref="W4:X11">
    <sortCondition ref="W4:W11"/>
  </sortState>
  <tableColumns count="2">
    <tableColumn id="1" xr3:uid="{00000000-0010-0000-0800-000001000000}" name="sub7"/>
    <tableColumn id="2" xr3:uid="{00000000-0010-0000-0800-000002000000}" name="subcat7"/>
  </tableColumns>
  <tableStyleInfo name="TableStyleLight8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00000000-000C-0000-FFFF-FFFF09000000}" name="Tableau13" displayName="Tableau13" ref="Z3:AA7" totalsRowShown="0" headerRowDxfId="35">
  <autoFilter ref="Z3:AA7" xr:uid="{00000000-0009-0000-0100-00000D000000}"/>
  <sortState xmlns:xlrd2="http://schemas.microsoft.com/office/spreadsheetml/2017/richdata2" ref="Z4:AA6">
    <sortCondition ref="AA4:AA6"/>
  </sortState>
  <tableColumns count="2">
    <tableColumn id="1" xr3:uid="{00000000-0010-0000-0900-000001000000}" name="sub8"/>
    <tableColumn id="2" xr3:uid="{00000000-0010-0000-0900-000002000000}" name="subcat8"/>
  </tableColumns>
  <tableStyleInfo name="TableStyleLight8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00000000-000C-0000-FFFF-FFFF0A000000}" name="Tableau14" displayName="Tableau14" ref="AC3:AD8" totalsRowShown="0" headerRowDxfId="34">
  <autoFilter ref="AC3:AD8" xr:uid="{00000000-0009-0000-0100-00000E000000}"/>
  <sortState xmlns:xlrd2="http://schemas.microsoft.com/office/spreadsheetml/2017/richdata2" ref="AC4:AD8">
    <sortCondition ref="AD4:AD8"/>
  </sortState>
  <tableColumns count="2">
    <tableColumn id="1" xr3:uid="{00000000-0010-0000-0A00-000001000000}" name="sub9"/>
    <tableColumn id="2" xr3:uid="{00000000-0010-0000-0A00-000002000000}" name="subcat9"/>
  </tableColumns>
  <tableStyleInfo name="TableStyleLight8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00000000-000C-0000-FFFF-FFFF0B000000}" name="Tableau15" displayName="Tableau15" ref="AF3:AG10" totalsRowShown="0" headerRowDxfId="33">
  <autoFilter ref="AF3:AG10" xr:uid="{00000000-0009-0000-0100-00000F000000}"/>
  <sortState xmlns:xlrd2="http://schemas.microsoft.com/office/spreadsheetml/2017/richdata2" ref="AF4:AG10">
    <sortCondition ref="AG4:AG10"/>
  </sortState>
  <tableColumns count="2">
    <tableColumn id="1" xr3:uid="{00000000-0010-0000-0B00-000001000000}" name="sub10"/>
    <tableColumn id="2" xr3:uid="{00000000-0010-0000-0B00-000002000000}" name="subcat10"/>
  </tableColumns>
  <tableStyleInfo name="TableStyleLight8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00000000-000C-0000-FFFF-FFFF0C000000}" name="Tableau16" displayName="Tableau16" ref="AI3:AJ9" totalsRowShown="0" headerRowDxfId="32">
  <tableColumns count="2">
    <tableColumn id="1" xr3:uid="{00000000-0010-0000-0C00-000001000000}" name="sub11"/>
    <tableColumn id="2" xr3:uid="{00000000-0010-0000-0C00-000002000000}" name="subcat11"/>
  </tableColumns>
  <tableStyleInfo name="TableStyleLight8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00000000-000C-0000-FFFF-FFFF0D000000}" name="Tableau17" displayName="Tableau17" ref="AL3:AM9" totalsRowShown="0" headerRowDxfId="31">
  <autoFilter ref="AL3:AM9" xr:uid="{00000000-0009-0000-0100-000011000000}"/>
  <tableColumns count="2">
    <tableColumn id="1" xr3:uid="{00000000-0010-0000-0D00-000001000000}" name="sub12"/>
    <tableColumn id="2" xr3:uid="{00000000-0010-0000-0D00-000002000000}" name="subcat12"/>
  </tableColumns>
  <tableStyleInfo name="TableStyleLight8"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" xr:uid="{00000000-000C-0000-FFFF-FFFF0E000000}" name="Tableau18" displayName="Tableau18" ref="AO3:AP6" totalsRowShown="0" headerRowDxfId="30">
  <autoFilter ref="AO3:AP6" xr:uid="{00000000-0009-0000-0100-000012000000}"/>
  <tableColumns count="2">
    <tableColumn id="1" xr3:uid="{00000000-0010-0000-0E00-000001000000}" name="sub13"/>
    <tableColumn id="2" xr3:uid="{00000000-0010-0000-0E00-000002000000}" name="subcat13"/>
  </tableColumns>
  <tableStyleInfo name="TableStyleLight8" showFirstColumn="0" showLastColumn="0" showRowStripes="1" showColumnStripes="0"/>
</table>
</file>

<file path=xl/tables/table1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9" xr:uid="{00000000-000C-0000-FFFF-FFFF0F000000}" name="Tableau19" displayName="Tableau19" ref="AR3:AS7" totalsRowShown="0" headerRowDxfId="29">
  <autoFilter ref="AR3:AS7" xr:uid="{00000000-0009-0000-0100-000013000000}"/>
  <tableColumns count="2">
    <tableColumn id="1" xr3:uid="{00000000-0010-0000-0F00-000001000000}" name="sub14"/>
    <tableColumn id="2" xr3:uid="{00000000-0010-0000-0F00-000002000000}" name="subcat14"/>
  </tableColumns>
  <tableStyleInfo name="TableStyleLight8" showFirstColumn="0" showLastColumn="0" showRowStripes="1" showColumnStripes="0"/>
</table>
</file>

<file path=xl/tables/table1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0" xr:uid="{00000000-000C-0000-FFFF-FFFF10000000}" name="Tableau20" displayName="Tableau20" ref="E26:F37" totalsRowShown="0" headerRowDxfId="28">
  <autoFilter ref="E26:F37" xr:uid="{00000000-0009-0000-0100-000014000000}"/>
  <sortState xmlns:xlrd2="http://schemas.microsoft.com/office/spreadsheetml/2017/richdata2" ref="E27:F37">
    <sortCondition ref="F27:F37"/>
  </sortState>
  <tableColumns count="2">
    <tableColumn id="1" xr3:uid="{00000000-0010-0000-1000-000001000000}" name="sub1" dataDxfId="27"/>
    <tableColumn id="2" xr3:uid="{00000000-0010-0000-1000-000002000000}" name="subcat1"/>
  </tableColumns>
  <tableStyleInfo name="TableStyleLight8" showFirstColumn="0" showLastColumn="0" showRowStripes="1" showColumnStripes="0"/>
</table>
</file>

<file path=xl/tables/table1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1" xr:uid="{00000000-000C-0000-FFFF-FFFF11000000}" name="Tableau21" displayName="Tableau21" ref="H26:I28" totalsRowShown="0" headerRowDxfId="26">
  <autoFilter ref="H26:I28" xr:uid="{00000000-0009-0000-0100-000015000000}"/>
  <tableColumns count="2">
    <tableColumn id="1" xr3:uid="{00000000-0010-0000-1100-000001000000}" name="sub2"/>
    <tableColumn id="2" xr3:uid="{00000000-0010-0000-1100-000002000000}" name="subcat2"/>
  </tableColumns>
  <tableStyleInfo name="TableStyleLight8" showFirstColumn="0" showLastColumn="0" showRowStripes="1" showColumnStripes="0"/>
</table>
</file>

<file path=xl/tables/table1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2" xr:uid="{00000000-000C-0000-FFFF-FFFF12000000}" name="Tableau22" displayName="Tableau22" ref="K26:L30" totalsRowShown="0" headerRowDxfId="25">
  <autoFilter ref="K26:L30" xr:uid="{00000000-0009-0000-0100-000016000000}"/>
  <tableColumns count="2">
    <tableColumn id="1" xr3:uid="{00000000-0010-0000-1200-000001000000}" name="sub3"/>
    <tableColumn id="2" xr3:uid="{00000000-0010-0000-1200-000002000000}" name="subcat3"/>
  </tableColumns>
  <tableStyleInfo name="TableStyleLight8" showFirstColumn="0" showLastColumn="0" showRowStripes="1" showColumnStripes="0"/>
</table>
</file>

<file path=xl/tables/table2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13000000}" name="Tableau5" displayName="Tableau5" ref="N26:O28" totalsRowShown="0" headerRowDxfId="24" tableBorderDxfId="23">
  <autoFilter ref="N26:O28" xr:uid="{00000000-0009-0000-0100-000005000000}"/>
  <tableColumns count="2">
    <tableColumn id="1" xr3:uid="{00000000-0010-0000-1300-000001000000}" name="sub4"/>
    <tableColumn id="2" xr3:uid="{00000000-0010-0000-1300-000002000000}" name="subcat4"/>
  </tableColumns>
  <tableStyleInfo name="TableStyleMedium2" showFirstColumn="0" showLastColumn="0" showRowStripes="1" showColumnStripes="0"/>
</table>
</file>

<file path=xl/tables/table2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14000000}" name="Tableau6" displayName="Tableau6" ref="AU3:AV12" totalsRowShown="0" headerRowDxfId="22" tableBorderDxfId="21">
  <autoFilter ref="AU3:AV12" xr:uid="{00000000-0009-0000-0100-000006000000}"/>
  <tableColumns count="2">
    <tableColumn id="1" xr3:uid="{00000000-0010-0000-1400-000001000000}" name="sub15"/>
    <tableColumn id="2" xr3:uid="{00000000-0010-0000-1400-000002000000}" name="subcat15"/>
  </tableColumns>
  <tableStyleInfo name="TableStyleMedium2" showFirstColumn="0" showLastColumn="0" showRowStripes="1" showColumnStripes="0"/>
</table>
</file>

<file path=xl/tables/table2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5" xr:uid="{00000000-000C-0000-FFFF-FFFF15000000}" name="Tableau25" displayName="Tableau25" ref="B2:O11" totalsRowShown="0">
  <tableColumns count="14">
    <tableColumn id="1" xr3:uid="{00000000-0010-0000-1500-000001000000}" name="ID">
      <calculatedColumnFormula>ROW(B3)-2</calculatedColumnFormula>
    </tableColumn>
    <tableColumn id="2" xr3:uid="{00000000-0010-0000-1500-000002000000}" name="Date" dataDxfId="10"/>
    <tableColumn id="3" xr3:uid="{00000000-0010-0000-1500-000003000000}" name="Type"/>
    <tableColumn id="4" xr3:uid="{00000000-0010-0000-1500-000004000000}" name="Somme" dataCellStyle="Monétaire"/>
    <tableColumn id="5" xr3:uid="{00000000-0010-0000-1500-000005000000}" name="Compte"/>
    <tableColumn id="7" xr3:uid="{00000000-0010-0000-1500-000007000000}" name="Description"/>
    <tableColumn id="8" xr3:uid="{00000000-0010-0000-1500-000008000000}" name="Catid"/>
    <tableColumn id="9" xr3:uid="{00000000-0010-0000-1500-000009000000}" name="Catégorie">
      <calculatedColumnFormula>IFERROR(IF(OR(Tableau25[[#This Row],[Type]]="sortie",Tableau25[[#This Row],[Type]]="budget"),VLOOKUP(Tableau25[[#This Row],[Catid]],sortie,2,0),IF(Tableau25[[#This Row],[Type]]="entrée",VLOOKUP(Tableau25[[#This Row],[Catid]],entrée,2,0),"")),"")</calculatedColumnFormula>
    </tableColumn>
    <tableColumn id="10" xr3:uid="{00000000-0010-0000-1500-00000A000000}" name="SubId"/>
    <tableColumn id="11" xr3:uid="{00000000-0010-0000-1500-00000B000000}" name="Sous-catégorie">
      <calculatedColumnFormula>IFERROR(IF(OR(Tableau25[[#This Row],[Type]]="sortie",Tableau25[[#This Row],[Type]]="budget"),VLOOKUP(J3,INDIRECT("sortie"&amp;Tableau25[[#This Row],[Catid]]),2,0),IF(Tableau25[[#This Row],[Type]]="entrée",VLOOKUP(J3,INDIRECT("entrée"&amp;Tableau25[[#This Row],[Catid]]),2,0),"")),"")</calculatedColumnFormula>
    </tableColumn>
    <tableColumn id="13" xr3:uid="{00000000-0010-0000-1500-00000D000000}" name="Commentaire"/>
    <tableColumn id="14" xr3:uid="{00000000-0010-0000-1500-00000E000000}" name="Année">
      <calculatedColumnFormula>YEAR(Tableau25[[#This Row],[Date]])</calculatedColumnFormula>
    </tableColumn>
    <tableColumn id="15" xr3:uid="{00000000-0010-0000-1500-00000F000000}" name="Mois">
      <calculatedColumnFormula>TEXT(Tableau25[[#This Row],[Date]],"mmmm")</calculatedColumnFormula>
    </tableColumn>
    <tableColumn id="16" xr3:uid="{00000000-0010-0000-1500-000010000000}" name="Recherche" dataDxfId="9">
      <calculatedColumnFormula>CONCATENATE(TEXT(Tableau25[[#This Row],[Date]],"jj/mm/aaaa")," ",Tableau25[[#This Row],[Type]]," ",Tableau25[[#This Row],[Somme]]," ",Tableau25[[#This Row],[Compte]]," ",Tableau25[[#This Row],[Description]]," ",Tableau25[[#This Row],[Catégorie]]," ",Tableau25[[#This Row],[Sous-catégorie]]," ",Tableau25[[#This Row],[Commentaire]]," ",Tableau25[[#This Row],[Année]]," ",Tableau25[[#This Row],[Mois]])</calculatedColumnFormula>
    </tableColumn>
  </tableColumns>
  <tableStyleInfo name="TableStyleLight8" showFirstColumn="0" showLastColumn="0" showRowStripes="1" showColumnStripes="0"/>
</table>
</file>

<file path=xl/tables/table2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3" xr:uid="{00000000-000C-0000-FFFF-FFFF16000000}" name="Tableau23" displayName="Tableau23" ref="B3:B5" totalsRowShown="0">
  <autoFilter ref="B3:B5" xr:uid="{00000000-0009-0000-0100-000017000000}"/>
  <tableColumns count="1">
    <tableColumn id="1" xr3:uid="{00000000-0010-0000-1600-000001000000}" name="Type"/>
  </tableColumns>
  <tableStyleInfo name="TableStyleLight8" showFirstColumn="0" showLastColumn="0" showRowStripes="1" showColumnStripes="0"/>
</table>
</file>

<file path=xl/tables/table2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17000000}" name="Tableau4" displayName="Tableau4" ref="D3:E8" totalsRowShown="0">
  <autoFilter ref="D3:E8" xr:uid="{00000000-0009-0000-0100-000004000000}"/>
  <tableColumns count="2">
    <tableColumn id="1" xr3:uid="{00000000-0010-0000-1700-000001000000}" name="Péridoicité"/>
    <tableColumn id="2" xr3:uid="{00000000-0010-0000-1700-000002000000}" name="code"/>
  </tableColumns>
  <tableStyleInfo name="TableStyleLight8" showFirstColumn="0" showLastColumn="0" showRowStripes="1" showColumnStripes="0"/>
</table>
</file>

<file path=xl/tables/table2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4" xr:uid="{00000000-000C-0000-FFFF-FFFF18000000}" name="Tableau24" displayName="Tableau24" ref="B4:F5" totalsRowShown="0" headerRowDxfId="6" dataDxfId="5">
  <autoFilter ref="B4:F5" xr:uid="{00000000-0009-0000-0100-000018000000}"/>
  <tableColumns count="5">
    <tableColumn id="1" xr3:uid="{00000000-0010-0000-1800-000001000000}" name="ID" dataDxfId="4">
      <calculatedColumnFormula>ROW(B5)-4</calculatedColumnFormula>
    </tableColumn>
    <tableColumn id="2" xr3:uid="{00000000-0010-0000-1800-000002000000}" name="Compte" dataDxfId="2"/>
    <tableColumn id="3" xr3:uid="{00000000-0010-0000-1800-000003000000}" name="Départ" dataDxfId="0" dataCellStyle="Monétaire"/>
    <tableColumn id="4" xr3:uid="{00000000-0010-0000-1800-000004000000}" name="Calculé" dataDxfId="1" dataCellStyle="Monétaire">
      <calculatedColumnFormula array="1">(SUM(SUMIFS(Tableau25[Somme],Tableau25[Compte],Compte!C5,Tableau25[Type],{"Entrée"})))-SUMIFS(Tableau25[Somme],Tableau25[Compte],Compte!C5,Tableau25[Type],"Sortie")</calculatedColumnFormula>
    </tableColumn>
    <tableColumn id="5" xr3:uid="{00000000-0010-0000-1800-000005000000}" name="Solde" dataDxfId="3" dataCellStyle="Monétaire">
      <calculatedColumnFormula>Tableau24[[#This Row],[Départ]]+Tableau24[[#This Row],[Calculé]]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6.xml"/><Relationship Id="rId13" Type="http://schemas.openxmlformats.org/officeDocument/2006/relationships/table" Target="../tables/table11.xml"/><Relationship Id="rId18" Type="http://schemas.openxmlformats.org/officeDocument/2006/relationships/table" Target="../tables/table16.xml"/><Relationship Id="rId3" Type="http://schemas.openxmlformats.org/officeDocument/2006/relationships/table" Target="../tables/table1.xml"/><Relationship Id="rId21" Type="http://schemas.openxmlformats.org/officeDocument/2006/relationships/table" Target="../tables/table19.xml"/><Relationship Id="rId7" Type="http://schemas.openxmlformats.org/officeDocument/2006/relationships/table" Target="../tables/table5.xml"/><Relationship Id="rId12" Type="http://schemas.openxmlformats.org/officeDocument/2006/relationships/table" Target="../tables/table10.xml"/><Relationship Id="rId17" Type="http://schemas.openxmlformats.org/officeDocument/2006/relationships/table" Target="../tables/table15.xml"/><Relationship Id="rId2" Type="http://schemas.openxmlformats.org/officeDocument/2006/relationships/drawing" Target="../drawings/drawing1.xml"/><Relationship Id="rId16" Type="http://schemas.openxmlformats.org/officeDocument/2006/relationships/table" Target="../tables/table14.xml"/><Relationship Id="rId20" Type="http://schemas.openxmlformats.org/officeDocument/2006/relationships/table" Target="../tables/table18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4.xml"/><Relationship Id="rId11" Type="http://schemas.openxmlformats.org/officeDocument/2006/relationships/table" Target="../tables/table9.xml"/><Relationship Id="rId5" Type="http://schemas.openxmlformats.org/officeDocument/2006/relationships/table" Target="../tables/table3.xml"/><Relationship Id="rId15" Type="http://schemas.openxmlformats.org/officeDocument/2006/relationships/table" Target="../tables/table13.xml"/><Relationship Id="rId23" Type="http://schemas.openxmlformats.org/officeDocument/2006/relationships/table" Target="../tables/table21.xml"/><Relationship Id="rId10" Type="http://schemas.openxmlformats.org/officeDocument/2006/relationships/table" Target="../tables/table8.xml"/><Relationship Id="rId19" Type="http://schemas.openxmlformats.org/officeDocument/2006/relationships/table" Target="../tables/table17.xml"/><Relationship Id="rId4" Type="http://schemas.openxmlformats.org/officeDocument/2006/relationships/table" Target="../tables/table2.xml"/><Relationship Id="rId9" Type="http://schemas.openxmlformats.org/officeDocument/2006/relationships/table" Target="../tables/table7.xml"/><Relationship Id="rId14" Type="http://schemas.openxmlformats.org/officeDocument/2006/relationships/table" Target="../tables/table12.xml"/><Relationship Id="rId22" Type="http://schemas.openxmlformats.org/officeDocument/2006/relationships/table" Target="../tables/table20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microsoft.com/office/2007/relationships/slicer" Target="../slicers/slicer1.xml"/><Relationship Id="rId5" Type="http://schemas.openxmlformats.org/officeDocument/2006/relationships/drawing" Target="../drawings/drawing3.xml"/><Relationship Id="rId4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2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.bin"/><Relationship Id="rId1" Type="http://schemas.openxmlformats.org/officeDocument/2006/relationships/pivotTable" Target="../pivotTables/pivotTable4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4.xml"/><Relationship Id="rId2" Type="http://schemas.openxmlformats.org/officeDocument/2006/relationships/table" Target="../tables/table23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AV37"/>
  <sheetViews>
    <sheetView showGridLines="0" topLeftCell="A19" workbookViewId="0">
      <selection activeCell="B4" sqref="B4:C18"/>
    </sheetView>
  </sheetViews>
  <sheetFormatPr baseColWidth="10" defaultRowHeight="15" x14ac:dyDescent="0.25"/>
  <cols>
    <col min="2" max="2" width="6" style="1" customWidth="1"/>
    <col min="3" max="3" width="26.5703125" customWidth="1"/>
    <col min="4" max="4" width="3.28515625" customWidth="1"/>
    <col min="5" max="5" width="7.28515625" style="1" customWidth="1"/>
    <col min="6" max="6" width="27.85546875" bestFit="1" customWidth="1"/>
    <col min="7" max="7" width="3.28515625" customWidth="1"/>
    <col min="9" max="9" width="23.28515625" bestFit="1" customWidth="1"/>
    <col min="10" max="10" width="3.28515625" customWidth="1"/>
    <col min="12" max="12" width="22.5703125" bestFit="1" customWidth="1"/>
    <col min="13" max="13" width="3.28515625" customWidth="1"/>
    <col min="15" max="15" width="24.5703125" bestFit="1" customWidth="1"/>
    <col min="16" max="16" width="3.28515625" customWidth="1"/>
    <col min="18" max="18" width="25.140625" bestFit="1" customWidth="1"/>
    <col min="19" max="19" width="3.28515625" customWidth="1"/>
    <col min="21" max="21" width="23.28515625" bestFit="1" customWidth="1"/>
    <col min="22" max="22" width="3.28515625" customWidth="1"/>
    <col min="24" max="24" width="24.42578125" bestFit="1" customWidth="1"/>
    <col min="25" max="25" width="3.28515625" customWidth="1"/>
    <col min="27" max="27" width="28.7109375" bestFit="1" customWidth="1"/>
    <col min="28" max="28" width="3.28515625" customWidth="1"/>
    <col min="30" max="30" width="16.28515625" bestFit="1" customWidth="1"/>
    <col min="31" max="31" width="3.28515625" customWidth="1"/>
    <col min="33" max="33" width="33.140625" bestFit="1" customWidth="1"/>
    <col min="34" max="34" width="3.28515625" customWidth="1"/>
    <col min="36" max="36" width="22.7109375" bestFit="1" customWidth="1"/>
    <col min="37" max="37" width="3.28515625" customWidth="1"/>
    <col min="39" max="39" width="17" bestFit="1" customWidth="1"/>
    <col min="40" max="40" width="3.28515625" customWidth="1"/>
    <col min="42" max="42" width="13.28515625" bestFit="1" customWidth="1"/>
    <col min="43" max="43" width="3.28515625" customWidth="1"/>
    <col min="45" max="45" width="18.85546875" bestFit="1" customWidth="1"/>
    <col min="46" max="46" width="3.42578125" customWidth="1"/>
  </cols>
  <sheetData>
    <row r="1" spans="2:48" ht="36" customHeight="1" thickBot="1" x14ac:dyDescent="0.3"/>
    <row r="2" spans="2:48" s="2" customFormat="1" ht="50.25" customHeight="1" thickBot="1" x14ac:dyDescent="0.3">
      <c r="B2" s="35" t="s">
        <v>2</v>
      </c>
      <c r="C2" s="36"/>
      <c r="E2" s="35" t="str">
        <f>IFERROR(INDEX(Tableau1[Catégorie],MATCH(1,Tableau1[ID],0)),"")</f>
        <v>Achat Vin</v>
      </c>
      <c r="F2" s="36"/>
      <c r="H2" s="35" t="str">
        <f>IFERROR(INDEX(Tableau1[Catégorie],MATCH(2,Tableau1[ID],0)),"")</f>
        <v>Achat autres Boissons</v>
      </c>
      <c r="I2" s="36"/>
      <c r="K2" s="35" t="str">
        <f>IFERROR(INDEX(Tableau1[Catégorie],MATCH(3,Tableau1[ID],0)),"")</f>
        <v>Frais de fonctionnement</v>
      </c>
      <c r="L2" s="36"/>
      <c r="N2" s="35" t="str">
        <f>IFERROR(INDEX(Tableau1[Catégorie],MATCH(4,Tableau1[ID],0)),"")</f>
        <v>Frais généraux</v>
      </c>
      <c r="O2" s="36"/>
      <c r="Q2" s="35" t="str">
        <f>IFERROR(INDEX(Tableau1[Catégorie],MATCH(5,Tableau1[ID],0)),"")</f>
        <v>Frais de réception</v>
      </c>
      <c r="R2" s="36"/>
      <c r="T2" s="35" t="str">
        <f>IFERROR(INDEX(Tableau1[Catégorie],MATCH(6,Tableau1[ID],0)),"")</f>
        <v>Frais de représentation</v>
      </c>
      <c r="U2" s="36"/>
      <c r="W2" s="35" t="str">
        <f>IFERROR(INDEX(Tableau1[Catégorie],MATCH(7,Tableau1[ID],0)),"")</f>
        <v>Challenge</v>
      </c>
      <c r="X2" s="36"/>
      <c r="Z2" s="35" t="str">
        <f>IFERROR(INDEX(Tableau1[Catégorie],MATCH(8,Tableau1[ID],0)),"")</f>
        <v>Frais de bureau</v>
      </c>
      <c r="AA2" s="36"/>
      <c r="AC2" s="35" t="str">
        <f>IFERROR(INDEX(Tableau1[Catégorie],MATCH(9,Tableau1[ID],0)),"")</f>
        <v>Frais de déplacement</v>
      </c>
      <c r="AD2" s="36"/>
      <c r="AF2" s="35" t="str">
        <f>IFERROR(INDEX(Tableau1[Catégorie],MATCH(10,Tableau1[ID],0)),"")</f>
        <v>Divers</v>
      </c>
      <c r="AG2" s="36"/>
      <c r="AI2" s="35" t="str">
        <f>IFERROR(INDEX(Tableau1[Catégorie],MATCH(11,Tableau1[ID],0)),"")</f>
        <v>Travaux</v>
      </c>
      <c r="AJ2" s="36"/>
      <c r="AL2" s="35" t="str">
        <f>IFERROR(INDEX(Tableau1[Catégorie],MATCH(12,Tableau1[ID],0)),"")</f>
        <v>Frais d'entretien</v>
      </c>
      <c r="AM2" s="36"/>
      <c r="AO2" s="35" t="str">
        <f>IFERROR(INDEX(Tableau1[Catégorie],MATCH(13,Tableau1[ID],0)),"")</f>
        <v>Conchon Grillé</v>
      </c>
      <c r="AP2" s="36"/>
      <c r="AR2" s="35" t="str">
        <f>IFERROR(INDEX(Tableau1[Catégorie],MATCH(14,Tableau1[ID],0)),"")</f>
        <v>Concours de Belote</v>
      </c>
      <c r="AS2" s="36"/>
      <c r="AU2" s="37" t="str">
        <f>IFERROR(INDEX(Tableau1[Catégorie],MATCH(15,Tableau1[ID],0)),"")</f>
        <v>Choucroute</v>
      </c>
      <c r="AV2" s="38"/>
    </row>
    <row r="3" spans="2:48" s="2" customFormat="1" x14ac:dyDescent="0.25">
      <c r="B3" s="2" t="s">
        <v>0</v>
      </c>
      <c r="C3" s="2" t="s">
        <v>1</v>
      </c>
      <c r="E3" s="2" t="s">
        <v>4</v>
      </c>
      <c r="F3" s="2" t="s">
        <v>5</v>
      </c>
      <c r="H3" s="2" t="s">
        <v>11</v>
      </c>
      <c r="I3" s="2" t="s">
        <v>12</v>
      </c>
      <c r="K3" s="2" t="s">
        <v>13</v>
      </c>
      <c r="L3" s="2" t="s">
        <v>14</v>
      </c>
      <c r="N3" s="2" t="s">
        <v>15</v>
      </c>
      <c r="O3" s="2" t="s">
        <v>16</v>
      </c>
      <c r="Q3" s="2" t="s">
        <v>17</v>
      </c>
      <c r="R3" s="2" t="s">
        <v>18</v>
      </c>
      <c r="T3" s="2" t="s">
        <v>19</v>
      </c>
      <c r="U3" s="2" t="s">
        <v>20</v>
      </c>
      <c r="W3" s="2" t="s">
        <v>21</v>
      </c>
      <c r="X3" s="2" t="s">
        <v>22</v>
      </c>
      <c r="Z3" s="2" t="s">
        <v>23</v>
      </c>
      <c r="AA3" s="2" t="s">
        <v>24</v>
      </c>
      <c r="AC3" s="2" t="s">
        <v>25</v>
      </c>
      <c r="AD3" s="2" t="s">
        <v>26</v>
      </c>
      <c r="AF3" s="2" t="s">
        <v>27</v>
      </c>
      <c r="AG3" s="2" t="s">
        <v>28</v>
      </c>
      <c r="AI3" s="2" t="s">
        <v>29</v>
      </c>
      <c r="AJ3" s="2" t="s">
        <v>30</v>
      </c>
      <c r="AL3" s="2" t="s">
        <v>31</v>
      </c>
      <c r="AM3" s="2" t="s">
        <v>32</v>
      </c>
      <c r="AO3" s="2" t="s">
        <v>33</v>
      </c>
      <c r="AP3" s="2" t="s">
        <v>34</v>
      </c>
      <c r="AR3" s="2" t="s">
        <v>35</v>
      </c>
      <c r="AS3" s="2" t="s">
        <v>36</v>
      </c>
      <c r="AU3" s="2" t="s">
        <v>244</v>
      </c>
      <c r="AV3" s="2" t="s">
        <v>245</v>
      </c>
    </row>
    <row r="4" spans="2:48" x14ac:dyDescent="0.25">
      <c r="B4" s="1">
        <v>1</v>
      </c>
      <c r="C4" t="s">
        <v>113</v>
      </c>
      <c r="E4" s="1" t="s">
        <v>6</v>
      </c>
      <c r="F4" t="s">
        <v>125</v>
      </c>
      <c r="H4" s="1" t="s">
        <v>37</v>
      </c>
      <c r="I4" t="s">
        <v>127</v>
      </c>
      <c r="K4" t="s">
        <v>135</v>
      </c>
      <c r="L4" t="s">
        <v>55</v>
      </c>
      <c r="N4" t="s">
        <v>39</v>
      </c>
      <c r="O4" t="s">
        <v>138</v>
      </c>
      <c r="Q4" t="s">
        <v>40</v>
      </c>
      <c r="R4" t="s">
        <v>140</v>
      </c>
      <c r="T4" t="s">
        <v>239</v>
      </c>
      <c r="U4" t="s">
        <v>119</v>
      </c>
      <c r="W4" t="s">
        <v>42</v>
      </c>
      <c r="X4" t="s">
        <v>141</v>
      </c>
      <c r="Z4" t="s">
        <v>58</v>
      </c>
      <c r="AA4" t="s">
        <v>170</v>
      </c>
      <c r="AC4" t="s">
        <v>53</v>
      </c>
      <c r="AD4" t="s">
        <v>148</v>
      </c>
      <c r="AF4" t="s">
        <v>198</v>
      </c>
      <c r="AG4" t="s">
        <v>199</v>
      </c>
      <c r="AI4" t="s">
        <v>45</v>
      </c>
      <c r="AJ4" t="s">
        <v>150</v>
      </c>
      <c r="AL4" t="s">
        <v>175</v>
      </c>
      <c r="AM4" t="s">
        <v>176</v>
      </c>
      <c r="AO4" t="s">
        <v>46</v>
      </c>
      <c r="AP4" t="s">
        <v>202</v>
      </c>
      <c r="AR4" t="s">
        <v>193</v>
      </c>
      <c r="AS4" t="s">
        <v>151</v>
      </c>
      <c r="AU4" t="s">
        <v>246</v>
      </c>
      <c r="AV4" t="s">
        <v>151</v>
      </c>
    </row>
    <row r="5" spans="2:48" x14ac:dyDescent="0.25">
      <c r="B5" s="1">
        <v>2</v>
      </c>
      <c r="C5" t="s">
        <v>114</v>
      </c>
      <c r="E5" s="1" t="s">
        <v>7</v>
      </c>
      <c r="F5" t="s">
        <v>126</v>
      </c>
      <c r="H5" s="1" t="s">
        <v>47</v>
      </c>
      <c r="I5" t="s">
        <v>128</v>
      </c>
      <c r="K5" t="s">
        <v>137</v>
      </c>
      <c r="L5" t="s">
        <v>122</v>
      </c>
      <c r="N5" t="s">
        <v>230</v>
      </c>
      <c r="O5" t="s">
        <v>231</v>
      </c>
      <c r="Q5" t="s">
        <v>177</v>
      </c>
      <c r="R5" t="s">
        <v>178</v>
      </c>
      <c r="T5" t="s">
        <v>50</v>
      </c>
      <c r="U5" t="s">
        <v>220</v>
      </c>
      <c r="W5" t="s">
        <v>51</v>
      </c>
      <c r="X5" t="s">
        <v>142</v>
      </c>
      <c r="Z5" t="s">
        <v>43</v>
      </c>
      <c r="AA5" t="s">
        <v>182</v>
      </c>
      <c r="AC5" t="s">
        <v>251</v>
      </c>
      <c r="AD5" t="s">
        <v>252</v>
      </c>
      <c r="AF5" t="s">
        <v>181</v>
      </c>
      <c r="AG5" t="s">
        <v>184</v>
      </c>
      <c r="AI5" t="s">
        <v>216</v>
      </c>
      <c r="AJ5" t="s">
        <v>196</v>
      </c>
      <c r="AL5" t="s">
        <v>210</v>
      </c>
      <c r="AM5" t="s">
        <v>211</v>
      </c>
      <c r="AO5" t="s">
        <v>242</v>
      </c>
      <c r="AP5" t="s">
        <v>189</v>
      </c>
      <c r="AR5" t="s">
        <v>194</v>
      </c>
      <c r="AS5" t="s">
        <v>188</v>
      </c>
      <c r="AU5" t="s">
        <v>247</v>
      </c>
      <c r="AV5" t="s">
        <v>202</v>
      </c>
    </row>
    <row r="6" spans="2:48" x14ac:dyDescent="0.25">
      <c r="B6" s="1">
        <v>3</v>
      </c>
      <c r="C6" t="s">
        <v>115</v>
      </c>
      <c r="E6" s="1" t="s">
        <v>8</v>
      </c>
      <c r="F6" t="s">
        <v>221</v>
      </c>
      <c r="H6" s="1" t="s">
        <v>54</v>
      </c>
      <c r="I6" t="s">
        <v>129</v>
      </c>
      <c r="K6" t="s">
        <v>38</v>
      </c>
      <c r="L6" t="s">
        <v>131</v>
      </c>
      <c r="N6" t="s">
        <v>232</v>
      </c>
      <c r="O6" t="s">
        <v>233</v>
      </c>
      <c r="Q6" t="s">
        <v>223</v>
      </c>
      <c r="R6" t="s">
        <v>225</v>
      </c>
      <c r="T6" t="s">
        <v>41</v>
      </c>
      <c r="U6" t="s">
        <v>149</v>
      </c>
      <c r="W6" t="s">
        <v>57</v>
      </c>
      <c r="X6" t="s">
        <v>143</v>
      </c>
      <c r="Z6" t="s">
        <v>52</v>
      </c>
      <c r="AA6" t="s">
        <v>183</v>
      </c>
      <c r="AC6" t="s">
        <v>179</v>
      </c>
      <c r="AD6" t="s">
        <v>180</v>
      </c>
      <c r="AF6" t="s">
        <v>212</v>
      </c>
      <c r="AG6" t="s">
        <v>200</v>
      </c>
      <c r="AI6" t="s">
        <v>222</v>
      </c>
      <c r="AJ6" t="s">
        <v>234</v>
      </c>
      <c r="AL6" t="s">
        <v>217</v>
      </c>
      <c r="AM6" t="s">
        <v>218</v>
      </c>
      <c r="AO6" t="s">
        <v>250</v>
      </c>
      <c r="AP6" t="s">
        <v>122</v>
      </c>
      <c r="AR6" t="s">
        <v>195</v>
      </c>
      <c r="AS6" t="s">
        <v>196</v>
      </c>
      <c r="AU6" t="s">
        <v>248</v>
      </c>
      <c r="AV6" t="s">
        <v>189</v>
      </c>
    </row>
    <row r="7" spans="2:48" x14ac:dyDescent="0.25">
      <c r="B7" s="1">
        <v>4</v>
      </c>
      <c r="C7" t="s">
        <v>116</v>
      </c>
      <c r="E7" s="1" t="s">
        <v>9</v>
      </c>
      <c r="F7" t="s">
        <v>130</v>
      </c>
      <c r="H7" s="1" t="s">
        <v>59</v>
      </c>
      <c r="I7" t="s">
        <v>130</v>
      </c>
      <c r="K7" t="s">
        <v>60</v>
      </c>
      <c r="L7" t="s">
        <v>133</v>
      </c>
      <c r="N7" t="s">
        <v>49</v>
      </c>
      <c r="O7" t="s">
        <v>139</v>
      </c>
      <c r="Q7" t="s">
        <v>228</v>
      </c>
      <c r="R7" t="s">
        <v>229</v>
      </c>
      <c r="W7" t="s">
        <v>61</v>
      </c>
      <c r="X7" t="s">
        <v>144</v>
      </c>
      <c r="Z7" t="s">
        <v>197</v>
      </c>
      <c r="AA7" t="s">
        <v>196</v>
      </c>
      <c r="AC7" t="s">
        <v>253</v>
      </c>
      <c r="AD7" t="s">
        <v>254</v>
      </c>
      <c r="AF7" t="s">
        <v>213</v>
      </c>
      <c r="AG7" t="s">
        <v>264</v>
      </c>
      <c r="AI7" t="s">
        <v>224</v>
      </c>
      <c r="AJ7" t="s">
        <v>235</v>
      </c>
      <c r="AR7" t="s">
        <v>237</v>
      </c>
      <c r="AS7" t="s">
        <v>238</v>
      </c>
      <c r="AU7" t="s">
        <v>249</v>
      </c>
      <c r="AV7" t="s">
        <v>122</v>
      </c>
    </row>
    <row r="8" spans="2:48" x14ac:dyDescent="0.25">
      <c r="B8" s="1">
        <v>5</v>
      </c>
      <c r="C8" t="s">
        <v>117</v>
      </c>
      <c r="H8" s="1"/>
      <c r="K8" t="s">
        <v>48</v>
      </c>
      <c r="L8" t="s">
        <v>132</v>
      </c>
      <c r="N8" t="s">
        <v>171</v>
      </c>
      <c r="O8" t="s">
        <v>172</v>
      </c>
      <c r="Q8" t="s">
        <v>236</v>
      </c>
      <c r="R8" t="s">
        <v>196</v>
      </c>
      <c r="W8" t="s">
        <v>63</v>
      </c>
      <c r="X8" t="s">
        <v>145</v>
      </c>
      <c r="AC8" t="s">
        <v>44</v>
      </c>
      <c r="AD8" t="s">
        <v>147</v>
      </c>
      <c r="AU8" t="s">
        <v>257</v>
      </c>
      <c r="AV8" t="s">
        <v>258</v>
      </c>
    </row>
    <row r="9" spans="2:48" x14ac:dyDescent="0.25">
      <c r="B9" s="1">
        <v>6</v>
      </c>
      <c r="C9" t="s">
        <v>118</v>
      </c>
      <c r="H9" s="1"/>
      <c r="K9" t="s">
        <v>136</v>
      </c>
      <c r="L9" t="s">
        <v>134</v>
      </c>
      <c r="N9" t="s">
        <v>173</v>
      </c>
      <c r="O9" t="s">
        <v>174</v>
      </c>
      <c r="Q9" t="s">
        <v>240</v>
      </c>
      <c r="R9" t="s">
        <v>176</v>
      </c>
      <c r="W9" t="s">
        <v>64</v>
      </c>
      <c r="X9" t="s">
        <v>146</v>
      </c>
      <c r="AU9" t="s">
        <v>259</v>
      </c>
      <c r="AV9" t="s">
        <v>260</v>
      </c>
    </row>
    <row r="10" spans="2:48" x14ac:dyDescent="0.25">
      <c r="B10" s="1">
        <v>7</v>
      </c>
      <c r="C10" t="s">
        <v>119</v>
      </c>
      <c r="H10" s="1"/>
      <c r="K10" t="s">
        <v>208</v>
      </c>
      <c r="L10" t="s">
        <v>209</v>
      </c>
      <c r="N10" t="s">
        <v>190</v>
      </c>
      <c r="O10" t="s">
        <v>191</v>
      </c>
      <c r="W10" t="s">
        <v>186</v>
      </c>
      <c r="X10" t="s">
        <v>185</v>
      </c>
      <c r="AU10" t="s">
        <v>261</v>
      </c>
      <c r="AV10" t="s">
        <v>262</v>
      </c>
    </row>
    <row r="11" spans="2:48" x14ac:dyDescent="0.25">
      <c r="B11" s="1">
        <v>8</v>
      </c>
      <c r="C11" t="s">
        <v>120</v>
      </c>
      <c r="H11" s="1"/>
      <c r="K11" t="s">
        <v>56</v>
      </c>
      <c r="L11" t="s">
        <v>187</v>
      </c>
      <c r="N11" t="s">
        <v>206</v>
      </c>
      <c r="O11" t="s">
        <v>207</v>
      </c>
      <c r="AU11" t="s">
        <v>263</v>
      </c>
      <c r="AV11" t="s">
        <v>127</v>
      </c>
    </row>
    <row r="12" spans="2:48" x14ac:dyDescent="0.25">
      <c r="B12" s="1">
        <v>9</v>
      </c>
      <c r="C12" t="s">
        <v>121</v>
      </c>
      <c r="H12" s="1"/>
      <c r="N12" t="s">
        <v>215</v>
      </c>
      <c r="O12" t="s">
        <v>196</v>
      </c>
      <c r="AU12" t="s">
        <v>265</v>
      </c>
      <c r="AV12" t="s">
        <v>225</v>
      </c>
    </row>
    <row r="13" spans="2:48" x14ac:dyDescent="0.25">
      <c r="B13" s="1">
        <v>10</v>
      </c>
      <c r="C13" t="s">
        <v>122</v>
      </c>
      <c r="H13" s="1"/>
      <c r="N13" t="s">
        <v>219</v>
      </c>
      <c r="O13" t="s">
        <v>214</v>
      </c>
    </row>
    <row r="14" spans="2:48" x14ac:dyDescent="0.25">
      <c r="B14" s="1">
        <v>11</v>
      </c>
      <c r="C14" t="s">
        <v>123</v>
      </c>
      <c r="N14" t="s">
        <v>226</v>
      </c>
      <c r="O14" t="s">
        <v>227</v>
      </c>
    </row>
    <row r="15" spans="2:48" x14ac:dyDescent="0.25">
      <c r="B15" s="1">
        <v>12</v>
      </c>
      <c r="C15" t="s">
        <v>124</v>
      </c>
    </row>
    <row r="16" spans="2:48" x14ac:dyDescent="0.25">
      <c r="B16" s="1">
        <v>13</v>
      </c>
      <c r="C16" t="s">
        <v>241</v>
      </c>
    </row>
    <row r="17" spans="2:33" x14ac:dyDescent="0.25">
      <c r="B17" s="1">
        <v>14</v>
      </c>
      <c r="C17" t="s">
        <v>192</v>
      </c>
    </row>
    <row r="18" spans="2:33" x14ac:dyDescent="0.25">
      <c r="B18" s="1">
        <v>15</v>
      </c>
      <c r="C18" t="s">
        <v>243</v>
      </c>
      <c r="AF18" s="29"/>
      <c r="AG18" s="29"/>
    </row>
    <row r="20" spans="2:33" x14ac:dyDescent="0.25">
      <c r="Q20" s="29"/>
      <c r="R20" s="29"/>
      <c r="T20" s="29"/>
      <c r="U20" s="29"/>
    </row>
    <row r="21" spans="2:33" s="29" customFormat="1" x14ac:dyDescent="0.25">
      <c r="Q21"/>
      <c r="R21"/>
      <c r="T21"/>
      <c r="U21"/>
      <c r="AF21"/>
      <c r="AG21"/>
    </row>
    <row r="22" spans="2:33" x14ac:dyDescent="0.25">
      <c r="AF22" s="2"/>
      <c r="AG22" s="2"/>
    </row>
    <row r="23" spans="2:33" x14ac:dyDescent="0.25">
      <c r="AF23" s="2"/>
      <c r="AG23" s="2"/>
    </row>
    <row r="24" spans="2:33" ht="15.75" thickBot="1" x14ac:dyDescent="0.3">
      <c r="Q24" s="2"/>
      <c r="R24" s="2"/>
      <c r="T24" s="2"/>
      <c r="U24" s="2"/>
    </row>
    <row r="25" spans="2:33" s="2" customFormat="1" ht="50.25" customHeight="1" thickBot="1" x14ac:dyDescent="0.3">
      <c r="B25" s="35" t="s">
        <v>3</v>
      </c>
      <c r="C25" s="36"/>
      <c r="E25" s="37" t="str">
        <f>IFERROR(INDEX(Tableau2[Catégorie],MATCH(1,Tableau2[ID],0)),"")</f>
        <v>Encaissement</v>
      </c>
      <c r="F25" s="38"/>
      <c r="H25" s="37" t="str">
        <f>IFERROR(INDEX(Tableau2[Catégorie],MATCH(2,Tableau2[ID],0)),"")</f>
        <v>Cochon grillé</v>
      </c>
      <c r="I25" s="38"/>
      <c r="K25" s="37" t="str">
        <f>IFERROR(INDEX(Tableau2[Catégorie],MATCH(3,Tableau2[ID],0)),"")</f>
        <v>Choucoute</v>
      </c>
      <c r="L25" s="38"/>
      <c r="N25" s="37" t="str">
        <f>IFERROR(INDEX(Tableau2[Catégorie],MATCH(4,Tableau2[ID],0)),"")</f>
        <v>Concours de belote</v>
      </c>
      <c r="O25" s="38"/>
      <c r="AF25"/>
      <c r="AG25"/>
    </row>
    <row r="26" spans="2:33" s="2" customFormat="1" x14ac:dyDescent="0.25">
      <c r="B26" s="2" t="s">
        <v>0</v>
      </c>
      <c r="C26" s="2" t="s">
        <v>1</v>
      </c>
      <c r="E26" s="2" t="s">
        <v>65</v>
      </c>
      <c r="F26" s="2" t="s">
        <v>66</v>
      </c>
      <c r="H26" s="2" t="s">
        <v>11</v>
      </c>
      <c r="I26" s="2" t="s">
        <v>12</v>
      </c>
      <c r="K26" s="2" t="s">
        <v>13</v>
      </c>
      <c r="L26" s="2" t="s">
        <v>14</v>
      </c>
      <c r="N26" s="30" t="s">
        <v>15</v>
      </c>
      <c r="O26" s="31" t="s">
        <v>16</v>
      </c>
      <c r="Q26"/>
      <c r="R26"/>
      <c r="T26"/>
      <c r="U26"/>
      <c r="AF26"/>
      <c r="AG26"/>
    </row>
    <row r="27" spans="2:33" x14ac:dyDescent="0.25">
      <c r="B27" s="1">
        <v>1</v>
      </c>
      <c r="C27" t="s">
        <v>161</v>
      </c>
      <c r="E27" s="1" t="s">
        <v>169</v>
      </c>
      <c r="F27" t="s">
        <v>151</v>
      </c>
      <c r="H27" t="s">
        <v>37</v>
      </c>
      <c r="I27" t="s">
        <v>202</v>
      </c>
      <c r="K27" t="s">
        <v>38</v>
      </c>
      <c r="L27" t="s">
        <v>202</v>
      </c>
      <c r="N27" t="s">
        <v>39</v>
      </c>
      <c r="O27" t="s">
        <v>204</v>
      </c>
    </row>
    <row r="28" spans="2:33" x14ac:dyDescent="0.25">
      <c r="B28" s="1">
        <v>2</v>
      </c>
      <c r="C28" t="s">
        <v>201</v>
      </c>
      <c r="E28" s="1" t="s">
        <v>9</v>
      </c>
      <c r="F28" t="s">
        <v>119</v>
      </c>
      <c r="H28" t="s">
        <v>47</v>
      </c>
      <c r="I28" t="s">
        <v>189</v>
      </c>
      <c r="K28" t="s">
        <v>48</v>
      </c>
      <c r="L28" t="s">
        <v>189</v>
      </c>
      <c r="N28" t="s">
        <v>49</v>
      </c>
      <c r="O28" t="s">
        <v>205</v>
      </c>
    </row>
    <row r="29" spans="2:33" x14ac:dyDescent="0.25">
      <c r="B29" s="1">
        <v>3</v>
      </c>
      <c r="C29" t="s">
        <v>203</v>
      </c>
      <c r="E29" s="1" t="s">
        <v>164</v>
      </c>
      <c r="F29" t="s">
        <v>155</v>
      </c>
      <c r="K29" t="s">
        <v>56</v>
      </c>
      <c r="L29" t="s">
        <v>196</v>
      </c>
    </row>
    <row r="30" spans="2:33" x14ac:dyDescent="0.25">
      <c r="B30" s="1">
        <v>4</v>
      </c>
      <c r="C30" t="s">
        <v>155</v>
      </c>
      <c r="E30" s="1" t="s">
        <v>7</v>
      </c>
      <c r="F30" t="s">
        <v>153</v>
      </c>
    </row>
    <row r="31" spans="2:33" x14ac:dyDescent="0.25">
      <c r="E31" s="1" t="s">
        <v>8</v>
      </c>
      <c r="F31" t="s">
        <v>154</v>
      </c>
    </row>
    <row r="32" spans="2:33" x14ac:dyDescent="0.25">
      <c r="E32" s="1" t="s">
        <v>10</v>
      </c>
      <c r="F32" t="s">
        <v>122</v>
      </c>
    </row>
    <row r="33" spans="5:6" x14ac:dyDescent="0.25">
      <c r="E33" s="1" t="s">
        <v>165</v>
      </c>
      <c r="F33" t="s">
        <v>157</v>
      </c>
    </row>
    <row r="34" spans="5:6" x14ac:dyDescent="0.25">
      <c r="E34" s="1" t="s">
        <v>168</v>
      </c>
      <c r="F34" t="s">
        <v>156</v>
      </c>
    </row>
    <row r="35" spans="5:6" x14ac:dyDescent="0.25">
      <c r="E35" s="1" t="s">
        <v>166</v>
      </c>
      <c r="F35" t="s">
        <v>158</v>
      </c>
    </row>
    <row r="36" spans="5:6" x14ac:dyDescent="0.25">
      <c r="E36" s="1" t="s">
        <v>6</v>
      </c>
      <c r="F36" t="s">
        <v>152</v>
      </c>
    </row>
    <row r="37" spans="5:6" x14ac:dyDescent="0.25">
      <c r="E37" s="1" t="s">
        <v>162</v>
      </c>
      <c r="F37" t="s">
        <v>163</v>
      </c>
    </row>
  </sheetData>
  <mergeCells count="21">
    <mergeCell ref="AU2:AV2"/>
    <mergeCell ref="K25:L25"/>
    <mergeCell ref="H2:I2"/>
    <mergeCell ref="K2:L2"/>
    <mergeCell ref="N2:O2"/>
    <mergeCell ref="Q2:R2"/>
    <mergeCell ref="AI2:AJ2"/>
    <mergeCell ref="AL2:AM2"/>
    <mergeCell ref="AO2:AP2"/>
    <mergeCell ref="N25:O25"/>
    <mergeCell ref="AR2:AS2"/>
    <mergeCell ref="AC2:AD2"/>
    <mergeCell ref="T2:U2"/>
    <mergeCell ref="W2:X2"/>
    <mergeCell ref="Z2:AA2"/>
    <mergeCell ref="AF2:AG2"/>
    <mergeCell ref="B2:C2"/>
    <mergeCell ref="B25:C25"/>
    <mergeCell ref="E2:F2"/>
    <mergeCell ref="E25:F25"/>
    <mergeCell ref="H25:I25"/>
  </mergeCells>
  <pageMargins left="0.7" right="0.7" top="0.75" bottom="0.75" header="0.3" footer="0.3"/>
  <pageSetup paperSize="9" orientation="portrait" r:id="rId1"/>
  <drawing r:id="rId2"/>
  <tableParts count="21"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  <tablePart r:id="rId15"/>
    <tablePart r:id="rId16"/>
    <tablePart r:id="rId17"/>
    <tablePart r:id="rId18"/>
    <tablePart r:id="rId19"/>
    <tablePart r:id="rId20"/>
    <tablePart r:id="rId21"/>
    <tablePart r:id="rId22"/>
    <tablePart r:id="rId23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7"/>
  <dimension ref="A1"/>
  <sheetViews>
    <sheetView showGridLines="0" topLeftCell="A10" zoomScaleNormal="100" workbookViewId="0">
      <selection activeCell="E19" sqref="E19"/>
    </sheetView>
  </sheetViews>
  <sheetFormatPr baseColWidth="10" defaultRowHeight="15" x14ac:dyDescent="0.25"/>
  <cols>
    <col min="1" max="16384" width="11.42578125" style="33"/>
  </cols>
  <sheetData/>
  <pageMargins left="0.7" right="0.7" top="0.75" bottom="0.75" header="0.3" footer="0.3"/>
  <pageSetup paperSize="9" orientation="portrait" r:id="rId1"/>
  <headerFooter>
    <oddFooter>&amp;Cà utilser seulement à des fins éducatives
www.tutoderien.com</oddFooter>
  </headerFooter>
  <drawing r:id="rId2"/>
  <legacyDrawing r:id="rId3"/>
  <controls>
    <mc:AlternateContent xmlns:mc="http://schemas.openxmlformats.org/markup-compatibility/2006">
      <mc:Choice Requires="x14">
        <control shapeId="7169" r:id="rId4" name="CommandButton1">
          <controlPr defaultSize="0" autoLine="0" r:id="rId5">
            <anchor moveWithCells="1">
              <from>
                <xdr:col>8</xdr:col>
                <xdr:colOff>276225</xdr:colOff>
                <xdr:row>15</xdr:row>
                <xdr:rowOff>57150</xdr:rowOff>
              </from>
              <to>
                <xdr:col>11</xdr:col>
                <xdr:colOff>200025</xdr:colOff>
                <xdr:row>20</xdr:row>
                <xdr:rowOff>171450</xdr:rowOff>
              </to>
            </anchor>
          </controlPr>
        </control>
      </mc:Choice>
      <mc:Fallback>
        <control shapeId="7169" r:id="rId4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B1:V95"/>
  <sheetViews>
    <sheetView showGridLines="0" topLeftCell="A16" zoomScale="96" zoomScaleNormal="96" zoomScaleSheetLayoutView="70" zoomScalePageLayoutView="70" workbookViewId="0">
      <selection activeCell="I4" sqref="I4"/>
    </sheetView>
  </sheetViews>
  <sheetFormatPr baseColWidth="10" defaultRowHeight="15" x14ac:dyDescent="0.25"/>
  <cols>
    <col min="1" max="1" width="1.5703125" customWidth="1"/>
    <col min="2" max="2" width="26.7109375" customWidth="1"/>
    <col min="3" max="4" width="14.85546875" style="1" customWidth="1"/>
    <col min="5" max="5" width="6.7109375" customWidth="1"/>
    <col min="6" max="6" width="4.5703125" customWidth="1"/>
    <col min="7" max="7" width="6.7109375" customWidth="1"/>
    <col min="9" max="9" width="23" bestFit="1" customWidth="1"/>
    <col min="10" max="20" width="16.7109375" customWidth="1"/>
    <col min="21" max="21" width="23.85546875" bestFit="1" customWidth="1"/>
    <col min="22" max="22" width="12.5703125" bestFit="1" customWidth="1"/>
  </cols>
  <sheetData>
    <row r="1" spans="9:22" ht="23.25" customHeight="1" x14ac:dyDescent="0.25">
      <c r="V1" s="19"/>
    </row>
    <row r="3" spans="9:22" hidden="1" x14ac:dyDescent="0.25">
      <c r="I3" s="6" t="s">
        <v>87</v>
      </c>
      <c r="P3" s="6" t="s">
        <v>87</v>
      </c>
    </row>
    <row r="4" spans="9:22" x14ac:dyDescent="0.25">
      <c r="J4" s="1" t="s">
        <v>62</v>
      </c>
      <c r="Q4" s="2" t="s">
        <v>68</v>
      </c>
    </row>
    <row r="5" spans="9:22" x14ac:dyDescent="0.25">
      <c r="I5" s="7" t="s">
        <v>115</v>
      </c>
      <c r="J5" s="8">
        <v>115.67</v>
      </c>
      <c r="P5" s="7" t="s">
        <v>161</v>
      </c>
      <c r="Q5" s="8">
        <v>82.25</v>
      </c>
    </row>
    <row r="6" spans="9:22" x14ac:dyDescent="0.25">
      <c r="I6" s="7" t="s">
        <v>122</v>
      </c>
      <c r="J6" s="8">
        <v>25</v>
      </c>
      <c r="P6" s="7" t="s">
        <v>85</v>
      </c>
      <c r="Q6" s="8">
        <v>82.25</v>
      </c>
    </row>
    <row r="7" spans="9:22" x14ac:dyDescent="0.25">
      <c r="I7" s="7" t="s">
        <v>85</v>
      </c>
      <c r="J7" s="8">
        <v>140.67000000000002</v>
      </c>
    </row>
    <row r="8" spans="9:22" x14ac:dyDescent="0.25">
      <c r="U8" s="19" t="s">
        <v>83</v>
      </c>
      <c r="V8" s="19">
        <f>GETPIVOTDATA("Somme",$I$3,"Type","sortie")</f>
        <v>140.67000000000002</v>
      </c>
    </row>
    <row r="9" spans="9:22" x14ac:dyDescent="0.25">
      <c r="U9" s="19" t="s">
        <v>84</v>
      </c>
      <c r="V9" s="19">
        <f>GETPIVOTDATA("Somme",$P$3,"Type","entrée")</f>
        <v>82.25</v>
      </c>
    </row>
    <row r="22" spans="2:20" ht="15.75" thickBot="1" x14ac:dyDescent="0.3"/>
    <row r="23" spans="2:20" ht="15.75" hidden="1" thickBot="1" x14ac:dyDescent="0.3">
      <c r="B23" s="6" t="s">
        <v>87</v>
      </c>
      <c r="C23"/>
      <c r="D23"/>
    </row>
    <row r="24" spans="2:20" x14ac:dyDescent="0.25">
      <c r="C24" s="1" t="s">
        <v>62</v>
      </c>
      <c r="D24"/>
      <c r="H24" s="11"/>
      <c r="I24" s="12" t="s">
        <v>88</v>
      </c>
      <c r="J24" s="12" t="s">
        <v>89</v>
      </c>
      <c r="K24" s="12" t="s">
        <v>90</v>
      </c>
      <c r="L24" s="12" t="s">
        <v>91</v>
      </c>
      <c r="M24" s="12" t="s">
        <v>92</v>
      </c>
      <c r="N24" s="12" t="s">
        <v>93</v>
      </c>
      <c r="O24" s="12" t="s">
        <v>94</v>
      </c>
      <c r="P24" s="12" t="s">
        <v>95</v>
      </c>
      <c r="Q24" s="12" t="s">
        <v>96</v>
      </c>
      <c r="R24" s="12" t="s">
        <v>97</v>
      </c>
      <c r="S24" s="12" t="s">
        <v>98</v>
      </c>
      <c r="T24" s="13" t="s">
        <v>99</v>
      </c>
    </row>
    <row r="25" spans="2:20" x14ac:dyDescent="0.25">
      <c r="B25" s="7" t="s">
        <v>115</v>
      </c>
      <c r="C25" s="32"/>
      <c r="D25"/>
      <c r="H25" s="14" t="s">
        <v>83</v>
      </c>
      <c r="I25" s="16">
        <f>IFERROR(GETPIVOTDATA("Somme",Rapport!$B$3,"Type","sortie","Mois",I$24),"")</f>
        <v>49.66</v>
      </c>
      <c r="J25" s="16">
        <f>IFERROR(GETPIVOTDATA("Somme",Rapport!$B$3,"Type","sortie","Mois",J$24),"")</f>
        <v>71.010000000000005</v>
      </c>
      <c r="K25" s="16">
        <f>IFERROR(GETPIVOTDATA("Somme",Rapport!$B$3,"Type","sortie","Mois",K$24),"")</f>
        <v>20</v>
      </c>
      <c r="L25" s="16" t="str">
        <f>IFERROR(GETPIVOTDATA("Somme",Rapport!$B$3,"Type","sortie","Mois",L$24),"")</f>
        <v/>
      </c>
      <c r="M25" s="16" t="str">
        <f>IFERROR(GETPIVOTDATA("Somme",Rapport!$B$3,"Type","sortie","Mois",M$24),"")</f>
        <v/>
      </c>
      <c r="N25" s="16" t="str">
        <f>IFERROR(GETPIVOTDATA("Somme",Rapport!$B$3,"Type","sortie","Mois",N$24),"")</f>
        <v/>
      </c>
      <c r="O25" s="16" t="str">
        <f>IFERROR(GETPIVOTDATA("Somme",Rapport!$B$3,"Type","sortie","Mois",O$24),"")</f>
        <v/>
      </c>
      <c r="P25" s="16" t="str">
        <f>IFERROR(GETPIVOTDATA("Somme",Rapport!$B$3,"Type","sortie","Mois",P$24),"")</f>
        <v/>
      </c>
      <c r="Q25" s="16" t="str">
        <f>IFERROR(GETPIVOTDATA("Somme",Rapport!$B$3,"Type","sortie","Mois",Q$24),"")</f>
        <v/>
      </c>
      <c r="R25" s="16" t="str">
        <f>IFERROR(GETPIVOTDATA("Somme",Rapport!$B$3,"Type","sortie","Mois",R$24),"")</f>
        <v/>
      </c>
      <c r="S25" s="16" t="str">
        <f>IFERROR(GETPIVOTDATA("Somme",Rapport!$B$3,"Type","sortie","Mois",S$24),"")</f>
        <v/>
      </c>
      <c r="T25" s="17" t="str">
        <f>IFERROR(GETPIVOTDATA("Somme",Rapport!$B$3,"Type","sortie","Mois",T$24),"")</f>
        <v/>
      </c>
    </row>
    <row r="26" spans="2:20" ht="15.75" thickBot="1" x14ac:dyDescent="0.3">
      <c r="B26" s="9"/>
      <c r="C26" s="32">
        <v>115.67</v>
      </c>
      <c r="D26"/>
      <c r="H26" s="15" t="s">
        <v>68</v>
      </c>
      <c r="I26" s="18">
        <f>IFERROR(GETPIVOTDATA("Somme",Rapport!$B$3,"Type","Entrée","Mois",I$24),"")</f>
        <v>36.35</v>
      </c>
      <c r="J26" s="18">
        <f>IFERROR(GETPIVOTDATA("Somme",Rapport!$B$3,"Type","Entrée","Mois",J$24),"")</f>
        <v>0</v>
      </c>
      <c r="K26" s="18">
        <f>IFERROR(GETPIVOTDATA("Somme",Rapport!$B$3,"Type","Entrée","Mois",K$24),"")</f>
        <v>45.9</v>
      </c>
      <c r="L26" s="18" t="str">
        <f>IFERROR(GETPIVOTDATA("Somme",Rapport!$B$3,"Type","Entrée","Mois",L$24),"")</f>
        <v/>
      </c>
      <c r="M26" s="18" t="str">
        <f>IFERROR(GETPIVOTDATA("Somme",Rapport!$B$3,"Type","Entrée","Mois",M$24),"")</f>
        <v/>
      </c>
      <c r="N26" s="18" t="str">
        <f>IFERROR(GETPIVOTDATA("Somme",Rapport!$B$3,"Type","Entrée","Mois",N$24),"")</f>
        <v/>
      </c>
      <c r="O26" s="18" t="str">
        <f>IFERROR(GETPIVOTDATA("Somme",Rapport!$B$3,"Type","Entrée","Mois",O$24),"")</f>
        <v/>
      </c>
      <c r="P26" s="18" t="str">
        <f>IFERROR(GETPIVOTDATA("Somme",Rapport!$B$3,"Type","Entrée","Mois",P$24),"")</f>
        <v/>
      </c>
      <c r="Q26" s="18" t="str">
        <f>IFERROR(GETPIVOTDATA("Somme",Rapport!$B$3,"Type","Entrée","Mois",Q$24),"")</f>
        <v/>
      </c>
      <c r="R26" s="18" t="str">
        <f>IFERROR(GETPIVOTDATA("Somme",Rapport!$B$3,"Type","Entrée","Mois",R$24),"")</f>
        <v/>
      </c>
      <c r="S26" s="18" t="str">
        <f>IFERROR(GETPIVOTDATA("Somme",Rapport!$B$3,"Type","Entrée","Mois",S$24),"")</f>
        <v/>
      </c>
      <c r="T26" s="18" t="str">
        <f>IFERROR(GETPIVOTDATA("Somme",Rapport!$B$3,"Type","Entrée","Mois",T$24),"")</f>
        <v/>
      </c>
    </row>
    <row r="27" spans="2:20" x14ac:dyDescent="0.25">
      <c r="B27" s="7" t="s">
        <v>122</v>
      </c>
      <c r="C27" s="32"/>
      <c r="D27"/>
    </row>
    <row r="28" spans="2:20" x14ac:dyDescent="0.25">
      <c r="B28" s="9"/>
      <c r="C28" s="32">
        <v>25</v>
      </c>
      <c r="D28"/>
    </row>
    <row r="29" spans="2:20" x14ac:dyDescent="0.25">
      <c r="C29"/>
      <c r="D29"/>
    </row>
    <row r="30" spans="2:20" x14ac:dyDescent="0.25">
      <c r="C30"/>
      <c r="D30"/>
    </row>
    <row r="31" spans="2:20" x14ac:dyDescent="0.25">
      <c r="C31"/>
      <c r="D31"/>
    </row>
    <row r="32" spans="2:20" x14ac:dyDescent="0.25">
      <c r="C32"/>
      <c r="D32"/>
    </row>
    <row r="33" spans="3:4" x14ac:dyDescent="0.25">
      <c r="C33"/>
      <c r="D33"/>
    </row>
    <row r="34" spans="3:4" x14ac:dyDescent="0.25">
      <c r="C34"/>
      <c r="D34"/>
    </row>
    <row r="35" spans="3:4" x14ac:dyDescent="0.25">
      <c r="C35"/>
    </row>
    <row r="36" spans="3:4" x14ac:dyDescent="0.25">
      <c r="C36"/>
    </row>
    <row r="37" spans="3:4" x14ac:dyDescent="0.25">
      <c r="C37"/>
    </row>
    <row r="38" spans="3:4" x14ac:dyDescent="0.25">
      <c r="C38"/>
    </row>
    <row r="39" spans="3:4" x14ac:dyDescent="0.25">
      <c r="C39"/>
    </row>
    <row r="40" spans="3:4" x14ac:dyDescent="0.25">
      <c r="C40"/>
    </row>
    <row r="41" spans="3:4" x14ac:dyDescent="0.25">
      <c r="C41"/>
    </row>
    <row r="42" spans="3:4" x14ac:dyDescent="0.25">
      <c r="C42"/>
    </row>
    <row r="43" spans="3:4" x14ac:dyDescent="0.25">
      <c r="C43"/>
    </row>
    <row r="44" spans="3:4" x14ac:dyDescent="0.25">
      <c r="C44"/>
    </row>
    <row r="45" spans="3:4" x14ac:dyDescent="0.25">
      <c r="C45"/>
    </row>
    <row r="46" spans="3:4" x14ac:dyDescent="0.25">
      <c r="C46"/>
    </row>
    <row r="47" spans="3:4" x14ac:dyDescent="0.25">
      <c r="C47"/>
    </row>
    <row r="48" spans="3:4" x14ac:dyDescent="0.25">
      <c r="C48"/>
    </row>
    <row r="49" spans="3:3" x14ac:dyDescent="0.25">
      <c r="C49"/>
    </row>
    <row r="50" spans="3:3" x14ac:dyDescent="0.25">
      <c r="C50"/>
    </row>
    <row r="51" spans="3:3" x14ac:dyDescent="0.25">
      <c r="C51"/>
    </row>
    <row r="52" spans="3:3" x14ac:dyDescent="0.25">
      <c r="C52"/>
    </row>
    <row r="53" spans="3:3" x14ac:dyDescent="0.25">
      <c r="C53"/>
    </row>
    <row r="54" spans="3:3" x14ac:dyDescent="0.25">
      <c r="C54"/>
    </row>
    <row r="55" spans="3:3" x14ac:dyDescent="0.25">
      <c r="C55"/>
    </row>
    <row r="56" spans="3:3" x14ac:dyDescent="0.25">
      <c r="C56"/>
    </row>
    <row r="57" spans="3:3" x14ac:dyDescent="0.25">
      <c r="C57"/>
    </row>
    <row r="58" spans="3:3" x14ac:dyDescent="0.25">
      <c r="C58"/>
    </row>
    <row r="59" spans="3:3" x14ac:dyDescent="0.25">
      <c r="C59"/>
    </row>
    <row r="60" spans="3:3" x14ac:dyDescent="0.25">
      <c r="C60"/>
    </row>
    <row r="61" spans="3:3" x14ac:dyDescent="0.25">
      <c r="C61"/>
    </row>
    <row r="62" spans="3:3" x14ac:dyDescent="0.25">
      <c r="C62"/>
    </row>
    <row r="63" spans="3:3" x14ac:dyDescent="0.25">
      <c r="C63"/>
    </row>
    <row r="64" spans="3:3" x14ac:dyDescent="0.25">
      <c r="C64"/>
    </row>
    <row r="65" spans="3:3" x14ac:dyDescent="0.25">
      <c r="C65"/>
    </row>
    <row r="66" spans="3:3" x14ac:dyDescent="0.25">
      <c r="C66"/>
    </row>
    <row r="67" spans="3:3" x14ac:dyDescent="0.25">
      <c r="C67"/>
    </row>
    <row r="68" spans="3:3" x14ac:dyDescent="0.25">
      <c r="C68"/>
    </row>
    <row r="69" spans="3:3" x14ac:dyDescent="0.25">
      <c r="C69"/>
    </row>
    <row r="70" spans="3:3" x14ac:dyDescent="0.25">
      <c r="C70"/>
    </row>
    <row r="71" spans="3:3" x14ac:dyDescent="0.25">
      <c r="C71"/>
    </row>
    <row r="72" spans="3:3" x14ac:dyDescent="0.25">
      <c r="C72"/>
    </row>
    <row r="73" spans="3:3" x14ac:dyDescent="0.25">
      <c r="C73"/>
    </row>
    <row r="74" spans="3:3" x14ac:dyDescent="0.25">
      <c r="C74"/>
    </row>
    <row r="75" spans="3:3" x14ac:dyDescent="0.25">
      <c r="C75"/>
    </row>
    <row r="76" spans="3:3" x14ac:dyDescent="0.25">
      <c r="C76"/>
    </row>
    <row r="77" spans="3:3" x14ac:dyDescent="0.25">
      <c r="C77"/>
    </row>
    <row r="78" spans="3:3" x14ac:dyDescent="0.25">
      <c r="C78"/>
    </row>
    <row r="79" spans="3:3" x14ac:dyDescent="0.25">
      <c r="C79"/>
    </row>
    <row r="80" spans="3:3" x14ac:dyDescent="0.25">
      <c r="C80"/>
    </row>
    <row r="81" spans="3:3" x14ac:dyDescent="0.25">
      <c r="C81"/>
    </row>
    <row r="82" spans="3:3" x14ac:dyDescent="0.25">
      <c r="C82"/>
    </row>
    <row r="83" spans="3:3" x14ac:dyDescent="0.25">
      <c r="C83"/>
    </row>
    <row r="84" spans="3:3" x14ac:dyDescent="0.25">
      <c r="C84"/>
    </row>
    <row r="85" spans="3:3" x14ac:dyDescent="0.25">
      <c r="C85"/>
    </row>
    <row r="86" spans="3:3" x14ac:dyDescent="0.25">
      <c r="C86"/>
    </row>
    <row r="87" spans="3:3" x14ac:dyDescent="0.25">
      <c r="C87"/>
    </row>
    <row r="88" spans="3:3" x14ac:dyDescent="0.25">
      <c r="C88"/>
    </row>
    <row r="89" spans="3:3" x14ac:dyDescent="0.25">
      <c r="C89"/>
    </row>
    <row r="90" spans="3:3" x14ac:dyDescent="0.25">
      <c r="C90"/>
    </row>
    <row r="91" spans="3:3" x14ac:dyDescent="0.25">
      <c r="C91"/>
    </row>
    <row r="92" spans="3:3" x14ac:dyDescent="0.25">
      <c r="C92"/>
    </row>
    <row r="93" spans="3:3" x14ac:dyDescent="0.25">
      <c r="C93"/>
    </row>
    <row r="94" spans="3:3" x14ac:dyDescent="0.25">
      <c r="C94"/>
    </row>
    <row r="95" spans="3:3" x14ac:dyDescent="0.25">
      <c r="C95"/>
    </row>
  </sheetData>
  <conditionalFormatting pivot="1" sqref="C25:C28">
    <cfRule type="expression" dxfId="20" priority="11">
      <formula>C25&lt;&gt;""</formula>
    </cfRule>
  </conditionalFormatting>
  <conditionalFormatting pivot="1" sqref="C25:C28">
    <cfRule type="expression" dxfId="19" priority="10">
      <formula>C25&gt;D25</formula>
    </cfRule>
  </conditionalFormatting>
  <conditionalFormatting pivot="1" sqref="C25:C28">
    <cfRule type="expression" dxfId="18" priority="6">
      <formula>AND(C25&lt;=D25,C25&gt;D25-(D25*10%))</formula>
    </cfRule>
  </conditionalFormatting>
  <conditionalFormatting pivot="1" sqref="C25:C28">
    <cfRule type="expression" dxfId="17" priority="5">
      <formula>C25=""</formula>
    </cfRule>
  </conditionalFormatting>
  <pageMargins left="0.7" right="0.7" top="0.75" bottom="0.75" header="0.3" footer="0.3"/>
  <pageSetup paperSize="9" orientation="portrait" r:id="rId4"/>
  <drawing r:id="rId5"/>
  <extLst>
    <ext xmlns:x14="http://schemas.microsoft.com/office/spreadsheetml/2009/9/main" uri="{A8765BA9-456A-4dab-B4F3-ACF838C121DE}">
      <x14:slicerList>
        <x14:slicer r:id="rId6"/>
      </x14:slicerList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2"/>
  <dimension ref="B1:AM432"/>
  <sheetViews>
    <sheetView showGridLines="0" workbookViewId="0">
      <selection activeCell="B3" sqref="B3"/>
    </sheetView>
  </sheetViews>
  <sheetFormatPr baseColWidth="10" defaultRowHeight="15" x14ac:dyDescent="0.25"/>
  <cols>
    <col min="1" max="1" width="4" customWidth="1"/>
    <col min="2" max="2" width="4.28515625" customWidth="1"/>
    <col min="3" max="3" width="14.28515625" style="27" customWidth="1"/>
    <col min="6" max="6" width="15.5703125" customWidth="1"/>
    <col min="7" max="7" width="18.28515625" customWidth="1"/>
    <col min="8" max="8" width="5.42578125" customWidth="1"/>
    <col min="9" max="9" width="23" bestFit="1" customWidth="1"/>
    <col min="10" max="10" width="5.7109375" customWidth="1"/>
    <col min="11" max="11" width="27.85546875" bestFit="1" customWidth="1"/>
    <col min="12" max="12" width="35.140625" bestFit="1" customWidth="1"/>
    <col min="13" max="13" width="8.42578125" customWidth="1"/>
    <col min="14" max="14" width="12.28515625" customWidth="1"/>
    <col min="17" max="17" width="117.5703125" bestFit="1" customWidth="1"/>
  </cols>
  <sheetData>
    <row r="1" spans="2:39" ht="15.75" thickBot="1" x14ac:dyDescent="0.3"/>
    <row r="2" spans="2:39" x14ac:dyDescent="0.25">
      <c r="B2" t="s">
        <v>0</v>
      </c>
      <c r="C2" s="27" t="s">
        <v>73</v>
      </c>
      <c r="D2" t="s">
        <v>67</v>
      </c>
      <c r="E2" t="s">
        <v>74</v>
      </c>
      <c r="F2" t="s">
        <v>69</v>
      </c>
      <c r="G2" t="s">
        <v>75</v>
      </c>
      <c r="H2" t="s">
        <v>76</v>
      </c>
      <c r="I2" t="s">
        <v>1</v>
      </c>
      <c r="J2" t="s">
        <v>77</v>
      </c>
      <c r="K2" t="s">
        <v>78</v>
      </c>
      <c r="L2" t="s">
        <v>79</v>
      </c>
      <c r="M2" t="s">
        <v>80</v>
      </c>
      <c r="N2" t="s">
        <v>81</v>
      </c>
      <c r="O2" t="s">
        <v>82</v>
      </c>
      <c r="X2" s="24" t="s">
        <v>82</v>
      </c>
      <c r="Z2" s="20" t="s">
        <v>0</v>
      </c>
      <c r="AA2" s="21" t="s">
        <v>73</v>
      </c>
      <c r="AB2" s="21" t="s">
        <v>67</v>
      </c>
      <c r="AC2" s="21" t="s">
        <v>74</v>
      </c>
      <c r="AD2" s="21" t="s">
        <v>69</v>
      </c>
      <c r="AE2" s="21" t="s">
        <v>75</v>
      </c>
      <c r="AF2" s="21" t="s">
        <v>76</v>
      </c>
      <c r="AG2" s="21" t="s">
        <v>1</v>
      </c>
      <c r="AH2" s="21" t="s">
        <v>77</v>
      </c>
      <c r="AI2" s="21" t="s">
        <v>78</v>
      </c>
      <c r="AJ2" s="21" t="s">
        <v>79</v>
      </c>
      <c r="AK2" s="21" t="s">
        <v>80</v>
      </c>
      <c r="AL2" s="21" t="s">
        <v>81</v>
      </c>
      <c r="AM2" s="22" t="s">
        <v>82</v>
      </c>
    </row>
    <row r="3" spans="2:39" ht="15.75" thickBot="1" x14ac:dyDescent="0.3">
      <c r="B3">
        <f t="shared" ref="B3:B11" si="0">ROW(B3)-2</f>
        <v>1</v>
      </c>
      <c r="C3" s="25" t="s">
        <v>273</v>
      </c>
      <c r="D3" t="s">
        <v>68</v>
      </c>
      <c r="E3" s="5">
        <v>30</v>
      </c>
      <c r="F3" t="s">
        <v>159</v>
      </c>
      <c r="G3" t="s">
        <v>112</v>
      </c>
      <c r="H3">
        <v>1</v>
      </c>
      <c r="I3" t="str">
        <f>IFERROR(IF(OR(Tableau25[[#This Row],[Type]]="sortie",Tableau25[[#This Row],[Type]]="budget"),VLOOKUP(Tableau25[[#This Row],[Catid]],sortie,2,0),IF(Tableau25[[#This Row],[Type]]="entrée",VLOOKUP(Tableau25[[#This Row],[Catid]],entrée,2,0),"")),"")</f>
        <v>Encaissement</v>
      </c>
      <c r="J3" t="s">
        <v>169</v>
      </c>
      <c r="K3" t="str">
        <f ca="1">IFERROR(IF(OR(Tableau25[[#This Row],[Type]]="sortie",Tableau25[[#This Row],[Type]]="budget"),VLOOKUP(J3,INDIRECT("sortie"&amp;Tableau25[[#This Row],[Catid]]),2,0),IF(Tableau25[[#This Row],[Type]]="entrée",VLOOKUP(J3,INDIRECT("entrée"&amp;Tableau25[[#This Row],[Catid]]),2,0),"")),"")</f>
        <v>Bar</v>
      </c>
      <c r="L3" t="s">
        <v>112</v>
      </c>
      <c r="M3">
        <f>YEAR(Tableau25[[#This Row],[Date]])</f>
        <v>2021</v>
      </c>
      <c r="N3" t="str">
        <f>TEXT(Tableau25[[#This Row],[Date]],"mmmm")</f>
        <v>janvier</v>
      </c>
      <c r="O3" s="26" t="str">
        <f ca="1">CONCATENATE(TEXT(Tableau25[[#This Row],[Date]],"jj/mm/aaaa")," ",Tableau25[[#This Row],[Type]]," ",Tableau25[[#This Row],[Somme]]," ",Tableau25[[#This Row],[Compte]]," ",Tableau25[[#This Row],[Description]]," ",Tableau25[[#This Row],[Catégorie]]," ",Tableau25[[#This Row],[Sous-catégorie]]," ",Tableau25[[#This Row],[Commentaire]]," ",Tableau25[[#This Row],[Année]]," ",Tableau25[[#This Row],[Mois]])</f>
        <v>30/01/2021 Entrée 30 Compte Principal  Encaissement Bar  2021 janvier</v>
      </c>
      <c r="X3" s="23" t="s">
        <v>268</v>
      </c>
      <c r="Z3">
        <v>365</v>
      </c>
      <c r="AA3" s="34" t="s">
        <v>269</v>
      </c>
      <c r="AB3" t="s">
        <v>68</v>
      </c>
      <c r="AC3" s="5">
        <v>150</v>
      </c>
      <c r="AD3" t="s">
        <v>159</v>
      </c>
      <c r="AE3" t="s">
        <v>267</v>
      </c>
      <c r="AF3">
        <v>2</v>
      </c>
      <c r="AG3" t="s">
        <v>201</v>
      </c>
      <c r="AH3" t="s">
        <v>37</v>
      </c>
      <c r="AI3" t="s">
        <v>202</v>
      </c>
      <c r="AJ3" t="s">
        <v>270</v>
      </c>
      <c r="AK3">
        <v>2018</v>
      </c>
      <c r="AL3" t="s">
        <v>266</v>
      </c>
      <c r="AM3" s="26" t="s">
        <v>271</v>
      </c>
    </row>
    <row r="4" spans="2:39" x14ac:dyDescent="0.25">
      <c r="B4">
        <f t="shared" si="0"/>
        <v>2</v>
      </c>
      <c r="C4" s="25" t="s">
        <v>273</v>
      </c>
      <c r="D4" t="s">
        <v>68</v>
      </c>
      <c r="E4" s="5">
        <v>6.35</v>
      </c>
      <c r="F4" t="s">
        <v>159</v>
      </c>
      <c r="G4" t="s">
        <v>112</v>
      </c>
      <c r="H4">
        <v>1</v>
      </c>
      <c r="I4" t="str">
        <f>IFERROR(IF(OR(Tableau25[[#This Row],[Type]]="sortie",Tableau25[[#This Row],[Type]]="budget"),VLOOKUP(Tableau25[[#This Row],[Catid]],sortie,2,0),IF(Tableau25[[#This Row],[Type]]="entrée",VLOOKUP(Tableau25[[#This Row],[Catid]],entrée,2,0),"")),"")</f>
        <v>Encaissement</v>
      </c>
      <c r="J4" t="s">
        <v>10</v>
      </c>
      <c r="K4" t="str">
        <f ca="1">IFERROR(IF(OR(Tableau25[[#This Row],[Type]]="sortie",Tableau25[[#This Row],[Type]]="budget"),VLOOKUP(J4,INDIRECT("sortie"&amp;Tableau25[[#This Row],[Catid]]),2,0),IF(Tableau25[[#This Row],[Type]]="entrée",VLOOKUP(J4,INDIRECT("entrée"&amp;Tableau25[[#This Row],[Catid]]),2,0),"")),"")</f>
        <v>Divers</v>
      </c>
      <c r="L4" t="s">
        <v>112</v>
      </c>
      <c r="M4">
        <f>YEAR(Tableau25[[#This Row],[Date]])</f>
        <v>2021</v>
      </c>
      <c r="N4" t="str">
        <f>TEXT(Tableau25[[#This Row],[Date]],"mmmm")</f>
        <v>janvier</v>
      </c>
      <c r="O4" s="26" t="str">
        <f ca="1">CONCATENATE(TEXT(Tableau25[[#This Row],[Date]],"jj/mm/aaaa")," ",Tableau25[[#This Row],[Type]]," ",Tableau25[[#This Row],[Somme]]," ",Tableau25[[#This Row],[Compte]]," ",Tableau25[[#This Row],[Description]]," ",Tableau25[[#This Row],[Catégorie]]," ",Tableau25[[#This Row],[Sous-catégorie]]," ",Tableau25[[#This Row],[Commentaire]]," ",Tableau25[[#This Row],[Année]]," ",Tableau25[[#This Row],[Mois]])</f>
        <v>30/01/2021 Entrée 6,35 Compte Principal  Encaissement Divers  2021 janvier</v>
      </c>
      <c r="AA4" s="27"/>
      <c r="AC4" s="5"/>
      <c r="AM4" s="26"/>
    </row>
    <row r="5" spans="2:39" x14ac:dyDescent="0.25">
      <c r="B5">
        <f t="shared" si="0"/>
        <v>3</v>
      </c>
      <c r="C5" s="25" t="s">
        <v>273</v>
      </c>
      <c r="D5" t="s">
        <v>62</v>
      </c>
      <c r="E5" s="5">
        <v>36.659999999999997</v>
      </c>
      <c r="F5" t="s">
        <v>159</v>
      </c>
      <c r="G5" t="s">
        <v>112</v>
      </c>
      <c r="H5">
        <v>3</v>
      </c>
      <c r="I5" t="str">
        <f>IFERROR(IF(OR(Tableau25[[#This Row],[Type]]="sortie",Tableau25[[#This Row],[Type]]="budget"),VLOOKUP(Tableau25[[#This Row],[Catid]],sortie,2,0),IF(Tableau25[[#This Row],[Type]]="entrée",VLOOKUP(Tableau25[[#This Row],[Catid]],entrée,2,0),"")),"")</f>
        <v>Frais de fonctionnement</v>
      </c>
      <c r="K5" t="str">
        <f ca="1">IFERROR(IF(OR(Tableau25[[#This Row],[Type]]="sortie",Tableau25[[#This Row],[Type]]="budget"),VLOOKUP(J5,INDIRECT("sortie"&amp;Tableau25[[#This Row],[Catid]]),2,0),IF(Tableau25[[#This Row],[Type]]="entrée",VLOOKUP(J5,INDIRECT("entrée"&amp;Tableau25[[#This Row],[Catid]]),2,0),"")),"")</f>
        <v/>
      </c>
      <c r="L5" t="s">
        <v>112</v>
      </c>
      <c r="M5">
        <f>YEAR(Tableau25[[#This Row],[Date]])</f>
        <v>2021</v>
      </c>
      <c r="N5" t="str">
        <f>TEXT(Tableau25[[#This Row],[Date]],"mmmm")</f>
        <v>janvier</v>
      </c>
      <c r="O5" s="26" t="str">
        <f ca="1">CONCATENATE(TEXT(Tableau25[[#This Row],[Date]],"jj/mm/aaaa")," ",Tableau25[[#This Row],[Type]]," ",Tableau25[[#This Row],[Somme]]," ",Tableau25[[#This Row],[Compte]]," ",Tableau25[[#This Row],[Description]]," ",Tableau25[[#This Row],[Catégorie]]," ",Tableau25[[#This Row],[Sous-catégorie]]," ",Tableau25[[#This Row],[Commentaire]]," ",Tableau25[[#This Row],[Année]]," ",Tableau25[[#This Row],[Mois]])</f>
        <v>30/01/2021 Sortie 36,66 Compte Principal  Frais de fonctionnement   2021 janvier</v>
      </c>
      <c r="AA5" s="27"/>
      <c r="AC5" s="5"/>
      <c r="AM5" s="26"/>
    </row>
    <row r="6" spans="2:39" x14ac:dyDescent="0.25">
      <c r="B6">
        <f t="shared" si="0"/>
        <v>4</v>
      </c>
      <c r="C6" s="25" t="s">
        <v>273</v>
      </c>
      <c r="D6" t="s">
        <v>62</v>
      </c>
      <c r="E6" s="5">
        <v>13</v>
      </c>
      <c r="F6" t="s">
        <v>159</v>
      </c>
      <c r="H6">
        <v>3</v>
      </c>
      <c r="I6" t="str">
        <f>IFERROR(IF(OR(Tableau25[[#This Row],[Type]]="sortie",Tableau25[[#This Row],[Type]]="budget"),VLOOKUP(Tableau25[[#This Row],[Catid]],sortie,2,0),IF(Tableau25[[#This Row],[Type]]="entrée",VLOOKUP(Tableau25[[#This Row],[Catid]],entrée,2,0),"")),"")</f>
        <v>Frais de fonctionnement</v>
      </c>
      <c r="K6" t="str">
        <f ca="1">IFERROR(IF(OR(Tableau25[[#This Row],[Type]]="sortie",Tableau25[[#This Row],[Type]]="budget"),VLOOKUP(J6,INDIRECT("sortie"&amp;Tableau25[[#This Row],[Catid]]),2,0),IF(Tableau25[[#This Row],[Type]]="entrée",VLOOKUP(J6,INDIRECT("entrée"&amp;Tableau25[[#This Row],[Catid]]),2,0),"")),"")</f>
        <v/>
      </c>
      <c r="M6">
        <f>YEAR(Tableau25[[#This Row],[Date]])</f>
        <v>2021</v>
      </c>
      <c r="N6" t="str">
        <f>TEXT(Tableau25[[#This Row],[Date]],"mmmm")</f>
        <v>janvier</v>
      </c>
      <c r="O6" s="26" t="str">
        <f ca="1">CONCATENATE(TEXT(Tableau25[[#This Row],[Date]],"jj/mm/aaaa")," ",Tableau25[[#This Row],[Type]]," ",Tableau25[[#This Row],[Somme]]," ",Tableau25[[#This Row],[Compte]]," ",Tableau25[[#This Row],[Description]]," ",Tableau25[[#This Row],[Catégorie]]," ",Tableau25[[#This Row],[Sous-catégorie]]," ",Tableau25[[#This Row],[Commentaire]]," ",Tableau25[[#This Row],[Année]]," ",Tableau25[[#This Row],[Mois]])</f>
        <v>30/01/2021 Sortie 13 Compte Principal  Frais de fonctionnement   2021 janvier</v>
      </c>
      <c r="AA6" s="27"/>
      <c r="AC6" s="5"/>
      <c r="AM6" s="26"/>
    </row>
    <row r="7" spans="2:39" x14ac:dyDescent="0.25">
      <c r="B7">
        <f t="shared" si="0"/>
        <v>5</v>
      </c>
      <c r="C7" s="25" t="s">
        <v>275</v>
      </c>
      <c r="D7" t="s">
        <v>62</v>
      </c>
      <c r="E7" s="5">
        <v>66.010000000000005</v>
      </c>
      <c r="F7" t="s">
        <v>159</v>
      </c>
      <c r="G7" t="s">
        <v>112</v>
      </c>
      <c r="H7">
        <v>3</v>
      </c>
      <c r="I7" t="str">
        <f>IFERROR(IF(OR(Tableau25[[#This Row],[Type]]="sortie",Tableau25[[#This Row],[Type]]="budget"),VLOOKUP(Tableau25[[#This Row],[Catid]],sortie,2,0),IF(Tableau25[[#This Row],[Type]]="entrée",VLOOKUP(Tableau25[[#This Row],[Catid]],entrée,2,0),"")),"")</f>
        <v>Frais de fonctionnement</v>
      </c>
      <c r="K7" t="str">
        <f ca="1">IFERROR(IF(OR(Tableau25[[#This Row],[Type]]="sortie",Tableau25[[#This Row],[Type]]="budget"),VLOOKUP(J7,INDIRECT("sortie"&amp;Tableau25[[#This Row],[Catid]]),2,0),IF(Tableau25[[#This Row],[Type]]="entrée",VLOOKUP(J7,INDIRECT("entrée"&amp;Tableau25[[#This Row],[Catid]]),2,0),"")),"")</f>
        <v/>
      </c>
      <c r="L7" t="s">
        <v>112</v>
      </c>
      <c r="M7">
        <f>YEAR(Tableau25[[#This Row],[Date]])</f>
        <v>2021</v>
      </c>
      <c r="N7" t="str">
        <f>TEXT(Tableau25[[#This Row],[Date]],"mmmm")</f>
        <v>février</v>
      </c>
      <c r="O7" s="26" t="str">
        <f ca="1">CONCATENATE(TEXT(Tableau25[[#This Row],[Date]],"jj/mm/aaaa")," ",Tableau25[[#This Row],[Type]]," ",Tableau25[[#This Row],[Somme]]," ",Tableau25[[#This Row],[Compte]]," ",Tableau25[[#This Row],[Description]]," ",Tableau25[[#This Row],[Catégorie]]," ",Tableau25[[#This Row],[Sous-catégorie]]," ",Tableau25[[#This Row],[Commentaire]]," ",Tableau25[[#This Row],[Année]]," ",Tableau25[[#This Row],[Mois]])</f>
        <v>20/02/2021 Sortie 66,01 Compte Principal  Frais de fonctionnement   2021 février</v>
      </c>
      <c r="AA7" s="27"/>
      <c r="AC7" s="5"/>
      <c r="AM7" s="26"/>
    </row>
    <row r="8" spans="2:39" x14ac:dyDescent="0.25">
      <c r="B8">
        <f t="shared" si="0"/>
        <v>6</v>
      </c>
      <c r="C8" s="25" t="s">
        <v>275</v>
      </c>
      <c r="D8" t="s">
        <v>62</v>
      </c>
      <c r="E8" s="5">
        <v>5</v>
      </c>
      <c r="F8" t="s">
        <v>159</v>
      </c>
      <c r="G8" t="s">
        <v>112</v>
      </c>
      <c r="H8">
        <v>10</v>
      </c>
      <c r="I8" t="str">
        <f>IFERROR(IF(OR(Tableau25[[#This Row],[Type]]="sortie",Tableau25[[#This Row],[Type]]="budget"),VLOOKUP(Tableau25[[#This Row],[Catid]],sortie,2,0),IF(Tableau25[[#This Row],[Type]]="entrée",VLOOKUP(Tableau25[[#This Row],[Catid]],entrée,2,0),"")),"")</f>
        <v>Divers</v>
      </c>
      <c r="K8" t="str">
        <f ca="1">IFERROR(IF(OR(Tableau25[[#This Row],[Type]]="sortie",Tableau25[[#This Row],[Type]]="budget"),VLOOKUP(J8,INDIRECT("sortie"&amp;Tableau25[[#This Row],[Catid]]),2,0),IF(Tableau25[[#This Row],[Type]]="entrée",VLOOKUP(J8,INDIRECT("entrée"&amp;Tableau25[[#This Row],[Catid]]),2,0),"")),"")</f>
        <v/>
      </c>
      <c r="L8" t="s">
        <v>112</v>
      </c>
      <c r="M8">
        <f>YEAR(Tableau25[[#This Row],[Date]])</f>
        <v>2021</v>
      </c>
      <c r="N8" t="str">
        <f>TEXT(Tableau25[[#This Row],[Date]],"mmmm")</f>
        <v>février</v>
      </c>
      <c r="O8" s="26" t="str">
        <f ca="1">CONCATENATE(TEXT(Tableau25[[#This Row],[Date]],"jj/mm/aaaa")," ",Tableau25[[#This Row],[Type]]," ",Tableau25[[#This Row],[Somme]]," ",Tableau25[[#This Row],[Compte]]," ",Tableau25[[#This Row],[Description]]," ",Tableau25[[#This Row],[Catégorie]]," ",Tableau25[[#This Row],[Sous-catégorie]]," ",Tableau25[[#This Row],[Commentaire]]," ",Tableau25[[#This Row],[Année]]," ",Tableau25[[#This Row],[Mois]])</f>
        <v>20/02/2021 Sortie 5 Compte Principal  Divers   2021 février</v>
      </c>
      <c r="AA8" s="27"/>
      <c r="AC8" s="5"/>
      <c r="AM8" s="26"/>
    </row>
    <row r="9" spans="2:39" x14ac:dyDescent="0.25">
      <c r="B9">
        <f t="shared" si="0"/>
        <v>7</v>
      </c>
      <c r="C9" s="25" t="s">
        <v>276</v>
      </c>
      <c r="D9" t="s">
        <v>62</v>
      </c>
      <c r="E9" s="5">
        <v>20</v>
      </c>
      <c r="F9" t="s">
        <v>159</v>
      </c>
      <c r="G9" t="s">
        <v>112</v>
      </c>
      <c r="H9">
        <v>10</v>
      </c>
      <c r="I9" t="str">
        <f>IFERROR(IF(OR(Tableau25[[#This Row],[Type]]="sortie",Tableau25[[#This Row],[Type]]="budget"),VLOOKUP(Tableau25[[#This Row],[Catid]],sortie,2,0),IF(Tableau25[[#This Row],[Type]]="entrée",VLOOKUP(Tableau25[[#This Row],[Catid]],entrée,2,0),"")),"")</f>
        <v>Divers</v>
      </c>
      <c r="K9" t="str">
        <f ca="1">IFERROR(IF(OR(Tableau25[[#This Row],[Type]]="sortie",Tableau25[[#This Row],[Type]]="budget"),VLOOKUP(J9,INDIRECT("sortie"&amp;Tableau25[[#This Row],[Catid]]),2,0),IF(Tableau25[[#This Row],[Type]]="entrée",VLOOKUP(J9,INDIRECT("entrée"&amp;Tableau25[[#This Row],[Catid]]),2,0),"")),"")</f>
        <v/>
      </c>
      <c r="L9" t="s">
        <v>112</v>
      </c>
      <c r="M9">
        <f>YEAR(Tableau25[[#This Row],[Date]])</f>
        <v>2021</v>
      </c>
      <c r="N9" t="str">
        <f>TEXT(Tableau25[[#This Row],[Date]],"mmmm")</f>
        <v>mars</v>
      </c>
      <c r="O9" s="26" t="str">
        <f ca="1">CONCATENATE(TEXT(Tableau25[[#This Row],[Date]],"jj/mm/aaaa")," ",Tableau25[[#This Row],[Type]]," ",Tableau25[[#This Row],[Somme]]," ",Tableau25[[#This Row],[Compte]]," ",Tableau25[[#This Row],[Description]]," ",Tableau25[[#This Row],[Catégorie]]," ",Tableau25[[#This Row],[Sous-catégorie]]," ",Tableau25[[#This Row],[Commentaire]]," ",Tableau25[[#This Row],[Année]]," ",Tableau25[[#This Row],[Mois]])</f>
        <v>30/03/2021 Sortie 20 Compte Principal  Divers   2021 mars</v>
      </c>
      <c r="AA9" s="27"/>
      <c r="AC9" s="5"/>
      <c r="AM9" s="26"/>
    </row>
    <row r="10" spans="2:39" x14ac:dyDescent="0.25">
      <c r="B10">
        <f t="shared" si="0"/>
        <v>8</v>
      </c>
      <c r="C10" s="25" t="s">
        <v>276</v>
      </c>
      <c r="D10" t="s">
        <v>68</v>
      </c>
      <c r="E10" s="5">
        <v>3</v>
      </c>
      <c r="F10" t="s">
        <v>159</v>
      </c>
      <c r="G10" t="s">
        <v>112</v>
      </c>
      <c r="H10">
        <v>1</v>
      </c>
      <c r="I10" t="str">
        <f>IFERROR(IF(OR(Tableau25[[#This Row],[Type]]="sortie",Tableau25[[#This Row],[Type]]="budget"),VLOOKUP(Tableau25[[#This Row],[Catid]],sortie,2,0),IF(Tableau25[[#This Row],[Type]]="entrée",VLOOKUP(Tableau25[[#This Row],[Catid]],entrée,2,0),"")),"")</f>
        <v>Encaissement</v>
      </c>
      <c r="J10" t="s">
        <v>169</v>
      </c>
      <c r="K10" t="str">
        <f ca="1">IFERROR(IF(OR(Tableau25[[#This Row],[Type]]="sortie",Tableau25[[#This Row],[Type]]="budget"),VLOOKUP(J10,INDIRECT("sortie"&amp;Tableau25[[#This Row],[Catid]]),2,0),IF(Tableau25[[#This Row],[Type]]="entrée",VLOOKUP(J10,INDIRECT("entrée"&amp;Tableau25[[#This Row],[Catid]]),2,0),"")),"")</f>
        <v>Bar</v>
      </c>
      <c r="L10" t="s">
        <v>112</v>
      </c>
      <c r="M10">
        <f>YEAR(Tableau25[[#This Row],[Date]])</f>
        <v>2021</v>
      </c>
      <c r="N10" t="str">
        <f>TEXT(Tableau25[[#This Row],[Date]],"mmmm")</f>
        <v>mars</v>
      </c>
      <c r="O10" s="26" t="str">
        <f ca="1">CONCATENATE(TEXT(Tableau25[[#This Row],[Date]],"jj/mm/aaaa")," ",Tableau25[[#This Row],[Type]]," ",Tableau25[[#This Row],[Somme]]," ",Tableau25[[#This Row],[Compte]]," ",Tableau25[[#This Row],[Description]]," ",Tableau25[[#This Row],[Catégorie]]," ",Tableau25[[#This Row],[Sous-catégorie]]," ",Tableau25[[#This Row],[Commentaire]]," ",Tableau25[[#This Row],[Année]]," ",Tableau25[[#This Row],[Mois]])</f>
        <v>30/03/2021 Entrée 3 Compte Principal  Encaissement Bar  2021 mars</v>
      </c>
      <c r="AA10" s="27"/>
      <c r="AC10" s="5"/>
      <c r="AM10" s="26"/>
    </row>
    <row r="11" spans="2:39" x14ac:dyDescent="0.25">
      <c r="B11">
        <f t="shared" si="0"/>
        <v>9</v>
      </c>
      <c r="C11" s="25" t="s">
        <v>276</v>
      </c>
      <c r="D11" t="s">
        <v>68</v>
      </c>
      <c r="E11" s="5">
        <v>42.9</v>
      </c>
      <c r="F11" t="s">
        <v>159</v>
      </c>
      <c r="G11" t="s">
        <v>112</v>
      </c>
      <c r="H11">
        <v>1</v>
      </c>
      <c r="I11" t="str">
        <f>IFERROR(IF(OR(Tableau25[[#This Row],[Type]]="sortie",Tableau25[[#This Row],[Type]]="budget"),VLOOKUP(Tableau25[[#This Row],[Catid]],sortie,2,0),IF(Tableau25[[#This Row],[Type]]="entrée",VLOOKUP(Tableau25[[#This Row],[Catid]],entrée,2,0),"")),"")</f>
        <v>Encaissement</v>
      </c>
      <c r="J11" t="s">
        <v>10</v>
      </c>
      <c r="K11" t="str">
        <f ca="1">IFERROR(IF(OR(Tableau25[[#This Row],[Type]]="sortie",Tableau25[[#This Row],[Type]]="budget"),VLOOKUP(J11,INDIRECT("sortie"&amp;Tableau25[[#This Row],[Catid]]),2,0),IF(Tableau25[[#This Row],[Type]]="entrée",VLOOKUP(J11,INDIRECT("entrée"&amp;Tableau25[[#This Row],[Catid]]),2,0),"")),"")</f>
        <v>Divers</v>
      </c>
      <c r="L11" t="s">
        <v>112</v>
      </c>
      <c r="M11">
        <f>YEAR(Tableau25[[#This Row],[Date]])</f>
        <v>2021</v>
      </c>
      <c r="N11" t="str">
        <f>TEXT(Tableau25[[#This Row],[Date]],"mmmm")</f>
        <v>mars</v>
      </c>
      <c r="O11" s="26" t="str">
        <f ca="1">CONCATENATE(TEXT(Tableau25[[#This Row],[Date]],"jj/mm/aaaa")," ",Tableau25[[#This Row],[Type]]," ",Tableau25[[#This Row],[Somme]]," ",Tableau25[[#This Row],[Compte]]," ",Tableau25[[#This Row],[Description]]," ",Tableau25[[#This Row],[Catégorie]]," ",Tableau25[[#This Row],[Sous-catégorie]]," ",Tableau25[[#This Row],[Commentaire]]," ",Tableau25[[#This Row],[Année]]," ",Tableau25[[#This Row],[Mois]])</f>
        <v>30/03/2021 Entrée 42,9 Compte Principal  Encaissement Divers  2021 mars</v>
      </c>
      <c r="AA11" s="27"/>
      <c r="AC11" s="5"/>
      <c r="AM11" s="26"/>
    </row>
    <row r="12" spans="2:39" x14ac:dyDescent="0.25">
      <c r="AA12" s="27"/>
      <c r="AC12" s="5"/>
      <c r="AM12" s="26"/>
    </row>
    <row r="13" spans="2:39" x14ac:dyDescent="0.25">
      <c r="AA13" s="27"/>
      <c r="AC13" s="5"/>
      <c r="AM13" s="26"/>
    </row>
    <row r="14" spans="2:39" x14ac:dyDescent="0.25">
      <c r="AA14" s="27"/>
      <c r="AC14" s="5"/>
      <c r="AM14" s="26"/>
    </row>
    <row r="15" spans="2:39" x14ac:dyDescent="0.25">
      <c r="AA15" s="27"/>
      <c r="AC15" s="5"/>
      <c r="AM15" s="26"/>
    </row>
    <row r="16" spans="2:39" x14ac:dyDescent="0.25">
      <c r="AA16" s="27"/>
      <c r="AC16" s="5"/>
      <c r="AM16" s="26"/>
    </row>
    <row r="17" spans="27:39" x14ac:dyDescent="0.25">
      <c r="AA17" s="27"/>
      <c r="AC17" s="5"/>
      <c r="AM17" s="26"/>
    </row>
    <row r="18" spans="27:39" x14ac:dyDescent="0.25">
      <c r="AA18" s="27"/>
      <c r="AC18" s="5"/>
      <c r="AM18" s="26"/>
    </row>
    <row r="19" spans="27:39" x14ac:dyDescent="0.25">
      <c r="AA19" s="27"/>
      <c r="AC19" s="5"/>
      <c r="AM19" s="26"/>
    </row>
    <row r="20" spans="27:39" x14ac:dyDescent="0.25">
      <c r="AA20" s="27"/>
      <c r="AC20" s="5"/>
      <c r="AM20" s="26"/>
    </row>
    <row r="21" spans="27:39" x14ac:dyDescent="0.25">
      <c r="AA21" s="27"/>
      <c r="AC21" s="5"/>
      <c r="AM21" s="26"/>
    </row>
    <row r="22" spans="27:39" x14ac:dyDescent="0.25">
      <c r="AA22" s="27"/>
      <c r="AC22" s="5"/>
      <c r="AM22" s="26"/>
    </row>
    <row r="23" spans="27:39" x14ac:dyDescent="0.25">
      <c r="AA23" s="27"/>
      <c r="AC23" s="5"/>
      <c r="AM23" s="26"/>
    </row>
    <row r="24" spans="27:39" x14ac:dyDescent="0.25">
      <c r="AA24" s="27"/>
      <c r="AC24" s="5"/>
      <c r="AM24" s="26"/>
    </row>
    <row r="25" spans="27:39" x14ac:dyDescent="0.25">
      <c r="AA25" s="27"/>
      <c r="AC25" s="5"/>
      <c r="AM25" s="26"/>
    </row>
    <row r="26" spans="27:39" x14ac:dyDescent="0.25">
      <c r="AA26" s="27"/>
      <c r="AC26" s="5"/>
      <c r="AM26" s="26"/>
    </row>
    <row r="27" spans="27:39" x14ac:dyDescent="0.25">
      <c r="AA27" s="27"/>
      <c r="AC27" s="5"/>
      <c r="AM27" s="26"/>
    </row>
    <row r="28" spans="27:39" x14ac:dyDescent="0.25">
      <c r="AA28" s="27"/>
      <c r="AC28" s="5"/>
      <c r="AM28" s="26"/>
    </row>
    <row r="29" spans="27:39" x14ac:dyDescent="0.25">
      <c r="AA29" s="27"/>
      <c r="AC29" s="5"/>
      <c r="AM29" s="26"/>
    </row>
    <row r="30" spans="27:39" x14ac:dyDescent="0.25">
      <c r="AA30" s="27"/>
      <c r="AC30" s="5"/>
      <c r="AM30" s="26"/>
    </row>
    <row r="31" spans="27:39" x14ac:dyDescent="0.25">
      <c r="AA31" s="27"/>
      <c r="AC31" s="5"/>
      <c r="AM31" s="26"/>
    </row>
    <row r="32" spans="27:39" x14ac:dyDescent="0.25">
      <c r="AA32" s="27"/>
      <c r="AC32" s="5"/>
      <c r="AM32" s="26"/>
    </row>
    <row r="33" spans="27:39" x14ac:dyDescent="0.25">
      <c r="AA33" s="27"/>
      <c r="AC33" s="5"/>
      <c r="AM33" s="26"/>
    </row>
    <row r="34" spans="27:39" x14ac:dyDescent="0.25">
      <c r="AA34" s="27"/>
      <c r="AC34" s="5"/>
      <c r="AM34" s="26"/>
    </row>
    <row r="35" spans="27:39" x14ac:dyDescent="0.25">
      <c r="AA35" s="27"/>
      <c r="AC35" s="5"/>
      <c r="AM35" s="26"/>
    </row>
    <row r="36" spans="27:39" x14ac:dyDescent="0.25">
      <c r="AA36" s="27"/>
      <c r="AC36" s="5"/>
      <c r="AM36" s="26"/>
    </row>
    <row r="37" spans="27:39" x14ac:dyDescent="0.25">
      <c r="AA37" s="27"/>
      <c r="AC37" s="5"/>
      <c r="AM37" s="26"/>
    </row>
    <row r="38" spans="27:39" x14ac:dyDescent="0.25">
      <c r="AA38" s="27"/>
      <c r="AC38" s="5"/>
      <c r="AM38" s="26"/>
    </row>
    <row r="39" spans="27:39" x14ac:dyDescent="0.25">
      <c r="AA39" s="27"/>
      <c r="AC39" s="5"/>
      <c r="AM39" s="26"/>
    </row>
    <row r="40" spans="27:39" x14ac:dyDescent="0.25">
      <c r="AA40" s="27"/>
      <c r="AC40" s="5"/>
      <c r="AM40" s="26"/>
    </row>
    <row r="41" spans="27:39" x14ac:dyDescent="0.25">
      <c r="AA41" s="27"/>
      <c r="AC41" s="5"/>
      <c r="AM41" s="26"/>
    </row>
    <row r="42" spans="27:39" x14ac:dyDescent="0.25">
      <c r="AA42" s="27"/>
      <c r="AC42" s="5"/>
      <c r="AM42" s="26"/>
    </row>
    <row r="43" spans="27:39" x14ac:dyDescent="0.25">
      <c r="AA43" s="27"/>
      <c r="AC43" s="5"/>
      <c r="AM43" s="26"/>
    </row>
    <row r="44" spans="27:39" x14ac:dyDescent="0.25">
      <c r="AA44" s="27"/>
      <c r="AC44" s="5"/>
      <c r="AM44" s="26"/>
    </row>
    <row r="45" spans="27:39" x14ac:dyDescent="0.25">
      <c r="AA45" s="27"/>
      <c r="AC45" s="5"/>
      <c r="AM45" s="26"/>
    </row>
    <row r="46" spans="27:39" x14ac:dyDescent="0.25">
      <c r="AA46" s="27"/>
      <c r="AC46" s="5"/>
      <c r="AM46" s="26"/>
    </row>
    <row r="47" spans="27:39" x14ac:dyDescent="0.25">
      <c r="AA47" s="27"/>
      <c r="AC47" s="5"/>
      <c r="AM47" s="26"/>
    </row>
    <row r="48" spans="27:39" x14ac:dyDescent="0.25">
      <c r="AA48" s="28"/>
      <c r="AC48" s="5"/>
      <c r="AM48" s="26"/>
    </row>
    <row r="49" spans="27:39" x14ac:dyDescent="0.25">
      <c r="AA49" s="28"/>
      <c r="AC49" s="5"/>
      <c r="AM49" s="26"/>
    </row>
    <row r="50" spans="27:39" x14ac:dyDescent="0.25">
      <c r="AA50" s="28"/>
      <c r="AC50" s="5"/>
      <c r="AM50" s="26"/>
    </row>
    <row r="51" spans="27:39" x14ac:dyDescent="0.25">
      <c r="AA51" s="28"/>
      <c r="AC51" s="5"/>
      <c r="AM51" s="26"/>
    </row>
    <row r="52" spans="27:39" x14ac:dyDescent="0.25">
      <c r="AA52" s="28"/>
      <c r="AC52" s="5"/>
      <c r="AM52" s="26"/>
    </row>
    <row r="53" spans="27:39" x14ac:dyDescent="0.25">
      <c r="AA53" s="28"/>
      <c r="AC53" s="5"/>
      <c r="AM53" s="26"/>
    </row>
    <row r="54" spans="27:39" x14ac:dyDescent="0.25">
      <c r="AA54" s="28"/>
      <c r="AC54" s="5"/>
      <c r="AM54" s="26"/>
    </row>
    <row r="55" spans="27:39" x14ac:dyDescent="0.25">
      <c r="AA55" s="28"/>
      <c r="AC55" s="5"/>
      <c r="AM55" s="26"/>
    </row>
    <row r="56" spans="27:39" x14ac:dyDescent="0.25">
      <c r="AA56" s="27"/>
      <c r="AC56" s="5"/>
      <c r="AM56" s="26"/>
    </row>
    <row r="57" spans="27:39" x14ac:dyDescent="0.25">
      <c r="AA57" s="27"/>
      <c r="AC57" s="5"/>
      <c r="AM57" s="26"/>
    </row>
    <row r="58" spans="27:39" x14ac:dyDescent="0.25">
      <c r="AA58" s="27"/>
      <c r="AC58" s="5"/>
      <c r="AM58" s="26"/>
    </row>
    <row r="59" spans="27:39" x14ac:dyDescent="0.25">
      <c r="AA59" s="27"/>
      <c r="AC59" s="5"/>
      <c r="AM59" s="26"/>
    </row>
    <row r="60" spans="27:39" x14ac:dyDescent="0.25">
      <c r="AA60" s="27"/>
      <c r="AC60" s="5"/>
      <c r="AM60" s="26"/>
    </row>
    <row r="61" spans="27:39" x14ac:dyDescent="0.25">
      <c r="AA61" s="27"/>
      <c r="AC61" s="5"/>
      <c r="AM61" s="26"/>
    </row>
    <row r="62" spans="27:39" x14ac:dyDescent="0.25">
      <c r="AA62" s="27"/>
      <c r="AC62" s="5"/>
      <c r="AM62" s="26"/>
    </row>
    <row r="63" spans="27:39" x14ac:dyDescent="0.25">
      <c r="AA63" s="27"/>
      <c r="AC63" s="5"/>
      <c r="AM63" s="26"/>
    </row>
    <row r="64" spans="27:39" x14ac:dyDescent="0.25">
      <c r="AA64" s="27"/>
      <c r="AC64" s="5"/>
      <c r="AM64" s="26"/>
    </row>
    <row r="65" spans="27:39" x14ac:dyDescent="0.25">
      <c r="AA65" s="27"/>
      <c r="AC65" s="5"/>
      <c r="AM65" s="26"/>
    </row>
    <row r="66" spans="27:39" x14ac:dyDescent="0.25">
      <c r="AA66" s="27"/>
      <c r="AC66" s="5"/>
      <c r="AM66" s="26"/>
    </row>
    <row r="67" spans="27:39" x14ac:dyDescent="0.25">
      <c r="AA67" s="27"/>
      <c r="AC67" s="5"/>
      <c r="AM67" s="26"/>
    </row>
    <row r="68" spans="27:39" x14ac:dyDescent="0.25">
      <c r="AA68" s="27"/>
      <c r="AC68" s="5"/>
      <c r="AM68" s="26"/>
    </row>
    <row r="69" spans="27:39" x14ac:dyDescent="0.25">
      <c r="AA69" s="27"/>
      <c r="AC69" s="5"/>
      <c r="AM69" s="26"/>
    </row>
    <row r="70" spans="27:39" x14ac:dyDescent="0.25">
      <c r="AA70" s="27"/>
      <c r="AC70" s="5"/>
      <c r="AM70" s="26"/>
    </row>
    <row r="71" spans="27:39" x14ac:dyDescent="0.25">
      <c r="AA71" s="27"/>
      <c r="AC71" s="5"/>
      <c r="AM71" s="26"/>
    </row>
    <row r="72" spans="27:39" x14ac:dyDescent="0.25">
      <c r="AA72" s="27"/>
      <c r="AC72" s="5"/>
      <c r="AM72" s="26"/>
    </row>
    <row r="73" spans="27:39" x14ac:dyDescent="0.25">
      <c r="AA73" s="27"/>
      <c r="AC73" s="5"/>
      <c r="AM73" s="26"/>
    </row>
    <row r="74" spans="27:39" x14ac:dyDescent="0.25">
      <c r="AA74" s="27"/>
      <c r="AC74" s="5"/>
      <c r="AM74" s="26"/>
    </row>
    <row r="75" spans="27:39" x14ac:dyDescent="0.25">
      <c r="AA75" s="27"/>
      <c r="AC75" s="5"/>
      <c r="AM75" s="26"/>
    </row>
    <row r="76" spans="27:39" x14ac:dyDescent="0.25">
      <c r="AA76" s="27"/>
      <c r="AC76" s="5"/>
      <c r="AM76" s="26"/>
    </row>
    <row r="77" spans="27:39" x14ac:dyDescent="0.25">
      <c r="AA77" s="27"/>
      <c r="AC77" s="5"/>
      <c r="AM77" s="26"/>
    </row>
    <row r="78" spans="27:39" x14ac:dyDescent="0.25">
      <c r="AA78" s="27"/>
      <c r="AC78" s="5"/>
      <c r="AM78" s="26"/>
    </row>
    <row r="79" spans="27:39" x14ac:dyDescent="0.25">
      <c r="AA79" s="27"/>
      <c r="AC79" s="5"/>
      <c r="AM79" s="26"/>
    </row>
    <row r="80" spans="27:39" x14ac:dyDescent="0.25">
      <c r="AA80" s="27"/>
      <c r="AC80" s="5"/>
      <c r="AM80" s="26"/>
    </row>
    <row r="81" spans="27:39" x14ac:dyDescent="0.25">
      <c r="AA81" s="27"/>
      <c r="AC81" s="5"/>
      <c r="AM81" s="26"/>
    </row>
    <row r="82" spans="27:39" x14ac:dyDescent="0.25">
      <c r="AA82" s="27"/>
      <c r="AC82" s="5"/>
      <c r="AM82" s="26"/>
    </row>
    <row r="83" spans="27:39" x14ac:dyDescent="0.25">
      <c r="AA83" s="27"/>
      <c r="AC83" s="5"/>
      <c r="AM83" s="26"/>
    </row>
    <row r="84" spans="27:39" x14ac:dyDescent="0.25">
      <c r="AA84" s="27"/>
      <c r="AC84" s="5"/>
      <c r="AM84" s="26"/>
    </row>
    <row r="85" spans="27:39" x14ac:dyDescent="0.25">
      <c r="AA85" s="27"/>
      <c r="AC85" s="5"/>
      <c r="AM85" s="26"/>
    </row>
    <row r="86" spans="27:39" x14ac:dyDescent="0.25">
      <c r="AA86" s="27"/>
      <c r="AC86" s="5"/>
      <c r="AM86" s="26"/>
    </row>
    <row r="87" spans="27:39" x14ac:dyDescent="0.25">
      <c r="AA87" s="27"/>
      <c r="AC87" s="5"/>
      <c r="AM87" s="26"/>
    </row>
    <row r="88" spans="27:39" x14ac:dyDescent="0.25">
      <c r="AA88" s="27"/>
      <c r="AC88" s="5"/>
      <c r="AM88" s="26"/>
    </row>
    <row r="89" spans="27:39" x14ac:dyDescent="0.25">
      <c r="AA89" s="27"/>
      <c r="AC89" s="5"/>
      <c r="AM89" s="26"/>
    </row>
    <row r="90" spans="27:39" x14ac:dyDescent="0.25">
      <c r="AA90" s="27"/>
      <c r="AC90" s="5"/>
      <c r="AM90" s="26"/>
    </row>
    <row r="91" spans="27:39" x14ac:dyDescent="0.25">
      <c r="AA91" s="27"/>
      <c r="AC91" s="5"/>
      <c r="AM91" s="26"/>
    </row>
    <row r="92" spans="27:39" x14ac:dyDescent="0.25">
      <c r="AA92" s="27"/>
      <c r="AC92" s="5"/>
      <c r="AM92" s="26"/>
    </row>
    <row r="93" spans="27:39" x14ac:dyDescent="0.25">
      <c r="AA93" s="27"/>
      <c r="AC93" s="5"/>
      <c r="AM93" s="26"/>
    </row>
    <row r="94" spans="27:39" x14ac:dyDescent="0.25">
      <c r="AA94" s="27"/>
      <c r="AC94" s="5"/>
      <c r="AM94" s="26"/>
    </row>
    <row r="95" spans="27:39" x14ac:dyDescent="0.25">
      <c r="AA95" s="27"/>
      <c r="AC95" s="5"/>
      <c r="AM95" s="26"/>
    </row>
    <row r="96" spans="27:39" x14ac:dyDescent="0.25">
      <c r="AA96" s="27"/>
      <c r="AC96" s="5"/>
      <c r="AM96" s="26"/>
    </row>
    <row r="97" spans="27:39" x14ac:dyDescent="0.25">
      <c r="AA97" s="27"/>
      <c r="AC97" s="5"/>
      <c r="AM97" s="26"/>
    </row>
    <row r="98" spans="27:39" x14ac:dyDescent="0.25">
      <c r="AA98" s="27"/>
      <c r="AC98" s="5"/>
      <c r="AM98" s="26"/>
    </row>
    <row r="99" spans="27:39" x14ac:dyDescent="0.25">
      <c r="AA99" s="27"/>
      <c r="AC99" s="5"/>
      <c r="AM99" s="26"/>
    </row>
    <row r="100" spans="27:39" x14ac:dyDescent="0.25">
      <c r="AA100" s="27"/>
      <c r="AC100" s="5"/>
      <c r="AM100" s="26"/>
    </row>
    <row r="101" spans="27:39" x14ac:dyDescent="0.25">
      <c r="AA101" s="27"/>
      <c r="AC101" s="5"/>
      <c r="AM101" s="26"/>
    </row>
    <row r="102" spans="27:39" x14ac:dyDescent="0.25">
      <c r="AA102" s="27"/>
      <c r="AC102" s="5"/>
      <c r="AM102" s="26"/>
    </row>
    <row r="103" spans="27:39" x14ac:dyDescent="0.25">
      <c r="AA103" s="27"/>
      <c r="AC103" s="5"/>
      <c r="AM103" s="26"/>
    </row>
    <row r="104" spans="27:39" x14ac:dyDescent="0.25">
      <c r="AA104" s="27"/>
      <c r="AC104" s="5"/>
      <c r="AM104" s="26"/>
    </row>
    <row r="105" spans="27:39" x14ac:dyDescent="0.25">
      <c r="AA105" s="27"/>
      <c r="AC105" s="5"/>
      <c r="AM105" s="26"/>
    </row>
    <row r="106" spans="27:39" x14ac:dyDescent="0.25">
      <c r="AA106" s="27"/>
      <c r="AC106" s="5"/>
      <c r="AM106" s="26"/>
    </row>
    <row r="107" spans="27:39" x14ac:dyDescent="0.25">
      <c r="AA107" s="27"/>
      <c r="AC107" s="5"/>
      <c r="AM107" s="26"/>
    </row>
    <row r="108" spans="27:39" x14ac:dyDescent="0.25">
      <c r="AA108" s="27"/>
      <c r="AC108" s="5"/>
      <c r="AM108" s="26"/>
    </row>
    <row r="109" spans="27:39" x14ac:dyDescent="0.25">
      <c r="AA109" s="27"/>
      <c r="AC109" s="5"/>
      <c r="AM109" s="26"/>
    </row>
    <row r="110" spans="27:39" x14ac:dyDescent="0.25">
      <c r="AA110" s="27"/>
      <c r="AC110" s="5"/>
      <c r="AM110" s="26"/>
    </row>
    <row r="111" spans="27:39" x14ac:dyDescent="0.25">
      <c r="AA111" s="27"/>
      <c r="AC111" s="5"/>
      <c r="AM111" s="26"/>
    </row>
    <row r="112" spans="27:39" x14ac:dyDescent="0.25">
      <c r="AA112" s="27"/>
      <c r="AC112" s="5"/>
      <c r="AM112" s="26"/>
    </row>
    <row r="113" spans="27:39" x14ac:dyDescent="0.25">
      <c r="AA113" s="27"/>
      <c r="AC113" s="5"/>
      <c r="AM113" s="26"/>
    </row>
    <row r="114" spans="27:39" x14ac:dyDescent="0.25">
      <c r="AA114" s="27"/>
      <c r="AC114" s="5"/>
      <c r="AM114" s="26"/>
    </row>
    <row r="115" spans="27:39" x14ac:dyDescent="0.25">
      <c r="AA115" s="27"/>
      <c r="AC115" s="5"/>
      <c r="AM115" s="26"/>
    </row>
    <row r="116" spans="27:39" x14ac:dyDescent="0.25">
      <c r="AA116" s="27"/>
      <c r="AC116" s="5"/>
      <c r="AM116" s="26"/>
    </row>
    <row r="117" spans="27:39" x14ac:dyDescent="0.25">
      <c r="AA117" s="27"/>
      <c r="AC117" s="5"/>
      <c r="AM117" s="26"/>
    </row>
    <row r="118" spans="27:39" x14ac:dyDescent="0.25">
      <c r="AA118" s="27"/>
      <c r="AC118" s="5"/>
      <c r="AM118" s="26"/>
    </row>
    <row r="119" spans="27:39" x14ac:dyDescent="0.25">
      <c r="AA119" s="27"/>
      <c r="AC119" s="5"/>
      <c r="AM119" s="26"/>
    </row>
    <row r="120" spans="27:39" x14ac:dyDescent="0.25">
      <c r="AA120" s="27"/>
      <c r="AC120" s="5"/>
      <c r="AM120" s="26"/>
    </row>
    <row r="121" spans="27:39" x14ac:dyDescent="0.25">
      <c r="AA121" s="27"/>
      <c r="AC121" s="5"/>
      <c r="AM121" s="26"/>
    </row>
    <row r="122" spans="27:39" x14ac:dyDescent="0.25">
      <c r="AA122" s="27"/>
      <c r="AC122" s="5"/>
      <c r="AM122" s="26"/>
    </row>
    <row r="123" spans="27:39" x14ac:dyDescent="0.25">
      <c r="AA123" s="27"/>
      <c r="AC123" s="5"/>
      <c r="AM123" s="26"/>
    </row>
    <row r="124" spans="27:39" x14ac:dyDescent="0.25">
      <c r="AA124" s="27"/>
      <c r="AC124" s="5"/>
      <c r="AM124" s="26"/>
    </row>
    <row r="125" spans="27:39" x14ac:dyDescent="0.25">
      <c r="AA125" s="27"/>
      <c r="AC125" s="5"/>
      <c r="AM125" s="26"/>
    </row>
    <row r="126" spans="27:39" x14ac:dyDescent="0.25">
      <c r="AA126" s="27"/>
      <c r="AC126" s="5"/>
      <c r="AM126" s="26"/>
    </row>
    <row r="127" spans="27:39" x14ac:dyDescent="0.25">
      <c r="AA127" s="27"/>
      <c r="AC127" s="5"/>
      <c r="AM127" s="26"/>
    </row>
    <row r="128" spans="27:39" x14ac:dyDescent="0.25">
      <c r="AA128" s="27"/>
      <c r="AC128" s="5"/>
      <c r="AM128" s="26"/>
    </row>
    <row r="129" spans="27:39" x14ac:dyDescent="0.25">
      <c r="AA129" s="27"/>
      <c r="AC129" s="5"/>
      <c r="AM129" s="26"/>
    </row>
    <row r="130" spans="27:39" x14ac:dyDescent="0.25">
      <c r="AA130" s="27"/>
      <c r="AC130" s="5"/>
      <c r="AM130" s="26"/>
    </row>
    <row r="131" spans="27:39" x14ac:dyDescent="0.25">
      <c r="AA131" s="27"/>
      <c r="AC131" s="5"/>
      <c r="AM131" s="26"/>
    </row>
    <row r="132" spans="27:39" x14ac:dyDescent="0.25">
      <c r="AA132" s="27"/>
      <c r="AC132" s="5"/>
      <c r="AM132" s="26"/>
    </row>
    <row r="133" spans="27:39" x14ac:dyDescent="0.25">
      <c r="AA133" s="27"/>
      <c r="AC133" s="5"/>
      <c r="AM133" s="26"/>
    </row>
    <row r="134" spans="27:39" x14ac:dyDescent="0.25">
      <c r="AA134" s="27"/>
      <c r="AC134" s="5"/>
      <c r="AM134" s="26"/>
    </row>
    <row r="135" spans="27:39" x14ac:dyDescent="0.25">
      <c r="AA135" s="27"/>
      <c r="AC135" s="5"/>
      <c r="AM135" s="26"/>
    </row>
    <row r="136" spans="27:39" x14ac:dyDescent="0.25">
      <c r="AA136" s="27"/>
      <c r="AC136" s="5"/>
      <c r="AM136" s="26"/>
    </row>
    <row r="137" spans="27:39" x14ac:dyDescent="0.25">
      <c r="AA137" s="27"/>
      <c r="AC137" s="5"/>
      <c r="AM137" s="26"/>
    </row>
    <row r="138" spans="27:39" x14ac:dyDescent="0.25">
      <c r="AA138" s="27"/>
      <c r="AC138" s="5"/>
      <c r="AM138" s="26"/>
    </row>
    <row r="139" spans="27:39" x14ac:dyDescent="0.25">
      <c r="AA139" s="27"/>
      <c r="AC139" s="5"/>
      <c r="AM139" s="26"/>
    </row>
    <row r="140" spans="27:39" x14ac:dyDescent="0.25">
      <c r="AA140" s="27"/>
      <c r="AC140" s="5"/>
      <c r="AM140" s="26"/>
    </row>
    <row r="141" spans="27:39" x14ac:dyDescent="0.25">
      <c r="AA141" s="27"/>
      <c r="AC141" s="5"/>
      <c r="AM141" s="26"/>
    </row>
    <row r="142" spans="27:39" x14ac:dyDescent="0.25">
      <c r="AA142" s="27"/>
      <c r="AC142" s="5"/>
      <c r="AM142" s="26"/>
    </row>
    <row r="143" spans="27:39" x14ac:dyDescent="0.25">
      <c r="AA143" s="27"/>
      <c r="AC143" s="5"/>
      <c r="AM143" s="26"/>
    </row>
    <row r="144" spans="27:39" x14ac:dyDescent="0.25">
      <c r="AA144" s="27"/>
      <c r="AC144" s="5"/>
      <c r="AM144" s="26"/>
    </row>
    <row r="145" spans="27:39" x14ac:dyDescent="0.25">
      <c r="AA145" s="27"/>
      <c r="AC145" s="5"/>
      <c r="AM145" s="26"/>
    </row>
    <row r="146" spans="27:39" x14ac:dyDescent="0.25">
      <c r="AA146" s="27"/>
      <c r="AC146" s="5"/>
      <c r="AM146" s="26"/>
    </row>
    <row r="147" spans="27:39" x14ac:dyDescent="0.25">
      <c r="AA147" s="27"/>
      <c r="AC147" s="5"/>
      <c r="AM147" s="26"/>
    </row>
    <row r="148" spans="27:39" x14ac:dyDescent="0.25">
      <c r="AA148" s="27"/>
      <c r="AC148" s="5"/>
      <c r="AM148" s="26"/>
    </row>
    <row r="149" spans="27:39" x14ac:dyDescent="0.25">
      <c r="AA149" s="27"/>
      <c r="AC149" s="5"/>
      <c r="AM149" s="26"/>
    </row>
    <row r="150" spans="27:39" x14ac:dyDescent="0.25">
      <c r="AA150" s="27"/>
      <c r="AC150" s="5"/>
      <c r="AM150" s="26"/>
    </row>
    <row r="151" spans="27:39" x14ac:dyDescent="0.25">
      <c r="AA151" s="27"/>
      <c r="AC151" s="5"/>
      <c r="AM151" s="26"/>
    </row>
    <row r="152" spans="27:39" x14ac:dyDescent="0.25">
      <c r="AA152" s="27"/>
      <c r="AC152" s="5"/>
      <c r="AM152" s="26"/>
    </row>
    <row r="153" spans="27:39" x14ac:dyDescent="0.25">
      <c r="AA153" s="27"/>
      <c r="AC153" s="5"/>
      <c r="AM153" s="26"/>
    </row>
    <row r="154" spans="27:39" x14ac:dyDescent="0.25">
      <c r="AA154" s="27"/>
      <c r="AC154" s="5"/>
      <c r="AM154" s="26"/>
    </row>
    <row r="155" spans="27:39" x14ac:dyDescent="0.25">
      <c r="AA155" s="27"/>
      <c r="AC155" s="5"/>
      <c r="AM155" s="26"/>
    </row>
    <row r="156" spans="27:39" x14ac:dyDescent="0.25">
      <c r="AA156" s="27"/>
      <c r="AC156" s="5"/>
      <c r="AM156" s="26"/>
    </row>
    <row r="157" spans="27:39" x14ac:dyDescent="0.25">
      <c r="AA157" s="27"/>
      <c r="AC157" s="5"/>
      <c r="AM157" s="26"/>
    </row>
    <row r="158" spans="27:39" x14ac:dyDescent="0.25">
      <c r="AA158" s="27"/>
      <c r="AC158" s="5"/>
      <c r="AM158" s="26"/>
    </row>
    <row r="159" spans="27:39" x14ac:dyDescent="0.25">
      <c r="AA159" s="28"/>
      <c r="AC159" s="5"/>
      <c r="AM159" s="26"/>
    </row>
    <row r="160" spans="27:39" x14ac:dyDescent="0.25">
      <c r="AA160" s="27"/>
      <c r="AC160" s="5"/>
      <c r="AM160" s="26"/>
    </row>
    <row r="161" spans="27:39" x14ac:dyDescent="0.25">
      <c r="AA161" s="27"/>
      <c r="AC161" s="5"/>
      <c r="AM161" s="26"/>
    </row>
    <row r="162" spans="27:39" x14ac:dyDescent="0.25">
      <c r="AA162" s="27"/>
      <c r="AC162" s="5"/>
      <c r="AM162" s="26"/>
    </row>
    <row r="163" spans="27:39" x14ac:dyDescent="0.25">
      <c r="AA163" s="27"/>
      <c r="AC163" s="5"/>
      <c r="AM163" s="26"/>
    </row>
    <row r="164" spans="27:39" x14ac:dyDescent="0.25">
      <c r="AA164" s="27"/>
      <c r="AC164" s="5"/>
      <c r="AM164" s="26"/>
    </row>
    <row r="165" spans="27:39" x14ac:dyDescent="0.25">
      <c r="AA165" s="27"/>
      <c r="AC165" s="5"/>
      <c r="AM165" s="26"/>
    </row>
    <row r="166" spans="27:39" x14ac:dyDescent="0.25">
      <c r="AA166" s="27"/>
      <c r="AC166" s="5"/>
      <c r="AM166" s="26"/>
    </row>
    <row r="167" spans="27:39" x14ac:dyDescent="0.25">
      <c r="AA167" s="27"/>
      <c r="AC167" s="5"/>
      <c r="AM167" s="26"/>
    </row>
    <row r="168" spans="27:39" x14ac:dyDescent="0.25">
      <c r="AA168" s="27"/>
      <c r="AC168" s="5"/>
      <c r="AM168" s="26"/>
    </row>
    <row r="169" spans="27:39" x14ac:dyDescent="0.25">
      <c r="AA169" s="27"/>
      <c r="AC169" s="5"/>
      <c r="AM169" s="26"/>
    </row>
    <row r="170" spans="27:39" x14ac:dyDescent="0.25">
      <c r="AA170" s="27"/>
      <c r="AC170" s="5"/>
      <c r="AM170" s="26"/>
    </row>
    <row r="171" spans="27:39" x14ac:dyDescent="0.25">
      <c r="AA171" s="27"/>
      <c r="AC171" s="5"/>
      <c r="AM171" s="26"/>
    </row>
    <row r="172" spans="27:39" x14ac:dyDescent="0.25">
      <c r="AA172" s="27"/>
      <c r="AC172" s="5"/>
      <c r="AM172" s="26"/>
    </row>
    <row r="173" spans="27:39" x14ac:dyDescent="0.25">
      <c r="AA173" s="27"/>
      <c r="AC173" s="5"/>
      <c r="AM173" s="26"/>
    </row>
    <row r="174" spans="27:39" x14ac:dyDescent="0.25">
      <c r="AA174" s="27"/>
      <c r="AC174" s="5"/>
      <c r="AM174" s="26"/>
    </row>
    <row r="175" spans="27:39" x14ac:dyDescent="0.25">
      <c r="AA175" s="27"/>
      <c r="AC175" s="5"/>
      <c r="AM175" s="26"/>
    </row>
    <row r="176" spans="27:39" x14ac:dyDescent="0.25">
      <c r="AA176" s="27"/>
      <c r="AC176" s="5"/>
      <c r="AM176" s="26"/>
    </row>
    <row r="177" spans="27:39" x14ac:dyDescent="0.25">
      <c r="AA177" s="27"/>
      <c r="AC177" s="5"/>
      <c r="AM177" s="26"/>
    </row>
    <row r="178" spans="27:39" x14ac:dyDescent="0.25">
      <c r="AA178" s="27"/>
      <c r="AC178" s="5"/>
      <c r="AM178" s="26"/>
    </row>
    <row r="179" spans="27:39" x14ac:dyDescent="0.25">
      <c r="AA179" s="27"/>
      <c r="AC179" s="5"/>
      <c r="AM179" s="26"/>
    </row>
    <row r="180" spans="27:39" x14ac:dyDescent="0.25">
      <c r="AA180" s="27"/>
      <c r="AC180" s="5"/>
      <c r="AM180" s="26"/>
    </row>
    <row r="181" spans="27:39" x14ac:dyDescent="0.25">
      <c r="AA181" s="27"/>
      <c r="AC181" s="5"/>
      <c r="AM181" s="26"/>
    </row>
    <row r="182" spans="27:39" x14ac:dyDescent="0.25">
      <c r="AA182" s="27"/>
      <c r="AC182" s="5"/>
      <c r="AM182" s="26"/>
    </row>
    <row r="183" spans="27:39" x14ac:dyDescent="0.25">
      <c r="AA183" s="27"/>
      <c r="AC183" s="5"/>
      <c r="AM183" s="26"/>
    </row>
    <row r="184" spans="27:39" x14ac:dyDescent="0.25">
      <c r="AA184" s="27"/>
      <c r="AC184" s="5"/>
      <c r="AM184" s="26"/>
    </row>
    <row r="185" spans="27:39" x14ac:dyDescent="0.25">
      <c r="AA185" s="27"/>
      <c r="AC185" s="5"/>
      <c r="AM185" s="26"/>
    </row>
    <row r="186" spans="27:39" x14ac:dyDescent="0.25">
      <c r="AA186" s="27"/>
      <c r="AC186" s="5"/>
      <c r="AM186" s="26"/>
    </row>
    <row r="187" spans="27:39" x14ac:dyDescent="0.25">
      <c r="AA187" s="27"/>
      <c r="AC187" s="5"/>
      <c r="AM187" s="26"/>
    </row>
    <row r="188" spans="27:39" x14ac:dyDescent="0.25">
      <c r="AA188" s="27"/>
      <c r="AC188" s="5"/>
      <c r="AM188" s="26"/>
    </row>
    <row r="189" spans="27:39" x14ac:dyDescent="0.25">
      <c r="AA189" s="27"/>
      <c r="AC189" s="5"/>
      <c r="AM189" s="26"/>
    </row>
    <row r="190" spans="27:39" x14ac:dyDescent="0.25">
      <c r="AA190" s="27"/>
      <c r="AC190" s="5"/>
      <c r="AM190" s="26"/>
    </row>
    <row r="191" spans="27:39" x14ac:dyDescent="0.25">
      <c r="AA191" s="28"/>
      <c r="AC191" s="5"/>
      <c r="AM191" s="26"/>
    </row>
    <row r="192" spans="27:39" x14ac:dyDescent="0.25">
      <c r="AA192" s="28"/>
      <c r="AC192" s="5"/>
      <c r="AM192" s="26"/>
    </row>
    <row r="193" spans="27:39" x14ac:dyDescent="0.25">
      <c r="AA193" s="28"/>
      <c r="AC193" s="5"/>
      <c r="AM193" s="26"/>
    </row>
    <row r="194" spans="27:39" x14ac:dyDescent="0.25">
      <c r="AA194" s="28"/>
      <c r="AC194" s="5"/>
      <c r="AM194" s="26"/>
    </row>
    <row r="195" spans="27:39" x14ac:dyDescent="0.25">
      <c r="AA195" s="28"/>
      <c r="AC195" s="5"/>
      <c r="AM195" s="26"/>
    </row>
    <row r="196" spans="27:39" x14ac:dyDescent="0.25">
      <c r="AA196" s="28"/>
      <c r="AC196" s="5"/>
      <c r="AM196" s="26"/>
    </row>
    <row r="197" spans="27:39" x14ac:dyDescent="0.25">
      <c r="AA197" s="28"/>
      <c r="AC197" s="5"/>
      <c r="AM197" s="26"/>
    </row>
    <row r="198" spans="27:39" x14ac:dyDescent="0.25">
      <c r="AA198" s="28"/>
      <c r="AC198" s="5"/>
      <c r="AM198" s="26"/>
    </row>
    <row r="199" spans="27:39" x14ac:dyDescent="0.25">
      <c r="AA199" s="28"/>
      <c r="AC199" s="5"/>
      <c r="AM199" s="26"/>
    </row>
    <row r="200" spans="27:39" x14ac:dyDescent="0.25">
      <c r="AA200" s="28"/>
      <c r="AC200" s="5"/>
      <c r="AM200" s="26"/>
    </row>
    <row r="201" spans="27:39" x14ac:dyDescent="0.25">
      <c r="AA201" s="28"/>
      <c r="AC201" s="5"/>
      <c r="AM201" s="26"/>
    </row>
    <row r="202" spans="27:39" x14ac:dyDescent="0.25">
      <c r="AA202" s="28"/>
      <c r="AC202" s="5"/>
      <c r="AM202" s="26"/>
    </row>
    <row r="203" spans="27:39" x14ac:dyDescent="0.25">
      <c r="AA203" s="28"/>
      <c r="AC203" s="5"/>
      <c r="AM203" s="26"/>
    </row>
    <row r="204" spans="27:39" x14ac:dyDescent="0.25">
      <c r="AA204" s="28"/>
      <c r="AC204" s="5"/>
      <c r="AM204" s="26"/>
    </row>
    <row r="205" spans="27:39" x14ac:dyDescent="0.25">
      <c r="AA205" s="28"/>
      <c r="AC205" s="5"/>
      <c r="AM205" s="26"/>
    </row>
    <row r="206" spans="27:39" x14ac:dyDescent="0.25">
      <c r="AA206" s="28"/>
      <c r="AC206" s="5"/>
      <c r="AM206" s="26"/>
    </row>
    <row r="207" spans="27:39" x14ac:dyDescent="0.25">
      <c r="AA207" s="28"/>
      <c r="AC207" s="5"/>
      <c r="AM207" s="26"/>
    </row>
    <row r="208" spans="27:39" x14ac:dyDescent="0.25">
      <c r="AA208" s="28"/>
      <c r="AC208" s="5"/>
      <c r="AM208" s="26"/>
    </row>
    <row r="209" spans="27:39" x14ac:dyDescent="0.25">
      <c r="AA209" s="28"/>
      <c r="AC209" s="5"/>
      <c r="AM209" s="26"/>
    </row>
    <row r="210" spans="27:39" x14ac:dyDescent="0.25">
      <c r="AA210" s="28"/>
      <c r="AC210" s="5"/>
      <c r="AM210" s="26"/>
    </row>
    <row r="211" spans="27:39" x14ac:dyDescent="0.25">
      <c r="AA211" s="28"/>
      <c r="AC211" s="5"/>
      <c r="AM211" s="26"/>
    </row>
    <row r="212" spans="27:39" x14ac:dyDescent="0.25">
      <c r="AA212" s="28"/>
      <c r="AC212" s="5"/>
      <c r="AM212" s="26"/>
    </row>
    <row r="213" spans="27:39" x14ac:dyDescent="0.25">
      <c r="AA213" s="28"/>
      <c r="AC213" s="5"/>
      <c r="AM213" s="26"/>
    </row>
    <row r="214" spans="27:39" x14ac:dyDescent="0.25">
      <c r="AA214" s="28"/>
      <c r="AC214" s="5"/>
      <c r="AM214" s="26"/>
    </row>
    <row r="215" spans="27:39" x14ac:dyDescent="0.25">
      <c r="AA215" s="28"/>
      <c r="AC215" s="5"/>
      <c r="AM215" s="26"/>
    </row>
    <row r="216" spans="27:39" x14ac:dyDescent="0.25">
      <c r="AA216" s="28"/>
      <c r="AC216" s="5"/>
      <c r="AM216" s="26"/>
    </row>
    <row r="217" spans="27:39" x14ac:dyDescent="0.25">
      <c r="AA217" s="28"/>
      <c r="AC217" s="5"/>
      <c r="AM217" s="26"/>
    </row>
    <row r="218" spans="27:39" x14ac:dyDescent="0.25">
      <c r="AA218" s="28"/>
      <c r="AC218" s="5"/>
      <c r="AM218" s="26"/>
    </row>
    <row r="219" spans="27:39" x14ac:dyDescent="0.25">
      <c r="AA219" s="28"/>
      <c r="AC219" s="5"/>
      <c r="AM219" s="26"/>
    </row>
    <row r="220" spans="27:39" x14ac:dyDescent="0.25">
      <c r="AA220" s="28"/>
      <c r="AC220" s="5"/>
      <c r="AM220" s="26"/>
    </row>
    <row r="221" spans="27:39" x14ac:dyDescent="0.25">
      <c r="AA221" s="28"/>
      <c r="AC221" s="5"/>
      <c r="AM221" s="26"/>
    </row>
    <row r="222" spans="27:39" x14ac:dyDescent="0.25">
      <c r="AA222" s="28"/>
      <c r="AC222" s="5"/>
      <c r="AM222" s="26"/>
    </row>
    <row r="223" spans="27:39" x14ac:dyDescent="0.25">
      <c r="AA223" s="28"/>
      <c r="AC223" s="5"/>
      <c r="AM223" s="26"/>
    </row>
    <row r="224" spans="27:39" x14ac:dyDescent="0.25">
      <c r="AA224" s="28"/>
      <c r="AC224" s="5"/>
      <c r="AM224" s="26"/>
    </row>
    <row r="225" spans="27:39" x14ac:dyDescent="0.25">
      <c r="AA225" s="28"/>
      <c r="AC225" s="5"/>
      <c r="AM225" s="26"/>
    </row>
    <row r="226" spans="27:39" x14ac:dyDescent="0.25">
      <c r="AA226" s="28"/>
      <c r="AC226" s="5"/>
      <c r="AM226" s="26"/>
    </row>
    <row r="227" spans="27:39" x14ac:dyDescent="0.25">
      <c r="AA227" s="28"/>
      <c r="AC227" s="5"/>
      <c r="AM227" s="26"/>
    </row>
    <row r="228" spans="27:39" x14ac:dyDescent="0.25">
      <c r="AA228" s="28"/>
      <c r="AC228" s="5"/>
      <c r="AM228" s="26"/>
    </row>
    <row r="229" spans="27:39" x14ac:dyDescent="0.25">
      <c r="AA229" s="28"/>
      <c r="AC229" s="5"/>
      <c r="AM229" s="26"/>
    </row>
    <row r="230" spans="27:39" x14ac:dyDescent="0.25">
      <c r="AA230" s="28"/>
      <c r="AC230" s="5"/>
      <c r="AM230" s="26"/>
    </row>
    <row r="231" spans="27:39" x14ac:dyDescent="0.25">
      <c r="AA231" s="28"/>
      <c r="AC231" s="5"/>
      <c r="AM231" s="26"/>
    </row>
    <row r="232" spans="27:39" x14ac:dyDescent="0.25">
      <c r="AA232" s="28"/>
      <c r="AC232" s="5"/>
      <c r="AM232" s="26"/>
    </row>
    <row r="233" spans="27:39" x14ac:dyDescent="0.25">
      <c r="AA233" s="28"/>
      <c r="AC233" s="5"/>
      <c r="AM233" s="26"/>
    </row>
    <row r="234" spans="27:39" x14ac:dyDescent="0.25">
      <c r="AA234" s="28"/>
      <c r="AC234" s="5"/>
      <c r="AM234" s="26"/>
    </row>
    <row r="235" spans="27:39" x14ac:dyDescent="0.25">
      <c r="AA235" s="28"/>
      <c r="AC235" s="5"/>
      <c r="AM235" s="26"/>
    </row>
    <row r="236" spans="27:39" x14ac:dyDescent="0.25">
      <c r="AA236" s="28"/>
      <c r="AC236" s="5"/>
      <c r="AM236" s="26"/>
    </row>
    <row r="237" spans="27:39" x14ac:dyDescent="0.25">
      <c r="AA237" s="28"/>
      <c r="AC237" s="5"/>
      <c r="AM237" s="26"/>
    </row>
    <row r="238" spans="27:39" x14ac:dyDescent="0.25">
      <c r="AA238" s="28"/>
      <c r="AC238" s="5"/>
      <c r="AM238" s="26"/>
    </row>
    <row r="239" spans="27:39" x14ac:dyDescent="0.25">
      <c r="AA239" s="28"/>
      <c r="AC239" s="5"/>
      <c r="AM239" s="26"/>
    </row>
    <row r="240" spans="27:39" x14ac:dyDescent="0.25">
      <c r="AA240" s="28"/>
      <c r="AC240" s="5"/>
      <c r="AM240" s="26"/>
    </row>
    <row r="241" spans="27:39" x14ac:dyDescent="0.25">
      <c r="AA241" s="28"/>
      <c r="AC241" s="5"/>
      <c r="AM241" s="26"/>
    </row>
    <row r="242" spans="27:39" x14ac:dyDescent="0.25">
      <c r="AA242" s="28"/>
      <c r="AC242" s="5"/>
      <c r="AM242" s="26"/>
    </row>
    <row r="243" spans="27:39" x14ac:dyDescent="0.25">
      <c r="AA243" s="28"/>
      <c r="AC243" s="5"/>
      <c r="AM243" s="26"/>
    </row>
    <row r="244" spans="27:39" x14ac:dyDescent="0.25">
      <c r="AA244" s="28"/>
      <c r="AC244" s="5"/>
      <c r="AM244" s="26"/>
    </row>
    <row r="245" spans="27:39" x14ac:dyDescent="0.25">
      <c r="AA245" s="28"/>
      <c r="AC245" s="5"/>
      <c r="AM245" s="26"/>
    </row>
    <row r="246" spans="27:39" x14ac:dyDescent="0.25">
      <c r="AA246" s="28"/>
      <c r="AC246" s="5"/>
      <c r="AM246" s="26"/>
    </row>
    <row r="247" spans="27:39" x14ac:dyDescent="0.25">
      <c r="AA247" s="28"/>
      <c r="AC247" s="5"/>
      <c r="AM247" s="26"/>
    </row>
    <row r="248" spans="27:39" x14ac:dyDescent="0.25">
      <c r="AA248" s="28"/>
      <c r="AC248" s="5"/>
      <c r="AM248" s="26"/>
    </row>
    <row r="249" spans="27:39" x14ac:dyDescent="0.25">
      <c r="AA249" s="28"/>
      <c r="AC249" s="5"/>
      <c r="AM249" s="26"/>
    </row>
    <row r="250" spans="27:39" x14ac:dyDescent="0.25">
      <c r="AA250" s="28"/>
      <c r="AC250" s="5"/>
      <c r="AM250" s="26"/>
    </row>
    <row r="251" spans="27:39" x14ac:dyDescent="0.25">
      <c r="AA251" s="28"/>
      <c r="AC251" s="5"/>
      <c r="AM251" s="26"/>
    </row>
    <row r="252" spans="27:39" x14ac:dyDescent="0.25">
      <c r="AA252" s="28"/>
      <c r="AC252" s="5"/>
      <c r="AM252" s="26"/>
    </row>
    <row r="253" spans="27:39" x14ac:dyDescent="0.25">
      <c r="AA253" s="28"/>
      <c r="AC253" s="5"/>
      <c r="AM253" s="26"/>
    </row>
    <row r="254" spans="27:39" x14ac:dyDescent="0.25">
      <c r="AA254" s="28"/>
      <c r="AC254" s="5"/>
      <c r="AM254" s="26"/>
    </row>
    <row r="255" spans="27:39" x14ac:dyDescent="0.25">
      <c r="AA255" s="28"/>
      <c r="AC255" s="5"/>
      <c r="AM255" s="26"/>
    </row>
    <row r="256" spans="27:39" x14ac:dyDescent="0.25">
      <c r="AA256" s="28"/>
      <c r="AC256" s="5"/>
      <c r="AM256" s="26"/>
    </row>
    <row r="257" spans="27:39" x14ac:dyDescent="0.25">
      <c r="AA257" s="28"/>
      <c r="AC257" s="5"/>
      <c r="AM257" s="26"/>
    </row>
    <row r="258" spans="27:39" x14ac:dyDescent="0.25">
      <c r="AA258" s="28"/>
      <c r="AC258" s="5"/>
      <c r="AM258" s="26"/>
    </row>
    <row r="259" spans="27:39" x14ac:dyDescent="0.25">
      <c r="AA259" s="28"/>
      <c r="AC259" s="5"/>
      <c r="AM259" s="26"/>
    </row>
    <row r="260" spans="27:39" x14ac:dyDescent="0.25">
      <c r="AA260" s="28"/>
      <c r="AC260" s="5"/>
      <c r="AM260" s="26"/>
    </row>
    <row r="261" spans="27:39" x14ac:dyDescent="0.25">
      <c r="AA261" s="28"/>
      <c r="AC261" s="5"/>
      <c r="AM261" s="26"/>
    </row>
    <row r="262" spans="27:39" x14ac:dyDescent="0.25">
      <c r="AA262" s="28"/>
      <c r="AC262" s="5"/>
      <c r="AM262" s="26"/>
    </row>
    <row r="263" spans="27:39" x14ac:dyDescent="0.25">
      <c r="AA263" s="28"/>
      <c r="AC263" s="5"/>
      <c r="AM263" s="26"/>
    </row>
    <row r="264" spans="27:39" x14ac:dyDescent="0.25">
      <c r="AA264" s="28"/>
      <c r="AC264" s="5"/>
      <c r="AM264" s="26"/>
    </row>
    <row r="265" spans="27:39" x14ac:dyDescent="0.25">
      <c r="AA265" s="28"/>
      <c r="AC265" s="5"/>
      <c r="AM265" s="26"/>
    </row>
    <row r="266" spans="27:39" x14ac:dyDescent="0.25">
      <c r="AA266" s="28"/>
      <c r="AC266" s="5"/>
      <c r="AM266" s="26"/>
    </row>
    <row r="267" spans="27:39" x14ac:dyDescent="0.25">
      <c r="AA267" s="28"/>
      <c r="AC267" s="5"/>
      <c r="AM267" s="26"/>
    </row>
    <row r="268" spans="27:39" x14ac:dyDescent="0.25">
      <c r="AA268" s="28"/>
      <c r="AC268" s="5"/>
      <c r="AM268" s="26"/>
    </row>
    <row r="269" spans="27:39" x14ac:dyDescent="0.25">
      <c r="AA269" s="28"/>
      <c r="AC269" s="5"/>
      <c r="AM269" s="26"/>
    </row>
    <row r="270" spans="27:39" x14ac:dyDescent="0.25">
      <c r="AA270" s="28"/>
      <c r="AC270" s="5"/>
      <c r="AM270" s="26"/>
    </row>
    <row r="271" spans="27:39" x14ac:dyDescent="0.25">
      <c r="AA271" s="28"/>
      <c r="AC271" s="5"/>
      <c r="AM271" s="26"/>
    </row>
    <row r="272" spans="27:39" x14ac:dyDescent="0.25">
      <c r="AA272" s="28"/>
      <c r="AC272" s="5"/>
      <c r="AM272" s="26"/>
    </row>
    <row r="273" spans="27:39" x14ac:dyDescent="0.25">
      <c r="AA273" s="28"/>
      <c r="AC273" s="5"/>
      <c r="AM273" s="26"/>
    </row>
    <row r="274" spans="27:39" x14ac:dyDescent="0.25">
      <c r="AA274" s="28"/>
      <c r="AC274" s="5"/>
      <c r="AM274" s="26"/>
    </row>
    <row r="275" spans="27:39" x14ac:dyDescent="0.25">
      <c r="AA275" s="28"/>
      <c r="AC275" s="5"/>
      <c r="AM275" s="26"/>
    </row>
    <row r="276" spans="27:39" x14ac:dyDescent="0.25">
      <c r="AA276" s="28"/>
      <c r="AC276" s="5"/>
      <c r="AM276" s="26"/>
    </row>
    <row r="277" spans="27:39" x14ac:dyDescent="0.25">
      <c r="AA277" s="28"/>
      <c r="AC277" s="5"/>
      <c r="AM277" s="26"/>
    </row>
    <row r="278" spans="27:39" x14ac:dyDescent="0.25">
      <c r="AA278" s="28"/>
      <c r="AC278" s="5"/>
      <c r="AM278" s="26"/>
    </row>
    <row r="279" spans="27:39" x14ac:dyDescent="0.25">
      <c r="AA279" s="28"/>
      <c r="AC279" s="5"/>
      <c r="AM279" s="26"/>
    </row>
    <row r="280" spans="27:39" x14ac:dyDescent="0.25">
      <c r="AA280" s="28"/>
      <c r="AC280" s="5"/>
      <c r="AM280" s="26"/>
    </row>
    <row r="281" spans="27:39" x14ac:dyDescent="0.25">
      <c r="AA281" s="28"/>
      <c r="AC281" s="5"/>
      <c r="AM281" s="26"/>
    </row>
    <row r="282" spans="27:39" x14ac:dyDescent="0.25">
      <c r="AA282" s="28"/>
      <c r="AC282" s="5"/>
      <c r="AM282" s="26"/>
    </row>
    <row r="283" spans="27:39" x14ac:dyDescent="0.25">
      <c r="AA283" s="28"/>
      <c r="AC283" s="5"/>
      <c r="AM283" s="26"/>
    </row>
    <row r="284" spans="27:39" x14ac:dyDescent="0.25">
      <c r="AA284" s="28"/>
      <c r="AC284" s="5"/>
      <c r="AM284" s="26"/>
    </row>
    <row r="285" spans="27:39" x14ac:dyDescent="0.25">
      <c r="AA285" s="28"/>
      <c r="AC285" s="5"/>
      <c r="AM285" s="26"/>
    </row>
    <row r="286" spans="27:39" x14ac:dyDescent="0.25">
      <c r="AA286" s="28"/>
      <c r="AC286" s="5"/>
      <c r="AM286" s="26"/>
    </row>
    <row r="287" spans="27:39" x14ac:dyDescent="0.25">
      <c r="AA287" s="28"/>
      <c r="AC287" s="5"/>
      <c r="AM287" s="26"/>
    </row>
    <row r="288" spans="27:39" x14ac:dyDescent="0.25">
      <c r="AA288" s="28"/>
      <c r="AC288" s="5"/>
      <c r="AM288" s="26"/>
    </row>
    <row r="289" spans="27:39" x14ac:dyDescent="0.25">
      <c r="AA289" s="28"/>
      <c r="AC289" s="5"/>
      <c r="AM289" s="26"/>
    </row>
    <row r="290" spans="27:39" x14ac:dyDescent="0.25">
      <c r="AA290" s="28"/>
      <c r="AC290" s="5"/>
      <c r="AM290" s="26"/>
    </row>
    <row r="291" spans="27:39" x14ac:dyDescent="0.25">
      <c r="AA291" s="28"/>
      <c r="AC291" s="5"/>
      <c r="AM291" s="26"/>
    </row>
    <row r="292" spans="27:39" x14ac:dyDescent="0.25">
      <c r="AA292" s="28"/>
      <c r="AC292" s="5"/>
      <c r="AM292" s="26"/>
    </row>
    <row r="293" spans="27:39" x14ac:dyDescent="0.25">
      <c r="AA293" s="28"/>
      <c r="AC293" s="5"/>
      <c r="AM293" s="26"/>
    </row>
    <row r="294" spans="27:39" x14ac:dyDescent="0.25">
      <c r="AA294" s="28"/>
      <c r="AC294" s="5"/>
      <c r="AM294" s="26"/>
    </row>
    <row r="295" spans="27:39" x14ac:dyDescent="0.25">
      <c r="AA295" s="28"/>
      <c r="AC295" s="5"/>
      <c r="AM295" s="26"/>
    </row>
    <row r="296" spans="27:39" x14ac:dyDescent="0.25">
      <c r="AA296" s="28"/>
      <c r="AC296" s="5"/>
      <c r="AM296" s="26"/>
    </row>
    <row r="297" spans="27:39" x14ac:dyDescent="0.25">
      <c r="AA297" s="28"/>
      <c r="AC297" s="5"/>
      <c r="AM297" s="26"/>
    </row>
    <row r="298" spans="27:39" x14ac:dyDescent="0.25">
      <c r="AA298" s="28"/>
      <c r="AC298" s="5"/>
      <c r="AM298" s="26"/>
    </row>
    <row r="299" spans="27:39" x14ac:dyDescent="0.25">
      <c r="AA299" s="28"/>
      <c r="AC299" s="5"/>
      <c r="AM299" s="26"/>
    </row>
    <row r="300" spans="27:39" x14ac:dyDescent="0.25">
      <c r="AA300" s="28"/>
      <c r="AC300" s="5"/>
      <c r="AM300" s="26"/>
    </row>
    <row r="301" spans="27:39" x14ac:dyDescent="0.25">
      <c r="AA301" s="28"/>
      <c r="AC301" s="5"/>
      <c r="AM301" s="26"/>
    </row>
    <row r="302" spans="27:39" x14ac:dyDescent="0.25">
      <c r="AA302" s="28"/>
      <c r="AC302" s="5"/>
      <c r="AM302" s="26"/>
    </row>
    <row r="303" spans="27:39" x14ac:dyDescent="0.25">
      <c r="AA303" s="28"/>
      <c r="AC303" s="5"/>
      <c r="AM303" s="26"/>
    </row>
    <row r="304" spans="27:39" x14ac:dyDescent="0.25">
      <c r="AA304" s="28"/>
      <c r="AC304" s="5"/>
      <c r="AM304" s="26"/>
    </row>
    <row r="305" spans="27:39" x14ac:dyDescent="0.25">
      <c r="AA305" s="28"/>
      <c r="AC305" s="5"/>
      <c r="AM305" s="26"/>
    </row>
    <row r="306" spans="27:39" x14ac:dyDescent="0.25">
      <c r="AA306" s="28"/>
      <c r="AC306" s="5"/>
      <c r="AM306" s="26"/>
    </row>
    <row r="307" spans="27:39" x14ac:dyDescent="0.25">
      <c r="AA307" s="28"/>
      <c r="AC307" s="5"/>
      <c r="AM307" s="26"/>
    </row>
    <row r="308" spans="27:39" x14ac:dyDescent="0.25">
      <c r="AA308" s="28"/>
      <c r="AC308" s="5"/>
      <c r="AM308" s="26"/>
    </row>
    <row r="309" spans="27:39" x14ac:dyDescent="0.25">
      <c r="AA309" s="28"/>
      <c r="AC309" s="5"/>
      <c r="AM309" s="26"/>
    </row>
    <row r="310" spans="27:39" x14ac:dyDescent="0.25">
      <c r="AA310" s="28"/>
      <c r="AC310" s="5"/>
      <c r="AM310" s="26"/>
    </row>
    <row r="311" spans="27:39" x14ac:dyDescent="0.25">
      <c r="AA311" s="28"/>
      <c r="AC311" s="5"/>
      <c r="AM311" s="26"/>
    </row>
    <row r="312" spans="27:39" x14ac:dyDescent="0.25">
      <c r="AA312" s="28"/>
      <c r="AC312" s="5"/>
      <c r="AM312" s="26"/>
    </row>
    <row r="313" spans="27:39" x14ac:dyDescent="0.25">
      <c r="AA313" s="28"/>
      <c r="AC313" s="5"/>
      <c r="AM313" s="26"/>
    </row>
    <row r="314" spans="27:39" x14ac:dyDescent="0.25">
      <c r="AA314" s="28"/>
      <c r="AC314" s="5"/>
      <c r="AM314" s="26"/>
    </row>
    <row r="315" spans="27:39" x14ac:dyDescent="0.25">
      <c r="AA315" s="28"/>
      <c r="AC315" s="5"/>
      <c r="AM315" s="26"/>
    </row>
    <row r="316" spans="27:39" x14ac:dyDescent="0.25">
      <c r="AA316" s="28"/>
      <c r="AC316" s="5"/>
      <c r="AM316" s="26"/>
    </row>
    <row r="317" spans="27:39" x14ac:dyDescent="0.25">
      <c r="AA317" s="28"/>
      <c r="AC317" s="5"/>
      <c r="AM317" s="26"/>
    </row>
    <row r="318" spans="27:39" x14ac:dyDescent="0.25">
      <c r="AA318" s="28"/>
      <c r="AC318" s="5"/>
      <c r="AM318" s="26"/>
    </row>
    <row r="319" spans="27:39" x14ac:dyDescent="0.25">
      <c r="AA319" s="28"/>
      <c r="AC319" s="5"/>
      <c r="AM319" s="26"/>
    </row>
    <row r="320" spans="27:39" x14ac:dyDescent="0.25">
      <c r="AA320" s="28"/>
      <c r="AC320" s="5"/>
      <c r="AM320" s="26"/>
    </row>
    <row r="321" spans="27:39" x14ac:dyDescent="0.25">
      <c r="AA321" s="28"/>
      <c r="AC321" s="5"/>
      <c r="AM321" s="26"/>
    </row>
    <row r="322" spans="27:39" x14ac:dyDescent="0.25">
      <c r="AA322" s="28"/>
      <c r="AC322" s="5"/>
      <c r="AM322" s="26"/>
    </row>
    <row r="323" spans="27:39" x14ac:dyDescent="0.25">
      <c r="AA323" s="28"/>
      <c r="AC323" s="5"/>
      <c r="AM323" s="26"/>
    </row>
    <row r="324" spans="27:39" x14ac:dyDescent="0.25">
      <c r="AA324" s="28"/>
      <c r="AC324" s="5"/>
      <c r="AM324" s="26"/>
    </row>
    <row r="325" spans="27:39" x14ac:dyDescent="0.25">
      <c r="AA325" s="28"/>
      <c r="AC325" s="5"/>
      <c r="AM325" s="26"/>
    </row>
    <row r="326" spans="27:39" x14ac:dyDescent="0.25">
      <c r="AA326" s="28"/>
      <c r="AC326" s="5"/>
      <c r="AM326" s="26"/>
    </row>
    <row r="327" spans="27:39" x14ac:dyDescent="0.25">
      <c r="AA327" s="28"/>
      <c r="AC327" s="5"/>
      <c r="AM327" s="26"/>
    </row>
    <row r="328" spans="27:39" x14ac:dyDescent="0.25">
      <c r="AA328" s="28"/>
      <c r="AC328" s="5"/>
      <c r="AM328" s="26"/>
    </row>
    <row r="329" spans="27:39" x14ac:dyDescent="0.25">
      <c r="AA329" s="28"/>
      <c r="AC329" s="5"/>
      <c r="AM329" s="26"/>
    </row>
    <row r="330" spans="27:39" x14ac:dyDescent="0.25">
      <c r="AA330" s="28"/>
      <c r="AC330" s="5"/>
      <c r="AM330" s="26"/>
    </row>
    <row r="331" spans="27:39" x14ac:dyDescent="0.25">
      <c r="AA331" s="28"/>
      <c r="AC331" s="5"/>
      <c r="AM331" s="26"/>
    </row>
    <row r="332" spans="27:39" x14ac:dyDescent="0.25">
      <c r="AA332" s="28"/>
      <c r="AC332" s="5"/>
      <c r="AM332" s="26"/>
    </row>
    <row r="333" spans="27:39" x14ac:dyDescent="0.25">
      <c r="AA333" s="28"/>
      <c r="AC333" s="5"/>
      <c r="AM333" s="26"/>
    </row>
    <row r="334" spans="27:39" x14ac:dyDescent="0.25">
      <c r="AA334" s="28"/>
      <c r="AC334" s="5"/>
      <c r="AM334" s="26"/>
    </row>
    <row r="335" spans="27:39" x14ac:dyDescent="0.25">
      <c r="AA335" s="28"/>
      <c r="AC335" s="5"/>
      <c r="AM335" s="26"/>
    </row>
    <row r="336" spans="27:39" x14ac:dyDescent="0.25">
      <c r="AA336" s="28"/>
      <c r="AC336" s="5"/>
      <c r="AM336" s="26"/>
    </row>
    <row r="337" spans="27:39" x14ac:dyDescent="0.25">
      <c r="AA337" s="28"/>
      <c r="AC337" s="5"/>
      <c r="AM337" s="26"/>
    </row>
    <row r="338" spans="27:39" x14ac:dyDescent="0.25">
      <c r="AA338" s="28"/>
      <c r="AC338" s="5"/>
      <c r="AM338" s="26"/>
    </row>
    <row r="339" spans="27:39" x14ac:dyDescent="0.25">
      <c r="AA339" s="28"/>
      <c r="AC339" s="5"/>
      <c r="AM339" s="26"/>
    </row>
    <row r="340" spans="27:39" x14ac:dyDescent="0.25">
      <c r="AA340" s="28"/>
      <c r="AC340" s="5"/>
      <c r="AM340" s="26"/>
    </row>
    <row r="341" spans="27:39" x14ac:dyDescent="0.25">
      <c r="AA341" s="28"/>
      <c r="AC341" s="5"/>
      <c r="AM341" s="26"/>
    </row>
    <row r="342" spans="27:39" x14ac:dyDescent="0.25">
      <c r="AA342" s="28"/>
      <c r="AC342" s="5"/>
      <c r="AM342" s="26"/>
    </row>
    <row r="343" spans="27:39" x14ac:dyDescent="0.25">
      <c r="AA343" s="28"/>
      <c r="AC343" s="5"/>
      <c r="AM343" s="26"/>
    </row>
    <row r="344" spans="27:39" x14ac:dyDescent="0.25">
      <c r="AA344" s="28"/>
      <c r="AC344" s="5"/>
      <c r="AM344" s="26"/>
    </row>
    <row r="345" spans="27:39" x14ac:dyDescent="0.25">
      <c r="AA345" s="28"/>
      <c r="AC345" s="5"/>
      <c r="AM345" s="26"/>
    </row>
    <row r="346" spans="27:39" x14ac:dyDescent="0.25">
      <c r="AA346" s="28"/>
      <c r="AC346" s="5"/>
      <c r="AM346" s="26"/>
    </row>
    <row r="347" spans="27:39" x14ac:dyDescent="0.25">
      <c r="AA347" s="28"/>
      <c r="AC347" s="5"/>
      <c r="AM347" s="26"/>
    </row>
    <row r="348" spans="27:39" x14ac:dyDescent="0.25">
      <c r="AA348" s="28"/>
      <c r="AC348" s="5"/>
      <c r="AM348" s="26"/>
    </row>
    <row r="349" spans="27:39" x14ac:dyDescent="0.25">
      <c r="AA349" s="28"/>
      <c r="AC349" s="5"/>
      <c r="AM349" s="26"/>
    </row>
    <row r="350" spans="27:39" x14ac:dyDescent="0.25">
      <c r="AA350" s="28"/>
      <c r="AC350" s="5"/>
      <c r="AM350" s="26"/>
    </row>
    <row r="351" spans="27:39" x14ac:dyDescent="0.25">
      <c r="AA351" s="28"/>
      <c r="AC351" s="5"/>
      <c r="AM351" s="26"/>
    </row>
    <row r="352" spans="27:39" x14ac:dyDescent="0.25">
      <c r="AA352" s="28"/>
      <c r="AC352" s="5"/>
      <c r="AM352" s="26"/>
    </row>
    <row r="353" spans="27:39" x14ac:dyDescent="0.25">
      <c r="AA353" s="28"/>
      <c r="AC353" s="5"/>
      <c r="AM353" s="26"/>
    </row>
    <row r="354" spans="27:39" x14ac:dyDescent="0.25">
      <c r="AA354" s="28"/>
      <c r="AC354" s="5"/>
      <c r="AM354" s="26"/>
    </row>
    <row r="355" spans="27:39" x14ac:dyDescent="0.25">
      <c r="AA355" s="28"/>
      <c r="AC355" s="5"/>
      <c r="AM355" s="26"/>
    </row>
    <row r="356" spans="27:39" x14ac:dyDescent="0.25">
      <c r="AA356" s="28"/>
      <c r="AC356" s="5"/>
      <c r="AM356" s="26"/>
    </row>
    <row r="357" spans="27:39" x14ac:dyDescent="0.25">
      <c r="AA357" s="28"/>
      <c r="AC357" s="5"/>
      <c r="AM357" s="26"/>
    </row>
    <row r="358" spans="27:39" x14ac:dyDescent="0.25">
      <c r="AA358" s="28"/>
      <c r="AC358" s="5"/>
      <c r="AM358" s="26"/>
    </row>
    <row r="359" spans="27:39" x14ac:dyDescent="0.25">
      <c r="AA359" s="28"/>
      <c r="AC359" s="5"/>
      <c r="AM359" s="26"/>
    </row>
    <row r="360" spans="27:39" x14ac:dyDescent="0.25">
      <c r="AA360" s="28"/>
      <c r="AC360" s="5"/>
      <c r="AM360" s="26"/>
    </row>
    <row r="361" spans="27:39" x14ac:dyDescent="0.25">
      <c r="AA361" s="28"/>
      <c r="AC361" s="5"/>
      <c r="AM361" s="26"/>
    </row>
    <row r="362" spans="27:39" x14ac:dyDescent="0.25">
      <c r="AA362" s="28"/>
      <c r="AC362" s="5"/>
      <c r="AM362" s="26"/>
    </row>
    <row r="363" spans="27:39" x14ac:dyDescent="0.25">
      <c r="AA363" s="28"/>
      <c r="AC363" s="5"/>
      <c r="AM363" s="26"/>
    </row>
    <row r="364" spans="27:39" x14ac:dyDescent="0.25">
      <c r="AA364" s="28"/>
      <c r="AC364" s="5"/>
      <c r="AM364" s="26"/>
    </row>
    <row r="365" spans="27:39" x14ac:dyDescent="0.25">
      <c r="AA365" s="28"/>
      <c r="AC365" s="5"/>
      <c r="AM365" s="26"/>
    </row>
    <row r="366" spans="27:39" x14ac:dyDescent="0.25">
      <c r="AA366" s="28"/>
      <c r="AC366" s="5"/>
      <c r="AM366" s="26"/>
    </row>
    <row r="367" spans="27:39" x14ac:dyDescent="0.25">
      <c r="AA367" s="34"/>
      <c r="AC367" s="5"/>
      <c r="AM367" s="26"/>
    </row>
    <row r="368" spans="27:39" x14ac:dyDescent="0.25">
      <c r="AC368" s="25"/>
    </row>
    <row r="369" spans="29:29" x14ac:dyDescent="0.25">
      <c r="AC369" s="25"/>
    </row>
    <row r="370" spans="29:29" x14ac:dyDescent="0.25">
      <c r="AC370" s="25"/>
    </row>
    <row r="371" spans="29:29" x14ac:dyDescent="0.25">
      <c r="AC371" s="25"/>
    </row>
    <row r="372" spans="29:29" x14ac:dyDescent="0.25">
      <c r="AC372" s="25"/>
    </row>
    <row r="373" spans="29:29" x14ac:dyDescent="0.25">
      <c r="AC373" s="25"/>
    </row>
    <row r="374" spans="29:29" x14ac:dyDescent="0.25">
      <c r="AC374" s="25"/>
    </row>
    <row r="375" spans="29:29" x14ac:dyDescent="0.25">
      <c r="AC375" s="25"/>
    </row>
    <row r="376" spans="29:29" x14ac:dyDescent="0.25">
      <c r="AC376" s="25"/>
    </row>
    <row r="377" spans="29:29" x14ac:dyDescent="0.25">
      <c r="AC377" s="25"/>
    </row>
    <row r="378" spans="29:29" x14ac:dyDescent="0.25">
      <c r="AC378" s="25"/>
    </row>
    <row r="379" spans="29:29" x14ac:dyDescent="0.25">
      <c r="AC379" s="25"/>
    </row>
    <row r="380" spans="29:29" x14ac:dyDescent="0.25">
      <c r="AC380" s="25"/>
    </row>
    <row r="381" spans="29:29" x14ac:dyDescent="0.25">
      <c r="AC381" s="25"/>
    </row>
    <row r="382" spans="29:29" x14ac:dyDescent="0.25">
      <c r="AC382" s="25"/>
    </row>
    <row r="383" spans="29:29" x14ac:dyDescent="0.25">
      <c r="AC383" s="25"/>
    </row>
    <row r="384" spans="29:29" x14ac:dyDescent="0.25">
      <c r="AC384" s="25"/>
    </row>
    <row r="385" spans="29:29" x14ac:dyDescent="0.25">
      <c r="AC385" s="25"/>
    </row>
    <row r="386" spans="29:29" x14ac:dyDescent="0.25">
      <c r="AC386" s="25"/>
    </row>
    <row r="387" spans="29:29" x14ac:dyDescent="0.25">
      <c r="AC387" s="25"/>
    </row>
    <row r="388" spans="29:29" x14ac:dyDescent="0.25">
      <c r="AC388" s="25"/>
    </row>
    <row r="389" spans="29:29" x14ac:dyDescent="0.25">
      <c r="AC389" s="25"/>
    </row>
    <row r="390" spans="29:29" x14ac:dyDescent="0.25">
      <c r="AC390" s="25"/>
    </row>
    <row r="391" spans="29:29" x14ac:dyDescent="0.25">
      <c r="AC391" s="25"/>
    </row>
    <row r="392" spans="29:29" x14ac:dyDescent="0.25">
      <c r="AC392" s="25"/>
    </row>
    <row r="393" spans="29:29" x14ac:dyDescent="0.25">
      <c r="AC393" s="25"/>
    </row>
    <row r="394" spans="29:29" x14ac:dyDescent="0.25">
      <c r="AC394" s="25"/>
    </row>
    <row r="395" spans="29:29" x14ac:dyDescent="0.25">
      <c r="AC395" s="25"/>
    </row>
    <row r="396" spans="29:29" x14ac:dyDescent="0.25">
      <c r="AC396" s="25"/>
    </row>
    <row r="397" spans="29:29" x14ac:dyDescent="0.25">
      <c r="AC397" s="25"/>
    </row>
    <row r="398" spans="29:29" x14ac:dyDescent="0.25">
      <c r="AC398" s="25"/>
    </row>
    <row r="399" spans="29:29" x14ac:dyDescent="0.25">
      <c r="AC399" s="25"/>
    </row>
    <row r="400" spans="29:29" x14ac:dyDescent="0.25">
      <c r="AC400" s="25"/>
    </row>
    <row r="401" spans="29:29" x14ac:dyDescent="0.25">
      <c r="AC401" s="25"/>
    </row>
    <row r="402" spans="29:29" x14ac:dyDescent="0.25">
      <c r="AC402" s="25"/>
    </row>
    <row r="403" spans="29:29" x14ac:dyDescent="0.25">
      <c r="AC403" s="25"/>
    </row>
    <row r="404" spans="29:29" x14ac:dyDescent="0.25">
      <c r="AC404" s="25"/>
    </row>
    <row r="405" spans="29:29" x14ac:dyDescent="0.25">
      <c r="AC405" s="25"/>
    </row>
    <row r="406" spans="29:29" x14ac:dyDescent="0.25">
      <c r="AC406" s="25"/>
    </row>
    <row r="407" spans="29:29" x14ac:dyDescent="0.25">
      <c r="AC407" s="25"/>
    </row>
    <row r="408" spans="29:29" x14ac:dyDescent="0.25">
      <c r="AC408" s="25"/>
    </row>
    <row r="409" spans="29:29" x14ac:dyDescent="0.25">
      <c r="AC409" s="25"/>
    </row>
    <row r="410" spans="29:29" x14ac:dyDescent="0.25">
      <c r="AC410" s="25"/>
    </row>
    <row r="411" spans="29:29" x14ac:dyDescent="0.25">
      <c r="AC411" s="25"/>
    </row>
    <row r="412" spans="29:29" x14ac:dyDescent="0.25">
      <c r="AC412" s="25"/>
    </row>
    <row r="413" spans="29:29" x14ac:dyDescent="0.25">
      <c r="AC413" s="25"/>
    </row>
    <row r="414" spans="29:29" x14ac:dyDescent="0.25">
      <c r="AC414" s="25"/>
    </row>
    <row r="415" spans="29:29" x14ac:dyDescent="0.25">
      <c r="AC415" s="25"/>
    </row>
    <row r="416" spans="29:29" x14ac:dyDescent="0.25">
      <c r="AC416" s="25"/>
    </row>
    <row r="417" spans="29:29" x14ac:dyDescent="0.25">
      <c r="AC417" s="25"/>
    </row>
    <row r="418" spans="29:29" x14ac:dyDescent="0.25">
      <c r="AC418" s="25"/>
    </row>
    <row r="419" spans="29:29" x14ac:dyDescent="0.25">
      <c r="AC419" s="25"/>
    </row>
    <row r="420" spans="29:29" x14ac:dyDescent="0.25">
      <c r="AC420" s="25"/>
    </row>
    <row r="421" spans="29:29" x14ac:dyDescent="0.25">
      <c r="AC421" s="25"/>
    </row>
    <row r="422" spans="29:29" x14ac:dyDescent="0.25">
      <c r="AC422" s="25"/>
    </row>
    <row r="423" spans="29:29" x14ac:dyDescent="0.25">
      <c r="AC423" s="25"/>
    </row>
    <row r="424" spans="29:29" x14ac:dyDescent="0.25">
      <c r="AC424" s="25"/>
    </row>
    <row r="425" spans="29:29" x14ac:dyDescent="0.25">
      <c r="AC425" s="25"/>
    </row>
    <row r="426" spans="29:29" x14ac:dyDescent="0.25">
      <c r="AC426" s="25"/>
    </row>
    <row r="427" spans="29:29" x14ac:dyDescent="0.25">
      <c r="AC427" s="25"/>
    </row>
    <row r="428" spans="29:29" x14ac:dyDescent="0.25">
      <c r="AC428" s="25"/>
    </row>
    <row r="429" spans="29:29" x14ac:dyDescent="0.25">
      <c r="AC429" s="25"/>
    </row>
    <row r="430" spans="29:29" x14ac:dyDescent="0.25">
      <c r="AC430" s="25"/>
    </row>
    <row r="431" spans="29:29" x14ac:dyDescent="0.25">
      <c r="AC431" s="25"/>
    </row>
    <row r="432" spans="29:29" x14ac:dyDescent="0.25">
      <c r="AC432" s="25"/>
    </row>
  </sheetData>
  <sortState xmlns:xlrd2="http://schemas.microsoft.com/office/spreadsheetml/2017/richdata2" ref="AA3:AA763">
    <sortCondition descending="1" ref="AA3"/>
  </sortState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4">
    <pageSetUpPr fitToPage="1"/>
  </sheetPr>
  <dimension ref="B3:F19"/>
  <sheetViews>
    <sheetView topLeftCell="A4" workbookViewId="0">
      <selection activeCell="B5" sqref="B5 B11"/>
    </sheetView>
  </sheetViews>
  <sheetFormatPr baseColWidth="10" defaultRowHeight="15" x14ac:dyDescent="0.25"/>
  <cols>
    <col min="2" max="2" width="29.28515625" bestFit="1" customWidth="1"/>
    <col min="3" max="3" width="7.140625" bestFit="1" customWidth="1"/>
    <col min="4" max="5" width="7" bestFit="1" customWidth="1"/>
    <col min="6" max="6" width="12.5703125" bestFit="1" customWidth="1"/>
    <col min="7" max="10" width="9.42578125" bestFit="1" customWidth="1"/>
    <col min="11" max="11" width="10.7109375" bestFit="1" customWidth="1"/>
    <col min="12" max="12" width="9.42578125" bestFit="1" customWidth="1"/>
    <col min="13" max="13" width="12.5703125" bestFit="1" customWidth="1"/>
    <col min="14" max="14" width="10" bestFit="1" customWidth="1"/>
    <col min="15" max="15" width="12.5703125" bestFit="1" customWidth="1"/>
  </cols>
  <sheetData>
    <row r="3" spans="2:6" x14ac:dyDescent="0.25">
      <c r="B3" s="6" t="s">
        <v>255</v>
      </c>
      <c r="C3" s="6" t="s">
        <v>255</v>
      </c>
    </row>
    <row r="4" spans="2:6" x14ac:dyDescent="0.25">
      <c r="B4" s="6" t="s">
        <v>86</v>
      </c>
      <c r="C4" s="1" t="s">
        <v>272</v>
      </c>
      <c r="D4" s="1" t="s">
        <v>277</v>
      </c>
      <c r="E4" s="1" t="s">
        <v>278</v>
      </c>
      <c r="F4" s="1" t="s">
        <v>85</v>
      </c>
    </row>
    <row r="5" spans="2:6" x14ac:dyDescent="0.25">
      <c r="B5" s="7" t="s">
        <v>68</v>
      </c>
      <c r="C5" s="8"/>
      <c r="D5" s="8"/>
      <c r="E5" s="8"/>
      <c r="F5" s="8"/>
    </row>
    <row r="6" spans="2:6" x14ac:dyDescent="0.25">
      <c r="B6" s="9" t="s">
        <v>161</v>
      </c>
      <c r="C6" s="8"/>
      <c r="D6" s="8"/>
      <c r="E6" s="8"/>
      <c r="F6" s="8"/>
    </row>
    <row r="7" spans="2:6" x14ac:dyDescent="0.25">
      <c r="B7" s="10" t="s">
        <v>151</v>
      </c>
      <c r="C7" s="8">
        <v>30</v>
      </c>
      <c r="D7" s="8"/>
      <c r="E7" s="8">
        <v>3</v>
      </c>
      <c r="F7" s="8">
        <v>33</v>
      </c>
    </row>
    <row r="8" spans="2:6" x14ac:dyDescent="0.25">
      <c r="B8" s="10" t="s">
        <v>122</v>
      </c>
      <c r="C8" s="8">
        <v>6.35</v>
      </c>
      <c r="D8" s="8"/>
      <c r="E8" s="8">
        <v>42.9</v>
      </c>
      <c r="F8" s="8">
        <v>49.25</v>
      </c>
    </row>
    <row r="9" spans="2:6" x14ac:dyDescent="0.25">
      <c r="B9" s="9" t="s">
        <v>167</v>
      </c>
      <c r="C9" s="8">
        <v>36.35</v>
      </c>
      <c r="D9" s="8"/>
      <c r="E9" s="8">
        <v>45.9</v>
      </c>
      <c r="F9" s="8">
        <v>82.25</v>
      </c>
    </row>
    <row r="10" spans="2:6" x14ac:dyDescent="0.25">
      <c r="B10" s="7" t="s">
        <v>160</v>
      </c>
      <c r="C10" s="8">
        <v>36.35</v>
      </c>
      <c r="D10" s="8"/>
      <c r="E10" s="8">
        <v>45.9</v>
      </c>
      <c r="F10" s="8">
        <v>82.25</v>
      </c>
    </row>
    <row r="11" spans="2:6" x14ac:dyDescent="0.25">
      <c r="B11" s="7" t="s">
        <v>62</v>
      </c>
      <c r="C11" s="8"/>
      <c r="D11" s="8"/>
      <c r="E11" s="8"/>
      <c r="F11" s="8"/>
    </row>
    <row r="12" spans="2:6" x14ac:dyDescent="0.25">
      <c r="B12" s="9" t="s">
        <v>115</v>
      </c>
      <c r="C12" s="8"/>
      <c r="D12" s="8"/>
      <c r="E12" s="8"/>
      <c r="F12" s="8"/>
    </row>
    <row r="13" spans="2:6" x14ac:dyDescent="0.25">
      <c r="B13" s="10"/>
      <c r="C13" s="8">
        <v>49.66</v>
      </c>
      <c r="D13" s="8">
        <v>66.010000000000005</v>
      </c>
      <c r="E13" s="8"/>
      <c r="F13" s="8">
        <v>115.67</v>
      </c>
    </row>
    <row r="14" spans="2:6" x14ac:dyDescent="0.25">
      <c r="B14" s="9" t="s">
        <v>274</v>
      </c>
      <c r="C14" s="8">
        <v>49.66</v>
      </c>
      <c r="D14" s="8">
        <v>66.010000000000005</v>
      </c>
      <c r="E14" s="8"/>
      <c r="F14" s="8">
        <v>115.67</v>
      </c>
    </row>
    <row r="15" spans="2:6" x14ac:dyDescent="0.25">
      <c r="B15" s="9" t="s">
        <v>122</v>
      </c>
      <c r="C15" s="8"/>
      <c r="D15" s="8"/>
      <c r="E15" s="8"/>
      <c r="F15" s="8"/>
    </row>
    <row r="16" spans="2:6" x14ac:dyDescent="0.25">
      <c r="B16" s="10"/>
      <c r="C16" s="8"/>
      <c r="D16" s="8">
        <v>5</v>
      </c>
      <c r="E16" s="8">
        <v>20</v>
      </c>
      <c r="F16" s="8">
        <v>25</v>
      </c>
    </row>
    <row r="17" spans="2:6" x14ac:dyDescent="0.25">
      <c r="B17" s="9" t="s">
        <v>279</v>
      </c>
      <c r="C17" s="8"/>
      <c r="D17" s="8">
        <v>5</v>
      </c>
      <c r="E17" s="8">
        <v>20</v>
      </c>
      <c r="F17" s="8">
        <v>25</v>
      </c>
    </row>
    <row r="18" spans="2:6" x14ac:dyDescent="0.25">
      <c r="B18" s="7" t="s">
        <v>256</v>
      </c>
      <c r="C18" s="8">
        <v>49.66</v>
      </c>
      <c r="D18" s="8">
        <v>71.010000000000005</v>
      </c>
      <c r="E18" s="8">
        <v>20</v>
      </c>
      <c r="F18" s="8">
        <v>140.67000000000002</v>
      </c>
    </row>
    <row r="19" spans="2:6" x14ac:dyDescent="0.25">
      <c r="B19" s="7" t="s">
        <v>85</v>
      </c>
      <c r="C19" s="8">
        <v>86.009999999999991</v>
      </c>
      <c r="D19" s="8">
        <v>71.010000000000005</v>
      </c>
      <c r="E19" s="8">
        <v>65.900000000000006</v>
      </c>
      <c r="F19" s="8">
        <v>222.92000000000002</v>
      </c>
    </row>
  </sheetData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55" orientation="portrait" horizontalDpi="300" verticalDpi="300"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5"/>
  <dimension ref="B3:E8"/>
  <sheetViews>
    <sheetView workbookViewId="0">
      <selection activeCell="H19" sqref="H19"/>
    </sheetView>
  </sheetViews>
  <sheetFormatPr baseColWidth="10" defaultRowHeight="15" x14ac:dyDescent="0.25"/>
  <cols>
    <col min="4" max="4" width="14.140625" bestFit="1" customWidth="1"/>
    <col min="7" max="7" width="21" bestFit="1" customWidth="1"/>
    <col min="8" max="8" width="17.7109375" bestFit="1" customWidth="1"/>
  </cols>
  <sheetData>
    <row r="3" spans="2:5" x14ac:dyDescent="0.25">
      <c r="B3" t="s">
        <v>67</v>
      </c>
      <c r="D3" t="s">
        <v>100</v>
      </c>
      <c r="E3" t="s">
        <v>101</v>
      </c>
    </row>
    <row r="4" spans="2:5" x14ac:dyDescent="0.25">
      <c r="B4" t="s">
        <v>62</v>
      </c>
      <c r="D4" t="s">
        <v>102</v>
      </c>
      <c r="E4" t="s">
        <v>107</v>
      </c>
    </row>
    <row r="5" spans="2:5" x14ac:dyDescent="0.25">
      <c r="B5" t="s">
        <v>68</v>
      </c>
      <c r="D5" t="s">
        <v>103</v>
      </c>
      <c r="E5" t="s">
        <v>108</v>
      </c>
    </row>
    <row r="6" spans="2:5" x14ac:dyDescent="0.25">
      <c r="D6" t="s">
        <v>104</v>
      </c>
      <c r="E6" t="s">
        <v>109</v>
      </c>
    </row>
    <row r="7" spans="2:5" x14ac:dyDescent="0.25">
      <c r="D7" t="s">
        <v>105</v>
      </c>
      <c r="E7" t="s">
        <v>110</v>
      </c>
    </row>
    <row r="8" spans="2:5" x14ac:dyDescent="0.25">
      <c r="D8" t="s">
        <v>106</v>
      </c>
      <c r="E8" t="s">
        <v>111</v>
      </c>
    </row>
  </sheetData>
  <pageMargins left="0.7" right="0.7" top="0.75" bottom="0.75" header="0.3" footer="0.3"/>
  <pageSetup paperSize="9" orientation="portrait" horizontalDpi="300" verticalDpi="300" r:id="rId1"/>
  <tableParts count="2">
    <tablePart r:id="rId2"/>
    <tablePart r:id="rId3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6"/>
  <dimension ref="B4:F5"/>
  <sheetViews>
    <sheetView showGridLines="0" tabSelected="1" workbookViewId="0">
      <selection activeCell="E5" sqref="E5"/>
    </sheetView>
  </sheetViews>
  <sheetFormatPr baseColWidth="10" defaultRowHeight="21" x14ac:dyDescent="0.35"/>
  <cols>
    <col min="1" max="1" width="11.42578125" style="3"/>
    <col min="2" max="2" width="6.28515625" style="3" bestFit="1" customWidth="1"/>
    <col min="3" max="6" width="28.140625" style="3" customWidth="1"/>
    <col min="7" max="16384" width="11.42578125" style="3"/>
  </cols>
  <sheetData>
    <row r="4" spans="2:6" x14ac:dyDescent="0.35">
      <c r="B4" s="3" t="s">
        <v>0</v>
      </c>
      <c r="C4" s="3" t="s">
        <v>69</v>
      </c>
      <c r="D4" s="3" t="s">
        <v>70</v>
      </c>
      <c r="E4" s="3" t="s">
        <v>71</v>
      </c>
      <c r="F4" s="3" t="s">
        <v>72</v>
      </c>
    </row>
    <row r="5" spans="2:6" x14ac:dyDescent="0.35">
      <c r="B5" s="3">
        <f>ROW(B5)-4</f>
        <v>1</v>
      </c>
      <c r="C5" s="3" t="s">
        <v>159</v>
      </c>
      <c r="D5" s="39" t="s">
        <v>280</v>
      </c>
      <c r="E5" s="39" cm="1">
        <f t="array" ref="E5">(SUM(SUMIFS(Tableau25[Somme],Tableau25[Compte],Compte!C5,Tableau25[Type],{"Entrée"})))-SUMIFS(Tableau25[Somme],Tableau25[Compte],Compte!C5,Tableau25[Type],"Sortie")</f>
        <v>-58.420000000000016</v>
      </c>
      <c r="F5" s="4" t="e">
        <f>Tableau24[[#This Row],[Départ]]+Tableau24[[#This Row],[Calculé]]</f>
        <v>#VALUE!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26</vt:i4>
      </vt:variant>
    </vt:vector>
  </HeadingPairs>
  <TitlesOfParts>
    <vt:vector size="33" baseType="lpstr">
      <vt:lpstr>Catégorie</vt:lpstr>
      <vt:lpstr>Home</vt:lpstr>
      <vt:lpstr>Analyse</vt:lpstr>
      <vt:lpstr>Input</vt:lpstr>
      <vt:lpstr>Rapport</vt:lpstr>
      <vt:lpstr>Config</vt:lpstr>
      <vt:lpstr>Compte</vt:lpstr>
      <vt:lpstr>compte</vt:lpstr>
      <vt:lpstr>Input!Criteres</vt:lpstr>
      <vt:lpstr>entrée</vt:lpstr>
      <vt:lpstr>entrée1</vt:lpstr>
      <vt:lpstr>entrée2</vt:lpstr>
      <vt:lpstr>entrée3</vt:lpstr>
      <vt:lpstr>entree4</vt:lpstr>
      <vt:lpstr>Input!Extraire</vt:lpstr>
      <vt:lpstr>periode</vt:lpstr>
      <vt:lpstr>sortie</vt:lpstr>
      <vt:lpstr>sortie1</vt:lpstr>
      <vt:lpstr>sortie10</vt:lpstr>
      <vt:lpstr>sortie11</vt:lpstr>
      <vt:lpstr>sortie12</vt:lpstr>
      <vt:lpstr>sortie13</vt:lpstr>
      <vt:lpstr>sortie14</vt:lpstr>
      <vt:lpstr>sortie15</vt:lpstr>
      <vt:lpstr>sortie2</vt:lpstr>
      <vt:lpstr>sortie3</vt:lpstr>
      <vt:lpstr>sortie4</vt:lpstr>
      <vt:lpstr>sortie5</vt:lpstr>
      <vt:lpstr>sortie6</vt:lpstr>
      <vt:lpstr>sortie7</vt:lpstr>
      <vt:lpstr>sortie8</vt:lpstr>
      <vt:lpstr>sortie9</vt:lpstr>
      <vt:lpstr>Type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Pidou</dc:creator>
  <cp:lastModifiedBy>Michel Pidou</cp:lastModifiedBy>
  <cp:lastPrinted>2018-12-04T15:51:36Z</cp:lastPrinted>
  <dcterms:created xsi:type="dcterms:W3CDTF">2017-09-09T22:47:03Z</dcterms:created>
  <dcterms:modified xsi:type="dcterms:W3CDTF">2021-08-26T09:11:09Z</dcterms:modified>
</cp:coreProperties>
</file>