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mc:AlternateContent xmlns:mc="http://schemas.openxmlformats.org/markup-compatibility/2006">
    <mc:Choice Requires="x15">
      <x15ac:absPath xmlns:x15ac="http://schemas.microsoft.com/office/spreadsheetml/2010/11/ac" url="C:\Users\cdevl\Downloads\"/>
    </mc:Choice>
  </mc:AlternateContent>
  <xr:revisionPtr revIDLastSave="0" documentId="13_ncr:1_{B4B6C0EB-55C7-46BB-B8D9-3FCE62D95239}" xr6:coauthVersionLast="46" xr6:coauthVersionMax="46" xr10:uidLastSave="{00000000-0000-0000-0000-000000000000}"/>
  <bookViews>
    <workbookView xWindow="-120" yWindow="-120" windowWidth="24240" windowHeight="13140" xr2:uid="{00000000-000D-0000-FFFF-FFFF00000000}"/>
  </bookViews>
  <sheets>
    <sheet name="Feuil2" sheetId="1" r:id="rId1"/>
  </sheets>
  <calcPr calcId="181029"/>
  <extLst>
    <ext uri="GoogleSheetsCustomDataVersion1">
      <go:sheetsCustomData xmlns:go="http://customooxmlschemas.google.com/" r:id="rId5" roundtripDataSignature="AMtx7miBA6nsRKznGRRG9V1Ki2exEKOSCA=="/>
    </ext>
  </extLst>
</workbook>
</file>

<file path=xl/calcChain.xml><?xml version="1.0" encoding="utf-8"?>
<calcChain xmlns="http://schemas.openxmlformats.org/spreadsheetml/2006/main">
  <c r="U425" i="1" l="1"/>
  <c r="S425" i="1"/>
  <c r="Q425" i="1"/>
  <c r="O425" i="1"/>
  <c r="M425" i="1"/>
  <c r="U424" i="1"/>
  <c r="S424" i="1"/>
  <c r="Q424" i="1"/>
  <c r="O424" i="1"/>
  <c r="M424" i="1"/>
  <c r="U423" i="1"/>
  <c r="S423" i="1"/>
  <c r="Q423" i="1"/>
  <c r="O423" i="1"/>
  <c r="M423" i="1"/>
  <c r="U422" i="1"/>
  <c r="S422" i="1"/>
  <c r="Q422" i="1"/>
  <c r="O422" i="1"/>
  <c r="M422" i="1"/>
  <c r="U421" i="1"/>
  <c r="S421" i="1"/>
  <c r="Q421" i="1"/>
  <c r="O421" i="1"/>
  <c r="M421" i="1"/>
  <c r="U420" i="1"/>
  <c r="S420" i="1"/>
  <c r="Q420" i="1"/>
  <c r="O420" i="1"/>
  <c r="M420" i="1"/>
  <c r="U419" i="1"/>
  <c r="S419" i="1"/>
  <c r="Q419" i="1"/>
  <c r="O419" i="1"/>
  <c r="M419" i="1"/>
  <c r="U418" i="1"/>
  <c r="S418" i="1"/>
  <c r="Q418" i="1"/>
  <c r="O418" i="1"/>
  <c r="M418" i="1"/>
  <c r="U417" i="1"/>
  <c r="S417" i="1"/>
  <c r="Q417" i="1"/>
  <c r="O417" i="1"/>
  <c r="M417" i="1"/>
  <c r="U416" i="1"/>
  <c r="S416" i="1"/>
  <c r="Q416" i="1"/>
  <c r="O416" i="1"/>
  <c r="M416" i="1"/>
  <c r="U415" i="1"/>
  <c r="S415" i="1"/>
  <c r="Q415" i="1"/>
  <c r="O415" i="1"/>
  <c r="M415" i="1"/>
  <c r="U414" i="1"/>
  <c r="S414" i="1"/>
  <c r="Q414" i="1"/>
  <c r="O414" i="1"/>
  <c r="M414" i="1"/>
  <c r="U413" i="1"/>
  <c r="S413" i="1"/>
  <c r="Q413" i="1"/>
  <c r="O413" i="1"/>
  <c r="M413" i="1"/>
  <c r="U412" i="1"/>
  <c r="S412" i="1"/>
  <c r="Q412" i="1"/>
  <c r="O412" i="1"/>
  <c r="M412" i="1"/>
  <c r="U411" i="1"/>
  <c r="S411" i="1"/>
  <c r="Q411" i="1"/>
  <c r="O411" i="1"/>
  <c r="M411" i="1"/>
  <c r="U410" i="1"/>
  <c r="S410" i="1"/>
  <c r="Q410" i="1"/>
  <c r="O410" i="1"/>
  <c r="M410" i="1"/>
  <c r="U409" i="1"/>
  <c r="S409" i="1"/>
  <c r="Q409" i="1"/>
  <c r="O409" i="1"/>
  <c r="M409" i="1"/>
  <c r="U408" i="1"/>
  <c r="S408" i="1"/>
  <c r="Q408" i="1"/>
  <c r="O408" i="1"/>
  <c r="M408" i="1"/>
  <c r="U407" i="1"/>
  <c r="S407" i="1"/>
  <c r="Q407" i="1"/>
  <c r="O407" i="1"/>
  <c r="M407" i="1"/>
  <c r="U406" i="1"/>
  <c r="S406" i="1"/>
  <c r="Q406" i="1"/>
  <c r="O406" i="1"/>
  <c r="M406" i="1"/>
  <c r="U405" i="1"/>
  <c r="S405" i="1"/>
  <c r="Q405" i="1"/>
  <c r="O405" i="1"/>
  <c r="M405" i="1"/>
  <c r="U404" i="1"/>
  <c r="S404" i="1"/>
  <c r="Q404" i="1"/>
  <c r="O404" i="1"/>
  <c r="M404" i="1"/>
  <c r="U403" i="1"/>
  <c r="S403" i="1"/>
  <c r="Q403" i="1"/>
  <c r="O403" i="1"/>
  <c r="M403" i="1"/>
  <c r="U402" i="1"/>
  <c r="S402" i="1"/>
  <c r="Q402" i="1"/>
  <c r="O402" i="1"/>
  <c r="M402" i="1"/>
  <c r="U401" i="1"/>
  <c r="S401" i="1"/>
  <c r="Q401" i="1"/>
  <c r="O401" i="1"/>
  <c r="M401" i="1"/>
  <c r="U400" i="1"/>
  <c r="S400" i="1"/>
  <c r="Q400" i="1"/>
  <c r="O400" i="1"/>
  <c r="M400" i="1"/>
  <c r="U399" i="1"/>
  <c r="S399" i="1"/>
  <c r="Q399" i="1"/>
  <c r="O399" i="1"/>
  <c r="M399" i="1"/>
  <c r="U398" i="1"/>
  <c r="S398" i="1"/>
  <c r="Q398" i="1"/>
  <c r="O398" i="1"/>
  <c r="M398" i="1"/>
  <c r="U397" i="1"/>
  <c r="S397" i="1"/>
  <c r="Q397" i="1"/>
  <c r="O397" i="1"/>
  <c r="M397" i="1"/>
  <c r="U396" i="1"/>
  <c r="S396" i="1"/>
  <c r="Q396" i="1"/>
  <c r="O396" i="1"/>
  <c r="M396" i="1"/>
  <c r="U395" i="1"/>
  <c r="S395" i="1"/>
  <c r="Q395" i="1"/>
  <c r="O395" i="1"/>
  <c r="M395" i="1"/>
  <c r="U394" i="1"/>
  <c r="S394" i="1"/>
  <c r="Q394" i="1"/>
  <c r="O394" i="1"/>
  <c r="M394" i="1"/>
  <c r="U393" i="1"/>
  <c r="S393" i="1"/>
  <c r="Q393" i="1"/>
  <c r="O393" i="1"/>
  <c r="M393" i="1"/>
  <c r="U392" i="1"/>
  <c r="S392" i="1"/>
  <c r="Q392" i="1"/>
  <c r="O392" i="1"/>
  <c r="M392" i="1"/>
  <c r="U391" i="1"/>
  <c r="S391" i="1"/>
  <c r="Q391" i="1"/>
  <c r="O391" i="1"/>
  <c r="M391" i="1"/>
  <c r="U390" i="1"/>
  <c r="S390" i="1"/>
  <c r="Q390" i="1"/>
  <c r="O390" i="1"/>
  <c r="M390" i="1"/>
  <c r="U389" i="1"/>
  <c r="S389" i="1"/>
  <c r="Q389" i="1"/>
  <c r="O389" i="1"/>
  <c r="M389" i="1"/>
  <c r="U388" i="1"/>
  <c r="S388" i="1"/>
  <c r="Q388" i="1"/>
  <c r="O388" i="1"/>
  <c r="M388" i="1"/>
  <c r="U387" i="1"/>
  <c r="S387" i="1"/>
  <c r="Q387" i="1"/>
  <c r="O387" i="1"/>
  <c r="M387" i="1"/>
  <c r="U386" i="1"/>
  <c r="S386" i="1"/>
  <c r="Q386" i="1"/>
  <c r="O386" i="1"/>
  <c r="M386" i="1"/>
  <c r="U385" i="1"/>
  <c r="S385" i="1"/>
  <c r="Q385" i="1"/>
  <c r="O385" i="1"/>
  <c r="M385" i="1"/>
  <c r="U384" i="1"/>
  <c r="S384" i="1"/>
  <c r="Q384" i="1"/>
  <c r="O384" i="1"/>
  <c r="M384" i="1"/>
  <c r="U383" i="1"/>
  <c r="S383" i="1"/>
  <c r="Q383" i="1"/>
  <c r="O383" i="1"/>
  <c r="M383" i="1"/>
  <c r="U382" i="1"/>
  <c r="S382" i="1"/>
  <c r="Q382" i="1"/>
  <c r="O382" i="1"/>
  <c r="M382" i="1"/>
  <c r="U381" i="1"/>
  <c r="S381" i="1"/>
  <c r="Q381" i="1"/>
  <c r="O381" i="1"/>
  <c r="M381" i="1"/>
  <c r="U380" i="1"/>
  <c r="S380" i="1"/>
  <c r="Q380" i="1"/>
  <c r="O380" i="1"/>
  <c r="M380" i="1"/>
  <c r="U379" i="1"/>
  <c r="S379" i="1"/>
  <c r="Q379" i="1"/>
  <c r="O379" i="1"/>
  <c r="M379" i="1"/>
  <c r="U378" i="1"/>
  <c r="S378" i="1"/>
  <c r="Q378" i="1"/>
  <c r="O378" i="1"/>
  <c r="M378" i="1"/>
  <c r="U377" i="1"/>
  <c r="S377" i="1"/>
  <c r="Q377" i="1"/>
  <c r="O377" i="1"/>
  <c r="M377" i="1"/>
  <c r="U376" i="1"/>
  <c r="S376" i="1"/>
  <c r="Q376" i="1"/>
  <c r="O376" i="1"/>
  <c r="M376" i="1"/>
  <c r="U375" i="1"/>
  <c r="S375" i="1"/>
  <c r="Q375" i="1"/>
  <c r="O375" i="1"/>
  <c r="M375" i="1"/>
  <c r="U374" i="1"/>
  <c r="S374" i="1"/>
  <c r="Q374" i="1"/>
  <c r="O374" i="1"/>
  <c r="M374" i="1"/>
  <c r="U373" i="1"/>
  <c r="S373" i="1"/>
  <c r="Q373" i="1"/>
  <c r="O373" i="1"/>
  <c r="M373" i="1"/>
  <c r="U372" i="1"/>
  <c r="S372" i="1"/>
  <c r="Q372" i="1"/>
  <c r="O372" i="1"/>
  <c r="M372" i="1"/>
  <c r="U371" i="1"/>
  <c r="S371" i="1"/>
  <c r="Q371" i="1"/>
  <c r="O371" i="1"/>
  <c r="M371" i="1"/>
  <c r="U370" i="1"/>
  <c r="S370" i="1"/>
  <c r="Q370" i="1"/>
  <c r="O370" i="1"/>
  <c r="M370" i="1"/>
  <c r="U369" i="1"/>
  <c r="S369" i="1"/>
  <c r="Q369" i="1"/>
  <c r="O369" i="1"/>
  <c r="M369" i="1"/>
  <c r="U368" i="1"/>
  <c r="S368" i="1"/>
  <c r="Q368" i="1"/>
  <c r="O368" i="1"/>
  <c r="M368" i="1"/>
  <c r="U367" i="1"/>
  <c r="S367" i="1"/>
  <c r="Q367" i="1"/>
  <c r="O367" i="1"/>
  <c r="M367" i="1"/>
  <c r="U366" i="1"/>
  <c r="S366" i="1"/>
  <c r="Q366" i="1"/>
  <c r="O366" i="1"/>
  <c r="M366" i="1"/>
  <c r="U365" i="1"/>
  <c r="S365" i="1"/>
  <c r="Q365" i="1"/>
  <c r="O365" i="1"/>
  <c r="M365" i="1"/>
  <c r="U364" i="1"/>
  <c r="S364" i="1"/>
  <c r="Q364" i="1"/>
  <c r="O364" i="1"/>
  <c r="M364" i="1"/>
  <c r="U363" i="1"/>
  <c r="S363" i="1"/>
  <c r="Q363" i="1"/>
  <c r="O363" i="1"/>
  <c r="M363" i="1"/>
  <c r="U362" i="1"/>
  <c r="S362" i="1"/>
  <c r="Q362" i="1"/>
  <c r="O362" i="1"/>
  <c r="M362" i="1"/>
  <c r="U361" i="1"/>
  <c r="S361" i="1"/>
  <c r="Q361" i="1"/>
  <c r="O361" i="1"/>
  <c r="M361" i="1"/>
  <c r="U360" i="1"/>
  <c r="S360" i="1"/>
  <c r="Q360" i="1"/>
  <c r="O360" i="1"/>
  <c r="M360" i="1"/>
  <c r="U359" i="1"/>
  <c r="S359" i="1"/>
  <c r="Q359" i="1"/>
  <c r="O359" i="1"/>
  <c r="M359" i="1"/>
  <c r="U358" i="1"/>
  <c r="S358" i="1"/>
  <c r="Q358" i="1"/>
  <c r="O358" i="1"/>
  <c r="M358" i="1"/>
  <c r="U357" i="1"/>
  <c r="S357" i="1"/>
  <c r="Q357" i="1"/>
  <c r="O357" i="1"/>
  <c r="M357" i="1"/>
  <c r="U356" i="1"/>
  <c r="S356" i="1"/>
  <c r="Q356" i="1"/>
  <c r="O356" i="1"/>
  <c r="M356" i="1"/>
  <c r="U355" i="1"/>
  <c r="S355" i="1"/>
  <c r="Q355" i="1"/>
  <c r="O355" i="1"/>
  <c r="M355" i="1"/>
  <c r="U354" i="1"/>
  <c r="S354" i="1"/>
  <c r="Q354" i="1"/>
  <c r="O354" i="1"/>
  <c r="M354" i="1"/>
  <c r="U353" i="1"/>
  <c r="S353" i="1"/>
  <c r="Q353" i="1"/>
  <c r="O353" i="1"/>
  <c r="M353" i="1"/>
  <c r="U352" i="1"/>
  <c r="S352" i="1"/>
  <c r="Q352" i="1"/>
  <c r="O352" i="1"/>
  <c r="M352" i="1"/>
  <c r="U351" i="1"/>
  <c r="S351" i="1"/>
  <c r="Q351" i="1"/>
  <c r="O351" i="1"/>
  <c r="M351" i="1"/>
  <c r="U350" i="1"/>
  <c r="S350" i="1"/>
  <c r="Q350" i="1"/>
  <c r="O350" i="1"/>
  <c r="M350" i="1"/>
  <c r="U349" i="1"/>
  <c r="S349" i="1"/>
  <c r="Q349" i="1"/>
  <c r="O349" i="1"/>
  <c r="M349" i="1"/>
  <c r="U348" i="1"/>
  <c r="S348" i="1"/>
  <c r="Q348" i="1"/>
  <c r="O348" i="1"/>
  <c r="M348" i="1"/>
  <c r="U347" i="1"/>
  <c r="S347" i="1"/>
  <c r="Q347" i="1"/>
  <c r="O347" i="1"/>
  <c r="M347" i="1"/>
  <c r="U346" i="1"/>
  <c r="S346" i="1"/>
  <c r="Q346" i="1"/>
  <c r="O346" i="1"/>
  <c r="M346" i="1"/>
  <c r="U345" i="1"/>
  <c r="S345" i="1"/>
  <c r="Q345" i="1"/>
  <c r="O345" i="1"/>
  <c r="M345" i="1"/>
  <c r="U344" i="1"/>
  <c r="S344" i="1"/>
  <c r="Q344" i="1"/>
  <c r="O344" i="1"/>
  <c r="M344" i="1"/>
  <c r="U343" i="1"/>
  <c r="S343" i="1"/>
  <c r="Q343" i="1"/>
  <c r="O343" i="1"/>
  <c r="M343" i="1"/>
  <c r="U342" i="1"/>
  <c r="S342" i="1"/>
  <c r="Q342" i="1"/>
  <c r="O342" i="1"/>
  <c r="M342" i="1"/>
  <c r="U341" i="1"/>
  <c r="S341" i="1"/>
  <c r="Q341" i="1"/>
  <c r="O341" i="1"/>
  <c r="M341" i="1"/>
  <c r="U340" i="1"/>
  <c r="S340" i="1"/>
  <c r="Q340" i="1"/>
  <c r="O340" i="1"/>
  <c r="M340" i="1"/>
  <c r="U339" i="1"/>
  <c r="S339" i="1"/>
  <c r="Q339" i="1"/>
  <c r="O339" i="1"/>
  <c r="M339" i="1"/>
  <c r="U338" i="1"/>
  <c r="S338" i="1"/>
  <c r="Q338" i="1"/>
  <c r="O338" i="1"/>
  <c r="M338" i="1"/>
  <c r="U337" i="1"/>
  <c r="S337" i="1"/>
  <c r="Q337" i="1"/>
  <c r="O337" i="1"/>
  <c r="M337" i="1"/>
  <c r="U336" i="1"/>
  <c r="S336" i="1"/>
  <c r="Q336" i="1"/>
  <c r="O336" i="1"/>
  <c r="M336" i="1"/>
  <c r="U335" i="1"/>
  <c r="S335" i="1"/>
  <c r="Q335" i="1"/>
  <c r="O335" i="1"/>
  <c r="M335" i="1"/>
  <c r="U334" i="1"/>
  <c r="S334" i="1"/>
  <c r="Q334" i="1"/>
  <c r="O334" i="1"/>
  <c r="M334" i="1"/>
  <c r="U333" i="1"/>
  <c r="S333" i="1"/>
  <c r="Q333" i="1"/>
  <c r="O333" i="1"/>
  <c r="M333" i="1"/>
  <c r="U332" i="1"/>
  <c r="S332" i="1"/>
  <c r="Q332" i="1"/>
  <c r="O332" i="1"/>
  <c r="M332" i="1"/>
  <c r="U331" i="1"/>
  <c r="S331" i="1"/>
  <c r="Q331" i="1"/>
  <c r="O331" i="1"/>
  <c r="M331" i="1"/>
  <c r="U330" i="1"/>
  <c r="S330" i="1"/>
  <c r="Q330" i="1"/>
  <c r="O330" i="1"/>
  <c r="M330" i="1"/>
  <c r="U329" i="1"/>
  <c r="S329" i="1"/>
  <c r="Q329" i="1"/>
  <c r="O329" i="1"/>
  <c r="M329" i="1"/>
  <c r="U328" i="1"/>
  <c r="S328" i="1"/>
  <c r="Q328" i="1"/>
  <c r="O328" i="1"/>
  <c r="M328" i="1"/>
  <c r="U327" i="1"/>
  <c r="S327" i="1"/>
  <c r="Q327" i="1"/>
  <c r="O327" i="1"/>
  <c r="M327" i="1"/>
  <c r="U326" i="1"/>
  <c r="S326" i="1"/>
  <c r="Q326" i="1"/>
  <c r="O326" i="1"/>
  <c r="M326" i="1"/>
  <c r="U325" i="1"/>
  <c r="S325" i="1"/>
  <c r="Q325" i="1"/>
  <c r="O325" i="1"/>
  <c r="M325" i="1"/>
  <c r="U324" i="1"/>
  <c r="S324" i="1"/>
  <c r="Q324" i="1"/>
  <c r="O324" i="1"/>
  <c r="M324" i="1"/>
  <c r="U323" i="1"/>
  <c r="S323" i="1"/>
  <c r="Q323" i="1"/>
  <c r="O323" i="1"/>
  <c r="M323" i="1"/>
  <c r="U322" i="1"/>
  <c r="S322" i="1"/>
  <c r="Q322" i="1"/>
  <c r="O322" i="1"/>
  <c r="M322" i="1"/>
  <c r="U321" i="1"/>
  <c r="S321" i="1"/>
  <c r="Q321" i="1"/>
  <c r="O321" i="1"/>
  <c r="M321" i="1"/>
  <c r="U320" i="1"/>
  <c r="S320" i="1"/>
  <c r="Q320" i="1"/>
  <c r="O320" i="1"/>
  <c r="M320" i="1"/>
  <c r="U319" i="1"/>
  <c r="S319" i="1"/>
  <c r="Q319" i="1"/>
  <c r="O319" i="1"/>
  <c r="M319" i="1"/>
  <c r="U318" i="1"/>
  <c r="S318" i="1"/>
  <c r="Q318" i="1"/>
  <c r="O318" i="1"/>
  <c r="M318" i="1"/>
  <c r="U317" i="1"/>
  <c r="S317" i="1"/>
  <c r="Q317" i="1"/>
  <c r="O317" i="1"/>
  <c r="M317" i="1"/>
  <c r="U316" i="1"/>
  <c r="S316" i="1"/>
  <c r="Q316" i="1"/>
  <c r="O316" i="1"/>
  <c r="M316" i="1"/>
  <c r="U315" i="1"/>
  <c r="S315" i="1"/>
  <c r="Q315" i="1"/>
  <c r="O315" i="1"/>
  <c r="M315" i="1"/>
  <c r="U314" i="1"/>
  <c r="S314" i="1"/>
  <c r="Q314" i="1"/>
  <c r="O314" i="1"/>
  <c r="M314" i="1"/>
  <c r="U313" i="1"/>
  <c r="S313" i="1"/>
  <c r="Q313" i="1"/>
  <c r="O313" i="1"/>
  <c r="M313" i="1"/>
  <c r="U312" i="1"/>
  <c r="S312" i="1"/>
  <c r="Q312" i="1"/>
  <c r="O312" i="1"/>
  <c r="M312" i="1"/>
  <c r="U311" i="1"/>
  <c r="S311" i="1"/>
  <c r="Q311" i="1"/>
  <c r="O311" i="1"/>
  <c r="M311" i="1"/>
  <c r="U310" i="1"/>
  <c r="S310" i="1"/>
  <c r="Q310" i="1"/>
  <c r="O310" i="1"/>
  <c r="M310" i="1"/>
  <c r="U309" i="1"/>
  <c r="S309" i="1"/>
  <c r="Q309" i="1"/>
  <c r="O309" i="1"/>
  <c r="M309" i="1"/>
  <c r="U308" i="1"/>
  <c r="S308" i="1"/>
  <c r="Q308" i="1"/>
  <c r="O308" i="1"/>
  <c r="M308" i="1"/>
  <c r="U307" i="1"/>
  <c r="S307" i="1"/>
  <c r="Q307" i="1"/>
  <c r="O307" i="1"/>
  <c r="M307" i="1"/>
  <c r="U306" i="1"/>
  <c r="S306" i="1"/>
  <c r="Q306" i="1"/>
  <c r="O306" i="1"/>
  <c r="M306" i="1"/>
  <c r="U305" i="1"/>
  <c r="S305" i="1"/>
  <c r="Q305" i="1"/>
  <c r="O305" i="1"/>
  <c r="M305" i="1"/>
  <c r="U304" i="1"/>
  <c r="S304" i="1"/>
  <c r="Q304" i="1"/>
  <c r="O304" i="1"/>
  <c r="M304" i="1"/>
  <c r="U303" i="1"/>
  <c r="S303" i="1"/>
  <c r="Q303" i="1"/>
  <c r="O303" i="1"/>
  <c r="M303" i="1"/>
  <c r="U302" i="1"/>
  <c r="S302" i="1"/>
  <c r="Q302" i="1"/>
  <c r="O302" i="1"/>
  <c r="M302" i="1"/>
  <c r="U301" i="1"/>
  <c r="S301" i="1"/>
  <c r="Q301" i="1"/>
  <c r="O301" i="1"/>
  <c r="M301" i="1"/>
  <c r="U300" i="1"/>
  <c r="S300" i="1"/>
  <c r="Q300" i="1"/>
  <c r="O300" i="1"/>
  <c r="M300" i="1"/>
  <c r="U299" i="1"/>
  <c r="S299" i="1"/>
  <c r="Q299" i="1"/>
  <c r="O299" i="1"/>
  <c r="M299" i="1"/>
  <c r="U298" i="1"/>
  <c r="S298" i="1"/>
  <c r="Q298" i="1"/>
  <c r="O298" i="1"/>
  <c r="M298" i="1"/>
  <c r="U297" i="1"/>
  <c r="S297" i="1"/>
  <c r="Q297" i="1"/>
  <c r="O297" i="1"/>
  <c r="M297" i="1"/>
  <c r="U296" i="1"/>
  <c r="S296" i="1"/>
  <c r="Q296" i="1"/>
  <c r="O296" i="1"/>
  <c r="M296" i="1"/>
  <c r="U295" i="1"/>
  <c r="S295" i="1"/>
  <c r="Q295" i="1"/>
  <c r="O295" i="1"/>
  <c r="M295" i="1"/>
  <c r="U294" i="1"/>
  <c r="S294" i="1"/>
  <c r="Q294" i="1"/>
  <c r="O294" i="1"/>
  <c r="M294" i="1"/>
  <c r="U293" i="1"/>
  <c r="S293" i="1"/>
  <c r="Q293" i="1"/>
  <c r="O293" i="1"/>
  <c r="M293" i="1"/>
  <c r="U292" i="1"/>
  <c r="S292" i="1"/>
  <c r="Q292" i="1"/>
  <c r="O292" i="1"/>
  <c r="M292" i="1"/>
  <c r="U291" i="1"/>
  <c r="S291" i="1"/>
  <c r="Q291" i="1"/>
  <c r="O291" i="1"/>
  <c r="M291" i="1"/>
  <c r="U290" i="1"/>
  <c r="S290" i="1"/>
  <c r="Q290" i="1"/>
  <c r="O290" i="1"/>
  <c r="M290" i="1"/>
  <c r="U289" i="1"/>
  <c r="S289" i="1"/>
  <c r="Q289" i="1"/>
  <c r="O289" i="1"/>
  <c r="M289" i="1"/>
  <c r="U288" i="1"/>
  <c r="S288" i="1"/>
  <c r="Q288" i="1"/>
  <c r="O288" i="1"/>
  <c r="M288" i="1"/>
  <c r="U287" i="1"/>
  <c r="S287" i="1"/>
  <c r="Q287" i="1"/>
  <c r="O287" i="1"/>
  <c r="M287" i="1"/>
  <c r="U286" i="1"/>
  <c r="S286" i="1"/>
  <c r="Q286" i="1"/>
  <c r="O286" i="1"/>
  <c r="M286" i="1"/>
  <c r="U285" i="1"/>
  <c r="S285" i="1"/>
  <c r="Q285" i="1"/>
  <c r="O285" i="1"/>
  <c r="M285" i="1"/>
  <c r="U284" i="1"/>
  <c r="S284" i="1"/>
  <c r="Q284" i="1"/>
  <c r="O284" i="1"/>
  <c r="M284" i="1"/>
  <c r="U283" i="1"/>
  <c r="S283" i="1"/>
  <c r="Q283" i="1"/>
  <c r="O283" i="1"/>
  <c r="M283" i="1"/>
  <c r="U282" i="1"/>
  <c r="S282" i="1"/>
  <c r="Q282" i="1"/>
  <c r="O282" i="1"/>
  <c r="M282" i="1"/>
  <c r="U281" i="1"/>
  <c r="S281" i="1"/>
  <c r="Q281" i="1"/>
  <c r="O281" i="1"/>
  <c r="M281" i="1"/>
  <c r="U280" i="1"/>
  <c r="S280" i="1"/>
  <c r="Q280" i="1"/>
  <c r="O280" i="1"/>
  <c r="M280" i="1"/>
  <c r="U279" i="1"/>
  <c r="S279" i="1"/>
  <c r="Q279" i="1"/>
  <c r="O279" i="1"/>
  <c r="M279" i="1"/>
  <c r="U278" i="1"/>
  <c r="S278" i="1"/>
  <c r="Q278" i="1"/>
  <c r="O278" i="1"/>
  <c r="M278" i="1"/>
  <c r="U277" i="1"/>
  <c r="S277" i="1"/>
  <c r="Q277" i="1"/>
  <c r="O277" i="1"/>
  <c r="M277" i="1"/>
  <c r="U276" i="1"/>
  <c r="S276" i="1"/>
  <c r="Q276" i="1"/>
  <c r="O276" i="1"/>
  <c r="M276" i="1"/>
  <c r="U275" i="1"/>
  <c r="S275" i="1"/>
  <c r="Q275" i="1"/>
  <c r="O275" i="1"/>
  <c r="M275" i="1"/>
  <c r="U274" i="1"/>
  <c r="S274" i="1"/>
  <c r="Q274" i="1"/>
  <c r="O274" i="1"/>
  <c r="M274" i="1"/>
  <c r="U273" i="1"/>
  <c r="S273" i="1"/>
  <c r="Q273" i="1"/>
  <c r="O273" i="1"/>
  <c r="M273" i="1"/>
  <c r="U272" i="1"/>
  <c r="S272" i="1"/>
  <c r="Q272" i="1"/>
  <c r="O272" i="1"/>
  <c r="M272" i="1"/>
  <c r="U271" i="1"/>
  <c r="S271" i="1"/>
  <c r="Q271" i="1"/>
  <c r="O271" i="1"/>
  <c r="M271" i="1"/>
  <c r="U270" i="1"/>
  <c r="S270" i="1"/>
  <c r="Q270" i="1"/>
  <c r="O270" i="1"/>
  <c r="M270" i="1"/>
  <c r="U269" i="1"/>
  <c r="S269" i="1"/>
  <c r="Q269" i="1"/>
  <c r="O269" i="1"/>
  <c r="M269" i="1"/>
  <c r="U268" i="1"/>
  <c r="S268" i="1"/>
  <c r="Q268" i="1"/>
  <c r="O268" i="1"/>
  <c r="M268" i="1"/>
  <c r="U267" i="1"/>
  <c r="S267" i="1"/>
  <c r="Q267" i="1"/>
  <c r="O267" i="1"/>
  <c r="M267" i="1"/>
  <c r="U266" i="1"/>
  <c r="S266" i="1"/>
  <c r="Q266" i="1"/>
  <c r="O266" i="1"/>
  <c r="M266" i="1"/>
  <c r="U265" i="1"/>
  <c r="S265" i="1"/>
  <c r="Q265" i="1"/>
  <c r="O265" i="1"/>
  <c r="M265" i="1"/>
  <c r="U264" i="1"/>
  <c r="S264" i="1"/>
  <c r="Q264" i="1"/>
  <c r="O264" i="1"/>
  <c r="M264" i="1"/>
  <c r="U263" i="1"/>
  <c r="S263" i="1"/>
  <c r="Q263" i="1"/>
  <c r="O263" i="1"/>
  <c r="M263" i="1"/>
  <c r="U262" i="1"/>
  <c r="S262" i="1"/>
  <c r="Q262" i="1"/>
  <c r="O262" i="1"/>
  <c r="M262" i="1"/>
  <c r="U261" i="1"/>
  <c r="S261" i="1"/>
  <c r="Q261" i="1"/>
  <c r="O261" i="1"/>
  <c r="M261" i="1"/>
  <c r="U260" i="1"/>
  <c r="S260" i="1"/>
  <c r="Q260" i="1"/>
  <c r="O260" i="1"/>
  <c r="M260" i="1"/>
  <c r="U259" i="1"/>
  <c r="S259" i="1"/>
  <c r="Q259" i="1"/>
  <c r="O259" i="1"/>
  <c r="M259" i="1"/>
  <c r="U258" i="1"/>
  <c r="S258" i="1"/>
  <c r="Q258" i="1"/>
  <c r="O258" i="1"/>
  <c r="M258" i="1"/>
  <c r="U257" i="1"/>
  <c r="S257" i="1"/>
  <c r="Q257" i="1"/>
  <c r="O257" i="1"/>
  <c r="M257" i="1"/>
  <c r="U256" i="1"/>
  <c r="S256" i="1"/>
  <c r="Q256" i="1"/>
  <c r="O256" i="1"/>
  <c r="M256" i="1"/>
  <c r="U255" i="1"/>
  <c r="S255" i="1"/>
  <c r="Q255" i="1"/>
  <c r="O255" i="1"/>
  <c r="M255" i="1"/>
  <c r="U254" i="1"/>
  <c r="S254" i="1"/>
  <c r="Q254" i="1"/>
  <c r="O254" i="1"/>
  <c r="M254" i="1"/>
  <c r="U253" i="1"/>
  <c r="S253" i="1"/>
  <c r="Q253" i="1"/>
  <c r="O253" i="1"/>
  <c r="M253" i="1"/>
  <c r="U252" i="1"/>
  <c r="S252" i="1"/>
  <c r="Q252" i="1"/>
  <c r="O252" i="1"/>
  <c r="M252" i="1"/>
  <c r="U251" i="1"/>
  <c r="S251" i="1"/>
  <c r="Q251" i="1"/>
  <c r="O251" i="1"/>
  <c r="M251" i="1"/>
  <c r="U250" i="1"/>
  <c r="S250" i="1"/>
  <c r="Q250" i="1"/>
  <c r="O250" i="1"/>
  <c r="M250" i="1"/>
  <c r="U249" i="1"/>
  <c r="S249" i="1"/>
  <c r="Q249" i="1"/>
  <c r="O249" i="1"/>
  <c r="M249" i="1"/>
  <c r="U248" i="1"/>
  <c r="S248" i="1"/>
  <c r="Q248" i="1"/>
  <c r="O248" i="1"/>
  <c r="M248" i="1"/>
  <c r="U247" i="1"/>
  <c r="S247" i="1"/>
  <c r="Q247" i="1"/>
  <c r="O247" i="1"/>
  <c r="M247" i="1"/>
  <c r="U246" i="1"/>
  <c r="S246" i="1"/>
  <c r="Q246" i="1"/>
  <c r="O246" i="1"/>
  <c r="M246" i="1"/>
  <c r="U245" i="1"/>
  <c r="S245" i="1"/>
  <c r="Q245" i="1"/>
  <c r="O245" i="1"/>
  <c r="M245" i="1"/>
  <c r="U244" i="1"/>
  <c r="S244" i="1"/>
  <c r="Q244" i="1"/>
  <c r="O244" i="1"/>
  <c r="M244" i="1"/>
  <c r="U243" i="1"/>
  <c r="S243" i="1"/>
  <c r="Q243" i="1"/>
  <c r="O243" i="1"/>
  <c r="M243" i="1"/>
  <c r="U242" i="1"/>
  <c r="S242" i="1"/>
  <c r="Q242" i="1"/>
  <c r="O242" i="1"/>
  <c r="M242" i="1"/>
  <c r="U241" i="1"/>
  <c r="S241" i="1"/>
  <c r="Q241" i="1"/>
  <c r="O241" i="1"/>
  <c r="M241" i="1"/>
  <c r="U240" i="1"/>
  <c r="S240" i="1"/>
  <c r="Q240" i="1"/>
  <c r="O240" i="1"/>
  <c r="M240" i="1"/>
  <c r="U239" i="1"/>
  <c r="S239" i="1"/>
  <c r="Q239" i="1"/>
  <c r="O239" i="1"/>
  <c r="M239" i="1"/>
  <c r="U238" i="1"/>
  <c r="S238" i="1"/>
  <c r="Q238" i="1"/>
  <c r="O238" i="1"/>
  <c r="M238" i="1"/>
  <c r="U237" i="1"/>
  <c r="S237" i="1"/>
  <c r="Q237" i="1"/>
  <c r="O237" i="1"/>
  <c r="M237" i="1"/>
  <c r="U236" i="1"/>
  <c r="S236" i="1"/>
  <c r="Q236" i="1"/>
  <c r="O236" i="1"/>
  <c r="M236" i="1"/>
  <c r="U235" i="1"/>
  <c r="S235" i="1"/>
  <c r="Q235" i="1"/>
  <c r="O235" i="1"/>
  <c r="M235" i="1"/>
  <c r="U234" i="1"/>
  <c r="S234" i="1"/>
  <c r="Q234" i="1"/>
  <c r="O234" i="1"/>
  <c r="M234" i="1"/>
  <c r="U233" i="1"/>
  <c r="S233" i="1"/>
  <c r="Q233" i="1"/>
  <c r="O233" i="1"/>
  <c r="M233" i="1"/>
  <c r="U232" i="1"/>
  <c r="S232" i="1"/>
  <c r="Q232" i="1"/>
  <c r="O232" i="1"/>
  <c r="M232" i="1"/>
  <c r="U231" i="1"/>
  <c r="S231" i="1"/>
  <c r="Q231" i="1"/>
  <c r="O231" i="1"/>
  <c r="M231" i="1"/>
  <c r="U230" i="1"/>
  <c r="S230" i="1"/>
  <c r="Q230" i="1"/>
  <c r="O230" i="1"/>
  <c r="M230" i="1"/>
  <c r="U229" i="1"/>
  <c r="S229" i="1"/>
  <c r="Q229" i="1"/>
  <c r="O229" i="1"/>
  <c r="M229" i="1"/>
  <c r="U228" i="1"/>
  <c r="S228" i="1"/>
  <c r="Q228" i="1"/>
  <c r="O228" i="1"/>
  <c r="M228" i="1"/>
  <c r="U227" i="1"/>
  <c r="S227" i="1"/>
  <c r="Q227" i="1"/>
  <c r="O227" i="1"/>
  <c r="M227" i="1"/>
  <c r="U226" i="1"/>
  <c r="S226" i="1"/>
  <c r="Q226" i="1"/>
  <c r="O226" i="1"/>
  <c r="M226" i="1"/>
  <c r="U225" i="1"/>
  <c r="S225" i="1"/>
  <c r="Q225" i="1"/>
  <c r="O225" i="1"/>
  <c r="M225" i="1"/>
  <c r="U224" i="1"/>
  <c r="S224" i="1"/>
  <c r="Q224" i="1"/>
  <c r="O224" i="1"/>
  <c r="M224" i="1"/>
  <c r="U223" i="1"/>
  <c r="S223" i="1"/>
  <c r="Q223" i="1"/>
  <c r="O223" i="1"/>
  <c r="M223" i="1"/>
  <c r="U222" i="1"/>
  <c r="S222" i="1"/>
  <c r="Q222" i="1"/>
  <c r="O222" i="1"/>
  <c r="M222" i="1"/>
  <c r="U221" i="1"/>
  <c r="S221" i="1"/>
  <c r="Q221" i="1"/>
  <c r="O221" i="1"/>
  <c r="M221" i="1"/>
  <c r="U220" i="1"/>
  <c r="S220" i="1"/>
  <c r="Q220" i="1"/>
  <c r="O220" i="1"/>
  <c r="M220" i="1"/>
  <c r="U219" i="1"/>
  <c r="S219" i="1"/>
  <c r="Q219" i="1"/>
  <c r="O219" i="1"/>
  <c r="M219" i="1"/>
  <c r="U218" i="1"/>
  <c r="S218" i="1"/>
  <c r="Q218" i="1"/>
  <c r="O218" i="1"/>
  <c r="M218" i="1"/>
  <c r="U217" i="1"/>
  <c r="S217" i="1"/>
  <c r="Q217" i="1"/>
  <c r="O217" i="1"/>
  <c r="M217" i="1"/>
  <c r="U216" i="1"/>
  <c r="S216" i="1"/>
  <c r="Q216" i="1"/>
  <c r="O216" i="1"/>
  <c r="M216" i="1"/>
  <c r="U215" i="1"/>
  <c r="S215" i="1"/>
  <c r="Q215" i="1"/>
  <c r="O215" i="1"/>
  <c r="M215" i="1"/>
  <c r="U214" i="1"/>
  <c r="S214" i="1"/>
  <c r="Q214" i="1"/>
  <c r="O214" i="1"/>
  <c r="M214" i="1"/>
  <c r="U213" i="1"/>
  <c r="S213" i="1"/>
  <c r="Q213" i="1"/>
  <c r="O213" i="1"/>
  <c r="M213" i="1"/>
  <c r="U212" i="1"/>
  <c r="S212" i="1"/>
  <c r="Q212" i="1"/>
  <c r="O212" i="1"/>
  <c r="M212" i="1"/>
  <c r="U211" i="1"/>
  <c r="S211" i="1"/>
  <c r="Q211" i="1"/>
  <c r="O211" i="1"/>
  <c r="M211" i="1"/>
  <c r="U210" i="1"/>
  <c r="S210" i="1"/>
  <c r="Q210" i="1"/>
  <c r="O210" i="1"/>
  <c r="M210" i="1"/>
  <c r="U209" i="1"/>
  <c r="S209" i="1"/>
  <c r="Q209" i="1"/>
  <c r="O209" i="1"/>
  <c r="M209" i="1"/>
  <c r="U208" i="1"/>
  <c r="S208" i="1"/>
  <c r="Q208" i="1"/>
  <c r="O208" i="1"/>
  <c r="M208" i="1"/>
  <c r="U207" i="1"/>
  <c r="S207" i="1"/>
  <c r="Q207" i="1"/>
  <c r="O207" i="1"/>
  <c r="M207" i="1"/>
  <c r="U206" i="1"/>
  <c r="S206" i="1"/>
  <c r="Q206" i="1"/>
  <c r="O206" i="1"/>
  <c r="M206" i="1"/>
  <c r="U205" i="1"/>
  <c r="S205" i="1"/>
  <c r="Q205" i="1"/>
  <c r="O205" i="1"/>
  <c r="M205" i="1"/>
  <c r="U204" i="1"/>
  <c r="S204" i="1"/>
  <c r="Q204" i="1"/>
  <c r="O204" i="1"/>
  <c r="M204" i="1"/>
  <c r="U203" i="1"/>
  <c r="S203" i="1"/>
  <c r="Q203" i="1"/>
  <c r="O203" i="1"/>
  <c r="M203" i="1"/>
  <c r="U202" i="1"/>
  <c r="S202" i="1"/>
  <c r="Q202" i="1"/>
  <c r="O202" i="1"/>
  <c r="M202" i="1"/>
  <c r="U201" i="1"/>
  <c r="S201" i="1"/>
  <c r="Q201" i="1"/>
  <c r="O201" i="1"/>
  <c r="M201" i="1"/>
  <c r="U200" i="1"/>
  <c r="S200" i="1"/>
  <c r="Q200" i="1"/>
  <c r="O200" i="1"/>
  <c r="M200" i="1"/>
  <c r="U199" i="1"/>
  <c r="S199" i="1"/>
  <c r="Q199" i="1"/>
  <c r="O199" i="1"/>
  <c r="M199" i="1"/>
  <c r="U198" i="1"/>
  <c r="S198" i="1"/>
  <c r="Q198" i="1"/>
  <c r="O198" i="1"/>
  <c r="M198" i="1"/>
  <c r="U197" i="1"/>
  <c r="S197" i="1"/>
  <c r="Q197" i="1"/>
  <c r="O197" i="1"/>
  <c r="M197" i="1"/>
  <c r="U196" i="1"/>
  <c r="S196" i="1"/>
  <c r="Q196" i="1"/>
  <c r="O196" i="1"/>
  <c r="M196" i="1"/>
  <c r="U195" i="1"/>
  <c r="S195" i="1"/>
  <c r="Q195" i="1"/>
  <c r="O195" i="1"/>
  <c r="M195" i="1"/>
  <c r="U194" i="1"/>
  <c r="S194" i="1"/>
  <c r="Q194" i="1"/>
  <c r="O194" i="1"/>
  <c r="M194" i="1"/>
  <c r="U193" i="1"/>
  <c r="S193" i="1"/>
  <c r="Q193" i="1"/>
  <c r="O193" i="1"/>
  <c r="M193" i="1"/>
  <c r="U192" i="1"/>
  <c r="S192" i="1"/>
  <c r="Q192" i="1"/>
  <c r="O192" i="1"/>
  <c r="M192" i="1"/>
  <c r="U191" i="1"/>
  <c r="S191" i="1"/>
  <c r="Q191" i="1"/>
  <c r="O191" i="1"/>
  <c r="M191" i="1"/>
  <c r="U190" i="1"/>
  <c r="S190" i="1"/>
  <c r="Q190" i="1"/>
  <c r="O190" i="1"/>
  <c r="M190" i="1"/>
  <c r="U189" i="1"/>
  <c r="S189" i="1"/>
  <c r="Q189" i="1"/>
  <c r="O189" i="1"/>
  <c r="M189" i="1"/>
  <c r="U188" i="1"/>
  <c r="S188" i="1"/>
  <c r="Q188" i="1"/>
  <c r="O188" i="1"/>
  <c r="M188" i="1"/>
  <c r="U187" i="1"/>
  <c r="S187" i="1"/>
  <c r="Q187" i="1"/>
  <c r="O187" i="1"/>
  <c r="M187" i="1"/>
  <c r="U186" i="1"/>
  <c r="S186" i="1"/>
  <c r="Q186" i="1"/>
  <c r="O186" i="1"/>
  <c r="M186" i="1"/>
  <c r="U185" i="1"/>
  <c r="S185" i="1"/>
  <c r="Q185" i="1"/>
  <c r="O185" i="1"/>
  <c r="M185" i="1"/>
  <c r="U184" i="1"/>
  <c r="S184" i="1"/>
  <c r="Q184" i="1"/>
  <c r="O184" i="1"/>
  <c r="M184" i="1"/>
  <c r="U183" i="1"/>
  <c r="S183" i="1"/>
  <c r="Q183" i="1"/>
  <c r="O183" i="1"/>
  <c r="M183" i="1"/>
  <c r="U182" i="1"/>
  <c r="S182" i="1"/>
  <c r="Q182" i="1"/>
  <c r="O182" i="1"/>
  <c r="M182" i="1"/>
  <c r="U181" i="1"/>
  <c r="S181" i="1"/>
  <c r="Q181" i="1"/>
  <c r="O181" i="1"/>
  <c r="M181" i="1"/>
  <c r="U180" i="1"/>
  <c r="S180" i="1"/>
  <c r="Q180" i="1"/>
  <c r="O180" i="1"/>
  <c r="M180" i="1"/>
  <c r="U179" i="1"/>
  <c r="S179" i="1"/>
  <c r="Q179" i="1"/>
  <c r="O179" i="1"/>
  <c r="M179" i="1"/>
  <c r="U178" i="1"/>
  <c r="S178" i="1"/>
  <c r="Q178" i="1"/>
  <c r="O178" i="1"/>
  <c r="M178" i="1"/>
  <c r="U177" i="1"/>
  <c r="S177" i="1"/>
  <c r="Q177" i="1"/>
  <c r="O177" i="1"/>
  <c r="M177" i="1"/>
  <c r="U176" i="1"/>
  <c r="S176" i="1"/>
  <c r="Q176" i="1"/>
  <c r="O176" i="1"/>
  <c r="M176" i="1"/>
  <c r="U175" i="1"/>
  <c r="S175" i="1"/>
  <c r="Q175" i="1"/>
  <c r="O175" i="1"/>
  <c r="M175" i="1"/>
  <c r="U174" i="1"/>
  <c r="S174" i="1"/>
  <c r="Q174" i="1"/>
  <c r="O174" i="1"/>
  <c r="M174" i="1"/>
  <c r="U173" i="1"/>
  <c r="S173" i="1"/>
  <c r="Q173" i="1"/>
  <c r="O173" i="1"/>
  <c r="M173" i="1"/>
  <c r="U172" i="1"/>
  <c r="S172" i="1"/>
  <c r="Q172" i="1"/>
  <c r="O172" i="1"/>
  <c r="M172" i="1"/>
  <c r="U171" i="1"/>
  <c r="S171" i="1"/>
  <c r="Q171" i="1"/>
  <c r="O171" i="1"/>
  <c r="M171" i="1"/>
  <c r="U170" i="1"/>
  <c r="S170" i="1"/>
  <c r="Q170" i="1"/>
  <c r="O170" i="1"/>
  <c r="M170" i="1"/>
  <c r="U169" i="1"/>
  <c r="S169" i="1"/>
  <c r="Q169" i="1"/>
  <c r="O169" i="1"/>
  <c r="M169" i="1"/>
  <c r="U168" i="1"/>
  <c r="S168" i="1"/>
  <c r="Q168" i="1"/>
  <c r="O168" i="1"/>
  <c r="M168" i="1"/>
  <c r="U167" i="1"/>
  <c r="S167" i="1"/>
  <c r="Q167" i="1"/>
  <c r="O167" i="1"/>
  <c r="M167" i="1"/>
  <c r="U166" i="1"/>
  <c r="S166" i="1"/>
  <c r="Q166" i="1"/>
  <c r="O166" i="1"/>
  <c r="M166" i="1"/>
  <c r="U165" i="1"/>
  <c r="S165" i="1"/>
  <c r="Q165" i="1"/>
  <c r="O165" i="1"/>
  <c r="M165" i="1"/>
  <c r="U164" i="1"/>
  <c r="S164" i="1"/>
  <c r="Q164" i="1"/>
  <c r="O164" i="1"/>
  <c r="M164" i="1"/>
  <c r="U163" i="1"/>
  <c r="S163" i="1"/>
  <c r="Q163" i="1"/>
  <c r="O163" i="1"/>
  <c r="M163" i="1"/>
  <c r="U162" i="1"/>
  <c r="S162" i="1"/>
  <c r="Q162" i="1"/>
  <c r="O162" i="1"/>
  <c r="M162" i="1"/>
  <c r="U161" i="1"/>
  <c r="S161" i="1"/>
  <c r="Q161" i="1"/>
  <c r="O161" i="1"/>
  <c r="M161" i="1"/>
  <c r="U160" i="1"/>
  <c r="S160" i="1"/>
  <c r="Q160" i="1"/>
  <c r="O160" i="1"/>
  <c r="M160" i="1"/>
  <c r="U159" i="1"/>
  <c r="S159" i="1"/>
  <c r="Q159" i="1"/>
  <c r="O159" i="1"/>
  <c r="M159" i="1"/>
  <c r="U158" i="1"/>
  <c r="S158" i="1"/>
  <c r="Q158" i="1"/>
  <c r="O158" i="1"/>
  <c r="M158" i="1"/>
  <c r="U157" i="1"/>
  <c r="S157" i="1"/>
  <c r="Q157" i="1"/>
  <c r="O157" i="1"/>
  <c r="M157" i="1"/>
  <c r="U156" i="1"/>
  <c r="S156" i="1"/>
  <c r="Q156" i="1"/>
  <c r="O156" i="1"/>
  <c r="M156" i="1"/>
  <c r="U155" i="1"/>
  <c r="S155" i="1"/>
  <c r="Q155" i="1"/>
  <c r="O155" i="1"/>
  <c r="M155" i="1"/>
  <c r="U154" i="1"/>
  <c r="S154" i="1"/>
  <c r="Q154" i="1"/>
  <c r="O154" i="1"/>
  <c r="M154" i="1"/>
  <c r="U153" i="1"/>
  <c r="S153" i="1"/>
  <c r="Q153" i="1"/>
  <c r="O153" i="1"/>
  <c r="M153" i="1"/>
  <c r="U152" i="1"/>
  <c r="S152" i="1"/>
  <c r="Q152" i="1"/>
  <c r="O152" i="1"/>
  <c r="M152" i="1"/>
  <c r="U151" i="1"/>
  <c r="S151" i="1"/>
  <c r="Q151" i="1"/>
  <c r="O151" i="1"/>
  <c r="M151" i="1"/>
  <c r="U150" i="1"/>
  <c r="S150" i="1"/>
  <c r="Q150" i="1"/>
  <c r="O150" i="1"/>
  <c r="M150" i="1"/>
  <c r="U149" i="1"/>
  <c r="S149" i="1"/>
  <c r="Q149" i="1"/>
  <c r="O149" i="1"/>
  <c r="M149" i="1"/>
  <c r="U148" i="1"/>
  <c r="S148" i="1"/>
  <c r="Q148" i="1"/>
  <c r="O148" i="1"/>
  <c r="M148" i="1"/>
  <c r="U147" i="1"/>
  <c r="S147" i="1"/>
  <c r="Q147" i="1"/>
  <c r="O147" i="1"/>
  <c r="M147" i="1"/>
  <c r="U146" i="1"/>
  <c r="S146" i="1"/>
  <c r="Q146" i="1"/>
  <c r="O146" i="1"/>
  <c r="M146" i="1"/>
  <c r="U145" i="1"/>
  <c r="S145" i="1"/>
  <c r="Q145" i="1"/>
  <c r="O145" i="1"/>
  <c r="M145" i="1"/>
  <c r="U144" i="1"/>
  <c r="S144" i="1"/>
  <c r="Q144" i="1"/>
  <c r="O144" i="1"/>
  <c r="M144" i="1"/>
  <c r="U143" i="1"/>
  <c r="S143" i="1"/>
  <c r="Q143" i="1"/>
  <c r="O143" i="1"/>
  <c r="M143" i="1"/>
  <c r="U142" i="1"/>
  <c r="S142" i="1"/>
  <c r="Q142" i="1"/>
  <c r="O142" i="1"/>
  <c r="M142" i="1"/>
  <c r="U141" i="1"/>
  <c r="S141" i="1"/>
  <c r="Q141" i="1"/>
  <c r="O141" i="1"/>
  <c r="M141" i="1"/>
  <c r="U140" i="1"/>
  <c r="S140" i="1"/>
  <c r="Q140" i="1"/>
  <c r="O140" i="1"/>
  <c r="M140" i="1"/>
  <c r="U139" i="1"/>
  <c r="S139" i="1"/>
  <c r="Q139" i="1"/>
  <c r="O139" i="1"/>
  <c r="M139" i="1"/>
  <c r="U138" i="1"/>
  <c r="S138" i="1"/>
  <c r="Q138" i="1"/>
  <c r="O138" i="1"/>
  <c r="M138" i="1"/>
  <c r="U137" i="1"/>
  <c r="S137" i="1"/>
  <c r="Q137" i="1"/>
  <c r="O137" i="1"/>
  <c r="M137" i="1"/>
  <c r="U136" i="1"/>
  <c r="S136" i="1"/>
  <c r="Q136" i="1"/>
  <c r="O136" i="1"/>
  <c r="M136" i="1"/>
  <c r="U135" i="1"/>
  <c r="S135" i="1"/>
  <c r="Q135" i="1"/>
  <c r="O135" i="1"/>
  <c r="M135" i="1"/>
  <c r="U134" i="1"/>
  <c r="S134" i="1"/>
  <c r="Q134" i="1"/>
  <c r="O134" i="1"/>
  <c r="M134" i="1"/>
  <c r="U133" i="1"/>
  <c r="S133" i="1"/>
  <c r="Q133" i="1"/>
  <c r="O133" i="1"/>
  <c r="M133" i="1"/>
  <c r="U132" i="1"/>
  <c r="S132" i="1"/>
  <c r="Q132" i="1"/>
  <c r="O132" i="1"/>
  <c r="M132" i="1"/>
  <c r="U131" i="1"/>
  <c r="S131" i="1"/>
  <c r="Q131" i="1"/>
  <c r="O131" i="1"/>
  <c r="M131" i="1"/>
  <c r="U130" i="1"/>
  <c r="S130" i="1"/>
  <c r="Q130" i="1"/>
  <c r="O130" i="1"/>
  <c r="M130" i="1"/>
  <c r="U129" i="1"/>
  <c r="S129" i="1"/>
  <c r="Q129" i="1"/>
  <c r="O129" i="1"/>
  <c r="M129" i="1"/>
  <c r="U128" i="1"/>
  <c r="S128" i="1"/>
  <c r="Q128" i="1"/>
  <c r="O128" i="1"/>
  <c r="M128" i="1"/>
  <c r="U127" i="1"/>
  <c r="S127" i="1"/>
  <c r="Q127" i="1"/>
  <c r="O127" i="1"/>
  <c r="M127" i="1"/>
  <c r="U126" i="1"/>
  <c r="S126" i="1"/>
  <c r="Q126" i="1"/>
  <c r="O126" i="1"/>
  <c r="M126" i="1"/>
  <c r="U125" i="1"/>
  <c r="S125" i="1"/>
  <c r="Q125" i="1"/>
  <c r="O125" i="1"/>
  <c r="M125" i="1"/>
  <c r="U124" i="1"/>
  <c r="S124" i="1"/>
  <c r="Q124" i="1"/>
  <c r="O124" i="1"/>
  <c r="M124" i="1"/>
  <c r="U123" i="1"/>
  <c r="S123" i="1"/>
  <c r="Q123" i="1"/>
  <c r="O123" i="1"/>
  <c r="M123" i="1"/>
  <c r="U122" i="1"/>
  <c r="S122" i="1"/>
  <c r="Q122" i="1"/>
  <c r="O122" i="1"/>
  <c r="M122" i="1"/>
  <c r="U121" i="1"/>
  <c r="S121" i="1"/>
  <c r="Q121" i="1"/>
  <c r="O121" i="1"/>
  <c r="M121" i="1"/>
  <c r="U120" i="1"/>
  <c r="S120" i="1"/>
  <c r="Q120" i="1"/>
  <c r="O120" i="1"/>
  <c r="M120" i="1"/>
  <c r="U119" i="1"/>
  <c r="S119" i="1"/>
  <c r="Q119" i="1"/>
  <c r="O119" i="1"/>
  <c r="M119" i="1"/>
  <c r="U118" i="1"/>
  <c r="S118" i="1"/>
  <c r="Q118" i="1"/>
  <c r="O118" i="1"/>
  <c r="M118" i="1"/>
  <c r="U117" i="1"/>
  <c r="S117" i="1"/>
  <c r="Q117" i="1"/>
  <c r="O117" i="1"/>
  <c r="M117" i="1"/>
  <c r="U116" i="1"/>
  <c r="S116" i="1"/>
  <c r="Q116" i="1"/>
  <c r="O116" i="1"/>
  <c r="M116" i="1"/>
  <c r="U115" i="1"/>
  <c r="S115" i="1"/>
  <c r="Q115" i="1"/>
  <c r="O115" i="1"/>
  <c r="M115" i="1"/>
  <c r="U114" i="1"/>
  <c r="S114" i="1"/>
  <c r="Q114" i="1"/>
  <c r="O114" i="1"/>
  <c r="M114" i="1"/>
  <c r="U113" i="1"/>
  <c r="S113" i="1"/>
  <c r="Q113" i="1"/>
  <c r="O113" i="1"/>
  <c r="M113" i="1"/>
  <c r="U112" i="1"/>
  <c r="S112" i="1"/>
  <c r="Q112" i="1"/>
  <c r="O112" i="1"/>
  <c r="M112" i="1"/>
  <c r="U111" i="1"/>
  <c r="S111" i="1"/>
  <c r="Q111" i="1"/>
  <c r="O111" i="1"/>
  <c r="M111" i="1"/>
  <c r="U110" i="1"/>
  <c r="S110" i="1"/>
  <c r="Q110" i="1"/>
  <c r="O110" i="1"/>
  <c r="M110" i="1"/>
  <c r="U109" i="1"/>
  <c r="S109" i="1"/>
  <c r="Q109" i="1"/>
  <c r="O109" i="1"/>
  <c r="M109" i="1"/>
  <c r="U108" i="1"/>
  <c r="S108" i="1"/>
  <c r="Q108" i="1"/>
  <c r="O108" i="1"/>
  <c r="M108" i="1"/>
  <c r="U107" i="1"/>
  <c r="S107" i="1"/>
  <c r="Q107" i="1"/>
  <c r="O107" i="1"/>
  <c r="M107" i="1"/>
  <c r="U106" i="1"/>
  <c r="S106" i="1"/>
  <c r="Q106" i="1"/>
  <c r="O106" i="1"/>
  <c r="M106" i="1"/>
  <c r="U105" i="1"/>
  <c r="S105" i="1"/>
  <c r="Q105" i="1"/>
  <c r="O105" i="1"/>
  <c r="M105" i="1"/>
  <c r="U104" i="1"/>
  <c r="S104" i="1"/>
  <c r="Q104" i="1"/>
  <c r="O104" i="1"/>
  <c r="M104" i="1"/>
  <c r="U103" i="1"/>
  <c r="S103" i="1"/>
  <c r="Q103" i="1"/>
  <c r="O103" i="1"/>
  <c r="M103" i="1"/>
  <c r="U102" i="1"/>
  <c r="S102" i="1"/>
  <c r="Q102" i="1"/>
  <c r="O102" i="1"/>
  <c r="M102" i="1"/>
  <c r="U101" i="1"/>
  <c r="S101" i="1"/>
  <c r="Q101" i="1"/>
  <c r="O101" i="1"/>
  <c r="M101" i="1"/>
  <c r="U100" i="1"/>
  <c r="S100" i="1"/>
  <c r="Q100" i="1"/>
  <c r="O100" i="1"/>
  <c r="M100" i="1"/>
  <c r="U99" i="1"/>
  <c r="S99" i="1"/>
  <c r="Q99" i="1"/>
  <c r="O99" i="1"/>
  <c r="M99" i="1"/>
  <c r="U98" i="1"/>
  <c r="S98" i="1"/>
  <c r="Q98" i="1"/>
  <c r="O98" i="1"/>
  <c r="M98" i="1"/>
  <c r="U97" i="1"/>
  <c r="S97" i="1"/>
  <c r="Q97" i="1"/>
  <c r="O97" i="1"/>
  <c r="M97" i="1"/>
  <c r="U96" i="1"/>
  <c r="S96" i="1"/>
  <c r="Q96" i="1"/>
  <c r="O96" i="1"/>
  <c r="M96" i="1"/>
  <c r="U95" i="1"/>
  <c r="S95" i="1"/>
  <c r="Q95" i="1"/>
  <c r="O95" i="1"/>
  <c r="M95" i="1"/>
  <c r="U94" i="1"/>
  <c r="S94" i="1"/>
  <c r="Q94" i="1"/>
  <c r="O94" i="1"/>
  <c r="M94" i="1"/>
  <c r="U93" i="1"/>
  <c r="S93" i="1"/>
  <c r="Q93" i="1"/>
  <c r="O93" i="1"/>
  <c r="M93" i="1"/>
  <c r="U92" i="1"/>
  <c r="S92" i="1"/>
  <c r="Q92" i="1"/>
  <c r="O92" i="1"/>
  <c r="M92" i="1"/>
  <c r="U91" i="1"/>
  <c r="S91" i="1"/>
  <c r="Q91" i="1"/>
  <c r="O91" i="1"/>
  <c r="M91" i="1"/>
  <c r="U90" i="1"/>
  <c r="S90" i="1"/>
  <c r="Q90" i="1"/>
  <c r="O90" i="1"/>
  <c r="M90" i="1"/>
  <c r="U89" i="1"/>
  <c r="S89" i="1"/>
  <c r="Q89" i="1"/>
  <c r="O89" i="1"/>
  <c r="M89" i="1"/>
  <c r="U88" i="1"/>
  <c r="S88" i="1"/>
  <c r="Q88" i="1"/>
  <c r="O88" i="1"/>
  <c r="M88" i="1"/>
  <c r="U87" i="1"/>
  <c r="S87" i="1"/>
  <c r="Q87" i="1"/>
  <c r="O87" i="1"/>
  <c r="M87" i="1"/>
  <c r="U86" i="1"/>
  <c r="S86" i="1"/>
  <c r="Q86" i="1"/>
  <c r="O86" i="1"/>
  <c r="M86" i="1"/>
  <c r="U85" i="1"/>
  <c r="S85" i="1"/>
  <c r="Q85" i="1"/>
  <c r="O85" i="1"/>
  <c r="M85" i="1"/>
  <c r="U84" i="1"/>
  <c r="S84" i="1"/>
  <c r="Q84" i="1"/>
  <c r="O84" i="1"/>
  <c r="M84" i="1"/>
  <c r="U83" i="1"/>
  <c r="S83" i="1"/>
  <c r="Q83" i="1"/>
  <c r="O83" i="1"/>
  <c r="M83" i="1"/>
  <c r="U82" i="1"/>
  <c r="S82" i="1"/>
  <c r="Q82" i="1"/>
  <c r="O82" i="1"/>
  <c r="M82" i="1"/>
  <c r="U81" i="1"/>
  <c r="S81" i="1"/>
  <c r="Q81" i="1"/>
  <c r="O81" i="1"/>
  <c r="M81" i="1"/>
  <c r="U80" i="1"/>
  <c r="S80" i="1"/>
  <c r="Q80" i="1"/>
  <c r="O80" i="1"/>
  <c r="M80" i="1"/>
  <c r="U79" i="1"/>
  <c r="S79" i="1"/>
  <c r="Q79" i="1"/>
  <c r="O79" i="1"/>
  <c r="M79" i="1"/>
  <c r="U78" i="1"/>
  <c r="S78" i="1"/>
  <c r="Q78" i="1"/>
  <c r="O78" i="1"/>
  <c r="M78" i="1"/>
  <c r="U77" i="1"/>
  <c r="S77" i="1"/>
  <c r="Q77" i="1"/>
  <c r="O77" i="1"/>
  <c r="M77" i="1"/>
  <c r="U76" i="1"/>
  <c r="S76" i="1"/>
  <c r="Q76" i="1"/>
  <c r="O76" i="1"/>
  <c r="M76" i="1"/>
  <c r="U75" i="1"/>
  <c r="S75" i="1"/>
  <c r="Q75" i="1"/>
  <c r="O75" i="1"/>
  <c r="M75" i="1"/>
  <c r="U74" i="1"/>
  <c r="S74" i="1"/>
  <c r="Q74" i="1"/>
  <c r="O74" i="1"/>
  <c r="M74" i="1"/>
  <c r="U73" i="1"/>
  <c r="S73" i="1"/>
  <c r="Q73" i="1"/>
  <c r="O73" i="1"/>
  <c r="M73" i="1"/>
  <c r="U72" i="1"/>
  <c r="S72" i="1"/>
  <c r="Q72" i="1"/>
  <c r="O72" i="1"/>
  <c r="M72" i="1"/>
  <c r="U71" i="1"/>
  <c r="S71" i="1"/>
  <c r="Q71" i="1"/>
  <c r="O71" i="1"/>
  <c r="M71" i="1"/>
  <c r="U70" i="1"/>
  <c r="S70" i="1"/>
  <c r="Q70" i="1"/>
  <c r="O70" i="1"/>
  <c r="M70" i="1"/>
  <c r="U69" i="1"/>
  <c r="S69" i="1"/>
  <c r="Q69" i="1"/>
  <c r="O69" i="1"/>
  <c r="M69" i="1"/>
  <c r="U68" i="1"/>
  <c r="S68" i="1"/>
  <c r="Q68" i="1"/>
  <c r="O68" i="1"/>
  <c r="M68" i="1"/>
  <c r="U67" i="1"/>
  <c r="S67" i="1"/>
  <c r="Q67" i="1"/>
  <c r="O67" i="1"/>
  <c r="M67" i="1"/>
  <c r="U66" i="1"/>
  <c r="S66" i="1"/>
  <c r="Q66" i="1"/>
  <c r="O66" i="1"/>
  <c r="M66" i="1"/>
  <c r="U65" i="1"/>
  <c r="S65" i="1"/>
  <c r="Q65" i="1"/>
  <c r="O65" i="1"/>
  <c r="M65" i="1"/>
  <c r="U64" i="1"/>
  <c r="S64" i="1"/>
  <c r="Q64" i="1"/>
  <c r="O64" i="1"/>
  <c r="M64" i="1"/>
  <c r="U63" i="1"/>
  <c r="S63" i="1"/>
  <c r="Q63" i="1"/>
  <c r="O63" i="1"/>
  <c r="M63" i="1"/>
  <c r="U62" i="1"/>
  <c r="S62" i="1"/>
  <c r="Q62" i="1"/>
  <c r="O62" i="1"/>
  <c r="M62" i="1"/>
  <c r="U61" i="1"/>
  <c r="S61" i="1"/>
  <c r="Q61" i="1"/>
  <c r="O61" i="1"/>
  <c r="M61" i="1"/>
  <c r="U60" i="1"/>
  <c r="S60" i="1"/>
  <c r="Q60" i="1"/>
  <c r="O60" i="1"/>
  <c r="M60" i="1"/>
  <c r="U59" i="1"/>
  <c r="S59" i="1"/>
  <c r="Q59" i="1"/>
  <c r="O59" i="1"/>
  <c r="M59" i="1"/>
  <c r="U58" i="1"/>
  <c r="S58" i="1"/>
  <c r="Q58" i="1"/>
  <c r="O58" i="1"/>
  <c r="M58" i="1"/>
  <c r="U57" i="1"/>
  <c r="S57" i="1"/>
  <c r="Q57" i="1"/>
  <c r="O57" i="1"/>
  <c r="M57" i="1"/>
  <c r="U56" i="1"/>
  <c r="S56" i="1"/>
  <c r="Q56" i="1"/>
  <c r="O56" i="1"/>
  <c r="M56" i="1"/>
  <c r="U55" i="1"/>
  <c r="S55" i="1"/>
  <c r="Q55" i="1"/>
  <c r="O55" i="1"/>
  <c r="M55" i="1"/>
  <c r="U54" i="1"/>
  <c r="S54" i="1"/>
  <c r="Q54" i="1"/>
  <c r="O54" i="1"/>
  <c r="M54" i="1"/>
  <c r="U53" i="1"/>
  <c r="S53" i="1"/>
  <c r="Q53" i="1"/>
  <c r="O53" i="1"/>
  <c r="M53" i="1"/>
  <c r="U52" i="1"/>
  <c r="S52" i="1"/>
  <c r="Q52" i="1"/>
  <c r="O52" i="1"/>
  <c r="M52" i="1"/>
  <c r="U51" i="1"/>
  <c r="S51" i="1"/>
  <c r="Q51" i="1"/>
  <c r="O51" i="1"/>
  <c r="M51" i="1"/>
  <c r="U50" i="1"/>
  <c r="S50" i="1"/>
  <c r="Q50" i="1"/>
  <c r="O50" i="1"/>
  <c r="M50" i="1"/>
  <c r="U49" i="1"/>
  <c r="S49" i="1"/>
  <c r="Q49" i="1"/>
  <c r="O49" i="1"/>
  <c r="M49" i="1"/>
  <c r="U48" i="1"/>
  <c r="S48" i="1"/>
  <c r="Q48" i="1"/>
  <c r="O48" i="1"/>
  <c r="M48" i="1"/>
  <c r="U47" i="1"/>
  <c r="S47" i="1"/>
  <c r="Q47" i="1"/>
  <c r="O47" i="1"/>
  <c r="M47" i="1"/>
  <c r="U46" i="1"/>
  <c r="S46" i="1"/>
  <c r="Q46" i="1"/>
  <c r="O46" i="1"/>
  <c r="M46" i="1"/>
  <c r="U45" i="1"/>
  <c r="S45" i="1"/>
  <c r="Q45" i="1"/>
  <c r="O45" i="1"/>
  <c r="M45" i="1"/>
  <c r="U44" i="1"/>
  <c r="S44" i="1"/>
  <c r="Q44" i="1"/>
  <c r="O44" i="1"/>
  <c r="M44" i="1"/>
  <c r="U43" i="1"/>
  <c r="S43" i="1"/>
  <c r="Q43" i="1"/>
  <c r="O43" i="1"/>
  <c r="M43" i="1"/>
  <c r="U42" i="1"/>
  <c r="S42" i="1"/>
  <c r="Q42" i="1"/>
  <c r="O42" i="1"/>
  <c r="M42" i="1"/>
  <c r="U41" i="1"/>
  <c r="S41" i="1"/>
  <c r="Q41" i="1"/>
  <c r="O41" i="1"/>
  <c r="M41" i="1"/>
  <c r="U40" i="1"/>
  <c r="S40" i="1"/>
  <c r="Q40" i="1"/>
  <c r="O40" i="1"/>
  <c r="M40" i="1"/>
  <c r="U39" i="1"/>
  <c r="S39" i="1"/>
  <c r="Q39" i="1"/>
  <c r="O39" i="1"/>
  <c r="M39" i="1"/>
  <c r="U38" i="1"/>
  <c r="S38" i="1"/>
  <c r="Q38" i="1"/>
  <c r="O38" i="1"/>
  <c r="M38" i="1"/>
  <c r="U37" i="1"/>
  <c r="S37" i="1"/>
  <c r="Q37" i="1"/>
  <c r="O37" i="1"/>
  <c r="M37" i="1"/>
  <c r="U36" i="1"/>
  <c r="S36" i="1"/>
  <c r="Q36" i="1"/>
  <c r="O36" i="1"/>
  <c r="M36" i="1"/>
  <c r="U35" i="1"/>
  <c r="S35" i="1"/>
  <c r="Q35" i="1"/>
  <c r="O35" i="1"/>
  <c r="M35" i="1"/>
  <c r="U34" i="1"/>
  <c r="S34" i="1"/>
  <c r="Q34" i="1"/>
  <c r="O34" i="1"/>
  <c r="M34" i="1"/>
  <c r="U33" i="1"/>
  <c r="S33" i="1"/>
  <c r="Q33" i="1"/>
  <c r="O33" i="1"/>
  <c r="M33" i="1"/>
  <c r="U32" i="1"/>
  <c r="S32" i="1"/>
  <c r="Q32" i="1"/>
  <c r="O32" i="1"/>
  <c r="M32" i="1"/>
  <c r="U31" i="1"/>
  <c r="S31" i="1"/>
  <c r="Q31" i="1"/>
  <c r="O31" i="1"/>
  <c r="M31" i="1"/>
  <c r="U30" i="1"/>
  <c r="S30" i="1"/>
  <c r="Q30" i="1"/>
  <c r="O30" i="1"/>
  <c r="M30" i="1"/>
  <c r="U29" i="1"/>
  <c r="S29" i="1"/>
  <c r="Q29" i="1"/>
  <c r="O29" i="1"/>
  <c r="M29" i="1"/>
  <c r="U28" i="1"/>
  <c r="S28" i="1"/>
  <c r="Q28" i="1"/>
  <c r="O28" i="1"/>
  <c r="M28" i="1"/>
  <c r="U27" i="1"/>
  <c r="S27" i="1"/>
  <c r="Q27" i="1"/>
  <c r="O27" i="1"/>
  <c r="M27" i="1"/>
  <c r="U26" i="1"/>
  <c r="S26" i="1"/>
  <c r="Q26" i="1"/>
  <c r="O26" i="1"/>
  <c r="M26" i="1"/>
  <c r="U25" i="1"/>
  <c r="S25" i="1"/>
  <c r="Q25" i="1"/>
  <c r="O25" i="1"/>
  <c r="M25" i="1"/>
  <c r="U24" i="1"/>
  <c r="S24" i="1"/>
  <c r="Q24" i="1"/>
  <c r="O24" i="1"/>
  <c r="M24" i="1"/>
  <c r="U23" i="1"/>
  <c r="S23" i="1"/>
  <c r="Q23" i="1"/>
  <c r="O23" i="1"/>
  <c r="M23" i="1"/>
  <c r="U22" i="1"/>
  <c r="S22" i="1"/>
  <c r="Q22" i="1"/>
  <c r="O22" i="1"/>
  <c r="M22" i="1"/>
  <c r="U21" i="1"/>
  <c r="S21" i="1"/>
  <c r="Q21" i="1"/>
  <c r="O21" i="1"/>
  <c r="M21" i="1"/>
  <c r="U20" i="1"/>
  <c r="S20" i="1"/>
  <c r="Q20" i="1"/>
  <c r="O20" i="1"/>
  <c r="M20" i="1"/>
  <c r="U19" i="1"/>
  <c r="S19" i="1"/>
  <c r="Q19" i="1"/>
  <c r="O19" i="1"/>
  <c r="M19" i="1"/>
  <c r="U18" i="1"/>
  <c r="S18" i="1"/>
  <c r="Q18" i="1"/>
  <c r="O18" i="1"/>
  <c r="M18" i="1"/>
  <c r="U17" i="1"/>
  <c r="S17" i="1"/>
  <c r="Q17" i="1"/>
  <c r="O17" i="1"/>
  <c r="M17" i="1"/>
  <c r="U16" i="1"/>
  <c r="S16" i="1"/>
  <c r="Q16" i="1"/>
  <c r="O16" i="1"/>
  <c r="M16" i="1"/>
  <c r="U15" i="1"/>
  <c r="S15" i="1"/>
  <c r="Q15" i="1"/>
  <c r="O15" i="1"/>
  <c r="M15" i="1"/>
  <c r="U14" i="1"/>
  <c r="S14" i="1"/>
  <c r="Q14" i="1"/>
  <c r="O14" i="1"/>
  <c r="M14" i="1"/>
  <c r="U13" i="1"/>
  <c r="S13" i="1"/>
  <c r="Q13" i="1"/>
  <c r="O13" i="1"/>
  <c r="M13" i="1"/>
  <c r="U12" i="1"/>
  <c r="S12" i="1"/>
  <c r="Q12" i="1"/>
  <c r="O12" i="1"/>
  <c r="M12" i="1"/>
  <c r="U11" i="1"/>
  <c r="S11" i="1"/>
  <c r="Q11" i="1"/>
  <c r="O11" i="1"/>
  <c r="M11" i="1"/>
  <c r="U10" i="1"/>
  <c r="S10" i="1"/>
  <c r="Q10" i="1"/>
  <c r="O10" i="1"/>
  <c r="M10" i="1"/>
  <c r="U9" i="1"/>
  <c r="S9" i="1"/>
  <c r="Q9" i="1"/>
  <c r="O9" i="1"/>
  <c r="M9" i="1"/>
  <c r="U8" i="1"/>
  <c r="S8" i="1"/>
  <c r="Q8" i="1"/>
  <c r="O8" i="1"/>
  <c r="M8" i="1"/>
  <c r="U7" i="1"/>
  <c r="S7" i="1"/>
  <c r="Q7" i="1"/>
  <c r="O7" i="1"/>
  <c r="M7" i="1"/>
  <c r="U6" i="1"/>
  <c r="S6" i="1"/>
  <c r="Q6" i="1"/>
  <c r="O6" i="1"/>
  <c r="M6" i="1"/>
  <c r="U5" i="1"/>
  <c r="S5" i="1"/>
  <c r="Q5" i="1"/>
  <c r="O5" i="1"/>
  <c r="M5" i="1"/>
  <c r="U4" i="1"/>
  <c r="S4" i="1"/>
  <c r="Q4" i="1"/>
  <c r="O4" i="1"/>
  <c r="M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L394" authorId="0" shapeId="0" xr:uid="{00000000-0006-0000-0000-000001000000}">
      <text>
        <r>
          <rPr>
            <sz val="11"/>
            <color theme="1"/>
            <rFont val="Arial"/>
          </rPr>
          <t>======
ID#AAAALA8yOp0
Team J&amp;JOY    (2020-12-30 16:17:49)
Voir quelle version est la bonne avec tirette rose et cordon rayé ou l'autre</t>
        </r>
      </text>
    </comment>
  </commentList>
  <extLst>
    <ext xmlns:r="http://schemas.openxmlformats.org/officeDocument/2006/relationships" uri="GoogleSheetsCustomDataVersion1">
      <go:sheetsCustomData xmlns:go="http://customooxmlschemas.google.com/" r:id="rId1" roundtripDataSignature="AMtx7mjyGvpPbb3iMAIMfXzI1zCNxlzV7A=="/>
    </ext>
  </extLst>
</comments>
</file>

<file path=xl/sharedStrings.xml><?xml version="1.0" encoding="utf-8"?>
<sst xmlns="http://schemas.openxmlformats.org/spreadsheetml/2006/main" count="3997" uniqueCount="1547">
  <si>
    <t>Référence</t>
  </si>
  <si>
    <t xml:space="preserve">Prix B2B </t>
  </si>
  <si>
    <t>Prix BELUX</t>
  </si>
  <si>
    <t>Prix international</t>
  </si>
  <si>
    <t>Catégories</t>
  </si>
  <si>
    <t>Genre</t>
  </si>
  <si>
    <t>Type</t>
  </si>
  <si>
    <t>Nom</t>
  </si>
  <si>
    <t>Distributeur</t>
  </si>
  <si>
    <t>Nom FR</t>
  </si>
  <si>
    <t>Nom NL</t>
  </si>
  <si>
    <t>Cractéristiques FR</t>
  </si>
  <si>
    <t>Caractéristiques NL</t>
  </si>
  <si>
    <t>Texte accroche FR</t>
  </si>
  <si>
    <t>Texte accroche NL</t>
  </si>
  <si>
    <t>Couleur</t>
  </si>
  <si>
    <t>Couleur NL</t>
  </si>
  <si>
    <t>Matières</t>
  </si>
  <si>
    <t>Entretien</t>
  </si>
  <si>
    <t>Entretien NL</t>
  </si>
  <si>
    <t>Tags</t>
  </si>
  <si>
    <t>HOMMES</t>
  </si>
  <si>
    <t>POLO</t>
  </si>
  <si>
    <t>2101MPL01</t>
  </si>
  <si>
    <t>Homme</t>
  </si>
  <si>
    <t>Polo Homme</t>
  </si>
  <si>
    <t>Outback Circles</t>
  </si>
  <si>
    <t>Polo Homme 01 Outback Circles</t>
  </si>
  <si>
    <t xml:space="preserve">
- Coupe droite
- Col polo côtelé avec liseré contrasté
- Rib stylisé dans l'intérieur du col
- Patte de boutonnage à deux boutons
- Manches courtes
- Bas de manches côtelés avec liserés contrastés
- Fentes sur les côtés
- Logo J&amp;JOY gommé sur la manche
</t>
  </si>
  <si>
    <t xml:space="preserve">Avec ses motifs en pointillés inspirés de l'art aborigène australien, ce polo bleu aux détails rouges est votre polo idéal pour cet été. À porter sur un jeans ou un short, il vous donne un style à la fois décontracté et original, sans être tape-à-l’œil.   </t>
  </si>
  <si>
    <t>bleu</t>
  </si>
  <si>
    <t>100% coton</t>
  </si>
  <si>
    <t>Lavage en machine à max 30 °C
Ne pas utiliser de Javel
Ne pas utiliser le sèche-linge
Repassage sur température moyenne
Ne pas nettoyer à sec</t>
  </si>
  <si>
    <t>2101, collection:toute la famille, collection:homme, destination:Outback</t>
  </si>
  <si>
    <t>2101MPL02</t>
  </si>
  <si>
    <t>Outback Deep Blue</t>
  </si>
  <si>
    <t>Polo Homme 02 Outback Deep Blue</t>
  </si>
  <si>
    <t xml:space="preserve">
- Coupe droite
- Col polo côtelé avec liseré contrasté
- Rib stylisé dans l'intérieur du col
- Patte de boutonnage à deux boutons
- Manches courtes
- Bas de manches côtelés avec liserés contrastés
- Fentes sur les côtés
- Logo J&amp;JOY brodé sur la poitrine
- Broderie stylisée dans le dos
</t>
  </si>
  <si>
    <t>Avec un bleu vibrant, des détails rouges et un dessin dans le dos qui invite à découvrir l'Australie, ce polo a tout bon !</t>
  </si>
  <si>
    <t>2101MPL03</t>
  </si>
  <si>
    <t>Outback Blue Kangoo</t>
  </si>
  <si>
    <t>Polo Homme 03 Outback Blue Kangoo</t>
  </si>
  <si>
    <t xml:space="preserve">
- Coupe droite
- Col polo côtelé avec liseré contrasté
- Rib stylisé dans l'intérieur du col
- Patte de boutonnage à deux boutons
- Manches courtes
- Bas de manches côtelés avec liserés contrastés
- Fentes sur les côtés
- Imprimé motif kangourou
- Logo J&amp;JOY brodé sur la poitrine
</t>
  </si>
  <si>
    <t>Bienvenue en Australie ! Avec ce motif triangulaire qui représente les panneaux routiers que l'on croise partout dans le pays des kangourous, on s'imagine déjà en plein road-trip australien !
Enfilez votre polo et bouclez votre ceinture, on part à l'aventure !</t>
  </si>
  <si>
    <t>2101MPL04</t>
  </si>
  <si>
    <t>Outback Fiery Coral</t>
  </si>
  <si>
    <t>Polo Homme 04 Outback Fiery Coral</t>
  </si>
  <si>
    <t xml:space="preserve">
- Coupe droite
- Col polo côtelé avec liseré contrasté
- Rib stylisé dans l'intérieur du col
- Patte de boutonnage à deux boutons
- Manches courtes
- Bas de manches côtelés avec liserés contrastés
- Fentes sur les côtés
- Logo J&amp;JOY gommé sur la poitrine</t>
  </si>
  <si>
    <t xml:space="preserve">Ce rouge corail intense nous rappelle les vastes pleines de l'Outback, l'arrière-pays australien. Porté sur un jeans avec un sweat bleu, ce polo vous donne un look casual chic vitaminé.  </t>
  </si>
  <si>
    <t>orange</t>
  </si>
  <si>
    <t>65% polyester 35% coton</t>
  </si>
  <si>
    <t>2101MPL05</t>
  </si>
  <si>
    <t>Outback Red Sand</t>
  </si>
  <si>
    <t>Polo Homme 05 Outback Red Sand</t>
  </si>
  <si>
    <t xml:space="preserve">
- Coupe droite
- Col polo côtelé avec liseré contrasté
- Rib stylisé dans l'intérieur du col
- Patte de boutonnage à deux boutons
- Manches courtes
- Bas de manches côtelés avec liserés contrastés
- Fentes sur les côtés
- Logo J&amp;JOY brodé sur la poitrine
</t>
  </si>
  <si>
    <t xml:space="preserve">Inspiré des terres terracotta de l'Outback australien, ce polo rouge intense rend hommage à la puissance de la nature. Les détails corail de son col ajoutent la touche finale à une pièce qui boostera vos tenues cette saison. </t>
  </si>
  <si>
    <t>rouge</t>
  </si>
  <si>
    <t>2101MPL06</t>
  </si>
  <si>
    <t>Outback Pink Moon</t>
  </si>
  <si>
    <t>Polo Homme 06 Outback Pink Moon</t>
  </si>
  <si>
    <t xml:space="preserve">C'est LA couleur tendance cette saison : ce rose lilas apporte douceur et originalité à votre tenue. </t>
  </si>
  <si>
    <t>rose</t>
  </si>
  <si>
    <t>2101MPL07</t>
  </si>
  <si>
    <t>Outback Red</t>
  </si>
  <si>
    <t>Polo Homme 07 Outback Red</t>
  </si>
  <si>
    <t xml:space="preserve">
- Coupe droite
- Col polo côtelé avec liseré contrasté
- Rib stylisé dans l'intérieur du col
- Patte de boutonnage à deux boutons
- Manches courtes
- Bas de manches côtelés avec liserés contrastés
- Fentes sur les côtés
- Logo J&amp;JOY brodé sur la poitrine
- Broderie stylisée dans le dos
</t>
  </si>
  <si>
    <t>Ce rouge flamboyant ravive le teint ! Inspiré du monolithe de roche rouge d'Uluru, dans l'arrière-pays australien, ce polo booste vos looks cette saison. Parfait avec un jeans et des sneakers blanches !</t>
  </si>
  <si>
    <t>2101MPL08</t>
  </si>
  <si>
    <t>Outback Bone Brown</t>
  </si>
  <si>
    <t>Polo Homme 08 Outback Bone Brown</t>
  </si>
  <si>
    <t xml:space="preserve">
- Coupe droite
- Col polo côtelé avec liseré contrasté
- Rib stylisé dans l'intérieur du col
- Patte de boutonnage à deux boutons
- Manches courtes
- Bas de manches côtelés avec liserés contrastés
- Fentes sur les côtés
- Logo J&amp;JOY brodé sur la poitrine
</t>
  </si>
  <si>
    <t xml:space="preserve">Ce polo beige avec des détails bleus marine sera la pièce la plus versatile de votre dressing cette saison. Il se marie aussi bien avec un jeans et des baskets blanches pour une soirée barbecue entre amis qu'en version plus chic avec un pantalon chino bleu. </t>
  </si>
  <si>
    <t>beige</t>
  </si>
  <si>
    <t>2101MPL09</t>
  </si>
  <si>
    <t>Outback Navy Leaves</t>
  </si>
  <si>
    <t>Polo Homme 09 Outback Navy Leaves</t>
  </si>
  <si>
    <t xml:space="preserve">
- Coupe droite
- Col polo côtelé avec liseré contrasté
- Rib stylisé dans l'intérieur du col
- Patte de boutonnage à deux boutons
- Manches courtes
- Bas de manches côtelés avec liserés contrastés
- Fentes sur les côtés
- Logo J&amp;JOY sur la poitrine
</t>
  </si>
  <si>
    <t xml:space="preserve">Cet imprimé "feuilles" et son mélange de tons rouges et bleus vous emmènent dans la nature Australienne ! Avec ce polo, à vous le look qui sort du lot !
Le petit + : il est facile à assortir ! Bleu, rouge, brun, beige ou bordeaux... Tout lui va ! </t>
  </si>
  <si>
    <t>2101MPL10</t>
  </si>
  <si>
    <t>Byron Bay Blue</t>
  </si>
  <si>
    <t>Polo Homme 10 Byron Bay Blue</t>
  </si>
  <si>
    <t xml:space="preserve">
- Coupe droite
- Col polo côtelé avec liseré contrasté
- Rib stylisé dans l'intérieur du col
- Patte de boutonnage à deux boutons
- Manches courtes
- Bas de manches côtelés avec liserés contrastés
- Fentes sur les côtés
- Logo J&amp;JOY sur la poitrine
- Broderie stylisée dans le dos
</t>
  </si>
  <si>
    <t>Vous vous imagineriez bien surfer en Australie ? Alors ce polo est pour vous ! 
Avec son bleu pastel et ses détails roses, ce polo est parfait pour une journée plage à Byron Bay. Il ne manque plus que la planche de surf !</t>
  </si>
  <si>
    <t>2101, collection:toute la famille, collection:homme, destination:Byron Bay</t>
  </si>
  <si>
    <t>2101MPL11</t>
  </si>
  <si>
    <t>Byron Bay Surf</t>
  </si>
  <si>
    <t>Polo Homme 11 Byron Bay Surf</t>
  </si>
  <si>
    <t>Des planches de surf et des couleurs pop : avec ce polo, on est prêt pour surfer en Australie ! 
Que ce soit pour twister un look classique ou pour compléter une tenue 100% fun, ce polo coloré est parfait !</t>
  </si>
  <si>
    <t>2101MPL12</t>
  </si>
  <si>
    <t>Byron Bay Pink Stripes</t>
  </si>
  <si>
    <t>Polo Homme 12 Byron Bay Pink Stripes</t>
  </si>
  <si>
    <t xml:space="preserve">Ce polo va vous donner envie de vous balader en bord de mer en Australie ! Ligné rose et blanc, il vous donne un look casual chic frais, parfait pour cet été. </t>
  </si>
  <si>
    <t>2101MPL13</t>
  </si>
  <si>
    <t>Byron Bay Fushia</t>
  </si>
  <si>
    <t>Polo Homme 13 Byron Bay Fushia</t>
  </si>
  <si>
    <t>Un rouge franc et assumé, parfait pour les belles journées d'été ! Avec ce polo et son dessin dans le dos, direction Byron Bay, en Australie, pour une après-midi « surf &amp; chill » à la plage !</t>
  </si>
  <si>
    <t>2101MPL14</t>
  </si>
  <si>
    <t>Byron Bay Stripes</t>
  </si>
  <si>
    <t>Polo Homme 14 Byron Bay Stripes</t>
  </si>
  <si>
    <t xml:space="preserve">Ce polo ligné type marinière est la pièce indémodable dont vous avez besoin pour profiter de l'été. L'alternance de rouge, de bleu clair et de bleu foncé ajoute une dose d'originalité à ce modèle intemporel et vous permet de facilement l'accorder avec toutes vos tenues.  </t>
  </si>
  <si>
    <t>blanc</t>
  </si>
  <si>
    <t>2101MPL15</t>
  </si>
  <si>
    <t>Byron Bay Yellow</t>
  </si>
  <si>
    <t>Polo Homme 15 Byron Bay Yellow</t>
  </si>
  <si>
    <t>Avec son jaune pastel et son dessin dans le dos, ce polo est la pièce indispensable dans le dressing du surfeur australien ! Les touches de bleu foncé sur le col et les manches viennent rehausser le tout pour un look résolument tendance. N'oubliez pas votre planche !</t>
  </si>
  <si>
    <t>jaune</t>
  </si>
  <si>
    <t>2101MPL16</t>
  </si>
  <si>
    <t>Queensland Navy Palm</t>
  </si>
  <si>
    <t>Polo Homme 16 Queensland Navy Palm</t>
  </si>
  <si>
    <t xml:space="preserve">
- Coupe droite
- Col polo côtelé avec liseré contrasté
- Rib stylisé dans l'intérieur du col
- Patte de boutonnage à deux boutons
- Manches courtes
- Bas de manches côtelés avec liserés contrastés
- Fentes sur les côtés
- Logo J&amp;JOY sur la manche</t>
  </si>
  <si>
    <t xml:space="preserve">Un motif « jungle » et des tons verts sur un bleu profond : bienvenue dans la Rain Forest en Australie ! 
Ce polo conviendra à tous ceux qui ont une âme d'aventurier ! 
Le + : le même polo est disponible pour les petits baroudeurs pour des looks père et fils assortis ! </t>
  </si>
  <si>
    <t>2101, collection:toute la famille, collection:homme, destination:Queensland</t>
  </si>
  <si>
    <t>2101MPL17</t>
  </si>
  <si>
    <t>Queensland Sunny Lime</t>
  </si>
  <si>
    <t>Polo Homme 17 Queensland Sunny Lime</t>
  </si>
  <si>
    <t xml:space="preserve">Ce polo vert « lime » amène du peps à toutes vos tenues de cette saison ! Une couleur originale dont on ne se lasse pas ! </t>
  </si>
  <si>
    <t>vert</t>
  </si>
  <si>
    <t>60% coton 40% polyester</t>
  </si>
  <si>
    <t>2101MPL18</t>
  </si>
  <si>
    <t>Queensland Cocktail</t>
  </si>
  <si>
    <t>Polo Homme 18 Queensland Cocktail</t>
  </si>
  <si>
    <t>Bouclez vos valises, ce polo vous emmène sur une île australienne pour profiter de la beauté des paysages et de l'ambiance unique de ce coin du monde ! 
Avec co polo vert d'eau et ces motifs « cocktails », vous amenez le mood positif des vacances dans vos looks cet été !</t>
  </si>
  <si>
    <t>2101MPL19</t>
  </si>
  <si>
    <t>Queensland Khaki</t>
  </si>
  <si>
    <t>Polo Homme 19 Queensland Khaki</t>
  </si>
  <si>
    <t xml:space="preserve">Ce motif graphique évoque les palmiers et vous emmène dans la forêt tropicale australienne. Le gris et le kaki de ce polo sont réhaussés d'un vert lime dans les détails du col et des manches, pour un résultat aussi joli qu'original !  </t>
  </si>
  <si>
    <t>2101MPL20</t>
  </si>
  <si>
    <t>Queensland Leaves</t>
  </si>
  <si>
    <t>Polo Homme 20 Queensland Leaves</t>
  </si>
  <si>
    <t xml:space="preserve">
- Coupe droite
- Col polo côtelé avec liseré contrasté
- Rib stylisé dans l'intérieur du col
- Patte de boutonnage à deux boutons
- Manches courtes
- Bas de manches côtelés avec liserés contrastés
- Fentes sur les côtés
- Logo J&amp;JOY sur la poitrine
</t>
  </si>
  <si>
    <t xml:space="preserve">Cet imprimé 100% jungle réveille les sens de tous les aventuriers !
Apercevrez-vous des marsupiaux cachés dans les feuillages de cette forêt tropicale ? </t>
  </si>
  <si>
    <t>2101MPL21</t>
  </si>
  <si>
    <t>Queensland Navy White</t>
  </si>
  <si>
    <t>Polo Homme 21 Queensland Navy White</t>
  </si>
  <si>
    <t xml:space="preserve">
- Coupe droite
- Col polo côtelé avec liseré contrasté
- Rib stylisé dans l'intérieur du col
- Patte de boutonnage à deux boutons
- Manches courtes
- Bas de manches côtelés avec liserés contrastés
- Fentes sur les côtés
- Logo J&amp;JOY sur la poitrine</t>
  </si>
  <si>
    <t>Un polo assez classique, réhaussé de quelques touches surprenantes de vert lime et de bleu foncé. Il a tout bon, et il vous habille cet été !</t>
  </si>
  <si>
    <t>2101MPL22</t>
  </si>
  <si>
    <t>Queensland Navy Jacquard</t>
  </si>
  <si>
    <t>Polo Homme 22 Queensland Navy Jacquard</t>
  </si>
  <si>
    <t>Une valeur sûre dont vous ne vous en lasserez pas et qui vous habillera tout l'été !</t>
  </si>
  <si>
    <t>2101MPL23</t>
  </si>
  <si>
    <t>Cape Tribulation Orange</t>
  </si>
  <si>
    <t>Polo Homme 23 Cape Tribulation Orange</t>
  </si>
  <si>
    <t xml:space="preserve">
- Coupe droite
- Col polo côtelé avec liseré contrasté
- Rib stylisé dans l'intérieur du col
- Patte de boutonnage à deux boutons
- Manches courtes avec lisérés contrastés
- Bas de manches côtelés avec liserés contrastés
- Fentes sur les côtés
- Logo J&amp;JOY sur la poitrine
</t>
  </si>
  <si>
    <t xml:space="preserve">Un orange vif, des épaules et un col travaillés dans les moindres détails et un dessin dans le dos qui évoque les oiseaux exceptionnels que l'on rencontre à Cape Tribulation... Bienvenue en Australie avec un polo qui fait vibrer votre style ! </t>
  </si>
  <si>
    <t>2101, collection:toute la famille, collection:homme, destination:Cape Tribulation</t>
  </si>
  <si>
    <t>2101MPL24</t>
  </si>
  <si>
    <t>Cape Tribulation Blue</t>
  </si>
  <si>
    <t>Polo Homme 24 Cape Tribulation Blue</t>
  </si>
  <si>
    <t xml:space="preserve">
- Coupe droite
- Col polo côtelé avec liseré contrasté
- Rib stylisé dans l'intérieur du col
- Patte de boutonnage à deux boutons
- Manches courtes
- Bas de manches côtelés avec liserés contrastés
- Fentes sur les côtés
- Logo J&amp;JOY sur la poitrine
- Broderie stylisée dans le dos</t>
  </si>
  <si>
    <t>Véritable valeur sûre, ce polo bleu marine avec des touches camel ne vous fera jamais défaut ! Impossible de s'en lasser !</t>
  </si>
  <si>
    <t>2101MPL25</t>
  </si>
  <si>
    <t>Cape Tribulation Forest</t>
  </si>
  <si>
    <t>Polo Homme 25 Cape Tribulation Forest</t>
  </si>
  <si>
    <t xml:space="preserve">La nature dense et fleurie de Cape Tribulation, en Australie, s'invite sur ce polo pour une dégaine originale, tendance et assumée. C'est LA pièce forte de votre dressing cet été. </t>
  </si>
  <si>
    <t>multicolore</t>
  </si>
  <si>
    <t>2101MPL26</t>
  </si>
  <si>
    <t>Cape Tribulation Koala</t>
  </si>
  <si>
    <t>Polo Homme 26 Cape Tribulation Koala</t>
  </si>
  <si>
    <t xml:space="preserve">Le plus mignon des animaux australiens s'installe sur votre polo. Avec ce motif koala, on vous prévient : il est possible que vos proches aient envie de vous faire un câlin ! </t>
  </si>
  <si>
    <t>2101MPL27</t>
  </si>
  <si>
    <t>Cape Tribulation Parrots</t>
  </si>
  <si>
    <t>Polo Homme 27 Cape Tribulation Parrots</t>
  </si>
  <si>
    <t>De l'orange et un motif d'oiseaux surprenant : ce polo a tout bon et apporte une bonne dose de vitamines à votre dressing !</t>
  </si>
  <si>
    <t>2101MPL28</t>
  </si>
  <si>
    <t>Cape Tribulation White</t>
  </si>
  <si>
    <t>Polo Homme 28 Cape Tribulation White</t>
  </si>
  <si>
    <t>Le polo classique et efficace qui ne vous fera jamais défaut, c'est celui-ci. À porter en toutes circonstances !</t>
  </si>
  <si>
    <t>2101MPL29</t>
  </si>
  <si>
    <t>Cape Tribulation Birds</t>
  </si>
  <si>
    <t>Polo Homme 29 Cape Tribulation Birds</t>
  </si>
  <si>
    <t xml:space="preserve">L'Australie n'a pas que des marsupiaux à vous faire découvrir ! Ce pays exceptionnel est aussi survolé de magnifiques oiseaux colorés. En voici un qui s'est posé sur ce polo bleu foncé.
Une pièce originale et unique, qui colore votre garde-robe. </t>
  </si>
  <si>
    <t>2101MPL30</t>
  </si>
  <si>
    <t>Icon Lime</t>
  </si>
  <si>
    <t>Polo Homme 30 Icon Lime</t>
  </si>
  <si>
    <r>
      <rPr>
        <sz val="12"/>
        <color theme="1"/>
        <rFont val="Work Sans"/>
      </rPr>
      <t xml:space="preserve">
- Coupe </t>
    </r>
    <r>
      <rPr>
        <b/>
        <sz val="12"/>
        <color theme="1"/>
        <rFont val="Work Sans"/>
      </rPr>
      <t>droite</t>
    </r>
    <r>
      <rPr>
        <sz val="12"/>
        <color theme="1"/>
        <rFont val="Work Sans"/>
      </rPr>
      <t xml:space="preserve">
- Col polo côtelé, liséré gris
- </t>
    </r>
    <r>
      <rPr>
        <b/>
        <sz val="12"/>
        <color theme="1"/>
        <rFont val="Work Sans"/>
      </rPr>
      <t>Rib stylisé</t>
    </r>
    <r>
      <rPr>
        <sz val="12"/>
        <color theme="1"/>
        <rFont val="Work Sans"/>
      </rPr>
      <t xml:space="preserve"> dans l'intérieur du col
- Patte de boutonnage à </t>
    </r>
    <r>
      <rPr>
        <b/>
        <sz val="12"/>
        <color theme="1"/>
        <rFont val="Work Sans"/>
      </rPr>
      <t>deux boutons</t>
    </r>
    <r>
      <rPr>
        <sz val="12"/>
        <color theme="1"/>
        <rFont val="Work Sans"/>
      </rPr>
      <t xml:space="preserve">
- Manches </t>
    </r>
    <r>
      <rPr>
        <b/>
        <sz val="12"/>
        <color theme="1"/>
        <rFont val="Work Sans"/>
      </rPr>
      <t xml:space="preserve">courtes
</t>
    </r>
    <r>
      <rPr>
        <sz val="12"/>
        <color theme="1"/>
        <rFont val="Work Sans"/>
      </rPr>
      <t xml:space="preserve">- Bas de manches côtelés, liséré gris
- Fentes sur les côtés
- Logo J&amp;JOY </t>
    </r>
    <r>
      <rPr>
        <b/>
        <sz val="12"/>
        <color theme="1"/>
        <rFont val="Work Sans"/>
      </rPr>
      <t>brodé</t>
    </r>
    <r>
      <rPr>
        <sz val="12"/>
        <color theme="1"/>
        <rFont val="Work Sans"/>
      </rPr>
      <t xml:space="preserve"> sur la poitrine</t>
    </r>
  </si>
  <si>
    <t>Pas de motifs ni d'artifices, ce polo « Essential » jaune n'a besoin de rien d'autre que de sa couleur vive et audacieuse, affichée sans complexe. Dans une palette de tons fluo, cette collection propose les basiques essentiels dont vous avez besoin pour des looks d'été réussis.</t>
  </si>
  <si>
    <t>35% coton 65% polyester</t>
  </si>
  <si>
    <t>2101, collection:toute la famille, collection:homme, destination:Icon</t>
  </si>
  <si>
    <t>2101MPL31</t>
  </si>
  <si>
    <t>Icon Turquoise</t>
  </si>
  <si>
    <t>Polo Homme 31 Icon Turquoise</t>
  </si>
  <si>
    <r>
      <rPr>
        <sz val="12"/>
        <color theme="1"/>
        <rFont val="Work Sans"/>
      </rPr>
      <t xml:space="preserve">
- Coupe </t>
    </r>
    <r>
      <rPr>
        <b/>
        <sz val="12"/>
        <color theme="1"/>
        <rFont val="Work Sans"/>
      </rPr>
      <t>droite</t>
    </r>
    <r>
      <rPr>
        <sz val="12"/>
        <color theme="1"/>
        <rFont val="Work Sans"/>
      </rPr>
      <t xml:space="preserve">
- Col polo côtelé, liséré gris
- </t>
    </r>
    <r>
      <rPr>
        <b/>
        <sz val="12"/>
        <color theme="1"/>
        <rFont val="Work Sans"/>
      </rPr>
      <t>Rib stylisé</t>
    </r>
    <r>
      <rPr>
        <sz val="12"/>
        <color theme="1"/>
        <rFont val="Work Sans"/>
      </rPr>
      <t xml:space="preserve"> dans l'intérieur du col
- Patte de boutonnage à </t>
    </r>
    <r>
      <rPr>
        <b/>
        <sz val="12"/>
        <color theme="1"/>
        <rFont val="Work Sans"/>
      </rPr>
      <t>deux boutons</t>
    </r>
    <r>
      <rPr>
        <sz val="12"/>
        <color theme="1"/>
        <rFont val="Work Sans"/>
      </rPr>
      <t xml:space="preserve">
- Manches </t>
    </r>
    <r>
      <rPr>
        <b/>
        <sz val="12"/>
        <color theme="1"/>
        <rFont val="Work Sans"/>
      </rPr>
      <t xml:space="preserve">courtes
</t>
    </r>
    <r>
      <rPr>
        <sz val="12"/>
        <color theme="1"/>
        <rFont val="Work Sans"/>
      </rPr>
      <t xml:space="preserve">- Bas de manches côtelés, liséré gris
- Fentes sur les côtés
- Logo J&amp;JOY </t>
    </r>
    <r>
      <rPr>
        <b/>
        <sz val="12"/>
        <color theme="1"/>
        <rFont val="Work Sans"/>
      </rPr>
      <t>brodé</t>
    </r>
    <r>
      <rPr>
        <sz val="12"/>
        <color theme="1"/>
        <rFont val="Work Sans"/>
      </rPr>
      <t xml:space="preserve"> sur la poitrine</t>
    </r>
  </si>
  <si>
    <t>Pas de motifs ni d'artifices, ce polo « Essential » bleu n'a besoin de rien d'autre que de sa couleur vive et audacieuse, affichée sans complexe. Dans une palette de tons fluo, cette collection propose les basiques essentiels dont vous avez besoin pour des looks d'été réussis.</t>
  </si>
  <si>
    <t>2101MPL32</t>
  </si>
  <si>
    <t>Icon Orange</t>
  </si>
  <si>
    <t>Polo Homme 32 Icon Orange</t>
  </si>
  <si>
    <r>
      <rPr>
        <sz val="12"/>
        <color theme="1"/>
        <rFont val="Work Sans"/>
      </rPr>
      <t xml:space="preserve">
- Coupe </t>
    </r>
    <r>
      <rPr>
        <b/>
        <sz val="12"/>
        <color theme="1"/>
        <rFont val="Work Sans"/>
      </rPr>
      <t>droite</t>
    </r>
    <r>
      <rPr>
        <sz val="12"/>
        <color theme="1"/>
        <rFont val="Work Sans"/>
      </rPr>
      <t xml:space="preserve">
- Col polo côtelé, liséré gris
- </t>
    </r>
    <r>
      <rPr>
        <b/>
        <sz val="12"/>
        <color theme="1"/>
        <rFont val="Work Sans"/>
      </rPr>
      <t>Rib stylisé</t>
    </r>
    <r>
      <rPr>
        <sz val="12"/>
        <color theme="1"/>
        <rFont val="Work Sans"/>
      </rPr>
      <t xml:space="preserve"> dans l'intérieur du col
- Patte de boutonnage à </t>
    </r>
    <r>
      <rPr>
        <b/>
        <sz val="12"/>
        <color theme="1"/>
        <rFont val="Work Sans"/>
      </rPr>
      <t>deux boutons</t>
    </r>
    <r>
      <rPr>
        <sz val="12"/>
        <color theme="1"/>
        <rFont val="Work Sans"/>
      </rPr>
      <t xml:space="preserve">
- Manches </t>
    </r>
    <r>
      <rPr>
        <b/>
        <sz val="12"/>
        <color theme="1"/>
        <rFont val="Work Sans"/>
      </rPr>
      <t xml:space="preserve">courtes
</t>
    </r>
    <r>
      <rPr>
        <sz val="12"/>
        <color theme="1"/>
        <rFont val="Work Sans"/>
      </rPr>
      <t xml:space="preserve">- Bas de manches côtelés, liséré gris
- Fentes sur les côtés
- Logo J&amp;JOY </t>
    </r>
    <r>
      <rPr>
        <b/>
        <sz val="12"/>
        <color theme="1"/>
        <rFont val="Work Sans"/>
      </rPr>
      <t>brodé</t>
    </r>
    <r>
      <rPr>
        <sz val="12"/>
        <color theme="1"/>
        <rFont val="Work Sans"/>
      </rPr>
      <t xml:space="preserve"> sur la poitrine</t>
    </r>
  </si>
  <si>
    <t>Pas de motifs ni d'artifices, ce polo « Essential » orange n'a besoin de rien d'autre que de sa couleur vive et audacieuse, affichée sans complexe. Dans une palette de tons fluo, cette collection propose les basiques essentiels dont vous avez besoin pour des looks d'été réussis.</t>
  </si>
  <si>
    <t>2101MPL33</t>
  </si>
  <si>
    <t>Icon Corail</t>
  </si>
  <si>
    <t>Polo Homme 33 Icon Corail</t>
  </si>
  <si>
    <r>
      <rPr>
        <sz val="12"/>
        <color theme="1"/>
        <rFont val="Work Sans"/>
      </rPr>
      <t xml:space="preserve">
- Coupe </t>
    </r>
    <r>
      <rPr>
        <b/>
        <sz val="12"/>
        <color theme="1"/>
        <rFont val="Work Sans"/>
      </rPr>
      <t>droite</t>
    </r>
    <r>
      <rPr>
        <sz val="12"/>
        <color theme="1"/>
        <rFont val="Work Sans"/>
      </rPr>
      <t xml:space="preserve">
- Col polo côtelé, liséré gris
- </t>
    </r>
    <r>
      <rPr>
        <b/>
        <sz val="12"/>
        <color theme="1"/>
        <rFont val="Work Sans"/>
      </rPr>
      <t>Rib stylisé</t>
    </r>
    <r>
      <rPr>
        <sz val="12"/>
        <color theme="1"/>
        <rFont val="Work Sans"/>
      </rPr>
      <t xml:space="preserve"> dans l'intérieur du col
- Patte de boutonnage à </t>
    </r>
    <r>
      <rPr>
        <b/>
        <sz val="12"/>
        <color theme="1"/>
        <rFont val="Work Sans"/>
      </rPr>
      <t>deux boutons</t>
    </r>
    <r>
      <rPr>
        <sz val="12"/>
        <color theme="1"/>
        <rFont val="Work Sans"/>
      </rPr>
      <t xml:space="preserve">
- Manches </t>
    </r>
    <r>
      <rPr>
        <b/>
        <sz val="12"/>
        <color theme="1"/>
        <rFont val="Work Sans"/>
      </rPr>
      <t xml:space="preserve">courtes
</t>
    </r>
    <r>
      <rPr>
        <sz val="12"/>
        <color theme="1"/>
        <rFont val="Work Sans"/>
      </rPr>
      <t xml:space="preserve">- Bas de manches côtelés, liséré gris
- Fentes sur les côtés
- Logo J&amp;JOY </t>
    </r>
    <r>
      <rPr>
        <b/>
        <sz val="12"/>
        <color theme="1"/>
        <rFont val="Work Sans"/>
      </rPr>
      <t>brodé</t>
    </r>
    <r>
      <rPr>
        <sz val="12"/>
        <color theme="1"/>
        <rFont val="Work Sans"/>
      </rPr>
      <t xml:space="preserve"> sur la poitrine</t>
    </r>
  </si>
  <si>
    <t>Pas de motifs ni d'artifices, ce polo « Essential » corail n'a besoin de rien d'autre que de sa couleur vive et audacieuse, affichée sans complexe. Dans une palette de tons fluo, cette collection propose les basiques essentiels dont vous avez besoin pour des looks d'été réussis.</t>
  </si>
  <si>
    <t>corail</t>
  </si>
  <si>
    <t>2101MPL34</t>
  </si>
  <si>
    <t>Icon Navy</t>
  </si>
  <si>
    <t>Polo Homme 34 Icon Navy</t>
  </si>
  <si>
    <r>
      <rPr>
        <sz val="12"/>
        <color theme="1"/>
        <rFont val="Work Sans"/>
      </rPr>
      <t xml:space="preserve">
- Coupe </t>
    </r>
    <r>
      <rPr>
        <b/>
        <sz val="12"/>
        <color theme="1"/>
        <rFont val="Work Sans"/>
      </rPr>
      <t>droite</t>
    </r>
    <r>
      <rPr>
        <sz val="12"/>
        <color theme="1"/>
        <rFont val="Work Sans"/>
      </rPr>
      <t xml:space="preserve">
- Col polo côtelé, liséré gris
- </t>
    </r>
    <r>
      <rPr>
        <b/>
        <sz val="12"/>
        <color theme="1"/>
        <rFont val="Work Sans"/>
      </rPr>
      <t>Rib stylisé</t>
    </r>
    <r>
      <rPr>
        <sz val="12"/>
        <color theme="1"/>
        <rFont val="Work Sans"/>
      </rPr>
      <t xml:space="preserve"> dans l'intérieur du col
- Patte de boutonnage à </t>
    </r>
    <r>
      <rPr>
        <b/>
        <sz val="12"/>
        <color theme="1"/>
        <rFont val="Work Sans"/>
      </rPr>
      <t>deux boutons</t>
    </r>
    <r>
      <rPr>
        <sz val="12"/>
        <color theme="1"/>
        <rFont val="Work Sans"/>
      </rPr>
      <t xml:space="preserve">
- Manches </t>
    </r>
    <r>
      <rPr>
        <b/>
        <sz val="12"/>
        <color theme="1"/>
        <rFont val="Work Sans"/>
      </rPr>
      <t xml:space="preserve">courtes
</t>
    </r>
    <r>
      <rPr>
        <sz val="12"/>
        <color theme="1"/>
        <rFont val="Work Sans"/>
      </rPr>
      <t xml:space="preserve">- Bas de manches côtelés, liséré gris
- Fentes sur les côtés
- Logo J&amp;JOY </t>
    </r>
    <r>
      <rPr>
        <b/>
        <sz val="12"/>
        <color theme="1"/>
        <rFont val="Work Sans"/>
      </rPr>
      <t>brodé</t>
    </r>
    <r>
      <rPr>
        <sz val="12"/>
        <color theme="1"/>
        <rFont val="Work Sans"/>
      </rPr>
      <t xml:space="preserve"> sur la poitrine</t>
    </r>
  </si>
  <si>
    <t>T-SHIRTS</t>
  </si>
  <si>
    <t>2101MTEE01</t>
  </si>
  <si>
    <t>T-Shirt Homme</t>
  </si>
  <si>
    <t>T-Shirt Homme 01 Outback Circles</t>
  </si>
  <si>
    <t xml:space="preserve">
- Coupe droite
- Motif imprimé
- Col rond contrasté ras du cou
- Bord côtelé et stylisé dans le col
- Ourlet et bords surpiqués
- Manches courtes
- Logo J&amp;JOY sur la poitrine
</t>
  </si>
  <si>
    <t xml:space="preserve">Avec ses motifs en pointillés inspirés de l'art aborigène australien, ce t-shirt bleu aux détails rouges est idéal pour cet été. À porter sur un jeans ou un short, il vous donne un style à la fois classique et original.  </t>
  </si>
  <si>
    <t>2101MTEE02</t>
  </si>
  <si>
    <t>Outback Pink Moonlight</t>
  </si>
  <si>
    <t>T-Shirt Homme 02 Outback Pink Moonlight</t>
  </si>
  <si>
    <t xml:space="preserve">
- Coupe droite
- Motif imprimé sur le coeur et dans le dos
- Col rond uni ras du cou
- Bord côtelé et stylisé dans le col
- Ourlet et bords surpiqués
- Manches courtes
- Logo J&amp;JOY sur la manche</t>
  </si>
  <si>
    <t>La couleur rose lilas la plus tendance du moment et une illustration dans le dos qui vous emmène dans l'Outback australien : ce t-shirt a tout bon !</t>
  </si>
  <si>
    <t>2101MTEE03</t>
  </si>
  <si>
    <t>Outback Blue White</t>
  </si>
  <si>
    <t>T-Shirt Homme 03 Outback Blue White</t>
  </si>
  <si>
    <t xml:space="preserve">
- Coupe droite
- Quadricolore
- Col rond uni ras du cou
- Bord côtelé et stylisé dans le col
- Ourlet et bords surpiqués
- Manches courtes
- Logo J&amp;JOY sur la manche
</t>
  </si>
  <si>
    <t xml:space="preserve">Un t-shirt original, coloré et facile à porter autant au printemps qu'en été. Avec ses bandes de couleurs superposées et sa petite illustration de l'Outback australien, vous avez trouvé l'élément fort de votre tenue. </t>
  </si>
  <si>
    <t>2101MTEE04</t>
  </si>
  <si>
    <t>Outback Jacquard Stripes</t>
  </si>
  <si>
    <t>T-Shirt Homme 04 Outback Jacquard Stripes</t>
  </si>
  <si>
    <t xml:space="preserve">
- Coupe droite
- Motif imprimé horizontaux
- Col rond contrasté ras du cou
- Bord côtelé et stylisé dans le col
- Ourlet et bords surpiqués
- Manches courtes
- Poche poitrine
- Logo J&amp;JOY sur la manche</t>
  </si>
  <si>
    <t xml:space="preserve">Des lignes en pointillés et différents tons de beiges, de bleus et de bruns : ce t-shirt est notre coup de cœur. </t>
  </si>
  <si>
    <t>2101MTEE05</t>
  </si>
  <si>
    <t>Outback Red Jacquard</t>
  </si>
  <si>
    <t>T-Shirt Homme 05 Outback Red Jacquard</t>
  </si>
  <si>
    <t xml:space="preserve">
- Coupe droite
- Motif imprimé
- Col rond uni ras du cou
- Bord côtelé et stylisé dans le col
- Ourlet et bords surpiqués
- Manches courtes
- Motif texturé dans le dos
- Logo J&amp;JOY sur la manche</t>
  </si>
  <si>
    <t>Ce n'est pas qu'un beau t-shirt rouge, c'est un hommage au « pointillisme », cet art ancestral aborigène spécifique à l'Australie. On adore le motif en pointillés, le rouge chaud et les nombreux détails de ce t-shirt qui illumine votre dressing !</t>
  </si>
  <si>
    <t>2101MTEE06</t>
  </si>
  <si>
    <t>T-Shirt Homme 06 Outback Navy Leaves</t>
  </si>
  <si>
    <t xml:space="preserve">
- Coupe droite
- Motif imprimé
- Col rond uni ras du cou
- Bord côtelé et stylisé dans le col
- Ourlet et bords surpiqués
- Manches courtes
- Logo J&amp;JOY brodé sur la poitrine
</t>
  </si>
  <si>
    <t>Art rupestre ? Motif jungle ? Un mix de tout cela !
Ce t-shirt ne manque pas d'originalité, et il dynamisera vos tenues cet été !</t>
  </si>
  <si>
    <t>2101MTEE07</t>
  </si>
  <si>
    <t>Outback Boomerang</t>
  </si>
  <si>
    <t>T-Shirt Homme 07 Outback Boomerang</t>
  </si>
  <si>
    <t xml:space="preserve">
- Coupe droite
- Motif imprimé boomerang
- Col rond contrasté ras du cou
- Bord côtelé et stylisé dans le col
- Ourlet et bords surpiqués
- Manches courtes
- Logo J&amp;JOY sur la poitrine
</t>
  </si>
  <si>
    <t xml:space="preserve">Le boomerang est l'un des grands symboles de l'Australie. Utilisé à l'origine par les aborigènes pour chasser ou creuser la terre, cet objet est aujourd'hui un élément de décoration très prisé et un sport pratiqué aux quatre coins du monde.
Il s'illustre aujourd'hui sur ce t-shirt blanc ligné, joli et un brin décalé. </t>
  </si>
  <si>
    <t>gris</t>
  </si>
  <si>
    <t>98% coton 2% polyester</t>
  </si>
  <si>
    <t>2101MTEE08</t>
  </si>
  <si>
    <t>T-Shirt Homme 08 Byron Bay Blue</t>
  </si>
  <si>
    <t xml:space="preserve">
- Coupe droite
- Motif imprimé dans le dos
- Col rond uni ras du cou
- Bord côtelé et stylisé dans le col
- Ourlet et bords surpiqués
- Manches courtes
- Logo J&amp;JOY brodé sur la poitrine
</t>
  </si>
  <si>
    <t xml:space="preserve">Un t-shirt bleu pastel avec des notes vibrantes de rose, pile ce qu'il vous faut cet été ! </t>
  </si>
  <si>
    <t>2101MTEE09</t>
  </si>
  <si>
    <t>Byron Bay Navy Lighthouse</t>
  </si>
  <si>
    <t>T-Shirt Homme 09 Byron Bay Navy Lighthouse</t>
  </si>
  <si>
    <t xml:space="preserve">
- Coupe droite
- Motif imprimé dans le dos
- Col rond uni ras du cou
- Bord côtelé et stylisé dans le col
- Ourlet et bords surpiqués
- Manches courtes
- Logo J&amp;JOY sur la poitrine
</t>
  </si>
  <si>
    <t xml:space="preserve">Impossible de se tromper de route : avec ce t-shirt, on part en direction de la plage pour surfer ! 
Des couleurs pop et un motif fun dans le dos twistent ce t-shirt bleu foncé pour un résultat qui va vous étonner. </t>
  </si>
  <si>
    <t>2101MTEE10</t>
  </si>
  <si>
    <t>Byron Bay Pink Sand</t>
  </si>
  <si>
    <t>T-Shirt Homme 10 Byron Bay Pink Sand</t>
  </si>
  <si>
    <t xml:space="preserve">
- Coupe droite
- Motif imprimé
- Col rond uni ras du cou
- Bord côtelé et stylisé dans le col
- Ourlet et bords surpiqués
- Manches courtes
- Logo J&amp;JOY sur la poitrine
</t>
  </si>
  <si>
    <t xml:space="preserve">C'est le parfait t-shirt du surfeur australien ! </t>
  </si>
  <si>
    <t>2101MTEE11</t>
  </si>
  <si>
    <t>T-Shirt Homme 11 Byron Bay Pink Stripes</t>
  </si>
  <si>
    <t xml:space="preserve">
- Coupe droite
- Motif imprimé
- Col rond contrasté ras du cou
- Bord côtelé et stylisé dans le col
- Ourlet et bords surpiqués
- Manches courtes
- Logo J&amp;JOY sur la poitrine
</t>
  </si>
  <si>
    <t>Ce t-shirt, c'est notre coup de cœur ! Des lignes roses et bleues, une petite illustration des plages de Byron Bay et un col rond qui tranche du reste avec son rose pastel : tout y est !</t>
  </si>
  <si>
    <t>2101MTEE12</t>
  </si>
  <si>
    <t>Byron Bay Junk Food</t>
  </si>
  <si>
    <t>T-Shirt Homme 12 Byron Bay Junk Food</t>
  </si>
  <si>
    <t xml:space="preserve">
- Coupe droite
- Motif imprimé de burger
- Col rond uni ras du cou
- Bord côtelé et stylisé dans le col
- Ourlet et bords surpiqués
- Manches courtes
- Logo J&amp;JOY sur la poitrine
</t>
  </si>
  <si>
    <t xml:space="preserve">Ce t-shirt aux motifs colorés va avec tout, booste votre tenue et vous garantit un look fun et un brin décalé. </t>
  </si>
  <si>
    <t>2101MTEE13</t>
  </si>
  <si>
    <t>Byron Bay Palm Pic</t>
  </si>
  <si>
    <t>T-Shirt Homme 13 Byron Bay Palm Pic</t>
  </si>
  <si>
    <t xml:space="preserve">
- Coupe droite
- Motif imprimé
- Col rond uni ras du cou
- Bord côtelé et stylisé dans le col
- Ourlet et bords surpiqués
- Manches courtes
</t>
  </si>
  <si>
    <t>Ce t-shirt blanc qui vous emmène tout droit en direction des plages australiennes avec son illustration sur le devant. On adore !</t>
  </si>
  <si>
    <t>2101MTEE14</t>
  </si>
  <si>
    <t>Byron Bay Yellow Beach</t>
  </si>
  <si>
    <t>T-Shirt Homme 14 Byron Bay Yellow Beach</t>
  </si>
  <si>
    <t xml:space="preserve">Welcome to Bondi Beach ! Sur cette plage australienne, on prend le soleil, on surfe, et surtout... on profite ! </t>
  </si>
  <si>
    <t>2101MTEE15</t>
  </si>
  <si>
    <t>Byron Bay Dip Dyed Navy</t>
  </si>
  <si>
    <t>T-Shirt Homme 15 Byron Bay Dip Dyed Navy</t>
  </si>
  <si>
    <t xml:space="preserve">
- Coupe droite
- Dégradé bleu vers blanc
- Col rond uni ras du cou
- Bord côtelé et stylisé dans le col
- Ourlet et bords surpiqués
- Manches courtes
- Logo J&amp;JOY sur la poitrine
</t>
  </si>
  <si>
    <t xml:space="preserve">Un dégradé de bleu, du plus profond au plus clair, et un petit motif qui représente les plages australiennes : on vise en plein dans la tendance du moment avec ce t-shirt à la fois versatile et résolument cool ! </t>
  </si>
  <si>
    <t>2101MTEE16</t>
  </si>
  <si>
    <t>Queensland Coconut</t>
  </si>
  <si>
    <t>T-Shirt Homme 16 Queensland Coconut</t>
  </si>
  <si>
    <t xml:space="preserve">
- Coupe droite
- Motif imprimé
- Col rond contrasté ras du cou
- Bord côtelé et stylisé dans le col
- Ourlet et bords surpiqués
- Manches courtes
- Logo J&amp;JOY sur la manche
</t>
  </si>
  <si>
    <t xml:space="preserve">Un motif « jungle », des tons verts sur un bleu profond : bienvenue dans la Rain Forest en Australie ! 
Ce t-shirt ravira tous ceux qui ont une âme d'aventurier ! </t>
  </si>
  <si>
    <t>blu</t>
  </si>
  <si>
    <t>2101MTEE17</t>
  </si>
  <si>
    <t>Queensland Yellow Crocs</t>
  </si>
  <si>
    <t>T-Shirt Homme 17 Queensland Yellow Crocs</t>
  </si>
  <si>
    <t>Ce t-shirt jaune lime rafraîchit les soirées d'été ! Et avec son illustration qui évoque la forêt tropicale, on s'offre un peu d'évasion !</t>
  </si>
  <si>
    <t>65% coton 35% polyester</t>
  </si>
  <si>
    <t>2101MTEE18</t>
  </si>
  <si>
    <t>Queensland Navy Landscape</t>
  </si>
  <si>
    <t>T-Shirt Homme 18 Queensland Navy Landscape</t>
  </si>
  <si>
    <t xml:space="preserve">
- Coupe droite
- Motif imprimé
- Col rond uni ras du cou
- Bord côtelé et stylisé dans le col
- Ourlet et bords surpiqués
- Manches courtes
- Logo J&amp;JOY sur la manche
</t>
  </si>
  <si>
    <t>Un t-shirt bleu foncé illustré d'une plage australienne dans des tons jaunes lime : on rafraîchit notre été et on s'offre un morceau d'évasion !</t>
  </si>
  <si>
    <t>2101MTEE19</t>
  </si>
  <si>
    <t>Queensland Bright Leaves</t>
  </si>
  <si>
    <t>T-Shirt Homme 19 Queensland Bright Leaves</t>
  </si>
  <si>
    <t xml:space="preserve">
- Coupe droite
- Motif imprimé végétal
- Col rond uni ras du cou
- Bord côtelé et stylisé dans le col
- Ourlet et bords surpiqués
- Manches courtes
- Logo J&amp;JOY sur la poitrine
</t>
  </si>
  <si>
    <t>Un imprimé « feuilles » sur un fond vert : welcome to the jungle ! Inspiré par la forêt tropicale australienne, ce t-shirt vous suit dans la chaleur de cet été !</t>
  </si>
  <si>
    <t>2101MTEE20</t>
  </si>
  <si>
    <t>Queensland Bonrepos</t>
  </si>
  <si>
    <t>T-Shirt Homme 20 Queensland Bonrepos</t>
  </si>
  <si>
    <t xml:space="preserve">Plage, tortues et cocotiers... Un t-shirt parfait pour vous assurer des looks originaux cet été ! </t>
  </si>
  <si>
    <t>2101MTEE21</t>
  </si>
  <si>
    <t>Queensland Green</t>
  </si>
  <si>
    <t>T-Shirt Homme 21 Queensland Green</t>
  </si>
  <si>
    <t xml:space="preserve">
- Coupe droite
- Motif imprimé dans le dos
- Col rond uni ras du cou
- Bord côtelé et stylisé dans le col
- Ourlet et bords surpiqués
- Manches courtes
- Logo J&amp;JOY sur la poitrine
</t>
  </si>
  <si>
    <t xml:space="preserve">Ce vert intense réhausse votre garde-robe et les touches de jaunes pimentent vos tenues. Inspiré de la forêt tropicale, ce t-shirt fait sensation. </t>
  </si>
  <si>
    <t>2101MTEE22</t>
  </si>
  <si>
    <t>Cape Tribulation Blue Tide</t>
  </si>
  <si>
    <t>T-Shirt Homme 22 Cape Tribulation Blue Tide</t>
  </si>
  <si>
    <t xml:space="preserve">
- Coupe droite
- Motif imprimé
- Col rond uni ras du cou
- Bord côtelé et stylisé dans le col
- Ourlet et bords surpiqués
- Manches courtes
- Logo J&amp;JOY sur la manche
</t>
  </si>
  <si>
    <t xml:space="preserve">Bienvenue à Cape Tribulation, un lieu extraordinaire où l'on peut découvrir une nature brute et colorée.
Ce bleu / vert très moderne mêlé à des touches d'orange peps, c'est la combinaison parfaite pour un t-shirt qui vous démarque ! </t>
  </si>
  <si>
    <t>2101MTEE23</t>
  </si>
  <si>
    <t>T-Shirt Homme 23 Cape Tribulation Orange</t>
  </si>
  <si>
    <t xml:space="preserve">Une mangrove de la forêt tropicale de Queensland s'est installée sur ce fond orange vif. Résultat : un t-shirt surprenant ! </t>
  </si>
  <si>
    <t>2101MTEE24</t>
  </si>
  <si>
    <t>Cape Tribulation Grey Birds</t>
  </si>
  <si>
    <t>T-Shirt Homme 24 Cape Tribulation Grey Birds</t>
  </si>
  <si>
    <t xml:space="preserve">On laisse place à notre goût pour l'aventure avec ce t-shirt ! Son imprimé nous emmène à travers la forêt tropicale australienne. Un t-shirt fort, indispensable cet été. </t>
  </si>
  <si>
    <t>2101MTEE25</t>
  </si>
  <si>
    <t>Cape Tribulation Blue Parrots</t>
  </si>
  <si>
    <t>T-Shirt Homme 25 Cape Tribulation Blue Parrots</t>
  </si>
  <si>
    <t xml:space="preserve">A Cape Tribulation, on croise des oiseaux si colorés qu'on dirait qu'ils sortent d'un dessin animé ! 
L'un deux à bien voulu se poser sur ce t-shirt, et on adore ce mélange de bleu foncé, d'orange vibrant et de vert « jungle ». </t>
  </si>
  <si>
    <t>2101MTEE26</t>
  </si>
  <si>
    <t>Icon Retro</t>
  </si>
  <si>
    <t>T-Shirt Homme 26 Icon Retro</t>
  </si>
  <si>
    <t>T-shirt Iconic Cult blanc cassé avec multiples lignes de couleurs.
Pas de motifs ni d'artifices, ces pièces fortes n'ont besoin de rien d'autre que de leurs couleurs vives et audacieuses, affichées sans complexe. Dans une palette de tons fluo, ces basiques sont la clé d'un look estival réussi.</t>
  </si>
  <si>
    <t>Multicolore</t>
  </si>
  <si>
    <t>95% coton 5% polyester</t>
  </si>
  <si>
    <t>SWEATS</t>
  </si>
  <si>
    <t>2101MSWT01</t>
  </si>
  <si>
    <t>Sweatshirt Homme</t>
  </si>
  <si>
    <t>Outback 3/4 Zip Raw Earth</t>
  </si>
  <si>
    <t>Sweatshirt Homme 01 Outback 3/4 Zip Raw Earth</t>
  </si>
  <si>
    <t xml:space="preserve">
- Coupe droite
- Col montant zippé
- Bord côtelé et stylisé dans le col
- Bords et poignets côtelés stretch
- Manches longues
- Poche kangourou 
- Tricolore
- Logo J&amp;JOY sur le cœur</t>
  </si>
  <si>
    <t xml:space="preserve">Ce sweat, c'est le mélange parfait entre sportswear et casual chic. Avec son col haut sophistiqué et sa poche sur le devant, il vous va aussi bien pour une journée au bureau que pour une journée barbecue entre amis. Du bordeaux, du gris et une touche de corail complètent le look de ce vêtement que vous allez adorer porter. </t>
  </si>
  <si>
    <t>2101MSWT02</t>
  </si>
  <si>
    <t>Outback Navy Raw</t>
  </si>
  <si>
    <t>Sweatshirt Homme 02 Outback Navy Raw</t>
  </si>
  <si>
    <t xml:space="preserve">
- Coupe droite
- Capuche avec cordon de serrage contrasté
- Bord côtelé et stylisé dans le col
- Bords et poignets côtelés stretch
- Manches longues
- Poche kangourou
- Quadricolore
- Logo J&amp;JOY sur le cœur</t>
  </si>
  <si>
    <t xml:space="preserve">Ce sweat, c'est celui qui booste vos looks en toute simplicité ! Porté sur un jeans avec des sneakers et un t-shirt rouge, blanc ou bleu, il fait tout son effet, autant au travail que durant le week-end ! </t>
  </si>
  <si>
    <t>75% coton 25% polyester</t>
  </si>
  <si>
    <t>2101MSWT03</t>
  </si>
  <si>
    <t>Outback Red Crewneck</t>
  </si>
  <si>
    <t>Sweatshirt Homme 03 Outback Red Crewneck</t>
  </si>
  <si>
    <t xml:space="preserve"> 
- Coupe droite
- Col rond
- Bord côtelé et stylisé dans le col
- Bords et poignets côtelés stretch
- Manches longues
- Logo J&amp;JOY sur le cœur
- Ecriture texturée dans le dos
</t>
  </si>
  <si>
    <t>Le sweat col rond, c'est l'indispensable du moment ! Dans sa matière confortable et avec son rouge flamboyant, ce sweat booste l'allure et vous réchauffe, au bureau comme en soirée !</t>
  </si>
  <si>
    <t>2101MSWT04</t>
  </si>
  <si>
    <t>Outback Navy Zip</t>
  </si>
  <si>
    <t>Sweatshirt Homme 04 Outback Navy Zip</t>
  </si>
  <si>
    <t xml:space="preserve">
- Coupe droite
- Ouverture zippée avec finitions contrastées
- Col montant
- Bord côtelé et stylisé dans le col
- Bords et poignets côtelés stretch
- Manches longues
- Double poche ventrale façon kangourou
- Logo J&amp;JOY sur le cœur</t>
  </si>
  <si>
    <t xml:space="preserve">Classique mais avec de jolis détails bien pensés, chaud tout en restant léger, c'est LE pull indispensable !  
Le + : il va avec tout ! </t>
  </si>
  <si>
    <t>2101MSWT05</t>
  </si>
  <si>
    <t>Sweatshirt Homme 05 Byron Bay Fushia</t>
  </si>
  <si>
    <t xml:space="preserve"> 
- Coupe droite
- Col montant zippé
- Bord côtelé et stylisé dans le col
- Bords et poignets côtelés stretch
- Manches longues
- Poches latérales
- Logo J&amp;JOY sur le cœur</t>
  </si>
  <si>
    <t xml:space="preserve">Un beau rouge, une coupe classique et un modèle facile à porter en toutes circonstances. Une pièce essentielle à avoir dans son dressing cette année ! </t>
  </si>
  <si>
    <t>2101MSWT06</t>
  </si>
  <si>
    <t>Byron Bay Navy</t>
  </si>
  <si>
    <t>Sweatshirt Homme 06 Byron Bay Navy</t>
  </si>
  <si>
    <t xml:space="preserve">
- Coupe droite
- Ouverture zippée avec finitions contrastées
- Col montant
- Bord côtelé et stylisé dans le col
- Bords et poignets côtelés stretch
- Manches longues
- Double poche ventrale façon kangourou
- Logo J&amp;JOY sur le cœur
- Patch J&amp;JOY sur l’épaule</t>
  </si>
  <si>
    <t xml:space="preserve">Les classiques ne se démoderont jamais ! Avec ce pull à tirette et col haut, vous avez ce qu'il vous faut pour toutes les situations. Un rendez-vous professionnel, une soirée entre amis ou une balade le week-end : votre pull vous tient chaud et son bleu profond s'accorde avec toutes vos tenues. </t>
  </si>
  <si>
    <t>2101MSWT07</t>
  </si>
  <si>
    <t>Byron Bay Grey</t>
  </si>
  <si>
    <t>Sweatshirt Homme 07 Byron Bay Grey</t>
  </si>
  <si>
    <t xml:space="preserve">
- Coupe droite
- Ouverture zippée avec finitions contrastées
- Capuche avec cordon de serrage contrasté/unicolore
- Bord côtelé et stylisé dans le col
- Bords et poignets côtelés stretch
- Manches longues
- Double poche ventrale façon kangourou 
- Logo J&amp;JOY sur le cœur
- Patch J&amp;JOY gommé sur l’épaule</t>
  </si>
  <si>
    <t xml:space="preserve">Le confort du sportwear, avec des détails et une couleur grise classique qui mettent en valeur votre tenue du jour. Facile à porter en toutes circonstances, ce sweat réchauffe tous vos looks, toute l'année ! Un essentiel, donc. </t>
  </si>
  <si>
    <t>2101MSWT08</t>
  </si>
  <si>
    <t>Byron Bay Snow Blue</t>
  </si>
  <si>
    <t>Sweatshirt Homme 08 Byron Bay Snow Blue</t>
  </si>
  <si>
    <t xml:space="preserve">
- Coupe droite
- Capuche avec cordon de serrage contrasté
- Bord côtelé et stylisé dans le col
- Bords et poignets côtelés stretch
- Manches longues
- Poche kangourou
- Bandes colorées sur les manches
- Logo J&amp;JOY sur le cœur
- Patch J&amp;JOY sur l’épaule</t>
  </si>
  <si>
    <t xml:space="preserve">Un sweat pour les audacieux, qui mêle du bleu, du blanc et des touches de jaunes pour un look résolument cool. 
Le + : vous êtes tellement bien dedans que vous n'avez plus envie de le retirer ! </t>
  </si>
  <si>
    <t>2101MSWT09</t>
  </si>
  <si>
    <t>Queensland Leaves Crewneck</t>
  </si>
  <si>
    <t>Sweatshirt Homme 09 Queensland Leaves Crewneck</t>
  </si>
  <si>
    <t xml:space="preserve"> 
- Coupe droite
- Col rond
- Bord côtelé et stylisé dans le col
- Bords et poignets côtelés stretch
- Manches longues
- Motif imprimé
- Logo J&amp;JOY sur le cœur</t>
  </si>
  <si>
    <t xml:space="preserve">Un sweat pour les aventuriers à la dégaine cool assumée ! Avec ce motif jungle, à vos les aventures ! 
Superbe porté sur un jeans ou un chino avec des baskets kaki, beiges, brunes ou blanches, il vous va toute l'année et il est la pièce forte de votre dressing. </t>
  </si>
  <si>
    <t>50% coton 50% polyester</t>
  </si>
  <si>
    <t>2101MSWT10</t>
  </si>
  <si>
    <t>Queensland Lime</t>
  </si>
  <si>
    <t>Sweatshirt Homme 10 Queensland Lime</t>
  </si>
  <si>
    <t xml:space="preserve">
- Coupe droite
- Capuche avec cordon de serrage contrasté
- Bord côtelé et stylisé dans le col
- Bords et poignets côtelés stretch
- Manches longues
- Poche kangourou
- Logo J&amp;JOY sur le cœur</t>
  </si>
  <si>
    <t xml:space="preserve">Ce jaune lime, c'est la dose de vitamines qu'on vous recommande pour entamer une bonne journée ! Et en plus, ce modèle est si confortable que vous n'aurez plus envie de le retirer ! </t>
  </si>
  <si>
    <t>2101MSWT11</t>
  </si>
  <si>
    <t>Queensland Stripes</t>
  </si>
  <si>
    <t>Sweatshirt Homme 11 Queensland Stripes</t>
  </si>
  <si>
    <t xml:space="preserve"> 
- Coupe droite
- Col rond
- Bord côtelé et stylisé dans le col
- Bords et poignets côtelés stretch
- Manches longues
- Motif ligné
- Logo J&amp;JOY sur le cœur</t>
  </si>
  <si>
    <t xml:space="preserve">Simple, efficace, et super joli : ce sweat tendance « marinière » est agrémenté de jolis détails vert lime. Idéal à porter avec un jeans et des sneakers blanches pour une tenue aussi jolie que tendance. </t>
  </si>
  <si>
    <t>2101MSWT12</t>
  </si>
  <si>
    <t>Queensland Navy Cardigan</t>
  </si>
  <si>
    <t>Sweatshirt Homme 12 Queensland Navy Cardigan</t>
  </si>
  <si>
    <t>Du bleu marine, du blanc et du vert : une combinaison qui fonctionne bien ! 
Un coup de froid ? Ce sweat, avec sa coupe simple et moderne, est le meilleur choix de vêtement à emporter avec soi ! Et en plus, il s'accorde avec tous les styles !</t>
  </si>
  <si>
    <t>2101MSWT13</t>
  </si>
  <si>
    <t>Sweatshirt Homme 13 Cape Tribulation Orange</t>
  </si>
  <si>
    <t xml:space="preserve">
- Coupe droite
- Capuche avec cordon de serrage contrasté
- Bord côtelé et stylisé dans le col
- Bords et poignets côtelés stretch
- Manches longues
- Poches latérales
- Logo J&amp;JOY sur le cœur
</t>
  </si>
  <si>
    <t xml:space="preserve">Avec son orange vibrant et ses trois lignes de couleurs qui amènent à l'ensemble encore plus de modernité, on a trouvé le sweat qu'il nous fallait !
Joli, chaud et agréable à porter.  </t>
  </si>
  <si>
    <t>2101MSWT14</t>
  </si>
  <si>
    <t>Cape Tribulation Navy</t>
  </si>
  <si>
    <t>Sweatshirt Homme 14 Cape Tribulation Navy</t>
  </si>
  <si>
    <t xml:space="preserve">
- Coupe droite
- Capuche zippée avec cordon de serrage contrasté
- Bord côtelé et stylisé dans le col
- Bords et poignets côtelés stretch
- Manches longues lignées
- Poches latérales
- Logo J&amp;JOY sur le cœur
</t>
  </si>
  <si>
    <t>Ne vous laissez pas tromper par son bleu marine : ce sweat est tout sauf classique ! Avec des lignes de couleurs sur les manches et les épaules, c'est le sweat à capuche qu'il vous faut pour rester simple, avec une bonne dose d'originalité. Tout est dans le détail !</t>
  </si>
  <si>
    <t>2101MSWT16</t>
  </si>
  <si>
    <t>Sweatshirt Homme 16 Icon Lime</t>
  </si>
  <si>
    <t xml:space="preserve">
- Coupe droite
- Capuche avec cordon de serrage contrasté
- Bord côtelé et stylisé dans le col
- Bords et poignets côtelés stretch
- Manches longues
- Poche kangourou
- Logo J&amp;JOY brodé sur le cœur
- Patch J&amp;JOY gommé sur l’épaule</t>
  </si>
  <si>
    <t>Ce sweat jaune fait partie de notre collection Bright Basics, caractérisée par des pièces fortes, lumineuses et unisexes. 
Pas de motifs ni d'artifices, ces sweats n'ont besoin de rien d'autre que de leurs couleurs vives et audacieuses. Disponibles pour adultes et enfants dans une palette de tons fluo, ces basiques sont les éléments de base pour un look réussi et dans lequel on se sent bien.
Le + : toute la famille est assortie avec ces pièces unisexes pour les petits et les grands !</t>
  </si>
  <si>
    <t>2101MSWT17</t>
  </si>
  <si>
    <t>Sweatshirt Homme 17 Icon Turquoise</t>
  </si>
  <si>
    <t>Ce sweat bleu turquoise fait partie de notre collection Bright Basics, caractérisée par des pièces fortes, lumineuses et unisexes. 
Pas de motifs ni d'artifices, ces sweats n'ont besoin de rien d'autre que de leurs couleurs vives et audacieuses. Disponibles pour adultes et enfants dans une palette de tons fluo, ces basiques sont les éléments de base pour un look réussi et dans lequel on se sent bien.
Le + : toute la famille est assortie avec ces pièces unisexes pour les petits et les grands !</t>
  </si>
  <si>
    <t>turquoise</t>
  </si>
  <si>
    <t>2101MSWT18</t>
  </si>
  <si>
    <t>Sweatshirt Homme 18 Icon Orange</t>
  </si>
  <si>
    <t>Ce sweat orange fait partie de notre collection Bright Basics, caractérisée par des pièces fortes, lumineuses et unisexes. 
Pas de motifs ni d'artifices, ces sweats n'ont besoin de rien d'autre que de leurs couleurs vives et audacieuses. Disponibles pour adultes et enfants dans une palette de tons fluo, ces basiques sont les éléments de base pour un look réussi et dans lequel on se sent bien.
Le + : toute la famille est assortie avec ces pièces unisexes pour les petits et les grands !</t>
  </si>
  <si>
    <t>2101MSWT19</t>
  </si>
  <si>
    <t>Sweatshirt Homme 19 Icon Corail</t>
  </si>
  <si>
    <t>Ce sweat corail fait partie de notre collection Bright Basics, caractérisée par des pièces fortes, lumineuses et unisexes. 
Pas de motifs ni d'artifices, ces sweats n'ont besoin de rien d'autre que de leurs couleurs vives et audacieuses. Disponibles pour adultes et enfants dans une palette de tons fluo, ces basiques sont les éléments de base pour un look réussi et dans lequel on se sent bien.
Le + : toute la famille est assortie avec ces pièces unisexes pour les petits et les grands !</t>
  </si>
  <si>
    <t>2101MSWT20</t>
  </si>
  <si>
    <t>Sweatshirt Homme 20 Icon Navy</t>
  </si>
  <si>
    <t>Ce sweat bleu fait partie de notre collection Bright Basics, caractérisée par des pièces fortes, lumineuses et unisexes. 
Pas de motifs ni d'artifices, ces sweats n'ont besoin de rien d'autre que de leurs couleurs vives et audacieuses. Disponibles pour adultes et enfants dans une palette de tons fluo, ces basiques sont les éléments de base pour un look réussi et dans lequel on se sent bien.
Le + : toute la famille est assortie avec ces pièces unisexes pour les petits et les grands !</t>
  </si>
  <si>
    <t>SHIRTS</t>
  </si>
  <si>
    <t>2101MSHIRT01</t>
  </si>
  <si>
    <t>Chemise Homme</t>
  </si>
  <si>
    <t>Outback Navy Boomerang</t>
  </si>
  <si>
    <t>Chemise Homme 01 Outback Navy Boomerang</t>
  </si>
  <si>
    <t xml:space="preserve">
- Coupe droite
- Motif imprimé
- Col classique
- Pointes du col boutonnés
- Patte de boutonnage classique
- Manches courtes
- Motif imprimé intérieur col 
- Logo J&amp;JOY brodé sur la poitrine</t>
  </si>
  <si>
    <t>Cette chemise bleue aux manches courtes est légère et vous suit dans toutes vos aventures d'été. Son imprimé est inspiré des iconiques boomerangs australiens. a</t>
  </si>
  <si>
    <t>2101MSHIRT02</t>
  </si>
  <si>
    <t>Outback Bush Flowers</t>
  </si>
  <si>
    <t>Chemise Homme 02 Outback Bush Flowers</t>
  </si>
  <si>
    <t xml:space="preserve">
- Coupe droite
- Motif imprimé
- Col classique
- Pointes du col boutonnés
- Patte de boutonnage classique
- Manches longues
- Poignets à coins arrondis
- Motif imprimé intérieur col et poignet
- Logo J&amp;JOY brodé sur la poitrine
</t>
  </si>
  <si>
    <t xml:space="preserve">Cette chemise longues manches affiche un délicat imprimé fleuri dans des tons bleus et rouges. Elle se prête parfaitement aussi bien à une journée de bureau qu'à une soirée entre amis ou un repas de famille. </t>
  </si>
  <si>
    <t>2101MSHIRT03</t>
  </si>
  <si>
    <t>Outback Signs</t>
  </si>
  <si>
    <t>Chemise Homme 03 Outback Signs</t>
  </si>
  <si>
    <t xml:space="preserve">Avec son imprimé aussi délicat que graphique, cette chemise reste classique, sans jamais être banale ! </t>
  </si>
  <si>
    <t>2101MSHIRT04</t>
  </si>
  <si>
    <t>Outback Pineapples</t>
  </si>
  <si>
    <t>Chemise Homme 04 Outback Pineapples</t>
  </si>
  <si>
    <t xml:space="preserve">Une chemise confortable, agréable à porter en toutes circonstances. Et si son imprimé « ananas » sur fond ligné est sans aucun doute original, ses couleurs sobres et douces en font une chemise facile à porter et à assortir tous les jours.  </t>
  </si>
  <si>
    <t>2101MSHIRT05</t>
  </si>
  <si>
    <t>Outback Kangaroo</t>
  </si>
  <si>
    <t>Chemise Homme 05 Outback Kangaroo</t>
  </si>
  <si>
    <t xml:space="preserve">Kangourous en vue ! Avec cette chemise à motifs, vous ne passez pas inaperçu. Agréable à porter et versatile au vu de sa couleur, cette chemise est un must have dans votre dressing. </t>
  </si>
  <si>
    <t>2101MSHIRT06</t>
  </si>
  <si>
    <t>Outback Navy Linen</t>
  </si>
  <si>
    <t>Chemise Homme 06 Outback Navy Line</t>
  </si>
  <si>
    <t xml:space="preserve">
- Coupe droite
- Col classique
- Pointes du col boutonnés
- Patte de boutonnage classique
- Manches longues
- Poignets à coins arrondis
- Motif imprimé intérieur col et poignet
- Logo J&amp;JOY brodé sur la poitrine
</t>
  </si>
  <si>
    <t>Classique et sophistiquée... mais pas que ! Avec ses nombreux détails et son imprimé dans le col et les manches, cette chemise est surprenante !</t>
  </si>
  <si>
    <t>2101MSHIRT07</t>
  </si>
  <si>
    <t>Byron Bay Leaves</t>
  </si>
  <si>
    <t>Chemise Homme 07 Byron Bay Leaves</t>
  </si>
  <si>
    <t xml:space="preserve">Cette chemise à imprimé jungle et aux couleurs acidulées est la pièce idéale pour un look d'été typiquement australien ! À porter avec un jeans, un pantalon chino ou un short coloré pour une tenue à la fois chic et décontractée. </t>
  </si>
  <si>
    <t>2101MSHIRT08</t>
  </si>
  <si>
    <t>Byron Bay Denim</t>
  </si>
  <si>
    <t>Chemise Homme 08 Byron Bay Denim</t>
  </si>
  <si>
    <t xml:space="preserve">
- Coupe droite
- Motif imprimé
- Col classique
- Pointes du col boutonnés
- Patte de boutonnage classique
- Manches longues
- Poignets à coins arrondis
- Poche poitrine
- Motif imprimé intérieur col et poignet
- Logo J&amp;JOY brodé sur la poitrine
</t>
  </si>
  <si>
    <t xml:space="preserve">Classique et sophistiquée... mais pas que ! Avec ses nombreux détails et son imprimé dans le col et les manches, cette chemise bleue est surprenante et indémodable ! </t>
  </si>
  <si>
    <t>2101MSHIRT09</t>
  </si>
  <si>
    <t>Byron Bay White Surfers</t>
  </si>
  <si>
    <t>Chemise Homme 09 Byron Bay White Surfers</t>
  </si>
  <si>
    <t xml:space="preserve">
- Coupe droite
- Motif imprimé
- Col classique
- Pointes du col boutonnés
- Patte de boutonnage classique
- Manches longues
- Poignets à coins arrondis
- Motif imprimé intérieur col et poignet
- Logo J&amp;JOY brodé sur la poitrine</t>
  </si>
  <si>
    <t xml:space="preserve">Inspirée de Bondi Beach en Australie, cette chemise blanche est le terrain de jeu idéal pour tous les surfeurs qui aiment prendre la vague ! </t>
  </si>
  <si>
    <t>2101MSHIRT10</t>
  </si>
  <si>
    <t>Byron Bay Palms</t>
  </si>
  <si>
    <t>Chemise Homme 10 Byron Bay Palms</t>
  </si>
  <si>
    <t xml:space="preserve">
- Coupe droite
- Motif imprimé
- Col classique
- Pointes du col boutonnés
- Patte de boutonnage classique
- Manches longues
- Poignets à coins arrondis
- Motif imprimé intérieur col et poignet
- Logo J&amp;JOY brodé sur la poitrine
</t>
  </si>
  <si>
    <t>Avec tous ces palmiers, pas de doute : on est bien arrivés au soleil ! 
Cette chemise blanche à motifs vous transporte sur les plages australiennes pour une saison printemps / été surprenante !</t>
  </si>
  <si>
    <t>2101MSHIRT11</t>
  </si>
  <si>
    <t>Byron Bay Navy Surf</t>
  </si>
  <si>
    <t>Chemise Homme 11 Byron Bay Navy Surf</t>
  </si>
  <si>
    <t>Des planches de surf imprimées et des couleurs acidulées... Avec cette chemise, on se croirait déjà prêts à surfer en Australie ! 
Que ce soit pour twister un look classique ou pour compléter une tenue 100% fun, cette chemise est parfaite !</t>
  </si>
  <si>
    <t>2101MSHIRT12</t>
  </si>
  <si>
    <t>Chemise Homme 12 Byron Bay Stripes</t>
  </si>
  <si>
    <t xml:space="preserve">
- Coupe droite
- Motif imprimé
- Col classique
- Pointes du col boutonnés
- Patte de boutonnage classique
- Manches courtes
- Motif imprimé intérieur col 
- Logo J&amp;JOY brodé sur la poitrine</t>
  </si>
  <si>
    <t xml:space="preserve">Simple et très originale à la fois, cette chemise manches courtes est blanche et lignée avec des motifs éclairs et palmiers. Elle ne manquera pas de réveiller les looks endormis ! </t>
  </si>
  <si>
    <t>2101MSHIRT13</t>
  </si>
  <si>
    <t>Byron Bay Pineapple</t>
  </si>
  <si>
    <t>Chemise Homme 13 Byron Bay Pineapple</t>
  </si>
  <si>
    <t>Cette chemise à manches courtes et imprimé jungle rouge et blanc est la pièce forte à ne pas rater !</t>
  </si>
  <si>
    <t>2101MSHIRT14</t>
  </si>
  <si>
    <t>Queensland Palm Tree</t>
  </si>
  <si>
    <t>Chemise Homme 14 Queensland Palm Tree</t>
  </si>
  <si>
    <t xml:space="preserve">Dans cette chemise à manches courtes, on retrouve un imprimé « palmiers », du bleu foncé et divers tons de vert. Elle plaira sans aucun doute aux aventuriers et aux amateurs d'originalité !  </t>
  </si>
  <si>
    <t>2101MSHIRT15</t>
  </si>
  <si>
    <t>Chemise Homme 15 Queensland Stripes</t>
  </si>
  <si>
    <t xml:space="preserve">Cette chemise lignée propose un vert tout doux et un motif « palmiers » pour vous transporter sur les plages Australiennes, dont elle est inspirée !
Belle, confortable et légère, cette chemise vous suit tout l'été. </t>
  </si>
  <si>
    <t>2101, collection:toute la famille, collection:homme, destination:</t>
  </si>
  <si>
    <t>2101MSHIRT16</t>
  </si>
  <si>
    <t>Queensland Mini Palms</t>
  </si>
  <si>
    <t>Chemise Homme 16 Queensland Mini Palms</t>
  </si>
  <si>
    <t xml:space="preserve">Un imprimé très graphique et coloré s'affiche sur cette chemise blanche, pour un look aussi classique que moderne. Vous ne vous en lasserez pas !  </t>
  </si>
  <si>
    <t>2101MSHIRT17</t>
  </si>
  <si>
    <t>Queensland Ecru Linen</t>
  </si>
  <si>
    <t>Chemise Homme 17 Queensland Ecru Linen</t>
  </si>
  <si>
    <t>Simple, efficace, facile à porter et indémodable, cette chemise beige va avec tout, en toutes circonstances. Un bon choix, à tous les coups !</t>
  </si>
  <si>
    <t>2101MSHIRT18</t>
  </si>
  <si>
    <t>Queensland Denim Stripes</t>
  </si>
  <si>
    <t>Chemise Homme 18 Queensland Denim Stripes</t>
  </si>
  <si>
    <t xml:space="preserve">Une chemise aussi confortable que facile à assortir. Dans des tons blancs, bruns et bleus, c'est la chemise qu'il vous faut autant pour le bureau que pour le week-end. </t>
  </si>
  <si>
    <t>2101MSHIRT19</t>
  </si>
  <si>
    <t>Queensland T&amp;D</t>
  </si>
  <si>
    <t>Chemise Homme 19 Queensland T&amp;D</t>
  </si>
  <si>
    <t xml:space="preserve">Indémodable ! La chemise bleue marine à motifs, c'est un must dans votre dressing. </t>
  </si>
  <si>
    <t>2101MSHIRT20</t>
  </si>
  <si>
    <t>Cape Tribulation Mini Birds</t>
  </si>
  <si>
    <t>Chemise Homme 20 Cape Tribulation Mini Birds</t>
  </si>
  <si>
    <t xml:space="preserve">L'Australie n'a pas que des marsupiaux à vous faire découvrir ! Ce pays exceptionnel est aussi survolé de magnifiques oiseaux colorés. En voici un qui s'est posé sur cette chemise bleue.
Une pièce originale et unique, qui colore votre garde-robe. </t>
  </si>
  <si>
    <t>2101MSHIRT21</t>
  </si>
  <si>
    <t>Chemise Homme 21 Cape Tribulation Parrots</t>
  </si>
  <si>
    <t xml:space="preserve">Des oiseaux comme ceux que l'on retrouve en Australie, colorés et si beaux qu'ils semblent tirés d'un dessin animé. Ce motif dynamise votre chemise, pour un résultat assumé qui ne manquera pas de vous différencier. </t>
  </si>
  <si>
    <t>2101MSHIRT22</t>
  </si>
  <si>
    <t>Cape Tribulation White Palms</t>
  </si>
  <si>
    <t>Chemise Homme 22 Cape Tribulation White Palms</t>
  </si>
  <si>
    <t xml:space="preserve">Welcome to the jungle ! Les aventuriers vont adorer ce motif qui met en valeur la nature dense de la Forêt Tropicale australienne. 
Originale et facile à porter, cette chemise dynamise votre look.  </t>
  </si>
  <si>
    <t>2101MSHIRT23</t>
  </si>
  <si>
    <t>Cape Tribulation Jungle</t>
  </si>
  <si>
    <t>Chemise Homme 23 Cape Tribulation Jungle</t>
  </si>
  <si>
    <t xml:space="preserve">La nature luxuriante de l'Australie s'invite sur votre chemise dans une explosion de tons verts et bruns. 
Parfaite sur un jeans ou un chino beige, cette chemise vous va aussi bien en journée qu'en soirée. </t>
  </si>
  <si>
    <t>2101MSHIRT24</t>
  </si>
  <si>
    <t>Cape Tribulation Turqu Palms</t>
  </si>
  <si>
    <t>Chemise Homme 24 Cape Tribulation Turqu Palms</t>
  </si>
  <si>
    <t>Sentez-vous bien dans cette chemise à manches courtes à l'originalité assumée ! Avec son ton vert / bleu et son motif jungle, pas de doute, elle plaira aux audacieux !</t>
  </si>
  <si>
    <t>JACKETS</t>
  </si>
  <si>
    <t>2101MJACK07</t>
  </si>
  <si>
    <t>Veste Homme</t>
  </si>
  <si>
    <t>Veste Homme 01 Outback Bone Brown</t>
  </si>
  <si>
    <t xml:space="preserve">
- Veste coupe-vent léger à enfiler
- Coupe droite 
- Manches longues
- Ouverture zippée
- Capuche avec cordon élastique de serrage contrasté
- Poches latérales zippées
- Poignet stretch 
- Logo J&amp;JOY imprimé sur le cœur
- Badge J&amp;JOY sur l’épaule
- Logo en tissu J&amp;JOY sur le bas
</t>
  </si>
  <si>
    <t xml:space="preserve">Non seulement cette veste coupe-vent brune / camel vous protège du froid, mais en plus sa couleur va avec tout !
Pratique et belle à la fois, cette veste légère est votre alliée contre le vent et le froid, et la garantie d'un style sans faute de goût. </t>
  </si>
  <si>
    <t>brun</t>
  </si>
  <si>
    <t>100% polyester</t>
  </si>
  <si>
    <t>2101MJACK02</t>
  </si>
  <si>
    <t>Outback Navy</t>
  </si>
  <si>
    <t>Veste Homme 02 Outback Navy</t>
  </si>
  <si>
    <t xml:space="preserve"> :
- Coupe droite
- Manches longues
- Doublure intérieure softshellavec motif imprimé
- Ouverture zippée avec finitions contrastées
- Col rond et stylisé
- Bords et poignets stretch
- Poches latérales zippées 
- Poche poitrine
- Poche intérieure sur le cœur 
- Badge J&amp;JOY sur épaule
</t>
  </si>
  <si>
    <t xml:space="preserve">Impossible de se tromper avec cette veste légère bleue marine au look légèrement « bomber ». Facile à associer à tous les styles, c'est un modèle indémodable dont vous ne vous lasserez pas. </t>
  </si>
  <si>
    <t>2101MJACK03</t>
  </si>
  <si>
    <t>Byron Bay Puffer</t>
  </si>
  <si>
    <t>Veste Homme 03 Byron Bay Puffer</t>
  </si>
  <si>
    <t xml:space="preserve">
- Coupe droite
- Manches longues en sweatshirt
- Doublure intérieure softshell
- Ouverture zippée avec finitions contrastées
- Capuche avec cordon élastique de serrage contrasté 
- Capuche détachable zippée
- Bord stylisé dans le col
- Poche intérieure sur le coeur
- Poches latérales
- Badge J&amp;JOY à la nuque
- Logo J&amp;JOY en tissu sur le bas
</t>
  </si>
  <si>
    <t xml:space="preserve">Originale avec ses bras en matière sweatshirt, cette veste vous protège du froid tout en vous donnant un style très moderne.
Facile à accorder vu sa couleur bleue marine, vous pouvez la porter tout le temps, et vous ne vous en lassez pas.  </t>
  </si>
  <si>
    <t>2101MJACK04</t>
  </si>
  <si>
    <t>Byron Bay Windbreaker</t>
  </si>
  <si>
    <t>Veste Homme 04 Byron Bay Windbreaker</t>
  </si>
  <si>
    <t xml:space="preserve">
- Veste coupe-vent léger à enfiler
- Coupe droite 
- Manches longues
- Ouverture zippée mi-longue 
- Capuche avec cordon élastique de serrage contrasté
- Poches latérales fendues 
- Grande poche ventrale zippée
- Poignets stretchs
- Poches zippées sur les côtés
- Elastique de maintien à la taille
- Logo J&amp;JOY imprimé sur le cœur
- Badge J&amp;JOY sur l’épaule
- Logo en tissu J&amp;JOY sur le bas
</t>
  </si>
  <si>
    <t xml:space="preserve">Une veste coupe-vent droite à enfiler, bleue et zippée à l'avant : c'est notre nouveau modèle de veste légère, et on l'adore. 
Aussi belle que fonctionnelle et ici dans une couleur qui se porte avec tout, c'est LA veste qu'on peut choisir sans devoir y réfléchir ! Indémodable. </t>
  </si>
  <si>
    <t>2101MJACK05</t>
  </si>
  <si>
    <t>Queensland Field Jacket</t>
  </si>
  <si>
    <t>Veste Homme 05 Queensland Field Jacket</t>
  </si>
  <si>
    <t xml:space="preserve"> :
- Coupe droite
- Capuche zippée dans le col
- Manches longues
- Doublure intérieure softshell avec motif imprimé
- Ouverture zippée avec finitions contrastées
- Col montant et stylisé
- Bords et poignets stretch
- Poches latérales zippées 
- Poches poitrine zippées
- Poche intérieure sur le cœur 
- Logo J&amp;JOY sur le coeur</t>
  </si>
  <si>
    <t xml:space="preserve">Indémodable et solide, cette veste bleue a un look intemporel et classique qui ne peut que vous plaire. </t>
  </si>
  <si>
    <t>2101MJACK06</t>
  </si>
  <si>
    <t>Veste Homme 06 Queensland Khaki</t>
  </si>
  <si>
    <t xml:space="preserve">
- Veste coupe-vent léger à enfiler
- Capuche zippée dans le col
- Coupe droite 
- Manches longues
- Ouverture col boutonnée
- Capuche avec cordon élastique de serrage contrasté
- Poches latérales fendues 
- Grande poche ventrale
- Pochessur les côtés
- Elastique de maintien à la taille
- Logo J&amp;JOY imprimé sur le cœur
- Logo en tissu J&amp;JOY sur le bas
</t>
  </si>
  <si>
    <t xml:space="preserve">Une veste coupe-vent droite à enfiler, kaki et avec un zip à l'avant : c'est notre nouveau modèle de veste légère, et on l'adore. 
Aussi belle que fonctionnelle et ici dans une couleur qui se porte avec tout, c'est LA veste qu'on peut choisir sans devoir y réfléchir ! Indémodable. </t>
  </si>
  <si>
    <t>POLAR SWEAT</t>
  </si>
  <si>
    <t>2101MPSWT01</t>
  </si>
  <si>
    <t>Polarsweat Homme</t>
  </si>
  <si>
    <t>Polar Homme 01 Outback Navy</t>
  </si>
  <si>
    <t xml:space="preserve"> 
- Coupe droite
- Col montant zippé
- Bord côtelé et stylisé dans le col
- Bords et poignets côtelés stretch
- Manches longues
- Motif imprimé
- Logo J&amp;JOY brodé/gommé sur le cœur</t>
  </si>
  <si>
    <t xml:space="preserve">Il est beau et il est chaud : ce polar sweat bleu s'enfile et complète vos looks toute l'année. </t>
  </si>
  <si>
    <t>CARGO SHORTS</t>
  </si>
  <si>
    <t>2101MCRG01</t>
  </si>
  <si>
    <t>Short Homme</t>
  </si>
  <si>
    <t>Vintage Indigo</t>
  </si>
  <si>
    <t>Short Cargo Homme 01 Vintage Indigo</t>
  </si>
  <si>
    <t xml:space="preserve"> :
- Braguette zippée et boutonnée
- Deux poches avant + deux poches sur les cuisses
- Deux poches arrière
- Passants de ceinture
- Boutons extenseurs sur les côtés
- Logo J&amp;JOY discret en tissu sur l'arrière</t>
  </si>
  <si>
    <t>Ce short cargo bleu, à la fois pratique et agréable à porter, a de nombreuses poches et vous suit dans toutes vos aventures. 
Il se porte avec tout, de la chemise au polo ! Pour une touche fun, associez-le avec la collection Bright Basics et ses polos colorés.</t>
  </si>
  <si>
    <t>85% coton 15% polyester</t>
  </si>
  <si>
    <t>2101, collection:toute la famille, collection:homme, destination:Outback, destination:Byron Bay, destination:Queensland, destination:Cape Tribulation</t>
  </si>
  <si>
    <t>2101MCRG02</t>
  </si>
  <si>
    <t>Cordovan</t>
  </si>
  <si>
    <t>Short Cargo Homme 02 Cordovan</t>
  </si>
  <si>
    <t>Ce short cargo bordeaux, à la fois pratique et agréable à porter, a de nombreuses poches et vous suit dans toutes vos aventures. 
Il se porte avec tout, de la chemise au polo ! Pour une touche fun, associez-le avec la collection Bright Basics et ses polos colorés.</t>
  </si>
  <si>
    <t>2101MCRG03</t>
  </si>
  <si>
    <t>Navy</t>
  </si>
  <si>
    <t>Short Cargo Homme 03 Navy</t>
  </si>
  <si>
    <t>2101MCRG04</t>
  </si>
  <si>
    <t>Grey</t>
  </si>
  <si>
    <t>Short Cargo Homme 04 Grey</t>
  </si>
  <si>
    <t>Ce short cargo gris, à la fois pratique et agréable à porter, a de nombreuses poches et vous suit dans toutes vos aventures. 
Il se porte avec tout, de la chemise au polo ! Pour une touche fun, associez-le avec la collection Bright Basics et ses polos colorés.</t>
  </si>
  <si>
    <t>2101MCRG05</t>
  </si>
  <si>
    <t>Beige</t>
  </si>
  <si>
    <t>Short Cargo Homme 05 Beige</t>
  </si>
  <si>
    <t>Ce short cargo beige, à la fois pratique et agréable à porter, a de nombreuses poches et vous suit dans toutes vos aventures. 
Il se porte avec tout, de la chemise au polo ! Pour une touche fun, associez-le avec la collection Bright Basics et ses polos colorés.</t>
  </si>
  <si>
    <t>2101MCRG06</t>
  </si>
  <si>
    <t>Khaki</t>
  </si>
  <si>
    <t>Short Cargo Homme 06 Khaki</t>
  </si>
  <si>
    <t>Ce short cargo kaki, à la fois pratique et agréable à porter, a de nombreuses poches et vous suit dans toutes vos aventures. 
Il se porte avec tout, de la chemise au polo ! Pour une touche fun, associez-le avec la collection Bright Basics et ses polos colorés.</t>
  </si>
  <si>
    <t>2101MCRG07</t>
  </si>
  <si>
    <t>Rust</t>
  </si>
  <si>
    <t>Short Cargo Homme 07 Rust</t>
  </si>
  <si>
    <t>Rouge</t>
  </si>
  <si>
    <t>CHINO SHORTS</t>
  </si>
  <si>
    <t>2101MCS01</t>
  </si>
  <si>
    <t>Light Grey</t>
  </si>
  <si>
    <t>Short Chino Homme 01 Light Grey</t>
  </si>
  <si>
    <t xml:space="preserve">
- Braguette zippée et boutonnée
- Deux poches avant 
- Une poche gousset
- Deux poches arrière 
- Passants de ceinture 
- Boutons extenseurs sur les côtés 
- Logo J&amp;JOY brodé sur poche avant 
- Logo J&amp;JOY discret en tissu sur arrière
</t>
  </si>
  <si>
    <t xml:space="preserve">Ce short chino gris, c'est la valeur sûre pour un look adapté à toutes les situations ! Avec sa coupe classique mais toujours très à la mode, ce short est confortable à porter, mais aussi très facile à assortir. 
Idéal avec un t-shirt, un polo ou une chemise, il est adapté tant aux journées de bureau qu'aux barbecues entre amis le week-end. </t>
  </si>
  <si>
    <t>97% coton
3% élasthanne</t>
  </si>
  <si>
    <t>2101MCS02</t>
  </si>
  <si>
    <t>Short Chino Homme 02 Navy</t>
  </si>
  <si>
    <t xml:space="preserve">Ce short chino bleu, c'est la valeur sûre pour un look adapté à toutes les situations ! Avec sa coupe classique mais toujours très à la mode, ce short est confortable à porter, mais aussi très facile à assortir. 
Idéal avec un t-shirt, un polo ou une chemise, il est adapté tant aux journées de bureau qu'aux barbecues entre amis le week-end. </t>
  </si>
  <si>
    <t>2101MCS03</t>
  </si>
  <si>
    <t>Sand</t>
  </si>
  <si>
    <t>Short Chino Homme 03 Sand</t>
  </si>
  <si>
    <t xml:space="preserve">Ce short chino beige, c'est la valeur sûre pour un look adapté à toutes les situations ! Avec sa coupe classique mais toujours très à la mode, ce short est confortable à porter, mais aussi très facile à assortir. 
Idéal avec un t-shirt, un polo ou une chemise, il est adapté tant aux journées de bureau qu'aux barbecues entre amis le week-end. </t>
  </si>
  <si>
    <t>5P DENIM SHORTS</t>
  </si>
  <si>
    <t xml:space="preserve">2101MS5P01 </t>
  </si>
  <si>
    <t/>
  </si>
  <si>
    <t>Short Homme 01</t>
  </si>
  <si>
    <t xml:space="preserve">
- Coupe ajustée mais pas moulant 
- Braguette zippée et boutonnée
- Deux poches avant 
- Une poche gousset
- Deux poches arrière 
- Ourlets à revers
- Passants de ceinture 
- LogoJ&amp;JOY brodé sur poche gousset 
- Logo J&amp;JOY discret en tissu sur poche arrière
- Écusson J&amp;JOY en cuir à l'arrière de la taille.
</t>
  </si>
  <si>
    <t xml:space="preserve">C'est LE short en jeans bleu idéal ! Notre modèle de short en denim phare revient cette année, toujours aussi confortable. </t>
  </si>
  <si>
    <t>2101MS5P02</t>
  </si>
  <si>
    <t>Short Homme 02</t>
  </si>
  <si>
    <t xml:space="preserve">C'est LE short en jeans idéal ! Notre modèle de short en denim phare revient cette année, toujours aussi confortable. </t>
  </si>
  <si>
    <t>2101MS5P03</t>
  </si>
  <si>
    <t>Short Homme 03</t>
  </si>
  <si>
    <t>DENIM</t>
  </si>
  <si>
    <t xml:space="preserve">2101MLEBU01 </t>
  </si>
  <si>
    <t>Pantalon Homme</t>
  </si>
  <si>
    <t>Pantalon Homme 01</t>
  </si>
  <si>
    <t xml:space="preserve">C'est le jeans parfait pour vos tenues aussi bien décontractées qu'habillées. Sa coupe regular vous met en valeur et vous promet un grand confort. </t>
  </si>
  <si>
    <t>98% coton
2% élasthanne</t>
  </si>
  <si>
    <t>2101MLEBU02</t>
  </si>
  <si>
    <t>Pantalon Homme 02</t>
  </si>
  <si>
    <t>2101MLEBU03</t>
  </si>
  <si>
    <t>Pantalon Homme 03</t>
  </si>
  <si>
    <t>2101MLEBU04</t>
  </si>
  <si>
    <t>Pantalon Homme 04</t>
  </si>
  <si>
    <t>BEACHWEAR</t>
  </si>
  <si>
    <t>2101MBEACH01</t>
  </si>
  <si>
    <t>Maillot Homme</t>
  </si>
  <si>
    <t>Outback Jungle</t>
  </si>
  <si>
    <t>Maillot de Bain Homme 01 Outback Jungle</t>
  </si>
  <si>
    <t xml:space="preserve">
- Motif imprimé
- Taille élastiquée à cordon contrasté 
- Deux poches avant
- Poche arrière avec rabat et attache velcro
- Doublure en filet 
- Logo J&amp;JOY discret en tissu sur arrière
</t>
  </si>
  <si>
    <r>
      <rPr>
        <sz val="12"/>
        <color theme="1"/>
        <rFont val="Work Sans"/>
      </rPr>
      <t xml:space="preserve">Avec ses motifs tropicaux, ce maillot est aussi joli que résistant et vous suit dans vos plongées ! 
Le grand + : il est éco-responsable puisqu'il est fabriqué à partir de fibres de polyester recyclées !
</t>
    </r>
    <r>
      <rPr>
        <b/>
        <sz val="12"/>
        <color theme="1"/>
        <rFont val="Work Sans"/>
      </rPr>
      <t xml:space="preserve">1 maillot = 20 bouteilles en plastique recyclées ! </t>
    </r>
  </si>
  <si>
    <t>100% polyester recyclé "Eco-Circle"</t>
  </si>
  <si>
    <t>2101MBEACH02</t>
  </si>
  <si>
    <t>Maillot de Bain Homme 02 Outback Boomerang</t>
  </si>
  <si>
    <r>
      <rPr>
        <sz val="12"/>
        <color theme="1"/>
        <rFont val="Work Sans"/>
      </rPr>
      <t xml:space="preserve">Avec son imprimé « boomerangs », ce maillot est original, résistant et prêt à vous suivre dans vos plongées ! 
Le grand + : il est éco-responsable puisqu'il est fabriqué à partir de fibres de polyester recyclées !
</t>
    </r>
    <r>
      <rPr>
        <b/>
        <sz val="12"/>
        <color theme="1"/>
        <rFont val="Work Sans"/>
      </rPr>
      <t xml:space="preserve">1 maillot = 20 bouteilles en plastique recyclées ! </t>
    </r>
  </si>
  <si>
    <t>2101MBEACH03</t>
  </si>
  <si>
    <t>Byron Bay Typo</t>
  </si>
  <si>
    <t>Maillot de Bain Homme 03 Byron Bay Typo</t>
  </si>
  <si>
    <r>
      <rPr>
        <sz val="12"/>
        <color theme="1"/>
        <rFont val="Work Sans"/>
      </rPr>
      <t xml:space="preserve">Avec toutes ces lettres imprimées, ce maillot est original, résistant et prêt à vous suivre dans vos plongées ! 
Le gros + : il est éco-responsable puisqu'il est fabriqué à partir de fibres de polyester recyclées !
</t>
    </r>
    <r>
      <rPr>
        <b/>
        <sz val="12"/>
        <color theme="1"/>
        <rFont val="Work Sans"/>
      </rPr>
      <t xml:space="preserve">1 maillot = 20 bouteilles en plastique recyclées ! </t>
    </r>
  </si>
  <si>
    <t>2101MBEACH04</t>
  </si>
  <si>
    <t>Byron Bay Jungle</t>
  </si>
  <si>
    <t>Maillot de Bain Homme 04 Byron Bay Jungle</t>
  </si>
  <si>
    <r>
      <rPr>
        <sz val="12"/>
        <color theme="1"/>
        <rFont val="Work Sans"/>
      </rPr>
      <t xml:space="preserve">Welcome to the jungle ! Ce maillot est aussi joli que résistant, et il est prêt à vous suivre dans vos plongées ! 
Le grand + : il est éco-responsable puisqu'il est fabriqué à partir de fibres de polyester recyclées !
</t>
    </r>
    <r>
      <rPr>
        <b/>
        <sz val="12"/>
        <color theme="1"/>
        <rFont val="Work Sans"/>
      </rPr>
      <t xml:space="preserve">1 maillot = 20 bouteilles en plastique recyclées ! </t>
    </r>
  </si>
  <si>
    <t>2101MBEACH05</t>
  </si>
  <si>
    <t>Maillot de Bain Homme 05 Queensland Palm Tree</t>
  </si>
  <si>
    <r>
      <rPr>
        <sz val="12"/>
        <color theme="1"/>
        <rFont val="Work Sans"/>
      </rPr>
      <t xml:space="preserve">Welcome to the jungle ! Ce maillot est aussi joli que résistant, et il est prêt à vous suivre dans vos plongées ! 
Le grand + : il est éco-responsable puisqu'il est fabriqué à partir de fibres de polyester recyclées !
</t>
    </r>
    <r>
      <rPr>
        <b/>
        <sz val="12"/>
        <color theme="1"/>
        <rFont val="Work Sans"/>
      </rPr>
      <t xml:space="preserve">1 maillot = 20 bouteilles en plastique recyclées ! </t>
    </r>
  </si>
  <si>
    <t>2101MBEACH06</t>
  </si>
  <si>
    <t>Queensland Jungle</t>
  </si>
  <si>
    <t>Maillot de Bain Homme 06 Queensland Jungle</t>
  </si>
  <si>
    <r>
      <rPr>
        <sz val="12"/>
        <color theme="1"/>
        <rFont val="Work Sans"/>
      </rPr>
      <t xml:space="preserve">Welcome to the jungle ! Ce maillot est aussi joli que résistant, et il est prêt à vous suivre dans vos plongées ! 
Le grand + : il est éco-responsable puisqu'il est fabriqué à partir de fibres de polyester recyclées !
</t>
    </r>
    <r>
      <rPr>
        <b/>
        <sz val="12"/>
        <color theme="1"/>
        <rFont val="Work Sans"/>
      </rPr>
      <t xml:space="preserve">1 maillot = 20 bouteilles en plastique recyclées ! 
</t>
    </r>
  </si>
  <si>
    <t>2101MBEACH07</t>
  </si>
  <si>
    <t>Maillot de Bain Homme 07 Cape Tribulation Parrots</t>
  </si>
  <si>
    <r>
      <rPr>
        <sz val="12"/>
        <color theme="1"/>
        <rFont val="Work Sans"/>
      </rPr>
      <t xml:space="preserve">Avec un imprimé aussi coloré et flamboyant, ce maillot vous emmène à la rencontre d'oiseaux multicolores sur les plages d'Australie !
Le grand + : il est éco-responsable puisqu'il est fabriqué à partir de fibres de polyester recyclées !
</t>
    </r>
    <r>
      <rPr>
        <b/>
        <sz val="12"/>
        <color theme="1"/>
        <rFont val="Work Sans"/>
      </rPr>
      <t xml:space="preserve">1 maillot = 20 bouteilles en plastique recyclées ! </t>
    </r>
  </si>
  <si>
    <t>BOXERS</t>
  </si>
  <si>
    <t>2101MBOXPACK01</t>
  </si>
  <si>
    <t>Sous-Vêtements Homme</t>
  </si>
  <si>
    <t>Duo-Boxers Homme 01 Outback Boomerang</t>
  </si>
  <si>
    <t xml:space="preserve">
- Lot de 2 boxers imprimés
- Coupe classique
- Toucher doux
- Taille élastiquée
- Doublure à l'avant
</t>
  </si>
  <si>
    <t xml:space="preserve">Un lot de 2 boxers aussi jolis que confortables avec des motifs « boomerangs » et « jungle ». </t>
  </si>
  <si>
    <t>95% coton 5% élasthanne</t>
  </si>
  <si>
    <t>2101MBOXPACK02</t>
  </si>
  <si>
    <t>Duo-Boxers Homme 02 Outback Kangaroo</t>
  </si>
  <si>
    <t xml:space="preserve">Un lot de 2 boxers aussi jolis que confortables avec des motifs « kangourous » et « jungle ». </t>
  </si>
  <si>
    <t>2101MBOXPACK03</t>
  </si>
  <si>
    <t>Byron Junk Food</t>
  </si>
  <si>
    <t>Duo-Boxers Homme 03 Byron Junk Food</t>
  </si>
  <si>
    <t xml:space="preserve">Un lot de 2 boxers aussi jolis que confortables avec des motifs « junk food » et « lettres ». </t>
  </si>
  <si>
    <t>2101MBOXPACK04</t>
  </si>
  <si>
    <t>Byron Palm Jungle</t>
  </si>
  <si>
    <t>Duo-Boxers Homme 04 Byron Palm Jungle</t>
  </si>
  <si>
    <t xml:space="preserve">Un lot de 2 boxers aussi jolis que confortables avec des motifs « cocotiers » et « jungle ». </t>
  </si>
  <si>
    <t>2101MBOXPACK05</t>
  </si>
  <si>
    <t>Queensland Palm Trees</t>
  </si>
  <si>
    <t>Duo-Boxers Homme 05 Queensland Palm Trees</t>
  </si>
  <si>
    <t xml:space="preserve">Un lot de 2 boxers aussi jolis que confortables avec un imprimé « jungle ». </t>
  </si>
  <si>
    <t>2101MBOXPACK06</t>
  </si>
  <si>
    <t>Duo-Boxers Homme 06 Cape Tribulation Birds</t>
  </si>
  <si>
    <t>CAP</t>
  </si>
  <si>
    <t xml:space="preserve"> </t>
  </si>
  <si>
    <t>2101MCAP01</t>
  </si>
  <si>
    <t>Casquette Homme</t>
  </si>
  <si>
    <t>Outback Bordeaux</t>
  </si>
  <si>
    <t>Casquette Homme 01 Outback Bordeaux</t>
  </si>
  <si>
    <t xml:space="preserve">
- Modèle casquette baseball uni
- Visière arrondie et renforcée, en velours côtelé
- Œillets brodés pour une meilleure aération de la tête
- Bande de propreté
- Fermeture en métal ajustable à l’arrière
- Patch J&amp;JOY brodé sur l’avant</t>
  </si>
  <si>
    <t xml:space="preserve">Cette casquette bleue marine, blanche et rouge est très agréable à porter.
Sa visière vous protège les yeux du soleil, et ses œillets d'aération sont pratiques pour que vous puissiez la porter toute l'année.
Le plus important : elle complète votre look avec style ! </t>
  </si>
  <si>
    <t>2101MCAP02</t>
  </si>
  <si>
    <t>Casquette Homme 02 Outback Navy</t>
  </si>
  <si>
    <t xml:space="preserve">Cette casquette bleue et camel est très agréable à porter.
Sa visière vous protège les yeux du soleil, et ses œillets d'aération sont pratiques pour que vous puissiez la porter toute l'année.
Le plus important : elle complète votre look avec style ! </t>
  </si>
  <si>
    <t>2101MCAP03</t>
  </si>
  <si>
    <t>Byron Bay</t>
  </si>
  <si>
    <t>Casquette Homme 03 Byron Bay</t>
  </si>
  <si>
    <t xml:space="preserve">Cette casquette et ses différents tons de bleus est très agréable à porter.
Son illustration à l'avant vous emmène sur les plages australiennes.
La visière vous protège les yeux du soleil, et les œillets d'aération sont pratiques pour que vous puissiez la porter toute l'année.
Le plus important : elle complète votre look avec style ! </t>
  </si>
  <si>
    <t>2101MCAP04</t>
  </si>
  <si>
    <t>Casquette Homme 04 Queensland Khaki</t>
  </si>
  <si>
    <t xml:space="preserve">Cette casquette multicolore et son design graphique est très agréable à porter.
Sa visière vous protège les yeux du soleil, et ses œillets d'aération sont pratiques pour que vous puissiez la porter toute l'année.
Le plus important : elle complète votre look avec style ! </t>
  </si>
  <si>
    <t>2101MCAP05</t>
  </si>
  <si>
    <t>Cape Tribulation</t>
  </si>
  <si>
    <t>Casquette Homme 05 Cape Tribulation</t>
  </si>
  <si>
    <t>2101MCAP06</t>
  </si>
  <si>
    <t>Portland</t>
  </si>
  <si>
    <t>Casquette Homme 06 Portland</t>
  </si>
  <si>
    <t xml:space="preserve">
- Modèle casquette baseball uni
- Visière arrondie et renforcée, en velours côtelé
- Œillets brodés pour une meilleure aération de la tête
- Bande de propreté
- Fermeture en métal ajustable à l’arrière
- Patch J&amp;JOY brodé sur l’avant</t>
  </si>
  <si>
    <t xml:space="preserve">Cette casquette rouge est très agréable à porter.
Sa visière vous protège les yeux du soleil, et ses œillets d'aération sont pratiques pour que vous puissiez la porter toute l'année.
Le plus important : elle complète votre look avec style ! </t>
  </si>
  <si>
    <t>2101, collection:toute la famille, collection:homme</t>
  </si>
  <si>
    <t>2101MCAP07</t>
  </si>
  <si>
    <t>Rhode Island Turquoise</t>
  </si>
  <si>
    <t>Casquette Homme 07 Rhode Island Turquoise</t>
  </si>
  <si>
    <t xml:space="preserve">Cette casquette bleu turquoise est très agréable à porter.
Sa visière vous protège les yeux du soleil, et ses œillets d'aération sont pratiques pour que vous puissiez la porter toute l'année.
Le plus important : elle complète votre look avec style ! </t>
  </si>
  <si>
    <t>2101MCAP08</t>
  </si>
  <si>
    <t>Rhode Island Lime</t>
  </si>
  <si>
    <t>Casquette Homme 08 Rhode Island Lime</t>
  </si>
  <si>
    <t>2101MCAP09</t>
  </si>
  <si>
    <t>Costa Rica</t>
  </si>
  <si>
    <t>Casquette Homme 09 Costa Rica</t>
  </si>
  <si>
    <t xml:space="preserve">Cette casquette bleue, rouge et grise est très agréable à porter.
Sa visière vous protège les yeux du soleil, et ses œillets d'aération sont pratiques pour que vous puissiez la porter toute l'année.
Le plus important : elle complète votre look avec style ! </t>
  </si>
  <si>
    <t>2101MCAP10</t>
  </si>
  <si>
    <t>Rhode Island Palm Trees</t>
  </si>
  <si>
    <t>Casquette Homme 10 Rhode Island Palm Trees</t>
  </si>
  <si>
    <t xml:space="preserve">Cette casquette bleu foncé et kaki à motifs palmiers est très agréable à porter.
Sa visière vous protège les yeux du soleil, et ses œillets d'aération sont pratiques pour que vous puissiez la porter toute l'année.
Le plus important : elle complète votre look avec style ! </t>
  </si>
  <si>
    <t>SNEAKERS</t>
  </si>
  <si>
    <t>2101MSN01</t>
  </si>
  <si>
    <t>Chaussures Homme</t>
  </si>
  <si>
    <t>Outback White</t>
  </si>
  <si>
    <t>Chaussures Homme 01 Outback White</t>
  </si>
  <si>
    <t xml:space="preserve">
- Talon plat
- Fermeture lacets
- Doublure textile
- Dessus similicuir blanc
- Semelle extérieure en caoutchouc
- Semelle intérieure en textile
- Imprimé J&amp;JOY sur la languette et sur le côté
- Patch J&amp;JOY au talon sur fond noir
- Label J&amp;JOY</t>
  </si>
  <si>
    <t xml:space="preserve">C'est le modèle de sneakers que vous aimez tant, et il est de retour dans de nouvelles couleurs ! 
Semelles en caoutchouc plates, rivets et détails rouges : ces sneakers sont aussi belles qu'agréables à porter, et vous assurent un grand confort tout au long de la journée. 
</t>
  </si>
  <si>
    <t>textile
caoutchouc</t>
  </si>
  <si>
    <t>2101MSN02</t>
  </si>
  <si>
    <t>Byron White</t>
  </si>
  <si>
    <t>Chaussures Homme 02 Byron White</t>
  </si>
  <si>
    <t xml:space="preserve">
- Talon plat
- Fermeture lacets/10 œillets
- Doublure textile
- Dessus avec touches en textile et synthétique
- Semelle extérieure en caoutchouc
- Semelle intérieure en textile
- Rayures sur le côté
- Imprimé J&amp;JOY sur la languette et sur le côté
- Patch J&amp;JOY au talon</t>
  </si>
  <si>
    <t xml:space="preserve">C'est le modèle de sneakers que vous aimez tant, et il est de retour dans de nouvelles couleurs ! 
Semelles en caoutchouc plates et finitions running : ces sneakers sont aussi belles qu'agréables à porter, et vous assurent un grand confort tout au long de la journée. 
</t>
  </si>
  <si>
    <t>2101MSN03</t>
  </si>
  <si>
    <t>Chaussures Homme 03 Queensland Khaki</t>
  </si>
  <si>
    <t xml:space="preserve">
- Talon plat
- Fermeture lacets/10 œillets
- Doublure textile
- Dessus avec touches imitation daim et synthétique
- Semelle extérieure en caoutchouc
- Semelle intérieure en textile
- Rayures sur le côté
- Imprimé J&amp;JOY sur la languette et sur le côté
- Patch J&amp;JOY au talon</t>
  </si>
  <si>
    <t xml:space="preserve">C'est le modèle de sneakers que vous aimez tant, et il est de retour dans de nouvelles couleurs ! 
Semelles en caoutchouc plates et finitions running : en bleu et kaki, ces sneakers sont aussi belles qu'agréables à porter, et vous assurent un grand confort tout au long de la journée. 
</t>
  </si>
  <si>
    <t>2101MSN04</t>
  </si>
  <si>
    <t>Chaussures Homme 04 Cape Tribulation Blue</t>
  </si>
  <si>
    <t xml:space="preserve">C'est le modèle de sneakers que vous aimez tant, et il est de retour dans de nouvelles couleurs ! 
Semelles en caoutchouc plate et finitions running : en bleu, rouge et blanc, ces sneakers sont aussi belles qu'agréables à porter, et vous assurent un grand confort tout au long de la journée. 
</t>
  </si>
  <si>
    <t>2101MSN05</t>
  </si>
  <si>
    <t>Rhode Island</t>
  </si>
  <si>
    <t>Chaussures Homme 05 Rhode Island</t>
  </si>
  <si>
    <t>2101MSN06</t>
  </si>
  <si>
    <t>Chaussures Homme 06 Portland</t>
  </si>
  <si>
    <t xml:space="preserve">C'est le modèle de sneakers que vous aimez tant, et il est de retour dans de nouvelles couleurs ! 
Semelles en caoutchouc plates et finitions running : en bleu, rouge et blanc, ces sneakers sont aussi belles qu'agréables à porter, et vous assurent un grand confort tout au long de la journée. 
</t>
  </si>
  <si>
    <t>textile
caoutchouc</t>
  </si>
  <si>
    <t>2101MSN07</t>
  </si>
  <si>
    <t>Chaussures Homme 07 Costa Rica</t>
  </si>
  <si>
    <t>2101MSN08</t>
  </si>
  <si>
    <t>Belgium</t>
  </si>
  <si>
    <t>Chaussures Homme 08 Belgium</t>
  </si>
  <si>
    <t xml:space="preserve">
- Talon plat
- Fermeture lacets/œillets tricolore sur le dessus (noir, jaune, rouge)
- Doublure textile
- Dessus similicuir blanc
- Semelle extérieure en caoutchouc
- Semelle intérieure en textile noir
- Imprimé J&amp;JOY sur la languette et sur le côté
- Patch J&amp;JOY au talon sur fond noir
- Label drapeau belge en tissu</t>
  </si>
  <si>
    <t xml:space="preserve">C'est le modèle de sneakers que vous aimez tant, et il est de retour dans de nouvelles couleurs ! 
Blanches avec un petit drapeau noir, jaune et rouge, ces sneakers sont aussi belles qu'agréables à porter, et vous assurent un grand confort tout au long de la journée. C'est LE modèle indémodable par excellente, facile à porter avec tout.
</t>
  </si>
  <si>
    <t>Blanc</t>
  </si>
  <si>
    <t>similicuir textile caoutchouc</t>
  </si>
  <si>
    <t>GARCONS</t>
  </si>
  <si>
    <t>POLOS</t>
  </si>
  <si>
    <t>2101BPL01</t>
  </si>
  <si>
    <t>Garçon</t>
  </si>
  <si>
    <t>Polo Garçon</t>
  </si>
  <si>
    <t>Polo Garçon 01 Outback Circles</t>
  </si>
  <si>
    <t xml:space="preserve">Avec ses motifs en pointillés inspirés de l'art aborigène australien, ce polo bleu aux détails rouges est le polo idéal pour cet été. À porter sur un jeans ou un short, il donne aux garçons un style à la fois classique et original.  </t>
  </si>
  <si>
    <t>2101, collection:toute la famille, collection:garçon, destination:Outback</t>
  </si>
  <si>
    <t>2101BPL02</t>
  </si>
  <si>
    <t>Polo Garçon 02 Outback Deep Blue</t>
  </si>
  <si>
    <t>Avec du bleu peps, des détails rouges et un dessin dans le dos qui invite à découvrir l'Australie, ce polo a tout bon !</t>
  </si>
  <si>
    <t>2101BPL03</t>
  </si>
  <si>
    <t>Polo Garçon 03 Outback Blue Kangoo</t>
  </si>
  <si>
    <t>Bienvenue en Australie ! Avec ce motif triangulaire qui représente les panneaux routiers que l'on croise partout dans le pays des kangourous, on s'imagine déjà en plein road-trip australien ! Enfilez votre polo et bouclez votre ceinture, on part à l'aventure !</t>
  </si>
  <si>
    <t>2101BPL04</t>
  </si>
  <si>
    <t>Polo Garçon 04 Outback Fiery Coral</t>
  </si>
  <si>
    <t xml:space="preserve">Ce rouge corail intense nous rappelle les vastes pleines de l'Outback, l'arrière-pays australien. Porté sur un jeans avec un sweat bleu, ce polo vous donne un look dynamique en toutes circonstances.  </t>
  </si>
  <si>
    <t>ruge</t>
  </si>
  <si>
    <t>2101BPL05</t>
  </si>
  <si>
    <t>Polo Garçon 05 Outback Red Sand</t>
  </si>
  <si>
    <t>Une couleur forte qui ravive le teint ! Ce rouge profond rend hommage au monolithe de roche rouge d'Uluru, dans l'arrière-pays australien, et booste le look des garçons !</t>
  </si>
  <si>
    <t>2101BPL06</t>
  </si>
  <si>
    <t>Polo Garçon 06 Outback Navy Leaves</t>
  </si>
  <si>
    <t xml:space="preserve">Cet imprimé « feuilles » et son mélange de tons rouges et bleus vous emmènent dans la nature Australienne ! Avec ce polo, à vous le look qui sort du lot !
Le petit + : il est facile à assortir ! Bleu, rouge, brun, beige ou bordeaux... Tout lui va ! </t>
  </si>
  <si>
    <t>2101BPL07</t>
  </si>
  <si>
    <t>Polo Garçon 07 Byron Bay Blue</t>
  </si>
  <si>
    <t xml:space="preserve">
- Coupe droite
- Col polo côtelé avec liseré contrasté
- Rib stylisé dans l'intérieur du col
- Patte de boutonnage à deux boutons
- Manches courtes
- Bas de manches côtelés avec liserés contrastés
- Fentes sur les côtés
- Logo J&amp;JOY sur la poitrine
- Broderie stylisée dans le dos
</t>
  </si>
  <si>
    <t>Il a l'âme d'un surfeur ? Alors ce polo est pour lui ! Avec son bleu pastel et ses détails roses, ce polo est parfait pour une journée plage à Byron Bay, en Australie. N'oubliez pas votre planche de surf et vos lunettes de soleil !</t>
  </si>
  <si>
    <t>2101, collection:toute la famille, collection:garçon, destination:Byron Bay</t>
  </si>
  <si>
    <t>2101BPL08</t>
  </si>
  <si>
    <t>Polo Garçon 08 Byron Bay Surf</t>
  </si>
  <si>
    <t>Des planches de surf imprimées et des couleurs acidulées... Avec ce polo, on se croirait déjà prêts à surfer en Australie ! 
Que ce soit pour twister un look classique ou pour compléter une tenue 100% fun, ce polo coloré est parfait !</t>
  </si>
  <si>
    <t>2101BPL09</t>
  </si>
  <si>
    <t>Polo Garçon 09 Byron Bay Fushia</t>
  </si>
  <si>
    <t>2101BPL10</t>
  </si>
  <si>
    <t>Polo Garçon 10 Byron Bay Yellow</t>
  </si>
  <si>
    <t>Avec son jaune pastel et son dessin dans le dos, ce polo est la pièce indispensable dans la garde-robe du surfeur australien ! N'oubliez pas votre planche !</t>
  </si>
  <si>
    <t>2101BPL11</t>
  </si>
  <si>
    <t>Byron Bay Turquoise</t>
  </si>
  <si>
    <t>Polo Garçon 11 Byron Bay Turquoise</t>
  </si>
  <si>
    <t xml:space="preserve">Ce bleu pastel et acidilué va bien à tous les teints ! Une couleur aussi jolie que facile à porter en toutes circonstances, des bancs de l'école à une après-midi entre amis ! </t>
  </si>
  <si>
    <t>2101BPL12</t>
  </si>
  <si>
    <t>Polo Garçon 12 Queensland Navy Palm</t>
  </si>
  <si>
    <t xml:space="preserve">
- Coupe droite
- Col polo côtelé avec liseré contrasté
- Rib stylisé dans l'intérieur du col
- Patte de boutonnage à deux boutons
- Manches courtes
- Bas de manches côtelés avec liserés contrastés
- Fentes sur les côtés
- Logo J&amp;JOY sur la manche</t>
  </si>
  <si>
    <t xml:space="preserve">Un motif « jungle », des tons verts sur un bleu profond : bienvenue dans la Rain Forest en Australie ! 
Ce polo conviendra à tous ceux qui ont une âme d'aventurier ! 
Le + : le même polo est disponible pour les papas baroudeurs, à vous les looks père / fils assortis ! </t>
  </si>
  <si>
    <t>2101, collection:toute la famille, collection:garçon, destination:Queensland</t>
  </si>
  <si>
    <t>2101BPL13</t>
  </si>
  <si>
    <t>Polo Garçon 13 Queensland Sunny Lime</t>
  </si>
  <si>
    <t xml:space="preserve">Ce polo vert lime dynamise tous les looks ! Une couleur originale et dont on ne se lasse pas ! </t>
  </si>
  <si>
    <t>2101BPL14</t>
  </si>
  <si>
    <t>Queensland Turtles</t>
  </si>
  <si>
    <t>Polo Garçon 14 Queensland Turtles</t>
  </si>
  <si>
    <t xml:space="preserve">Tortues, palmiers et rochers... Bouclez vos valises, ce polo vous emmène sur une île australienne ! </t>
  </si>
  <si>
    <t>2101BPL15</t>
  </si>
  <si>
    <t>Polo Garçon 15 Queensland Khaki</t>
  </si>
  <si>
    <t xml:space="preserve">Ce motif graphique qui évoque les palmiers nous emmène dans la forêt tropicale australienne ! Le gris et le kaki de ce polo sont réhaussés d'un vert lime, pour un résultat original et peps !  </t>
  </si>
  <si>
    <t>2101BPL16</t>
  </si>
  <si>
    <t>Polo Garçon 16 Queensland Leaves</t>
  </si>
  <si>
    <t>2101BPL17</t>
  </si>
  <si>
    <t>Polo Garçon 17 Cape Tribulation Orange</t>
  </si>
  <si>
    <t xml:space="preserve">Un orange vif, des épaules et un col travaillés dans les moindres détails et un dessin dans le dos qui évoque les oiseaux exceptionnels qu'on rencontre à Cape Tribulation... Bienvenue en Australie avec un polo qui fait vibrer votre style ! </t>
  </si>
  <si>
    <t>2101, collection:toute la famille, collection:garçon, destination:Cape Tribulation</t>
  </si>
  <si>
    <t>2101BPL18</t>
  </si>
  <si>
    <t>Polo Garçon 18 Cape Tribulation Koala</t>
  </si>
  <si>
    <t xml:space="preserve">Le plus mignon des animaux australiens s'installe sur votre polo. 
Avec ce motif koala, on vous prévient : il est possible que vos proches aient envie de vous faire un câlin ! </t>
  </si>
  <si>
    <t>2101BPL19</t>
  </si>
  <si>
    <t>Polo Garçon 19 Cape Tribulation Forest</t>
  </si>
  <si>
    <t xml:space="preserve">La nature dense et fleurie de Cape Tribulation, en Australie, s'invite sur ce polo original pour une dégaine cool, tendance et assumée. </t>
  </si>
  <si>
    <t>2101BPL20</t>
  </si>
  <si>
    <t>Polo Garçon 20 Cape Tribulation Mini Birds</t>
  </si>
  <si>
    <t xml:space="preserve">L'Australie n'a pas que des marsupiaux à vous faire découvrir ! Ce pays exceptionnel est aussi survolé de magnifiques oiseaux colorés. En voici un qui s'est posé sur un polo bleu foncé.
Une pièce originale et unique, qui colore votre garde-robe. </t>
  </si>
  <si>
    <t>2101BPL21</t>
  </si>
  <si>
    <t>Polo Garçon 21 Icon Lime</t>
  </si>
  <si>
    <t xml:space="preserve">
- Coupe droite
- Col polo côtelé, liséré gris
- Rib stylisé dans l'intérieur du col
- Patte de boutonnage à deux boutons
- Manches courtes
- Bas de manches côtelés, liséré gris
- Fentes sur les côtés
- Logo J&amp;JOY brodé sur la poitrine</t>
  </si>
  <si>
    <t>Pas de motifs ni d'artifices, ce polo « Essential » jaune n'a besoin de rien d'autre que de sa couleur vive et audacieuse, affichée sans complexe. Dans une palette de tons fluo, cette collection propose les basiques essentiels pour des looks d'été réussis.</t>
  </si>
  <si>
    <t>35% coton
65% polyester</t>
  </si>
  <si>
    <t>2101, collection:toute la famille, collection:garçon</t>
  </si>
  <si>
    <t>2101BPL22</t>
  </si>
  <si>
    <t>Polo Garçon 22 Icon Turquoise</t>
  </si>
  <si>
    <t>Pas de motifs ni d'artifices, ce polo « Essential » bleu n'a besoin de rien d'autre que de sa couleur vive et audacieuse, affichée sans complexe. Dans une palette de tons fluo, cette collection propose les basiques essentiels pour des looks d'été réussis.</t>
  </si>
  <si>
    <t>2101BPL23</t>
  </si>
  <si>
    <t>Polo Garçon 23 Icon Orange</t>
  </si>
  <si>
    <t>Pas de motifs ni d'artifices, ce polo « Essential » orange n'a besoin de rien d'autre que de sa couleur vive et audacieuse, affichée sans complexe. Dans une palette de tons fluo, cette collection propose les basiques essentiels pour des looks d'été réussis.</t>
  </si>
  <si>
    <t>2101BPL24</t>
  </si>
  <si>
    <t>Polo Garçon 24 Icon Corail</t>
  </si>
  <si>
    <t>Pas de motifs ni d'artifices, ce polo « Essential » rouge n'a besoin de rien d'autre que de sa couleur vive et audacieuse, affichée sans complexe. Dans une palette de tons fluo, cette collection propose les basiques essentiels pour des looks d'été réussis.</t>
  </si>
  <si>
    <t>2101BPL25</t>
  </si>
  <si>
    <t>Polo Garçon 25 Icon Navy</t>
  </si>
  <si>
    <t>2101BTEE01</t>
  </si>
  <si>
    <t>T-Shirt Garçon</t>
  </si>
  <si>
    <t>Outback Fiery</t>
  </si>
  <si>
    <t>T-Shirt Garçon 01 Outback Fiery</t>
  </si>
  <si>
    <t xml:space="preserve">Direction les territoires arides du nord de l'Australie pour une collection aussi originale qu'intense ! Ce t-shirt rouge et sa carte de l'Outback australien vous font voyager vers de nouvelles contrées.  </t>
  </si>
  <si>
    <t>2101BTEE02</t>
  </si>
  <si>
    <t>T-Shirt Garçon 02 Outback Blue White</t>
  </si>
  <si>
    <t xml:space="preserve">Un t-shirt original, coloré et facile à porter autant au printemps qu'en été. Avec ses bandes de couleurs superposées et son illustration de l'Outback australien, vous avez trouvé l'élément fort de votre tenue. </t>
  </si>
  <si>
    <t>2101BTEE03</t>
  </si>
  <si>
    <t>T-Shirt Garçon 03 Outback Red Jacquard</t>
  </si>
  <si>
    <t>Ce n'est pas qu'un beau t-shirt rouge, c'est aussi un hommage au « pointillisme », cet art ancestral aborigène spécifique à l'Australie. On adore ce motif en pointillés, ce rouge chaud et les nombreux détails de ce haut !</t>
  </si>
  <si>
    <t>2101BTEE04</t>
  </si>
  <si>
    <t>T-Shirt Garçon 04 Outback Navy Leaves</t>
  </si>
  <si>
    <t>Art rupestre ? Motif jungle ? Un mix de tout cela !
Ce t-shirt ne manque pas d'originalité, et booste votre look d'été !</t>
  </si>
  <si>
    <t>2101BTEE05</t>
  </si>
  <si>
    <t>T-Shirt Garçon 05 Outback Boomerang</t>
  </si>
  <si>
    <t xml:space="preserve">Le boomerang est l'un des grands symboles de l'Australie. Utilisé à l'origine par les aborigènes pour chasser ou creuser la terre, cet objet est aujourd'hui un élément de décoration très prisé et un sport pratiqué aux quatre coins du monde.
Il s'illustre sur ce t-shirt blanc ligné, joli et un brin décalé. </t>
  </si>
  <si>
    <t>2101BTEE06</t>
  </si>
  <si>
    <t>T-Shirt Garçon 06 Byron Bay Blue</t>
  </si>
  <si>
    <t xml:space="preserve">Un t-shirt bleu pastel avec des notes vibrantes de rose, c'est ce qu'il nous faut pour profiter d'un été joyeux et coloré ! </t>
  </si>
  <si>
    <t>2101, collection:toute la famille, collection:garçon, destination:</t>
  </si>
  <si>
    <t>2101BTEE07</t>
  </si>
  <si>
    <t>T-Shirt Garçon 07 Byron Bay Navy</t>
  </si>
  <si>
    <t>2101BTEE08</t>
  </si>
  <si>
    <t>T-Shirt Garçon 08 Byron Bay Fushia</t>
  </si>
  <si>
    <t xml:space="preserve">Cet été, on prend la vague et on profite de longues journées ensoleillées ! </t>
  </si>
  <si>
    <t>2101BTEE09</t>
  </si>
  <si>
    <t>T-Shirt Garçon 09 Byron Bay Junk Food</t>
  </si>
  <si>
    <t xml:space="preserve">Après une belle journée à profiter du soleil avec les copains, un burger, ça nous tente assez bien !
Ce t-shirt aux motifs colorés va avec tout et vous garantit un look fun et gentiment décalé. </t>
  </si>
  <si>
    <t>2101BTEE10</t>
  </si>
  <si>
    <t>T-Shirt Garçon 10 Byron Bay Palm Pic</t>
  </si>
  <si>
    <t>Pas de doute, avec ce t-shirt vous laissez parler votre âme de surfeur !</t>
  </si>
  <si>
    <t>2101BTEE11</t>
  </si>
  <si>
    <t>T-Shirt Garçon 11 Byron Bay Yellow Beach</t>
  </si>
  <si>
    <t>2101BTEE12</t>
  </si>
  <si>
    <t>T-Shirt Garçon 12 Queensland Coconut</t>
  </si>
  <si>
    <t xml:space="preserve">Un motif « jungle », des tons verts sur un bleu profond : bienvenue dans la Rain Forest en Australie ! 
Ce t-shirt ravira tous ceux qui ont une âme d'aventurier ! 
Le + : le même t-shirt est aussi disponible pour les papas baroudeurs ! </t>
  </si>
  <si>
    <t>2101BTEE13</t>
  </si>
  <si>
    <t>T-Shirt Garçon 13 Queensland Yellow Crocs</t>
  </si>
  <si>
    <t>2101BTEE14</t>
  </si>
  <si>
    <t>Queensland Navy Crocs</t>
  </si>
  <si>
    <t>T-Shirt Garçon 14 Queensland Navy Crocs</t>
  </si>
  <si>
    <t xml:space="preserve">Dans la Forêt de Daintree, en Australie, attention à ne pas marcher sur la queue d'un crocodile ! </t>
  </si>
  <si>
    <t>2101BTEE15</t>
  </si>
  <si>
    <t>T-Shirt Garçon 15 Queensland Bonrepos</t>
  </si>
  <si>
    <t xml:space="preserve">Plage, tortues et cocotiers... Un t-shirt parfait pour booster les looks de cet été ! </t>
  </si>
  <si>
    <t>2101BTEE16</t>
  </si>
  <si>
    <t>T-Shirt Garçon 16 Queensland Green</t>
  </si>
  <si>
    <t>Avec ce t-shirt vert profond, on se promène incognito dans la forêt tropicale de Daintree pour observer les crocodiles et marsupiaux !</t>
  </si>
  <si>
    <t>2101BTEE17</t>
  </si>
  <si>
    <t>T-Shirt Garçon 17 Cape Tribulation Blue Tide</t>
  </si>
  <si>
    <t>Bienvenue à Cape Tribulation, un lieu extraordinaire où l'on peut découvrir une nature brute et colorée.
Ce bleu / vert très moderne mêlé à des touches d'orange peps, c'est la combinaison parfaite pour un t-shirt qui illumine votre garde-robe !</t>
  </si>
  <si>
    <t>2101BTEE18</t>
  </si>
  <si>
    <t>T-Shirt Garçon 18 Cape Tribulation Orange</t>
  </si>
  <si>
    <t>2101BTEE19</t>
  </si>
  <si>
    <t>T-Shirt Garçon 19 Cape Tribulation Blue Parrots</t>
  </si>
  <si>
    <t>2101BSWT01</t>
  </si>
  <si>
    <t>Sweatshirt Garçon</t>
  </si>
  <si>
    <t>Sweatshirt Garçon 01 Outback Fiery</t>
  </si>
  <si>
    <t xml:space="preserve">
- Coupe droite
- Capuche avec cordon de serrage contrasté
- Bord côtelé et stylisé dans le col
- Bords et poignets côtelés stretch
- Manches longues
- Poche kangourou
- Motif imprimé
- Logo J&amp;JOY sur le cœur
- Patch J&amp;JOY sur l’épaule</t>
  </si>
  <si>
    <t xml:space="preserve">Ce sweat à capuche est aussi beau que confortable. Avec son rouge intense et son illustration qui nous fait voyager en Australie, on a le teint réchauffé et un look cool assumé ! </t>
  </si>
  <si>
    <t>2101BSWT02</t>
  </si>
  <si>
    <t>Outback Navy Blue Ecru</t>
  </si>
  <si>
    <t>Sweatshirt Garçon 02 Outback Navy Blue Ecru</t>
  </si>
  <si>
    <t xml:space="preserve">
- Coupe droite
- Zippé
- Capuche avec cordon de serrage contrasté
- Bord côtelé et stylisé dans le col
- Bords et poignets côtelés stretch
- Manches longues
- Poche kangourou
- Quadricolore
- Logo J&amp;JOY sur le cœur</t>
  </si>
  <si>
    <t xml:space="preserve">Ce sweat, c'est celui qui booste les looks en toute simplicité ! Porté sur un jeans avec des sneakers et un t-shirt rouge, blanc ou bleu, il fait tout son effet ! </t>
  </si>
  <si>
    <t>2101BSWT03</t>
  </si>
  <si>
    <t>Sweatshirt Garçon 03 Outback Red Crewneck</t>
  </si>
  <si>
    <t xml:space="preserve">Le sweat col rond, c'est l'indispensable du moment ! Dans sa matière confortable et avec son rouge flamboyant, ce sweat booste l'allure et réchauffe les soirées d'été. </t>
  </si>
  <si>
    <t>2101BSWT04</t>
  </si>
  <si>
    <t>Sweatshirt Garçon 04 Outback Navy Zip</t>
  </si>
  <si>
    <t>2101BSWT05</t>
  </si>
  <si>
    <t>Sweatshirt Garçon 05 Byron Bay Blue</t>
  </si>
  <si>
    <t>Un beau bleu, une coupe classique et un modèle facile à porter en toutes circonstances, le tout agrémenté de nombreux détails colorés rappelant la plage de Byron Bay... Une pièce essentielle à ajouter à son dressing !</t>
  </si>
  <si>
    <t>2101BSWT06</t>
  </si>
  <si>
    <t>Byron Baygrey</t>
  </si>
  <si>
    <t>Sweatshirt Garçon 06 Byron Bay grey</t>
  </si>
  <si>
    <t>Des planches de surf et des cocotiers ornent ce sweat à capuche aussi confortable que joli. 
Le + : avec ces motifs, cette pièce apporte un peu de joie à tous les looks !</t>
  </si>
  <si>
    <t>2101BSWT07</t>
  </si>
  <si>
    <t>Sweatshirt Garçon 07 Byron Bay Snow Blue</t>
  </si>
  <si>
    <t xml:space="preserve">De la couleur, des lignes, une coupe confortable et une matière agréable : avec ce sweat, on a tous les ingrédients pour être aussi cools que les surfeurs australiens de Byron Bay ! </t>
  </si>
  <si>
    <t>2101BSWT08</t>
  </si>
  <si>
    <t>Sweatshirt Garçon 08 Queensland Leaves Crewneck</t>
  </si>
  <si>
    <t xml:space="preserve">Un imprimé jungle, un col rond et une matière super agréable : on donne un 10/10 à ce sweat ! </t>
  </si>
  <si>
    <t>2101BSWT09</t>
  </si>
  <si>
    <t>Sweatshirt Garçon 09 Queensland Lime</t>
  </si>
  <si>
    <t xml:space="preserve">Ce jaune lime, c'est la dose de vitamines qu'on vous recommande pour entamer une bonne journée ! </t>
  </si>
  <si>
    <t>2101BSWT10</t>
  </si>
  <si>
    <t>Sweatshirt Garçon 10 Queensland Stripes</t>
  </si>
  <si>
    <t xml:space="preserve">Simple, efficace, et super joli : ce sweat tendance « marinière » est agrémenté de détails vert lime. Idéal à porter avec un jeans et des sneakers blanches ! 
Notre coup de coeur : le fils et le père assortis ! Ce sweat est disponible pour les grands et les petits. </t>
  </si>
  <si>
    <t>2101BSWT11</t>
  </si>
  <si>
    <t>Sweatshirt Garçon 11 Queensland Navy Cardigan</t>
  </si>
  <si>
    <t>2101BSWT12</t>
  </si>
  <si>
    <t>Sweatshirt Garçon 12 Cape Tribulation Orange</t>
  </si>
  <si>
    <t>Orange</t>
  </si>
  <si>
    <t>2101BSWT13</t>
  </si>
  <si>
    <t>Sweatshirt Garçon 13 Icon Lime</t>
  </si>
  <si>
    <t>Jaune</t>
  </si>
  <si>
    <t>2101BSWT14</t>
  </si>
  <si>
    <t>Sweatshirt Garçon 14 Icon Turquoise</t>
  </si>
  <si>
    <t>Turquoise</t>
  </si>
  <si>
    <t>75% coton
25% polyester</t>
  </si>
  <si>
    <t>2101BSWT15</t>
  </si>
  <si>
    <t>Sweatshirt Garçon 15 Icon Orange</t>
  </si>
  <si>
    <t>2101BSWT16</t>
  </si>
  <si>
    <t>Sweatshirt Garçon 16 Icon Corail</t>
  </si>
  <si>
    <t>Corail</t>
  </si>
  <si>
    <t>2101BSWT17</t>
  </si>
  <si>
    <t>Sweatshirt Garçon 17 Icon Navy</t>
  </si>
  <si>
    <t>2101BSHIRT01</t>
  </si>
  <si>
    <t>Chemise Garçon</t>
  </si>
  <si>
    <t>Chemise Garçon 01 Outback Kangaroo</t>
  </si>
  <si>
    <t xml:space="preserve">Kangourous en vue ! Avec cette chemise à motifs, vous ne passez pas inaperçu. </t>
  </si>
  <si>
    <t>2101BSHIRT02</t>
  </si>
  <si>
    <t>Chemise Garçon 02 Byron Bay Jungle</t>
  </si>
  <si>
    <t xml:space="preserve">Cette chemise à imprimé jungle et aux couleurs acidulées est la pièce idéale pour un look d'été typiquement australien !
À porter avec un jeans, un pantalon chino ou un short coloré pour une tenue à la fois chic et décontractée. </t>
  </si>
  <si>
    <t>2101BSHIRT03</t>
  </si>
  <si>
    <t>Byron Bay Cool Stripes</t>
  </si>
  <si>
    <t>Chemise Garçon 03 Byron Bay Cool Stripes</t>
  </si>
  <si>
    <t xml:space="preserve">Simple et super originale à la fois, cette chemise blanche lignée avec des motifs éclairs et palmiers ne manquera pas de réveiller les looks endormis ! </t>
  </si>
  <si>
    <t>2101BSHIRT04</t>
  </si>
  <si>
    <t>Chemise Garçon 04 Cape Tribulation Parrots</t>
  </si>
  <si>
    <t xml:space="preserve">Avec ses oiseaux à la crinière orange flamboyante, cette chemise ne manque pas de dynamiser une tenue !
Parfaite pour être stylé en toutes circonstances, elle ira aussi bien avec un jeans qu'un pantalon chino et un pull orange ou bleu. </t>
  </si>
  <si>
    <t>2101BJACK01</t>
  </si>
  <si>
    <t>Veste Garçon</t>
  </si>
  <si>
    <t>Veste Garçon 01 Outback Bone Brown</t>
  </si>
  <si>
    <t xml:space="preserve">
- Veste coupe-vent légère à enfiler
- Coupe droite 
- Manches longues
- Ouverture zippée
- Capuche avec cordon élastique de serrage contrasté
- Poches latérales zippées
- Poignet stretch 
- Logo J&amp;JOY imprimé sur le cœur
- Badge J&amp;JOY sur l’épaule
- Logo en tissu J&amp;JOY sur le bas
</t>
  </si>
  <si>
    <t xml:space="preserve">Non seulement cette veste coupe-vent brune / camel vous protège du froid, mais en plus sa couleur va avec tout !
 </t>
  </si>
  <si>
    <t>2101BJACK02</t>
  </si>
  <si>
    <t>Queensland</t>
  </si>
  <si>
    <t>Veste Garçon 02 Queensland</t>
  </si>
  <si>
    <t xml:space="preserve">Originale avec ses bras en matière sweatshirt et ses touches de jaune lime, cette veste vous protège du froid. </t>
  </si>
  <si>
    <t>2101BCRG01</t>
  </si>
  <si>
    <t>Short Garçon</t>
  </si>
  <si>
    <t>Short Cargo Garçon 01 Vintage Indigo</t>
  </si>
  <si>
    <t xml:space="preserve">
- Braguette zippée et boutonnée
- Deux poches avant + deux poches sur les cuisses
- Deux poches arrière
- Passants de ceinture
- Boutons extenseurs sur les côtés
- Logo J&amp;JOY discret en tissu sur l'arrière
</t>
  </si>
  <si>
    <t>2101, collection:toute la famille, collection:garçon, destination:Outback, destination:Byron Bay, destination:Queensland, destination:Cape Tribulation</t>
  </si>
  <si>
    <t>2101BCRG02</t>
  </si>
  <si>
    <t>Short Cargo Garçon 02 Cordovan</t>
  </si>
  <si>
    <t>2101BCRG03</t>
  </si>
  <si>
    <t>Short Cargo Garçon 03 Navy</t>
  </si>
  <si>
    <t>2101BCRG04</t>
  </si>
  <si>
    <t>Short Cargo Garçon 04 Grey</t>
  </si>
  <si>
    <t xml:space="preserve">
- Braguette zippée et boutonnée
- Deux poches avant + deux poches sur les cuisses
- Deux poches arrière
- Passants de ceinture
- Boutons extenseurs sur les côtés
- Logo J&amp;JOY discret en tissu sur l'arrière</t>
  </si>
  <si>
    <t>2101BCRG05</t>
  </si>
  <si>
    <t>Short Cargo Garçon 05 Beige</t>
  </si>
  <si>
    <t>2101BCRG06</t>
  </si>
  <si>
    <t>Short Cargo Garçon 06 Khaki</t>
  </si>
  <si>
    <t>2101BS5P01</t>
  </si>
  <si>
    <t>Short Garçon 01</t>
  </si>
  <si>
    <t>coton
élasthanne</t>
  </si>
  <si>
    <t>2101BS5P02</t>
  </si>
  <si>
    <t>Short Garçon 02</t>
  </si>
  <si>
    <t>2101BS5P03</t>
  </si>
  <si>
    <t>Short Garçon 03</t>
  </si>
  <si>
    <t>2101BLEBU01</t>
  </si>
  <si>
    <t>Pantalon Garçon</t>
  </si>
  <si>
    <t>Pantalon Garçon 01</t>
  </si>
  <si>
    <t xml:space="preserve">C'est le jeans parfait pour des tenues aussi bien décontractées qu'habillées. Sa coupe regular promet le plus grand des conforts. </t>
  </si>
  <si>
    <t>2101BLEBU02</t>
  </si>
  <si>
    <t>Pantalon Garçon 02</t>
  </si>
  <si>
    <t>2101BLEBU03</t>
  </si>
  <si>
    <t>Pantalon Garçon 03</t>
  </si>
  <si>
    <t>2101BLEBU04</t>
  </si>
  <si>
    <t>Pantalon Garçon 04</t>
  </si>
  <si>
    <t>2101BBEACH01</t>
  </si>
  <si>
    <t>Maillot Garçon</t>
  </si>
  <si>
    <t>Maillot de Bain Garçon 01 Outback Jungle</t>
  </si>
  <si>
    <r>
      <rPr>
        <sz val="12"/>
        <color theme="1"/>
        <rFont val="Work Sans"/>
      </rPr>
      <t xml:space="preserve">Avec ses motifs tropicaux, ce maillot est aussi joli que résistant et vous suit dans vos plongées ! 
Le grand + : il est éco-responsable puisqu'il est fabriqué à partir de fibres de polyester recyclées !
</t>
    </r>
    <r>
      <rPr>
        <b/>
        <sz val="12"/>
        <color theme="1"/>
        <rFont val="Work Sans"/>
      </rPr>
      <t xml:space="preserve">1 maillot = 20 bouteilles en plastique recyclées ! 
</t>
    </r>
    <r>
      <rPr>
        <sz val="12"/>
        <color theme="1"/>
        <rFont val="Work Sans"/>
      </rPr>
      <t xml:space="preserve">Disponible aussi pour adulte pour des looks père / fils assortis ! </t>
    </r>
  </si>
  <si>
    <t>2101BBEACH02</t>
  </si>
  <si>
    <t>Maillot de Bain Garçon 02 Outback Boomerang</t>
  </si>
  <si>
    <r>
      <rPr>
        <sz val="12"/>
        <color theme="1"/>
        <rFont val="Work Sans"/>
      </rPr>
      <t xml:space="preserve">Avec son imprimé « boomerangs », ce maillot est original, résistant et prêt à vous suivre dans vos plongées ! 
Le grand + : il est éco-responsable puisqu'il est fabriqué à partir de fibres de polyester recyclées !
</t>
    </r>
    <r>
      <rPr>
        <b/>
        <sz val="12"/>
        <color theme="1"/>
        <rFont val="Work Sans"/>
      </rPr>
      <t xml:space="preserve">1 maillot = 20 bouteilles en plastique recyclées ! </t>
    </r>
  </si>
  <si>
    <t>2101BBEACH03</t>
  </si>
  <si>
    <t>Maillot de Bain Garçon 03 Byron Bay Typo</t>
  </si>
  <si>
    <r>
      <rPr>
        <sz val="12"/>
        <color theme="1"/>
        <rFont val="Work Sans"/>
      </rPr>
      <t xml:space="preserve">Avec toutes ces lettres imprimées, ce maillot est original, résistant et prêt à vous suivre dans vos plongées ! 
Le grand + : il est éco-responsable puisqu'il est fabriqué à partir de fibres de polyester recyclées !
</t>
    </r>
    <r>
      <rPr>
        <b/>
        <sz val="12"/>
        <color theme="1"/>
        <rFont val="Work Sans"/>
      </rPr>
      <t>1 maillot = 20 bouteilles en plastique recyclées !</t>
    </r>
    <r>
      <rPr>
        <sz val="12"/>
        <color theme="1"/>
        <rFont val="Work Sans"/>
      </rPr>
      <t xml:space="preserve"> 
Disponible aussi pour adulte pour des looks père / fils assortis ! </t>
    </r>
  </si>
  <si>
    <t>2101BBEACH04</t>
  </si>
  <si>
    <t>Maillot de Bain Garçon 04 Byron Bay Jungle</t>
  </si>
  <si>
    <r>
      <rPr>
        <sz val="12"/>
        <color theme="1"/>
        <rFont val="Work Sans"/>
      </rPr>
      <t xml:space="preserve">Welcome to the jungle ! Ce maillot est aussi joli que résistant, et il est prêt à vous suivre dans vos plongées ! 
Le grand + : il est éco-responsable puisqu'il est fabriqué à partir de fibres de polyester recyclées !
</t>
    </r>
    <r>
      <rPr>
        <b/>
        <sz val="12"/>
        <color theme="1"/>
        <rFont val="Work Sans"/>
      </rPr>
      <t xml:space="preserve">1 maillot = 20 bouteilles en plastique recyclées ! 
</t>
    </r>
    <r>
      <rPr>
        <sz val="12"/>
        <color theme="1"/>
        <rFont val="Work Sans"/>
      </rPr>
      <t xml:space="preserve">Disponible aussi pour adulte pour des looks père / fils assortis ! </t>
    </r>
  </si>
  <si>
    <t>2101BBEACH05</t>
  </si>
  <si>
    <t>Maillot de Bain Garçon 05 Queensland Palm Tree</t>
  </si>
  <si>
    <r>
      <rPr>
        <sz val="12"/>
        <color theme="1"/>
        <rFont val="Work Sans"/>
      </rPr>
      <t xml:space="preserve">Welcome to the jungle ! Ce maillot est aussi joli que résistant, et il est prêt à vous suivre dans vos plongées ! 
Le grand + : il est éco-responsable puisqu'il est fabriqué à partir de fibres de polyester recyclées !
</t>
    </r>
    <r>
      <rPr>
        <b/>
        <sz val="12"/>
        <color theme="1"/>
        <rFont val="Work Sans"/>
      </rPr>
      <t xml:space="preserve">1 maillot = 20 bouteilles en plastique recyclées ! 
</t>
    </r>
    <r>
      <rPr>
        <sz val="12"/>
        <color theme="1"/>
        <rFont val="Work Sans"/>
      </rPr>
      <t xml:space="preserve">Disponible aussi pour adulte pour des looks père / fils assortis ! </t>
    </r>
  </si>
  <si>
    <t>2101BBEACH06</t>
  </si>
  <si>
    <t>Maillot de Bain Garçon 06 Queensland Jungle</t>
  </si>
  <si>
    <r>
      <rPr>
        <sz val="12"/>
        <color theme="1"/>
        <rFont val="Work Sans"/>
      </rPr>
      <t xml:space="preserve">Welcome to the jungle ! Ce maillot est aussi joli que résistant, et il est prêt à vous suivre dans vos plongées ! 
Le grand + : il est éco-responsable puisqu'il est fabriqué à partir de fibres de polyester recyclées !
</t>
    </r>
    <r>
      <rPr>
        <b/>
        <sz val="12"/>
        <color theme="1"/>
        <rFont val="Work Sans"/>
      </rPr>
      <t xml:space="preserve">1 maillot = 20 bouteilles en plastique recyclées ! 
</t>
    </r>
    <r>
      <rPr>
        <sz val="12"/>
        <color theme="1"/>
        <rFont val="Work Sans"/>
      </rPr>
      <t xml:space="preserve">Disponible aussi pour adulte pour des looks père / fils assortis ! </t>
    </r>
    <r>
      <rPr>
        <b/>
        <sz val="12"/>
        <color theme="1"/>
        <rFont val="Work Sans"/>
      </rPr>
      <t xml:space="preserve">
</t>
    </r>
  </si>
  <si>
    <t>2101BBEACH07</t>
  </si>
  <si>
    <t>Maillot de Bain Garçon 07 Cape Tribulation Parrots</t>
  </si>
  <si>
    <r>
      <rPr>
        <sz val="12"/>
        <color theme="1"/>
        <rFont val="Work Sans"/>
      </rPr>
      <t xml:space="preserve">Avec un imprimé aussi coloré et flamboyant, ce maillot vous emmène à la rencontre d'oiseaux multicolores sur les plages d'Australie !
Le grand + : il est éco-responsable puisqu'il est fabriqué à partir de fibres de polyester recyclées !
</t>
    </r>
    <r>
      <rPr>
        <b/>
        <sz val="12"/>
        <color theme="1"/>
        <rFont val="Work Sans"/>
      </rPr>
      <t xml:space="preserve">1 maillot = 20 bouteilles en plastique recyclées ! 
</t>
    </r>
    <r>
      <rPr>
        <sz val="12"/>
        <color theme="1"/>
        <rFont val="Work Sans"/>
      </rPr>
      <t xml:space="preserve">Disponible aussi pour adulte pour des looks père / fils assortis ! </t>
    </r>
  </si>
  <si>
    <t>2101BBOXPACK01</t>
  </si>
  <si>
    <t>Sous-Vêtements Garçon</t>
  </si>
  <si>
    <t>Duo-Boxers Garçon 01 Outback Boomerang</t>
  </si>
  <si>
    <t>95% coton 5% élastanne</t>
  </si>
  <si>
    <t>2101BBOXPACK02</t>
  </si>
  <si>
    <t>Duo-Boxers Garçon 02 Outback Kangaroo</t>
  </si>
  <si>
    <t>2101BBOXPACK03</t>
  </si>
  <si>
    <t>Duo-Boxers Garçon 03 Byron Junk Food</t>
  </si>
  <si>
    <t>2101BBOXPACK04</t>
  </si>
  <si>
    <t>Duo-Boxers Garçon 04 Byron Palm Jungle</t>
  </si>
  <si>
    <t>2101BBOXPACK05</t>
  </si>
  <si>
    <t>Duo-Boxers Garçon 05 Queensland Palm Trees</t>
  </si>
  <si>
    <t>2101BBOXPACK06</t>
  </si>
  <si>
    <t>Duo-Boxers Garçon 06 Cape Tribulation Birds</t>
  </si>
  <si>
    <t>CAPS</t>
  </si>
  <si>
    <t>2101BCAP01</t>
  </si>
  <si>
    <t>Casquette Garçon</t>
  </si>
  <si>
    <t>Casquette Garçon 01 Outback Bordeaux</t>
  </si>
  <si>
    <t xml:space="preserve">Cette casquette bleue marine, blanche et rouge est très agréable à porter.
Sa visière vous protège les yeux du soleil, et ses œillets d'aération sont pratiques pour que vous puissiez la porter tant en été que le reste de l'année.
Le plus important : elle complète votre look avec style ! </t>
  </si>
  <si>
    <t>2101BCAP02</t>
  </si>
  <si>
    <t>Casquette Garçon 02 Outback Navy</t>
  </si>
  <si>
    <t xml:space="preserve">Cette casquette bleue et camel est très agréable à porter.
Sa visière vous protège les yeux du soleil, et ses œillets d'aération sont pratiques pour que vous puissiez la porter tant en été que le reste de l'année.
Le plus important : elle complète votre look avec style ! </t>
  </si>
  <si>
    <t>2101BCAP03</t>
  </si>
  <si>
    <t>Casquette Garçon 03 Byron Bay</t>
  </si>
  <si>
    <t xml:space="preserve">Cette casquette et ses différents tons de bleus est très agréable à porter. Son illustration à l'avant vous emmène sur les plages australiennes.
La visière vous protège les yeux du soleil, et les œillets d'aération sont pratiques pour que vous puissiez la porter tant en été que le reste de l'année.
Le plus important : elle complète votre look avec style ! </t>
  </si>
  <si>
    <t>2101BCAP04</t>
  </si>
  <si>
    <t>Casquette Garçon 04 Queensland Khaki</t>
  </si>
  <si>
    <t xml:space="preserve">Cette casquette multicolore et son design graphique est très agréable à porter.
Sa visière vous protège les yeux du soleil, et ses œillets d'aération sont pratiques pour que vous puissiez la porter tant en été que le reste de l'année.
Le plus important : elle complète votre look avec style ! </t>
  </si>
  <si>
    <t>2101BCAP05</t>
  </si>
  <si>
    <t>Casquette Garçon 05 Cape Tribulation</t>
  </si>
  <si>
    <t>2101BCAP06</t>
  </si>
  <si>
    <t>Casquette Garçon 06 Portland</t>
  </si>
  <si>
    <t xml:space="preserve">Cette casquette rouge est très agréable à porter.
Sa visière vous protège les yeux du soleil, et ses œillets d'aération sont pratiques pour que vous puissiez la porter tant en été que le reste de l'année.
Le plus important : elle complète votre look avec style ! </t>
  </si>
  <si>
    <t>2101BCAP07</t>
  </si>
  <si>
    <t>Casquette Garçon 07 Rhode Island Turquoise</t>
  </si>
  <si>
    <t xml:space="preserve">Cette casquette bleu turquoise est très agréable à porter.
Sa visière vous protège les yeux du soleil, et ses œillets d'aération sont pratiques pour que vous puissiez la porter tant en été que le reste de l'année.
Le plus important : elle complète votre look avec style ! </t>
  </si>
  <si>
    <t>Bleu</t>
  </si>
  <si>
    <t>2101BCAP08</t>
  </si>
  <si>
    <t>Casquette Garçon 08 Rhode Island Lime</t>
  </si>
  <si>
    <t>2101BCAP09</t>
  </si>
  <si>
    <t>Casquette Garçon 09 Costa Rica</t>
  </si>
  <si>
    <t xml:space="preserve">
- Modèle casquette baseball tricolore
- Visière arrondie et renforcée, en velours côtelé
- Œillets brodés pour une meilleure aération de la tête
- Bande de propreté
- Fermeture en métal ajustable à l’arrière
- Patch J&amp;JOY brodé sur l’avant</t>
  </si>
  <si>
    <t xml:space="preserve">Cette casquette bleue, rouge et grise est très agréable à porter.
Sa visière vous protège les yeux du soleil, et ses œillets d'aération sont pratiques pour que vous puissiez la porter tant en été que le reste de l'année.
Le plus important : elle complète votre look avec style ! </t>
  </si>
  <si>
    <t>2101BCAP10</t>
  </si>
  <si>
    <t>Casquette Garçon 10 Rhode Island Palm Trees</t>
  </si>
  <si>
    <t xml:space="preserve">
- Modèle casquette baseball bicolore
- Visière arrondie et renforcée, en velours côtelé
- Œillets brodés pour une meilleure aération de la tête
- Bande de propreté
- Fermeture en métal ajustable à l’arrière
- Patch J&amp;JOY brodé sur l’avant</t>
  </si>
  <si>
    <t xml:space="preserve">Cette casquette bleu foncé et kaki à motifs palmiers est très agréable à porter.
Sa visière vous protège les yeux du soleil, et ses œillets d'aération sont pratiques pour que vous puissiez la porter tant en été que le reste de l'année.
Le plus important : elle complète votre look avec style ! </t>
  </si>
  <si>
    <t>FEMMES</t>
  </si>
  <si>
    <t>2101WPL01</t>
  </si>
  <si>
    <t>Femme</t>
  </si>
  <si>
    <t>Polo Femme</t>
  </si>
  <si>
    <t>Northen Territory Red</t>
  </si>
  <si>
    <t>Polo Femme 01 Northen Territory Red</t>
  </si>
  <si>
    <t>2101, collection:toute la famille, collection:femme, destination:</t>
  </si>
  <si>
    <t>2101WPL02</t>
  </si>
  <si>
    <t>Northen Territory Black</t>
  </si>
  <si>
    <t>Polo Femme 02 Northen Territory Black</t>
  </si>
  <si>
    <t>2101WPL03</t>
  </si>
  <si>
    <t>Sydney Pink</t>
  </si>
  <si>
    <t>Polo Femme 03 Sydney Pink</t>
  </si>
  <si>
    <t>2101WPL04</t>
  </si>
  <si>
    <t>Sydney Blue</t>
  </si>
  <si>
    <t>Polo Femme 04 Sydney Blue</t>
  </si>
  <si>
    <t>2101WPL05</t>
  </si>
  <si>
    <t>Sydney Red</t>
  </si>
  <si>
    <t>Polo Femme 05 Sydney Red</t>
  </si>
  <si>
    <t>2101WTEE01</t>
  </si>
  <si>
    <t>T-Shirt Femme</t>
  </si>
  <si>
    <t>Sydney White Summer Holiday</t>
  </si>
  <si>
    <t>T-Shirt Femme 01 Sydney White Summer Holiday</t>
  </si>
  <si>
    <t xml:space="preserve"> : 
- Coupe droite
- Manches courtes
- Col ras du cou
- Tape rose dans le col
- Ourlet et bords surpiqués 
- Imprimé sur l'avant 
- Ecriture perlée sur l'avant
- Badge J&amp;JOY métallique sur le bas
- Logo J&amp;JOY brodé sur nuque</t>
  </si>
  <si>
    <t>Ce joli t-shirt blanc met en avant une illustration colorée inspirée de l'ambiance de Bondi Beach, en Australie. Avec ses teintes roses, mauves et rouges, il est très facile d'assortir ce haut avec différentes tenues, de la plus décontractée avec un jeans, à la plus sophistiquée avec une jupe longue.
Un essentiel à emmener avec vous cet été !</t>
  </si>
  <si>
    <t>95% coton
5% Elasthanne</t>
  </si>
  <si>
    <t>2101WTEE02</t>
  </si>
  <si>
    <t>Sydney White Love Always Wins</t>
  </si>
  <si>
    <t>T-Shirt Femme 02 Sydney White Love Always Wins</t>
  </si>
  <si>
    <t xml:space="preserve"> : 
- Coupe droite
- Manches courtes
- Col ras du cou
- Tape rouge dans le col
- Ourlet et bords surpiqués 
- Imprimé sur l'avant 
- Badge J&amp;JOY métallique sur le bas
- Logo J&amp;JOY imprimé sur l'avant
- Logo J&amp;JOY brodé sur nuque</t>
  </si>
  <si>
    <t xml:space="preserve">« Love always wins » ! Un t-shirt au message fort et positif et à l'imprimé rose aussi pétillant que pop. </t>
  </si>
  <si>
    <t>95% coton 
5% elasthanne</t>
  </si>
  <si>
    <t>2101WTEE03</t>
  </si>
  <si>
    <t>T-Shirt Femme 03 Sydney Red</t>
  </si>
  <si>
    <t>2101WTEE04</t>
  </si>
  <si>
    <t>Sydney Dots Blue Aop</t>
  </si>
  <si>
    <t>T-Shirt Femme 04 Sydney Dots Blue Aop</t>
  </si>
  <si>
    <t xml:space="preserve"> : 
- Coupe droite
- Epaules tombantes
- Encolore en V
- Tape dans le col
- Ourlet surpiqué 
- Encolure et bas des manches côtelés en stretch avec liseré fluo rose et blanc
- Badge J&amp;JOY métallique sur le bas
- Logo J&amp;JOY brodé sur coeur</t>
  </si>
  <si>
    <t>Un t-shirt joliment coupé avec un motif bleu en pointillés et des détails roses bien placés, vous allez aimer le porter !</t>
  </si>
  <si>
    <t>60% coton
40% polyester</t>
  </si>
  <si>
    <t>2101WTEE05</t>
  </si>
  <si>
    <t>Sydney Pink Tie And Dye</t>
  </si>
  <si>
    <t>T-Shirt Femme 05 Sydney Pink Tie And Dye</t>
  </si>
  <si>
    <t xml:space="preserve"> : 
- Coupe droite
- Manches courtes
- Col ras du cou
- Tape rose dans le col
- Ourlet et bords surpiqués 
- Motif imprimé et texturé sur coeur 
- Badge J&amp;JOY métallique sur le bas
- Ecriture imprimée dans le dos</t>
  </si>
  <si>
    <t xml:space="preserve">Avec son tie and dye rose, c'est LE t-shirt qu'il vous faut ! Super agréable à porter, il booste votre dressing pour être à la pointe des tendances. </t>
  </si>
  <si>
    <t>Rose</t>
  </si>
  <si>
    <t>2101WTEE06</t>
  </si>
  <si>
    <t>Northen Territory Uluru Beige And Lurex</t>
  </si>
  <si>
    <t>T-Shirt Femme 06 Northen Territory Uluru Beige And Lurex</t>
  </si>
  <si>
    <t xml:space="preserve"> : 
- Coupe droite
- Manches courtes
- Col ras du cou
- Tape dans le col
- Ourlet et bords surpiqués 
- Imprimé texturé sur l'avant 
- Badge J&amp;JOY métallique sur le bas
- Logo J&amp;JOY brodé sur nuque</t>
  </si>
  <si>
    <t xml:space="preserve">Le monolithe de roche rouge d'Uluru est l'un des lieux les plus impressionnants et magiques de l'Outback australien, cette région désertique et pourtant pleine de vie.
Ce t-shirt illustre ce monument naturel avec une belle illustration dans différents tons pastel. </t>
  </si>
  <si>
    <t>2101WTEE07</t>
  </si>
  <si>
    <t>Northen Territory Purple Good Vibes</t>
  </si>
  <si>
    <t>T-Shirt Femme 07 Northen Territory Purple Good Vibes</t>
  </si>
  <si>
    <t xml:space="preserve"> : 
- Coupe droite
- Manches courtes
- Col ras du cou
- Tape dans le col
- Ourlet et bords surpiqués 
- Broderie sur l'avant 
- Badge J&amp;JOY métallique sur le bas
- Logo J&amp;JOY brodé sur nuque</t>
  </si>
  <si>
    <t>« Good vibes only ! », le t-shirt qui vous donne la pêche cet été et qui booste votre look !</t>
  </si>
  <si>
    <t>60% coton 
40% polyester</t>
  </si>
  <si>
    <t>2101WTEE08</t>
  </si>
  <si>
    <t>Northen Territory Uluru White</t>
  </si>
  <si>
    <t>T-Shirt Femme 08 Northen Territory Uluru White</t>
  </si>
  <si>
    <t xml:space="preserve"> : 
- Coupe droite
- Manches courtes
- Col ras du cou
- Tape dans le col
- Ourlet et bords surpiqués 
- Broderie stylisé et imprimé sur l'avant 
- Badge J&amp;JOY métallique sur le bas
- Logo J&amp;JOY brodé sur nuque</t>
  </si>
  <si>
    <t>Ce t-shirt beige, avec son imprimé végétal et sa broderie, amène un peu de douceur à votre garde-robe !</t>
  </si>
  <si>
    <t>88% coton
12% polyester</t>
  </si>
  <si>
    <t>2101WTEE09</t>
  </si>
  <si>
    <t>Northen Territory Kaki Aop Kangaroo</t>
  </si>
  <si>
    <t>T-Shirt Femme 09 Northen Territory Kaki Aop Kangaroo</t>
  </si>
  <si>
    <t xml:space="preserve"> : 
- Coupe droite 
- Manches courtes
- Encolure en V
- Tape dans le col
- Ouverture boutonnée
- Boutons en bois
-Imprimé kangourou doré  
- Ourlet et bords surpiqués
- Badge métallique J&amp;JOY sur le bas</t>
  </si>
  <si>
    <t>Des kangourous s'invitent sur ce t-shirt kaki et semblent y faire la course ! 
Ce t-shirt boutonné à l'avant plaira aux audacieuses et à toutes celles qui aiment l'originalité !</t>
  </si>
  <si>
    <t>Kaki</t>
  </si>
  <si>
    <t>2101WTEE10</t>
  </si>
  <si>
    <t>Northen Territory Flowers Aop</t>
  </si>
  <si>
    <t>T-Shirt Femme 10 Northen Territory Flowers Aop</t>
  </si>
  <si>
    <t>2101WTEE11</t>
  </si>
  <si>
    <t>Sydney J&amp;Joy Red/Pink</t>
  </si>
  <si>
    <t>T-Shirt Femme 11 Sydney J&amp;Joy Red/Pink</t>
  </si>
  <si>
    <t>TOP</t>
  </si>
  <si>
    <t>2101WTOP01</t>
  </si>
  <si>
    <t>Top Femme</t>
  </si>
  <si>
    <t>Top Femme 01 Northen Territory Flowers Aop</t>
  </si>
  <si>
    <t xml:space="preserve"> :
- Coupe évasée
- Fines bretelles
- Encolure dégagée et arrondie 
- Croisements bretelles dos
- Ourlets et bords surpiqués
- Badge J&amp;JOY métallique sur le bas
</t>
  </si>
  <si>
    <t>Ce top à fines brides et à la coupe originale vous ravira lors des journées d'été ! Avec son imprimé audacieux dans des tons rouges et bordeaux, il est l'une des pièces fortes de votre dressing !</t>
  </si>
  <si>
    <t>100% lyocell</t>
  </si>
  <si>
    <t>2101WTOP02</t>
  </si>
  <si>
    <t>Sydney Cache Coeur Red</t>
  </si>
  <si>
    <t>Top Femme 02 Sydney Cache Coeur Red</t>
  </si>
  <si>
    <t>2101WTOP03</t>
  </si>
  <si>
    <t>Northen Territory Tie And Dye</t>
  </si>
  <si>
    <t>Top Femme 03 Northen Territory Tie And Dye</t>
  </si>
  <si>
    <t>2101WTOP04</t>
  </si>
  <si>
    <t>Sydney Grey Melange</t>
  </si>
  <si>
    <t>Top Femme 04 Sydney Grey Melange</t>
  </si>
  <si>
    <t xml:space="preserve"> :
- Coupe droite 
- Sans manches
- Imprimé sur la poitrine 
- Encolure dégagée et arrondie 
- Dos froncé
- Ourlet et bords surpiqués
- Logo J&amp;JOY imprimé sur le bas
- Badge J&amp;JOY métallique sur le bas
</t>
  </si>
  <si>
    <t xml:space="preserve">Inspiré des galeries d'art de Sydney, ce top gris affiche une belle illustration sur le devant et une découpe surprenante dans le dos. </t>
  </si>
  <si>
    <t>95% coton
5% elasthanne</t>
  </si>
  <si>
    <t>2101WTOP05</t>
  </si>
  <si>
    <t>Sydney Blue &amp; Cutting</t>
  </si>
  <si>
    <t>Top Femme 05 Sydney Blue &amp; Cutting</t>
  </si>
  <si>
    <t xml:space="preserve"> : 
- Coupe droite
- Sans manches
- Encolure arrondie 
- Ourlet et bords surpiqués
- Tape dans le col
- Bande surpiquée sur la poitrine 
- Fentes sur les côtés
- Logo J&amp;JOY brodé sur le coeur
- Logo J&amp;JOY brodé sur la nuque
- Badge métallique J&amp;JOY sur le bas</t>
  </si>
  <si>
    <t>Un top bleu électrique et bien coupé pour un look cool et dynamique ! Ses lignes roses et blanches lui apportent un côté graphique, la touche finale à ce top dont vous ne pourrez plus vous passer !</t>
  </si>
  <si>
    <t>95% coton 
5% Elasthanne</t>
  </si>
  <si>
    <t>2101WTOP06</t>
  </si>
  <si>
    <t>Northen Territory Fancy Stripes</t>
  </si>
  <si>
    <t>Top Femme 06 Northen Territory Fancy Stripes</t>
  </si>
  <si>
    <t>SWEAT</t>
  </si>
  <si>
    <t>2101WSWT01</t>
  </si>
  <si>
    <t>Sweatshirt Femme</t>
  </si>
  <si>
    <t>Northen Territory Long Bomber Aop Dots Leafs</t>
  </si>
  <si>
    <t>Sweatshirt Femme 01 Northen Territory Long Bomber Aop Dots Leafs</t>
  </si>
  <si>
    <t xml:space="preserve"> : 
- Coupe bomber 
- Mi long
- Manches longues
- Ouverture zippée contrastée
- Poignets et bords côtelés stretch avec liseré contrasté légèrement pailleté
- Poches latérales
- Logo J&amp;JOY brodé sur le cœur
- Logo J&amp;JOY cousu sur le bas</t>
  </si>
  <si>
    <t xml:space="preserve">Ce sweat long est inspiré des vestes « bombers ». Ce modèle long affiche un imprimé jungle avec des touches de roses. A porter aussi bien sur un jeans qu'au-dessus d'une robe, c'est une pièce versatile qui trouve sa place dans votre dressing. </t>
  </si>
  <si>
    <t>Noir</t>
  </si>
  <si>
    <t>2101WSWT02</t>
  </si>
  <si>
    <t>Sydney Pink Blaser</t>
  </si>
  <si>
    <t>Sweatshirt Femme 02 Sydney Pink Blaser</t>
  </si>
  <si>
    <t xml:space="preserve"> : 
- Modèle blazer
- Manches longues
- Coupe légèrement ajustée élégante
- Col tailleur
- Intérieur imprimé végétal
- Badge métallique J&amp;JOY sur le bas
- Poches à rabat</t>
  </si>
  <si>
    <t xml:space="preserve">Ce sweat au look de veste légère est mi-long et affiche un rose vibrant et pop. Parfaite pour la mi-saison, cette pièce color-block illumine vos looks et dynamise vos tenues. Idéal porté avec un jeans et un t-shirt, il ira aussi très bien au-dessus d'une jupe ou d'une robe. </t>
  </si>
  <si>
    <t>50% coton
46% polyester
4% elasthanne</t>
  </si>
  <si>
    <t>2101WSWT03</t>
  </si>
  <si>
    <t>Northen Territory Uluru Leafs Aop</t>
  </si>
  <si>
    <t>Sweatshirt Femme 03 Northen Territory Uluru Leafs Aop</t>
  </si>
  <si>
    <t xml:space="preserve"> : 
- Sweat ras du cou
- Coupe droite
- Manches longues
- Col rond 
- Tape dans le col  
- Bord, ceinture et poignets côtelés stretch
- Ecriture entièrement brodé sur la poitrine
- Imprimé végétal
- Logo J&amp;JOY brodé sur nuque
- Badge J&amp;JOY métallique sur le bas </t>
  </si>
  <si>
    <t xml:space="preserve">Un imprimé « jungle » et un fond rose, c'est la combinaison gagnante pour un sweat qu'on aura envie de porter tous les soirs d'été ! 
Un sweat chaud et agréable : un véritable incontournable ! </t>
  </si>
  <si>
    <t>2101WSWT04</t>
  </si>
  <si>
    <t>Sydney Pink/Red</t>
  </si>
  <si>
    <t>Sweatshirt Femme 04 Sydney Pink/Red</t>
  </si>
  <si>
    <t>2101WSWT05</t>
  </si>
  <si>
    <t>Sydney Grey Melange And Blue Aop</t>
  </si>
  <si>
    <t>Sweatshirt Femme 05 Sydney Grey Melange And Blue Aop</t>
  </si>
  <si>
    <t xml:space="preserve"> : 
- Sweat ras du cou
- Coupe droite
- Manches longues
- Col rond 
- Tape dans le col  
- Bord, ceinture et poignets côtelés stretch
- Imprimés bleus thème "surf"
- Logo J&amp;JOY brodé sur nuque
- Logo J&amp;JOY brodé sur coeur 
- Badge J&amp;JOY métallique sur le bas </t>
  </si>
  <si>
    <t>Palmiers, boomerangs, lunettes de soleil et planches de surf : ce sweat gris très confortable est une véritable ode à l'ambiance et à la joie de vivre australienne !</t>
  </si>
  <si>
    <t>88% coton 
12% polyester</t>
  </si>
  <si>
    <t>2101WSWT06</t>
  </si>
  <si>
    <t>Northen Territory Lilac /Orange</t>
  </si>
  <si>
    <t>Sweatshirt Femme 06 Northen Territory Lilac /Orange</t>
  </si>
  <si>
    <t>2101WSWT07</t>
  </si>
  <si>
    <t>Northen Territory Cayenne</t>
  </si>
  <si>
    <t>Sweatshirt Femme 07 Northen Territory Cayenne</t>
  </si>
  <si>
    <t xml:space="preserve"> : 
- Coupe droite, sweat à enfiler
- Manches longues
- Capuche avec cordon de serrage 
Patte de boutonnage à quatre boutons
- Poignets et ceinture côtelés stretch
- Poche kangourou 
- Logo J&amp;JOY brodé sur cœur
- Logo J&amp;JOY cousu sur le bas 
</t>
  </si>
  <si>
    <t>Dans un rouge cayenne intense, ce sweat à la coupe originale se suffit à lui-même. C'est la pièce idéale à emmener avec soi pour pallier les coups de froid cette saison !</t>
  </si>
  <si>
    <t>2101WSWT08</t>
  </si>
  <si>
    <t>Northen Territory White &amp; Cutting Printed</t>
  </si>
  <si>
    <t>Sweatshirt Femme 08 Northen Territory White &amp; Cutting Printed</t>
  </si>
  <si>
    <t xml:space="preserve"> : 
- Sweat ras du cou
- Coupe droite
- Manches longues
- Col rond 
- Tape dans le col  
- Bord, ceinture et poignets côtelés stretch
- Bandes de couleurs surpiquées sur la poitrine et les manches
- Logo J&amp;JOY brodé sur nuque
- Badge J&amp;JOY métallique sur le bas </t>
  </si>
  <si>
    <t xml:space="preserve">Un sweat graphique, coloré et bien coupé, voilà ce dont on a besoin dans notre dressing cette année. Avec ces bandes de couleurs qui s'affichent en travers du sweat et sur ses manches, vous avez la pièce parfaite pour un look facile à porter en toutes circonstances. </t>
  </si>
  <si>
    <t>2101WSWT09</t>
  </si>
  <si>
    <t>Sydney Navy</t>
  </si>
  <si>
    <t>Sweatshirt Femme 09 Sydney Navy</t>
  </si>
  <si>
    <t xml:space="preserve">- Coupe droite, gilet
- Manches longues
- Ouverture zippée avec finitions contrastées 
- Capuche avec cordon de serrage blanc
- Poignets et ceinture côtelés stretch contrastés
- Poches latérales façon kangourou
- Logo J&amp;JOY brodé sur cœur
</t>
  </si>
  <si>
    <t xml:space="preserve">Le sweat à tirette et col cheminée, c'est une valeur sûre en cas de coup de froid. Les nombreux détails roses viennent compléter le look de cette pièce dont vous ne voudrez plus vous passer. </t>
  </si>
  <si>
    <t>2101WSWT10</t>
  </si>
  <si>
    <t>Sydney Don'T Ever Give Up</t>
  </si>
  <si>
    <t>Sweatshirt Femme 10 Sydney Don'T Ever Give Up</t>
  </si>
  <si>
    <t>SHIRT</t>
  </si>
  <si>
    <t>2101WSHIRT01</t>
  </si>
  <si>
    <t>Chemise Femme</t>
  </si>
  <si>
    <t>Northen Territory White Cayenne</t>
  </si>
  <si>
    <t>Chemise Femme 01 Northen Territory Cayenne</t>
  </si>
  <si>
    <t>: 
- manches longues 
- Coupe normale fluide
- poches sur la poitrine
- parmenture intérieur/dos à motif
- logo J&amp;JOY brodé sur poche
- badge J&amp;JOY métallique sur le bas</t>
  </si>
  <si>
    <t xml:space="preserve">Cette chemise rouge corail s'acclimate à toutes les saisons et est la pièce centrale d'une tenue, aussi bien pour une journée de travail que pour une soirée décontractée. </t>
  </si>
  <si>
    <t>2101WSHIRT02</t>
  </si>
  <si>
    <t>Northen Territory Kaki</t>
  </si>
  <si>
    <t>Chemise Femme 02 Northen Territory Kaki</t>
  </si>
  <si>
    <t xml:space="preserve"> : 
- Manches courtes "chauve-souris"
- Coupe large avec pli sur le devant
- Parmenture inérieur/dos à motifs
- Longueur arrière plus longue
- Ouverture boutonnée
- Encolure en V</t>
  </si>
  <si>
    <t xml:space="preserve">Cette chemise à manches courtes a une coupe originale : boutonnée à l'avant et agrémentée de nombreux détails, dont un col à motif jungle, elle apporte un twist à vos tenues les plus classiques. Parfaite aussi bien pour un look plus simple pour le travail que pour une soirée entre amis, elle vous met en valeur dans toutes les situations.  </t>
  </si>
  <si>
    <t>kaki</t>
  </si>
  <si>
    <t>2101WSHIRT03</t>
  </si>
  <si>
    <t>Sydney White with blue Stripes</t>
  </si>
  <si>
    <t>Chemise Femme 03 Northen Territory White And Stripes</t>
  </si>
  <si>
    <t xml:space="preserve">  : 
- Coupe cache coeur
- Manches longues
- Encolure en V
- Bord élastiqué sur le devant 
- Longueur arrière plus longue
- Logo J&amp;JOY brodé sur coeur</t>
  </si>
  <si>
    <t xml:space="preserve">Cette chemise plaira aux audacieuses ! Avec ses lignes bleues, elle amène du peps à votre dressing. Son modèle cache-cœur vous met en valeur et convient à toutes les occasions, de la plus casual à la plus chic. </t>
  </si>
  <si>
    <t>100% viscose</t>
  </si>
  <si>
    <t>2101WSHIRT04</t>
  </si>
  <si>
    <t>Sydney Zig Zag</t>
  </si>
  <si>
    <t>Chemise Femme 04 Sydney Zig Zag</t>
  </si>
  <si>
    <t>KNIT</t>
  </si>
  <si>
    <t>2101WKNIT01</t>
  </si>
  <si>
    <t>Pull Femme</t>
  </si>
  <si>
    <t>Northen Territory Cardigan Orange</t>
  </si>
  <si>
    <t>Pull Femme 01 Northen Territory Cardigan Orange</t>
  </si>
  <si>
    <t>2101WKNIT02</t>
  </si>
  <si>
    <t>Sydney Cardigan Blue , Pink &amp;Lurex</t>
  </si>
  <si>
    <t>Pull Femme 02 Sydney Cardigan Blue , Pink &amp;Lurex</t>
  </si>
  <si>
    <t>2101WKNIT03</t>
  </si>
  <si>
    <t>Pull Femme 03 Sydney Pink</t>
  </si>
  <si>
    <t>2101WKNIT04</t>
  </si>
  <si>
    <t>Northen Territory Stripes</t>
  </si>
  <si>
    <t>Pull Femme 04 Northen Territory Stripes</t>
  </si>
  <si>
    <t>PANT</t>
  </si>
  <si>
    <t>2101WPANT01</t>
  </si>
  <si>
    <t>Pantalon Femme</t>
  </si>
  <si>
    <t>Northen Territory 3/4 Kaki</t>
  </si>
  <si>
    <t>Pantalon Femme 01 Northen Territory 3/4 Kaki</t>
  </si>
  <si>
    <t>2101WPANT02</t>
  </si>
  <si>
    <t>Sydney 3/4 Pink</t>
  </si>
  <si>
    <t>Pantalon Femme 02 Sydney 3/4 Pink</t>
  </si>
  <si>
    <t>SHORTS</t>
  </si>
  <si>
    <t>2101WSHORT01</t>
  </si>
  <si>
    <t>Short Femme</t>
  </si>
  <si>
    <t>Northen Territory Short</t>
  </si>
  <si>
    <t>Short Femme 01 Northen Territory Short</t>
  </si>
  <si>
    <t xml:space="preserve"> : 
- Short court centituré
- Coupe droite avec plis devant
- Ceinture élastique à la taille
- Poche cousues à l'arrière</t>
  </si>
  <si>
    <t xml:space="preserve">Ce short à la coupe paperbag vous met en valeur en toutes circonstances, et son rouge cayenne dynamise votre dressing ! </t>
  </si>
  <si>
    <t>2101WSHORT02</t>
  </si>
  <si>
    <t>Short Femme 02</t>
  </si>
  <si>
    <t>2101WSHORT03</t>
  </si>
  <si>
    <t>Short Femme 03</t>
  </si>
  <si>
    <t>DRESSES</t>
  </si>
  <si>
    <t>2101WDRESS01</t>
  </si>
  <si>
    <t>Robe Femme</t>
  </si>
  <si>
    <t>Sydney Longue Robe Aop Flowers</t>
  </si>
  <si>
    <t>Robe Femme 01 Sydney Longue Robe Aop Flowers</t>
  </si>
  <si>
    <t xml:space="preserve"> : 
- Robe longue évasée
- Manches courtes 
- Col chemise
- Poches sur la poitrine
- Ceinture amovible
- Fermeture boutonnée
- Fentes latérales dans las bas
</t>
  </si>
  <si>
    <t xml:space="preserve">C'est LA robe coup de cœur de cette saison ! Ce modèle « chemise » ceinturé à la taille et long met en valeur toutes les silhouettes et vous permet de jouer sur les styles. Tantôt sophistiquée, cette robe peut aussi être portée dans un look plus casual avec des sneakers. </t>
  </si>
  <si>
    <t>2101WDRESS02</t>
  </si>
  <si>
    <t>Northen Territory Aop Leafs Orange</t>
  </si>
  <si>
    <t>Robe Femme 02 Northen Territory Aop Leafs Orange</t>
  </si>
  <si>
    <t xml:space="preserve"> : 
- Robe mi-longue évasée
- Maches courtes
- Coutures princesse
- Encolure arrondie
- Fermeture boutonnée devant
- Cordon de nouage dans le dos</t>
  </si>
  <si>
    <t xml:space="preserve">Cette robe rouge flamboyante affiche un motif inspiré de la peinture pointilliste typique des aborigènes d'Australie. Sa coupe vous met en valeur, et sa jupe vaporeuse va vous ravir.  </t>
  </si>
  <si>
    <t>2101WDRESS03</t>
  </si>
  <si>
    <t>Northen Territory Portefeuille Red</t>
  </si>
  <si>
    <t>Robe Femme 03 Northen Territory Portefeuille Red</t>
  </si>
  <si>
    <t>2101WDRESS04</t>
  </si>
  <si>
    <t>Northen Territory Robe Polo Kaki</t>
  </si>
  <si>
    <t>Robe Femme 04 Northen Territory Robe Polo Kaki</t>
  </si>
  <si>
    <t xml:space="preserve"> : 
- Robe polo mi-longue
- Manches tombantes
- Cintrée à la taille
- Piquée coton extensible
- Col chemise
- Fermeture boutonnée
- Ceinture élastiquée contratstée tricolore orange, banc et doré  
- Badge J&amp;JOY métallique sur le bas
</t>
  </si>
  <si>
    <t xml:space="preserve">Une robe kaki aux détails roses idéale pour toutes les situations. De la journée de bureau à la soirée entre amis, cette robe se prête à toutes les occasions. Cette robe cintrée vous met en valeur, et la coupe de son col et de ses manches vous offre une allure sophistiquée. </t>
  </si>
  <si>
    <t>2101WDRESS05</t>
  </si>
  <si>
    <t>Sydney Blue Palm Leafs</t>
  </si>
  <si>
    <t>Robe Femme 05 Sydney Blue Palm Leafs</t>
  </si>
  <si>
    <t xml:space="preserve"> : 
- Robe mi longue 
- Coupe Droite 
- Manches courtes
- Encolure en V
- Ouverture en V dans le dos
- Cordon de nouage dans la nuque
- Poches latérales 
- Bords et ourlets surpiqués
- Badge J&amp;JOY métallique dans le bas</t>
  </si>
  <si>
    <t xml:space="preserve">Cette robe cache-cœur se suffit à elle-même ! Avec son imprimé bleu et ses larges feuilles blanches, son style s'impose dans votre dressing. </t>
  </si>
  <si>
    <t>50% coton 
50% polyester</t>
  </si>
  <si>
    <t>2101WDRESS06</t>
  </si>
  <si>
    <t>Robe Femme 06 Sydney Blue</t>
  </si>
  <si>
    <t xml:space="preserve"> : 
- Robe polo mi-longue évasée
- Cintrée à la taille
- Piquée coton extensible
- Col chemise
- Fermeture boutonnée
- Manches courtes
- Bande tricolore contrastée sur le côté de chaque manche
- Ceinture amovible
- Logo J&amp;JOY brodé sur poitrine 
-Logo J&amp;JOY brodé sur nuque 
- Badge J&amp;JOY métallique sur le bas
</t>
  </si>
  <si>
    <t xml:space="preserve">C'est la petite robe bleue parfaite ! Pas de prise de tête et zéro faute de goût possible avec ce modèle classique, sa couleur intense et son grand confort. </t>
  </si>
  <si>
    <t>98% coton 
2% polyester</t>
  </si>
  <si>
    <t>SKIRTS</t>
  </si>
  <si>
    <t>2101WSKI01</t>
  </si>
  <si>
    <t>Jupe Femme</t>
  </si>
  <si>
    <t>Sydney 3/4 Aop Flowers</t>
  </si>
  <si>
    <t>Jupe Femme 01 Sydney 3/4 Aop Flowers</t>
  </si>
  <si>
    <t xml:space="preserve"> : 
- Jupe plissée imprimée
- Jupe longue avec taille élastique
- Doublée</t>
  </si>
  <si>
    <t xml:space="preserve">Sans aucun doute l'une des pièces les plus fortes de notre collection ! Cette longue jupe rose plissée à l'imprimé fleuri est indispensable dans votre dressing. Elle se porte en été avec un t-shirt ou un chemisier, et aussi plus tard dans l'année avec un gros pull de maille ! Parfaite.  </t>
  </si>
  <si>
    <t>JACK</t>
  </si>
  <si>
    <t>2101WJACK01</t>
  </si>
  <si>
    <t>Veste Femme</t>
  </si>
  <si>
    <t>Northen Territory Kaki With Piping</t>
  </si>
  <si>
    <t>Veste Femme 01 Northen Territory Kaki With Piping</t>
  </si>
  <si>
    <t xml:space="preserve"> :
- Modèle en taffeta
- Coupe droite
- Manches longues
- Ouverture zippée et cache-zip
- Fermeture avec pressions
- Capuche avec cordon de serrage contrasté
- Imprimé végétal intérieur
- Poche intérieure
- Poches latérales
- Adaptateur à la taille à l'intérieur
- Logo J&amp;JOY brodé sur le cœur
</t>
  </si>
  <si>
    <t xml:space="preserve">La petite parka légère de mi-saison est là ! Notre modèle iconique revient cette année dans une couleur kaki qui s'accorde avec toutes vos tenues. 
Un parfait coupe-vent, léger et agréable à porter. </t>
  </si>
  <si>
    <t>2101WJACK02</t>
  </si>
  <si>
    <t>Sydney Off White/Pink Lining Haha</t>
  </si>
  <si>
    <t>Veste Femme 02 Sydney Off White/Pink Lining Haha</t>
  </si>
  <si>
    <t xml:space="preserve"> : 
- Modèle oversize
- Matière denim
- Doublure imprimée 
- Logo J&amp;JOY brodé sur coeur
- Fermeture zippée
- Logo J&amp;JOY cousu dans le bas
- Adaptateurs latérales</t>
  </si>
  <si>
    <t xml:space="preserve">La touche finale à tous vos looks cet été, c'est cette veste en denim blanche. Avec ses détails roses, elle complète vos tenues avec style pour un résultat pile poil dans la tendance du moment. </t>
  </si>
  <si>
    <t>2101WJACK03</t>
  </si>
  <si>
    <t>Sydney Satin Blue</t>
  </si>
  <si>
    <t>Veste Femme 03 Sydney Satin Blue</t>
  </si>
  <si>
    <t xml:space="preserve"> : 
- Coupe bomber
- Manches longues 
- Col, ceiture et poignets élastiqués
- Doublée
- Ouverture zippée avec finitions contrastées
- Bord stylisé dans le col
- Poches latérales
- Logo J&amp;JOY brodé sur le cœur
</t>
  </si>
  <si>
    <t xml:space="preserve">La veste bomber et son motif bleu à motif végétal blanc, un essentiel à porter sans modération ! </t>
  </si>
  <si>
    <t>JEANS</t>
  </si>
  <si>
    <t>Elasthanne</t>
  </si>
  <si>
    <t>2101WJOY01</t>
  </si>
  <si>
    <t>Pantalon Fille 01</t>
  </si>
  <si>
    <t xml:space="preserve"> : 
- Long slim fit
- Coupe étroite et ajustée
- Taille haute
- Braguette Zippée
- Style 5 poches
- Semi-stretch
- Jacron noir sur bande ceinture arrière</t>
  </si>
  <si>
    <t xml:space="preserve">Coupe slim et matière légèrement extensible font de ce jeans bleu clair un indispensable de votre garde-robe. Aussi joli que confortable ! </t>
  </si>
  <si>
    <t>Coton
Elasthanne</t>
  </si>
  <si>
    <t>2101WJOY02</t>
  </si>
  <si>
    <t>Pantalon Fille 02</t>
  </si>
  <si>
    <t xml:space="preserve">Coupe slim et matière légèrement extensible font de ce jeans bleu foncé un indispensable de votre garde-robe. Aussi joli que confortable ! </t>
  </si>
  <si>
    <t>2101WJOY03</t>
  </si>
  <si>
    <t>Pantalon Fille 03</t>
  </si>
  <si>
    <t xml:space="preserve"> : 
- Mom fit
- Coupe vintage avec une taille haute flatteuse
- Fuselé au niveau des jambes
- Ceiture amovible
- Taille haute
- Braguette Zippée
- Style 5 poches
- Semi-stretch
- Jacron noir sur bande ceinture arrière</t>
  </si>
  <si>
    <t xml:space="preserve">Coupe droite et matière légèrement extensible font de ce jeans bleu clair un indispensable de votre garde-robe. Aussi joli que confortable ! </t>
  </si>
  <si>
    <t>2101WJOY04</t>
  </si>
  <si>
    <t>Pantalon Fille 04</t>
  </si>
  <si>
    <t xml:space="preserve">Coupe droite et matière légèrement extensible font de ce jeans bleu un indispensable de votre garde-robe. Aussi joli que confortable ! </t>
  </si>
  <si>
    <t>2101WJOY05</t>
  </si>
  <si>
    <t>Pantalon Fille 05</t>
  </si>
  <si>
    <t>SUITS</t>
  </si>
  <si>
    <t>2101WJUMP01</t>
  </si>
  <si>
    <t>Combinaison Femme</t>
  </si>
  <si>
    <t>Northen Territory Jumpsuit Aop Dots Leafs</t>
  </si>
  <si>
    <t>Combinaison Femme 01 Northen Territory Jumpsuit Aop Dots Leafs</t>
  </si>
  <si>
    <t xml:space="preserve"> : 
- Combinaison longue 
- Manches courtes
- Ceinture amovible 
- Encolure en V
- Ouverture zippée dans le dos
- Imprimé végétal </t>
  </si>
  <si>
    <t xml:space="preserve">La combinaison parfaite ? C'est celle-là ! À la fois classe et moderne, cette combinaison noire à imprimé végétal kaki et rose est votre meilleure alliée pour un look qui se démarque. À porter sans modération cet été, autant en version sophistiquée avec talons et blazer qu'en mode cool avec des sneakers blanches. </t>
  </si>
  <si>
    <t>2101WJUMP02</t>
  </si>
  <si>
    <t>Sydney Playsuit Navy</t>
  </si>
  <si>
    <t>Combinaison Femme 02 Sydney Playsuit Navy</t>
  </si>
  <si>
    <t xml:space="preserve"> : 
- Combinaise courte
- Manches courtes
- Col chemise
- Poches sur la poitrine
- Fermeture zippée
- Bords et ourlets surpiqués
- Ceinture amovible
 </t>
  </si>
  <si>
    <t xml:space="preserve">Cette combishort bleue marine vous accompagne cette année ! Tantôt portée en version plus sophistiquée, tantôt dans un look plutôt décontracté, elle s'adapte à votre style et vous met en valeur en toutes circonstances. </t>
  </si>
  <si>
    <t>HEADBAND</t>
  </si>
  <si>
    <t>2101WHDB01</t>
  </si>
  <si>
    <t>Bandeau Femme</t>
  </si>
  <si>
    <t>Sydney Dots Blue</t>
  </si>
  <si>
    <t>Bandeau Femme 01 Sydney Dots Blue</t>
  </si>
  <si>
    <t>2101WHDB02</t>
  </si>
  <si>
    <t>Northen Territory Flowers Orange</t>
  </si>
  <si>
    <t>Bandeau Femme 02 Northen Territory Flowers Orange</t>
  </si>
  <si>
    <t>2101WCAP01</t>
  </si>
  <si>
    <t>Casquette Femme</t>
  </si>
  <si>
    <t>Pink</t>
  </si>
  <si>
    <t>Casquette Femme 01 Pink</t>
  </si>
  <si>
    <t xml:space="preserve">Cette casquette rose est très agréable à porter. Sa visière vous protège les yeux du soleil, et ses œillets d'aération sont pratiques pour que vous puissiez la porter tant en été que le reste de l'année.
Le plus important : elle complète votre look avec style ! </t>
  </si>
  <si>
    <t>FILLES</t>
  </si>
  <si>
    <t>2101GPL01</t>
  </si>
  <si>
    <t>Fille</t>
  </si>
  <si>
    <t>Polo Fille</t>
  </si>
  <si>
    <t>Polo Fille 01 Sydney Pink</t>
  </si>
  <si>
    <t xml:space="preserve"> :
- Coupe droite
- Col polo côtelé 
- Tape dans l'intérieur du col
- Patte de boutonnage à trois boutons
- Manches courtes
- Bas de manches côtelés 
- Imprimés palmiers rose texturés légérement pailleté sur l'avant
- Noeud de serrage dans le bas
- Badge métallique J&amp;JOY dans le bas  
</t>
  </si>
  <si>
    <t xml:space="preserve">Les palmiers de la plage de Byron Bay s'invitent sur ce polo rose. Avec son nœud, ses motifs et sa couleur acidulée, ce polo est la pièce idéale pour profiter d'une douce saison printemps / été.  </t>
  </si>
  <si>
    <t>2101, collection:toute la famille, collection:fille, destination:</t>
  </si>
  <si>
    <t>2101GPL02</t>
  </si>
  <si>
    <t>Polo Fille 02 Northen Territory Red</t>
  </si>
  <si>
    <t>2101GTEE01</t>
  </si>
  <si>
    <t>T-Shirt Fille</t>
  </si>
  <si>
    <t>T-Shirt Fille 01 Northen Territory Purple Good Vibes</t>
  </si>
  <si>
    <t>2101GTEE02</t>
  </si>
  <si>
    <t>T-Shirt Fille 02 Sydney White Summer Holiday</t>
  </si>
  <si>
    <t xml:space="preserve"> : 
- Coupe droite
- Manches courtes
- Col ras du cou
- Tape dans le col
- Ourlet et bords surpiqués 
- Ecriture perlée sur le haut de l'imprimé
- Imprimé sur l'avant
- Badge J&amp;JOY métallique sur le bas
- Logo J&amp;JOY brodé sur nuque</t>
  </si>
  <si>
    <t xml:space="preserve">Ce joli t-shirt blanc met en avant une magnifique illustration colorée, inspirée de l'ambiance de Bondi Beach. Avec ses teintes roses, mauves et rouges, il est très facile d'assortir ce haut avec toutes les tenues. Un essentiel à emmener avec nous pour passer de joyeuses « summer holidays » ! </t>
  </si>
  <si>
    <t>95% coton 
5% polyester</t>
  </si>
  <si>
    <t>2101GTEE03</t>
  </si>
  <si>
    <t>T-Shirt Fille 03 Sydney White Love Always Wins</t>
  </si>
  <si>
    <t xml:space="preserve"> : 
- Coupe droite
- Manches courtes
- Col ras du cou
- Bord tressé et stylisé dans le col
- Ourlet et bords surpiqués 
- Ecriture entièrement imprimée sur la poitrine avec un bord légèrement texturé et pailleté
- Badge J&amp;JOY métallique sur le bas</t>
  </si>
  <si>
    <t xml:space="preserve">« Love always wins » ! Ce t-shirt à l'imprimé rose et aux épaules ajourées est aussi pétillant que pop. </t>
  </si>
  <si>
    <t>2101GTEE04</t>
  </si>
  <si>
    <t>Northen Territory Uluru</t>
  </si>
  <si>
    <t>T-Shirt Fille 04 Northen Territory Uluru</t>
  </si>
  <si>
    <t xml:space="preserve"> : 
- Coupe droite
- Manches courtes
- Col ras du cou
- Ourlet et bords surpiqués 
- Imprimé végétal avec sequins réversibles
- Noeud à l'avant
- Logo J&amp;JOY brodé sur nuque
- Badge J&amp;JOY métallique sur le bas</t>
  </si>
  <si>
    <t>Ce t-shirt beige resseré devant par un nœud, son imprimé végétal et ses sequins réversibles, amènent un peu de douceur à votre garde-robe !</t>
  </si>
  <si>
    <t>Coton 
Elasthanne</t>
  </si>
  <si>
    <t>2101GTEE05</t>
  </si>
  <si>
    <t>Northen Territory Uluru Paysage</t>
  </si>
  <si>
    <t>T-Shirt Fille 05 Northen Territory Uluru Paysage</t>
  </si>
  <si>
    <t xml:space="preserve"> : 
- Coupe droite
- Manches courtes
- Col ras du cou
- Tape dans le col
- Ourlet et bords surpiqués 
- Motif imprimé et texturé sur l'avant et sequins réversibles 
- Badge J&amp;JOY métallique sur le bas
- Logo J&amp;JOY brodé sur nuque</t>
  </si>
  <si>
    <t>2101GTEE06</t>
  </si>
  <si>
    <t>Sydney Pink Tie And Dye With Palmtree</t>
  </si>
  <si>
    <t>T-Shirt Fille 06 Sydney Pink Tie And Dye With Palmtree</t>
  </si>
  <si>
    <t xml:space="preserve"> : 
- Tie and dye rose
- Coupe droite
- Manches courtes
- Col ras du cou
- Ourlet et bords surpiqués 
- Imprimé texturé légèrement pailleté avec tape à franges
- Noeud dans le bas 
- Badge J&amp;JOY métallique sur le bas</t>
  </si>
  <si>
    <t xml:space="preserve">Rose poudré, palmiers, nœud sur le devant et soleil couchant : bienvenue à Bondi Beach ! Prête pour profiter d'une belle journée d'été ? </t>
  </si>
  <si>
    <t>2101GTEE07</t>
  </si>
  <si>
    <t>T-Shirt Fille 07 Sydney Dots Blue Aop</t>
  </si>
  <si>
    <t xml:space="preserve"> : 
- Coup droite 
- Manches courtes 
- Imprimé moucheté 
- Imprimé texturé sur l'avant
- Col rond
- Bords et encolore cotelés fluo rose et blanc
- Badge J&amp;JOY métalique sur le bas 
- Logo J&amp;JOY brodé sur nuque</t>
  </si>
  <si>
    <t>Un t-shirt joliment coupé avec un motif bleu en pointillés et des détails roses bien placés, elle va aimer le porter !</t>
  </si>
  <si>
    <t xml:space="preserve">Coton? </t>
  </si>
  <si>
    <t>2101GTEE08</t>
  </si>
  <si>
    <t>T-Shirt Fille 08 Northen Territory Flowers Aop</t>
  </si>
  <si>
    <t>TOPS</t>
  </si>
  <si>
    <t>2101GTOP01</t>
  </si>
  <si>
    <t>Top Fille</t>
  </si>
  <si>
    <t>Top Fille 01 Sydney Blue &amp; Cutting</t>
  </si>
  <si>
    <t xml:space="preserve">Un top bleu électrique et bien coupé pour un look cool et dynamique ! </t>
  </si>
  <si>
    <t>95% coton 
5% Eslasthanne</t>
  </si>
  <si>
    <t>2101GTOP02</t>
  </si>
  <si>
    <t>Top Fille 02 Northen Territory Flowers Aop</t>
  </si>
  <si>
    <t xml:space="preserve"> :
- Coupe évasée
- Fines bretelles ajustables
- Encolure dégagée et arrondie 
- Ourlets et bords surpiqués
- Badge J&amp;JOY métallique sur le bas
</t>
  </si>
  <si>
    <t xml:space="preserve">Un top à fines brides et à la coupe originale qui vous ravira lors des journées d'été ! </t>
  </si>
  <si>
    <t>viscose</t>
  </si>
  <si>
    <t>2101GTOP03</t>
  </si>
  <si>
    <t>Northen Territory Kaki Wildlife</t>
  </si>
  <si>
    <t>Top Fille 03 Northen Territory Kaki Wildlife</t>
  </si>
  <si>
    <t xml:space="preserve"> : 
- Coupe évasée
- Sans manches
- Encolure arrondie 
- Ourlet et bords surpiqués
- Petits volants sur le haut des épaules
- Ecriture imprimée texturée sur la poitrine 
- Imprimé kangourou doré légèrement pailleté
- Badge métallique J&amp;JOY sur le bas</t>
  </si>
  <si>
    <t xml:space="preserve">En Australie, on profite de la beauté des paysages, mais on découvre aussi des animaux que nous n'avons pas souvent l'habitude de croiser. Ici, ce sont les kangourous qui s'affichent en motif sur ce top ! Sur un fond kaki, ils semblent faire la course.
Ce top à l'imprimé coloré et aux bretelles très travaillées plaira aux amatrices de vie sauvage ! </t>
  </si>
  <si>
    <t>2101GTOP04</t>
  </si>
  <si>
    <t>Sydney Pink Bondi Beach</t>
  </si>
  <si>
    <t>Top Fille 04 Sydney Pink Bondi Beach</t>
  </si>
  <si>
    <t xml:space="preserve"> : 
- Coupe singlet
- Noeuds latérales
- Imprimé ton sur ton palmiers 
- Broderie à l'avant
- Logo J&amp;JOY brodé sur nuque</t>
  </si>
  <si>
    <t>Un top bleu foncé, des motifs palmiers de toutes les couleurs et des nœuds sur les côtés : ce top a tout bon et vous emmène à Bondi Beach, en Australie !</t>
  </si>
  <si>
    <t>Bleu foncé</t>
  </si>
  <si>
    <t>2101GSWT01</t>
  </si>
  <si>
    <t>Sweatshirt Fille</t>
  </si>
  <si>
    <t>Sydney Surf Girl Grey Melange</t>
  </si>
  <si>
    <t>Sweatshirt Fille 01 Sydney Surf Girl Grey Melange</t>
  </si>
  <si>
    <t xml:space="preserve"> : 
- Sweat ras du cou
- Coupe droite
- Manches longues
- Col rond  
- Ecriture entièrement brodée
- Bord, ceinture et poignets côtelés stretch
- Imprimés bleus thème "surf"
- Logo J&amp;JOY brodé sur nuque 
- Badge J&amp;JOY métallique sur le bas 
</t>
  </si>
  <si>
    <t>Palmiers, boomerangs, lunettes de soleil et planches de surf : oui, on est bien dans l'ambiance de la plage de Bondi Beach ! 
Inspiré de la vie de surfeuse australienne, ce sweat gris très confortable réunit tous les éléments nécessaires pour une parfaite journée entre amis à la plage !</t>
  </si>
  <si>
    <t>Gris</t>
  </si>
  <si>
    <t>2101GSWT02</t>
  </si>
  <si>
    <t>Sweatshirt Fille 02 Northen Territory Uluru Leafs Aop</t>
  </si>
  <si>
    <t xml:space="preserve"> : 
- Sweat ras du cou
- Coupe droite
- Manches longues
- Col rond 
- Ecriture entièrement brodée
- Bord, col, ceinture et poignets côtelés stretch
- Liserés contrastées rouges
- Imprimé végétal 
- Badge J&amp;JOY métallique sur le bas 
- Logo J&amp;JOY brodé sur nuque     
</t>
  </si>
  <si>
    <t xml:space="preserve">Un imprimé « jungle » et un fond rose, c'est la combinaison gagnante pour un sweat qu'on aura envie de porter tous les soirs d'été ! 
Un sweat chaud et agréable à porter... Un incontournable ! </t>
  </si>
  <si>
    <t>2101GSWT03</t>
  </si>
  <si>
    <t>Northen Territory Spread Love With Tie And Dye</t>
  </si>
  <si>
    <t>Sweatshirt Fille 03 Northen Territory Spread Love With Tie And Dye</t>
  </si>
  <si>
    <t xml:space="preserve"> : 
- Sweat ras du cou
- Coupe droite
- Manches longues
- Col rond 
- Ecriture texturée contrastée imprimée en doré
- Bord, ceinture et poignets côtelés stretch  
- Dégradé de couleurs allant du corail au blanc 
- Badge J&amp;JOY métallique sur le bas
- Logo J&amp;JOY doré cousu sur le bas 
- Logo J&amp;JOY brodé sur nuque</t>
  </si>
  <si>
    <t xml:space="preserve">On s'est inspiré de l'ambiance de la ville de Sydney pour imaginer ce sweat 100% bonnes ondes. Un dégradé de blanc et de rose, un col rond et une matière super agréable à porter : vous allez l'aimer !
Dynamisme, douceur et joie de vivre sont au programme de notre collection inspirée de ce coin du monde. </t>
  </si>
  <si>
    <t>2101GSWT04</t>
  </si>
  <si>
    <t>Sweatshirt Fille 04 Sydney Don'T Ever Give Up</t>
  </si>
  <si>
    <t>2101GSWT05</t>
  </si>
  <si>
    <t>Sydney Navy With Palm Tree</t>
  </si>
  <si>
    <t>Sweatshirt Fille 05 Sydney Navy With Palm Tree</t>
  </si>
  <si>
    <t xml:space="preserve"> :
- Coupe droite, gilet
- Manches longues
- Ouverture zippée
- Capuche avec cordon de serrage contrasté
- Poignets, ceinture et bords côtelés stretch
- Poche kangourou
- Liserés contrastées ceinture et poignets
- Imprimé entièrement brodé dans le dos
- Logo J&amp;JOY brodé sur cœur</t>
  </si>
  <si>
    <t xml:space="preserve">Avec son col haut et ses imprimés palmiers dans le dos, ce sweat bleu marine aux nombreux détails roses vient twister nos looks !
On le porte avec un t-shirt blanc ou rose, un jeans et des baskets pour un total look à l'australienne ! </t>
  </si>
  <si>
    <t>2101GSWT06</t>
  </si>
  <si>
    <t>Sydney Pink /Red Cutting</t>
  </si>
  <si>
    <t>Sweatshirt Fille 06 Sydney Pink /Red Cutting</t>
  </si>
  <si>
    <t xml:space="preserve"> :
- Tricolore
- Coupe droite, sweat à enfiler
- Manches longues
- Ecriture à sequins réversibles sur la poitrine
- Capuche avec cordon de serrage contrasté rayé
- Poignets côtelés stretch 
- Cordon de serrage contratsé dans le bas
- Badge métallique J&amp;JOY
</t>
  </si>
  <si>
    <t xml:space="preserve">Ce sweat rose et rouge est sans aucun doute la pièce la plus forte de notre collection inspirée de Sydney ! Resserré dans le bas, il vous promet une dégaine 100% cool. Les cool kids le porteront sans modération cette saison ! </t>
  </si>
  <si>
    <t>2101GSWT07</t>
  </si>
  <si>
    <t>Northen Territory Lilac/Orange</t>
  </si>
  <si>
    <t>Sweatshirt Fille 07 Northen Territory Lilac/Orange</t>
  </si>
  <si>
    <t xml:space="preserve"> :
- Coupe droite, gilet
- Manches longues
- Ouverture zippée avec finitions contrastées 
- Capuche avec faux cordon de serrage contrasté
- Intérieur capuche avec imprimé végétal 
- Poignets, ceinture et bords côtelés stretch
- Poche kangourou
- Liserés contrastées oranges
- Ecriture avec motif végétale, plaquée dans le dos
- Logo J&amp;JOY brodé sur cœur</t>
  </si>
  <si>
    <t>Inspiré du village australien « Yulura », isolé en plein désert mais à la beauté captivante, ce sweat rose a une inscription dans le dos et un imprimé « jungle » dans la capuche. Du rose, du mauve et du rouge : tous ces tons sont associés dans ce sweat pétillant pour booster nos looks cette saison !</t>
  </si>
  <si>
    <t>2101GJOY01</t>
  </si>
  <si>
    <t>Pantalon Fille</t>
  </si>
  <si>
    <t>Bleu clair</t>
  </si>
  <si>
    <t>2101GJOY02</t>
  </si>
  <si>
    <t>2101GJOY03</t>
  </si>
  <si>
    <t xml:space="preserve"> : 
- Coupe vintage avec une taille haute flatteuse
- Fuselé au niveau des jambes
- Ceiture amovible
- Taille haute
- Braguette Zippée
- Style 5 poches
- Semi-stretch
- Jacron noir sur bande ceinture arrière</t>
  </si>
  <si>
    <t>2101GJOY04</t>
  </si>
  <si>
    <t>2101GPAN01</t>
  </si>
  <si>
    <t>Pantalon Fille 01 Northen Territory 3/4 Kaki</t>
  </si>
  <si>
    <t>2101GPAN02</t>
  </si>
  <si>
    <t>Pantalon Fille 02 Sydney 3/4 Pink</t>
  </si>
  <si>
    <t xml:space="preserve">À la pointe de la mode, ce pantalon ample et d'un rose puissant est la pièce centrale d'un look réussi. Avec un t-shirt, une chemise ou un pull, ce pantalon fait tout son effet, à tous les coups. Et en plus, il est super confortable et agréable à porter dans toutes les situations. </t>
  </si>
  <si>
    <t>2101GJUM01</t>
  </si>
  <si>
    <t>Combinaison Fille</t>
  </si>
  <si>
    <t>Combinaison Fille 01 Northen Territory Jumpsuit Aop Dots Leafs</t>
  </si>
  <si>
    <t xml:space="preserve"> : 
- Combinaison courte asymétrique avec volant
- Taille élastiquée
- Ceinture amovible
- Fermeture à glissière sur le côté
- Bretelle élastique</t>
  </si>
  <si>
    <t xml:space="preserve">Cette combinaison-short est aussi jolie que confortable à porter. Une fine bride d'un côté, une épaule avec des volants de l'autre, et un motif jungle aux détails roses... Indispensable ! </t>
  </si>
  <si>
    <t>2101GJUM02</t>
  </si>
  <si>
    <t>Combinaison Fille 02 Sydney Playsuit Navy</t>
  </si>
  <si>
    <t xml:space="preserve"> : 
- Combinaison courte 
- Taille élastiquée contrastée
- Broderie sur le coeur
- Dos ouvert avec noeud
- Poches latérales
</t>
  </si>
  <si>
    <t xml:space="preserve">Cette combishort bleue cintrée est ultra tendance et super jolie ! À porter avec des sneakers ou des sandales, c'est une pièce indispensable pour un dressing à la pointe de la mode ! </t>
  </si>
  <si>
    <t>2101GDRESS01</t>
  </si>
  <si>
    <t>Robe Fille</t>
  </si>
  <si>
    <t>Robe Fille 01 Northen Territory Aop Leafs Orange</t>
  </si>
  <si>
    <t>2101GDRESS02</t>
  </si>
  <si>
    <t>Robe Fille 02 Northen Territory Fancy Stripes</t>
  </si>
  <si>
    <t xml:space="preserve"> :
- Robe mi-longue, cintrée sur le dessus et évasée sur le bas
- Sans manches
- Motif ligné
- Légère ouverture avec croisement dans le dos 
- Ouverture latérale zippée
- Logo J&amp;JOY brodé sur le coeur </t>
  </si>
  <si>
    <t xml:space="preserve">Avec ses motifs en pointillés inspirés de l'art aborigène australien, cette robe rouge est idéale pour profiter de l'été ! Sa coupe « patineuse » et son dos travaillé la rendent résolument originale. Cette robe s'adapte à toutes les circonstances et se porte aussi bien avec des sneakers que des sandales. </t>
  </si>
  <si>
    <t>2101GDRESS03</t>
  </si>
  <si>
    <t>Robe Fille 03 Sydney Longue Robe Aop Flowers</t>
  </si>
  <si>
    <t>C'est LA robe coup de coeur de notre garde-robe de cette saison ! Avec son motif coloré aussi joli que fun, cette robe longue est à la fois un classique indémodable et un modèle ultra tendance. On ne s'en lasse pas !  
À porter avec des sneakers blancs ou des Converses colorées pour un look 100% cool !</t>
  </si>
  <si>
    <t>2101GDRESS04</t>
  </si>
  <si>
    <t>Sydney Robe Polo Red</t>
  </si>
  <si>
    <t>Robe Fille 04 Sydney Robe Polo Red</t>
  </si>
  <si>
    <t xml:space="preserve"> :
- Robe mi-longue, cintrée sur le dessus et évasée sur le bas 
- Piqué coton extensible, rouge
- Sans manches
- Broderie sur le haut
- Logo J&amp;JOY brodé sur la coeur
- Badge J&amp;JOY métallique sur le bas
- Effet 2 en 1 
- Top avec noeud
- Fermeture par boutonnière à bride à l'arrière</t>
  </si>
  <si>
    <t xml:space="preserve">Une robe rouge pétillante avec un nœud à l'avant qui ravira les filles cet été !  </t>
  </si>
  <si>
    <t>2101GJACK01</t>
  </si>
  <si>
    <t>Veste Fille</t>
  </si>
  <si>
    <t>Northen Territory Yulara Back Print</t>
  </si>
  <si>
    <t>Veste Fille 01 Northen Territory Yulara Back Print</t>
  </si>
  <si>
    <t xml:space="preserve">  :
- Tissu denim
- Coupe droite
- Ouverture zippée
- Col chemise
- Manches longues et poignets boutonnés 
- Poches poitrine
- Imprimé texturé dans le dos légérement pailleté
- Bandes de serrage latérales dans le bas </t>
  </si>
  <si>
    <t xml:space="preserve">C'est LA veste tendance de cette saison pour les filles ! En tissu denim blanc, cette veste légère va avec tout : une robe, une jupe ou un jeans !
Dans le dos, une jolie illustration rouge, rose et mauve représente l'Outback australien et ses paysages terracotta à couper le souffle.  
</t>
  </si>
  <si>
    <t>2101GJACK02</t>
  </si>
  <si>
    <t>Sydney Satin Blue Palmtree</t>
  </si>
  <si>
    <t>Veste Fille 02 Sydney Satin Blue Palmtree</t>
  </si>
  <si>
    <t xml:space="preserve"> : 
- Coupe bomber
- Manches longues 
- Col, ceiture et poignets élastiqués
- Doublée
-Imrpimé et broderie sur le coeur
- Imprimé sur l'arrière
- Ouverture zippée avec finitions contrastées
- Bord stylisé dans le col
- Poches latérales
- Logo J&amp;JOY brodé sur le cœur
</t>
  </si>
  <si>
    <t>Cette veste bomber à l'imprimé jungle bleu et rose, c'est la pièce forte pour de cette saison, et elle fait sensation !</t>
  </si>
  <si>
    <t>2101GSKI01</t>
  </si>
  <si>
    <t>Jupe Fille</t>
  </si>
  <si>
    <t>Jupe Fille 01 Sydney 3/4 Aop Flowers</t>
  </si>
  <si>
    <t>2101GSKI02</t>
  </si>
  <si>
    <t>Jupe Fille 02 Northen Territory Flowers Orange</t>
  </si>
  <si>
    <t xml:space="preserve">Avec cette jolie jupe aux motifs fleuris rouges et blancs, il ne manque plus qu'un t-shirt et on est sûre d'avoir un joli look.
Parfaite pour aller à l'école ou pour passer la journée en famille ou avec les amis le week-end ! </t>
  </si>
  <si>
    <t>2101 GSHIRT01</t>
  </si>
  <si>
    <t>Chemise Fille</t>
  </si>
  <si>
    <t>Sydney Good On Ya Aop</t>
  </si>
  <si>
    <t>Chemise Fille 01 Sydney Good On Ya Aop</t>
  </si>
  <si>
    <t>2101GHDB01</t>
  </si>
  <si>
    <t>Bandeau Fille</t>
  </si>
  <si>
    <t>Bandeau Fille 01 Sydney Dots Blue</t>
  </si>
  <si>
    <t>2101GHDB02</t>
  </si>
  <si>
    <t>Bandeau FIlle</t>
  </si>
  <si>
    <t>Bandeau Fille 02 Northen Territory Flowers Orange</t>
  </si>
  <si>
    <t>2101GCAP01</t>
  </si>
  <si>
    <t>Casquette Fille</t>
  </si>
  <si>
    <t>Casquette Fille 01 Pink</t>
  </si>
  <si>
    <t xml:space="preserve">Cette casquette rose est très agréable à porter.
Sa visière protège les yeux du soleil et ses œillets d'aération sont pratiques car ils permettent de la porter tant en été que le reste de l'année.
Le plus important : elle complète votre look avec style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</si>
</sst>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0\ &quot;€&quot;;[Red]\-#,##0\ &quot;€&quot;"/>
    <numFmt numFmtId="8" formatCode="#,##0.00\ &quot;€&quot;;[Red]\-#,##0.00\ &quot;€&quot;"/>
    <numFmt numFmtId="164" formatCode="#,##0.00\ _€"/>
    <numFmt numFmtId="165" formatCode="#,##0\ _€"/>
    <numFmt numFmtId="166" formatCode="_-* #,##0.00\ [$€-40C]_-;\-* #,##0.00\ [$€-40C]_-;_-* &quot;-&quot;??\ [$€-40C]_-;_-@"/>
    <numFmt numFmtId="167" formatCode="#,##0.00\ &quot;€&quot;"/>
  </numFmts>
  <fonts count="21">
    <font>
      <sz val="11"/>
      <color theme="1"/>
      <name val="Arial"/>
    </font>
    <font>
      <b/>
      <sz val="12"/>
      <color theme="0"/>
      <name val="Work Sans"/>
    </font>
    <font>
      <b/>
      <sz val="12"/>
      <color rgb="FFFFFFFF"/>
      <name val="Work Sans"/>
    </font>
    <font>
      <sz val="12"/>
      <color theme="0"/>
      <name val="Work Sans"/>
    </font>
    <font>
      <b/>
      <sz val="12"/>
      <color rgb="FFFEFFFE"/>
      <name val="Work Sans"/>
    </font>
    <font>
      <sz val="12"/>
      <color theme="1"/>
      <name val="Work Sans"/>
    </font>
    <font>
      <b/>
      <sz val="12"/>
      <color rgb="FF000000"/>
      <name val="Work Sans"/>
    </font>
    <font>
      <sz val="12"/>
      <color rgb="FF000000"/>
      <name val="Work Sans"/>
    </font>
    <font>
      <sz val="11"/>
      <color theme="1"/>
      <name val="Arial"/>
    </font>
    <font>
      <sz val="11"/>
      <color rgb="FF000000"/>
      <name val="Inconsolata"/>
    </font>
    <font>
      <sz val="12"/>
      <color rgb="FF000000"/>
      <name val="Calibri"/>
    </font>
    <font>
      <sz val="11"/>
      <color rgb="FF000000"/>
      <name val="Roboto"/>
    </font>
    <font>
      <sz val="11"/>
      <color rgb="FF000000"/>
      <name val="Calibri"/>
    </font>
    <font>
      <sz val="11"/>
      <color rgb="FF212B36"/>
      <name val="-apple-system"/>
    </font>
    <font>
      <sz val="12"/>
      <color theme="1"/>
      <name val="Arial"/>
    </font>
    <font>
      <sz val="12"/>
      <color rgb="FF12100B"/>
      <name val="Work Sans"/>
    </font>
    <font>
      <sz val="11"/>
      <color rgb="FF212B36"/>
      <name val="Arial"/>
    </font>
    <font>
      <sz val="12"/>
      <color rgb="FFFFFFFF"/>
      <name val="Work Sans"/>
    </font>
    <font>
      <b/>
      <sz val="12"/>
      <color theme="1"/>
      <name val="Work Sans"/>
    </font>
    <font>
      <sz val="11"/>
      <color theme="1"/>
      <name val="Calibri"/>
    </font>
    <font>
      <sz val="11"/>
      <color rgb="FF12100B"/>
      <name val="Arial"/>
    </font>
  </fonts>
  <fills count="14">
    <fill>
      <patternFill patternType="none"/>
    </fill>
    <fill>
      <patternFill patternType="gray125"/>
    </fill>
    <fill>
      <patternFill patternType="solid">
        <fgColor rgb="FF7F7F7F"/>
        <bgColor rgb="FF7F7F7F"/>
      </patternFill>
    </fill>
    <fill>
      <patternFill patternType="solid">
        <fgColor rgb="FFFFE598"/>
        <bgColor rgb="FFFFE598"/>
      </patternFill>
    </fill>
    <fill>
      <patternFill patternType="solid">
        <fgColor rgb="FF00B0F0"/>
        <bgColor rgb="FF00B0F0"/>
      </patternFill>
    </fill>
    <fill>
      <patternFill patternType="solid">
        <fgColor rgb="FFFFC000"/>
        <bgColor rgb="FFFFC000"/>
      </patternFill>
    </fill>
    <fill>
      <patternFill patternType="solid">
        <fgColor rgb="FFFFFFFF"/>
        <bgColor rgb="FFFFFFFF"/>
      </patternFill>
    </fill>
    <fill>
      <patternFill patternType="solid">
        <fgColor theme="0"/>
        <bgColor theme="0"/>
      </patternFill>
    </fill>
    <fill>
      <patternFill patternType="solid">
        <fgColor rgb="FF63B2DE"/>
        <bgColor rgb="FF63B2DE"/>
      </patternFill>
    </fill>
    <fill>
      <patternFill patternType="solid">
        <fgColor rgb="FFFFFF00"/>
        <bgColor rgb="FFFFFF00"/>
      </patternFill>
    </fill>
    <fill>
      <patternFill patternType="solid">
        <fgColor rgb="FFFEFFFE"/>
        <bgColor rgb="FFFEFFFE"/>
      </patternFill>
    </fill>
    <fill>
      <patternFill patternType="solid">
        <fgColor rgb="FFFF0000"/>
        <bgColor rgb="FFFF0000"/>
      </patternFill>
    </fill>
    <fill>
      <patternFill patternType="solid">
        <fgColor rgb="FFC9DAF8"/>
        <bgColor rgb="FFC9DAF8"/>
      </patternFill>
    </fill>
    <fill>
      <patternFill patternType="solid">
        <fgColor rgb="FFCFE2F3"/>
        <bgColor rgb="FFCFE2F3"/>
      </patternFill>
    </fill>
  </fills>
  <borders count="33">
    <border>
      <left/>
      <right/>
      <top/>
      <bottom/>
      <diagonal/>
    </border>
    <border>
      <left style="medium">
        <color rgb="FFBFBFBF"/>
      </left>
      <right style="medium">
        <color rgb="FFBFBFBF"/>
      </right>
      <top style="medium">
        <color rgb="FFBFBFBF"/>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diagonal/>
    </border>
    <border>
      <left/>
      <right/>
      <top/>
      <bottom/>
      <diagonal/>
    </border>
    <border>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BFBFBF"/>
      </left>
      <right style="medium">
        <color rgb="FFBFBFBF"/>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right/>
      <top/>
      <bottom/>
      <diagonal/>
    </border>
    <border>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top/>
      <bottom/>
      <diagonal/>
    </border>
    <border>
      <left style="medium">
        <color rgb="FFBFBFBF"/>
      </left>
      <right style="medium">
        <color rgb="FFBFBFBF"/>
      </right>
      <top style="medium">
        <color rgb="FFBFBFBF"/>
      </top>
      <bottom style="medium">
        <color rgb="FFBFBFBF"/>
      </bottom>
      <diagonal/>
    </border>
    <border>
      <left/>
      <right style="thin">
        <color rgb="FF000000"/>
      </right>
      <top style="thin">
        <color rgb="FF000000"/>
      </top>
      <bottom style="thin">
        <color rgb="FF000000"/>
      </bottom>
      <diagonal/>
    </border>
    <border>
      <left style="medium">
        <color rgb="FFBFBFBF"/>
      </left>
      <right style="medium">
        <color rgb="FFBFBFBF"/>
      </right>
      <top/>
      <bottom style="medium">
        <color rgb="FFBFBFBF"/>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medium">
        <color rgb="FFBFBFBF"/>
      </right>
      <top/>
      <bottom style="medium">
        <color rgb="FFBFBFBF"/>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BFBFBF"/>
      </right>
      <top/>
      <bottom/>
      <diagonal/>
    </border>
    <border>
      <left style="medium">
        <color rgb="FFBFBFBF"/>
      </left>
      <right/>
      <top/>
      <bottom style="medium">
        <color rgb="FFBFBFBF"/>
      </bottom>
      <diagonal/>
    </border>
    <border>
      <left/>
      <right style="thin">
        <color rgb="FF000000"/>
      </right>
      <top/>
      <bottom style="thin">
        <color rgb="FF000000"/>
      </bottom>
      <diagonal/>
    </border>
    <border>
      <left style="medium">
        <color rgb="FFBFBFBF"/>
      </left>
      <right style="medium">
        <color rgb="FFBFBFBF"/>
      </right>
      <top/>
      <bottom style="medium">
        <color rgb="FFBFBFBF"/>
      </bottom>
      <diagonal/>
    </border>
    <border>
      <left/>
      <right/>
      <top style="medium">
        <color rgb="FFBFBFBF"/>
      </top>
      <bottom/>
      <diagonal/>
    </border>
    <border>
      <left/>
      <right/>
      <top/>
      <bottom style="medium">
        <color rgb="FFBFBFBF"/>
      </bottom>
      <diagonal/>
    </border>
  </borders>
  <cellStyleXfs count="1">
    <xf numFmtId="0" fontId="0" fillId="0" borderId="0"/>
  </cellStyleXfs>
  <cellXfs count="254">
    <xf numFmtId="0" fontId="0" fillId="0" borderId="0" xfId="0" applyFont="1" applyAlignment="1"/>
    <xf numFmtId="0" fontId="1" fillId="2" borderId="1" xfId="0"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horizontal="left" vertical="center" wrapText="1"/>
    </xf>
    <xf numFmtId="0" fontId="2"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3" fillId="0" borderId="0" xfId="0" applyFont="1" applyAlignment="1">
      <alignment vertical="center"/>
    </xf>
    <xf numFmtId="0" fontId="4" fillId="4" borderId="9" xfId="0" applyFont="1" applyFill="1" applyBorder="1" applyAlignment="1">
      <alignment vertical="center"/>
    </xf>
    <xf numFmtId="0" fontId="4" fillId="4" borderId="9" xfId="0" applyFont="1" applyFill="1" applyBorder="1" applyAlignment="1">
      <alignment horizontal="center" vertical="center"/>
    </xf>
    <xf numFmtId="0" fontId="5" fillId="4" borderId="9" xfId="0" applyFont="1" applyFill="1" applyBorder="1"/>
    <xf numFmtId="0" fontId="5" fillId="4" borderId="9" xfId="0" applyFont="1" applyFill="1" applyBorder="1" applyAlignment="1">
      <alignment horizontal="left" vertical="center"/>
    </xf>
    <xf numFmtId="0" fontId="5" fillId="4" borderId="9" xfId="0" applyFont="1" applyFill="1" applyBorder="1" applyAlignment="1">
      <alignment horizontal="center" vertical="center"/>
    </xf>
    <xf numFmtId="0" fontId="6" fillId="5" borderId="10" xfId="0" applyFont="1" applyFill="1" applyBorder="1" applyAlignment="1">
      <alignment vertical="top" wrapText="1"/>
    </xf>
    <xf numFmtId="165" fontId="7" fillId="5" borderId="10" xfId="0" applyNumberFormat="1" applyFont="1" applyFill="1" applyBorder="1" applyAlignment="1">
      <alignment horizontal="center" vertical="top" wrapText="1"/>
    </xf>
    <xf numFmtId="8" fontId="5" fillId="5" borderId="11" xfId="0" applyNumberFormat="1" applyFont="1" applyFill="1" applyBorder="1" applyAlignment="1">
      <alignment horizontal="center" vertical="top" wrapText="1"/>
    </xf>
    <xf numFmtId="8" fontId="5" fillId="5" borderId="12" xfId="0" applyNumberFormat="1" applyFont="1" applyFill="1" applyBorder="1" applyAlignment="1">
      <alignment horizontal="center" vertical="top" wrapText="1"/>
    </xf>
    <xf numFmtId="8" fontId="5" fillId="5" borderId="13" xfId="0" applyNumberFormat="1" applyFont="1" applyFill="1" applyBorder="1" applyAlignment="1">
      <alignment horizontal="center" vertical="top" wrapText="1"/>
    </xf>
    <xf numFmtId="8" fontId="5" fillId="5" borderId="4" xfId="0" applyNumberFormat="1" applyFont="1" applyFill="1" applyBorder="1" applyAlignment="1">
      <alignment horizontal="center" vertical="center" wrapText="1"/>
    </xf>
    <xf numFmtId="0" fontId="7" fillId="5" borderId="14" xfId="0" applyFont="1" applyFill="1" applyBorder="1" applyAlignment="1">
      <alignment horizontal="center" vertical="top" wrapText="1"/>
    </xf>
    <xf numFmtId="0" fontId="7" fillId="5" borderId="11" xfId="0" applyFont="1" applyFill="1" applyBorder="1" applyAlignment="1">
      <alignment horizontal="center" vertical="top" wrapText="1"/>
    </xf>
    <xf numFmtId="0" fontId="5" fillId="5" borderId="11" xfId="0" applyFont="1" applyFill="1" applyBorder="1" applyAlignment="1">
      <alignment horizontal="center" vertical="top" wrapText="1"/>
    </xf>
    <xf numFmtId="0" fontId="7" fillId="5" borderId="11" xfId="0" applyFont="1" applyFill="1" applyBorder="1" applyAlignment="1">
      <alignment horizontal="left" vertical="center" wrapText="1"/>
    </xf>
    <xf numFmtId="0" fontId="5" fillId="5" borderId="11"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16" xfId="0" applyFont="1" applyFill="1" applyBorder="1" applyAlignment="1">
      <alignment horizontal="center" vertical="top" wrapText="1"/>
    </xf>
    <xf numFmtId="0" fontId="5" fillId="5" borderId="15" xfId="0" applyFont="1" applyFill="1" applyBorder="1" applyAlignment="1">
      <alignment horizontal="center" vertical="top" wrapText="1"/>
    </xf>
    <xf numFmtId="0" fontId="5" fillId="5" borderId="11" xfId="0" applyFont="1" applyFill="1" applyBorder="1" applyAlignment="1">
      <alignment wrapText="1"/>
    </xf>
    <xf numFmtId="0" fontId="5" fillId="5" borderId="17" xfId="0" applyFont="1" applyFill="1" applyBorder="1" applyAlignment="1">
      <alignment wrapText="1"/>
    </xf>
    <xf numFmtId="0" fontId="5" fillId="5" borderId="9" xfId="0" applyFont="1" applyFill="1" applyBorder="1"/>
    <xf numFmtId="0" fontId="5" fillId="5" borderId="18" xfId="0" applyFont="1" applyFill="1" applyBorder="1"/>
    <xf numFmtId="0" fontId="7" fillId="6" borderId="19" xfId="0" applyFont="1" applyFill="1" applyBorder="1" applyAlignment="1">
      <alignment vertical="top" wrapText="1"/>
    </xf>
    <xf numFmtId="165" fontId="8" fillId="0" borderId="0" xfId="0" applyNumberFormat="1" applyFont="1" applyAlignment="1">
      <alignment horizontal="left"/>
    </xf>
    <xf numFmtId="166" fontId="5" fillId="0" borderId="9" xfId="0" applyNumberFormat="1" applyFont="1" applyBorder="1" applyAlignment="1">
      <alignment horizontal="center" vertical="center"/>
    </xf>
    <xf numFmtId="8" fontId="5" fillId="0" borderId="9" xfId="0" applyNumberFormat="1" applyFont="1" applyBorder="1" applyAlignment="1">
      <alignment horizontal="center" vertical="top" wrapText="1"/>
    </xf>
    <xf numFmtId="8" fontId="5" fillId="0" borderId="20" xfId="0" applyNumberFormat="1" applyFont="1" applyBorder="1" applyAlignment="1">
      <alignment horizontal="center" vertical="center" wrapText="1"/>
    </xf>
    <xf numFmtId="8" fontId="5" fillId="0" borderId="0" xfId="0" applyNumberFormat="1" applyFont="1" applyAlignment="1">
      <alignment horizontal="center" vertical="center" wrapText="1"/>
    </xf>
    <xf numFmtId="0" fontId="5" fillId="0" borderId="0" xfId="0" applyFont="1" applyAlignment="1">
      <alignment horizontal="center" vertical="top" wrapText="1"/>
    </xf>
    <xf numFmtId="0" fontId="5" fillId="0" borderId="9" xfId="0" applyFont="1" applyBorder="1" applyAlignment="1">
      <alignment horizontal="center" vertical="top" wrapText="1"/>
    </xf>
    <xf numFmtId="0" fontId="5" fillId="0" borderId="9" xfId="0" applyFont="1" applyBorder="1" applyAlignment="1">
      <alignment horizontal="center" vertical="top" wrapText="1"/>
    </xf>
    <xf numFmtId="0" fontId="7" fillId="0" borderId="9" xfId="0" applyFont="1" applyBorder="1" applyAlignment="1">
      <alignment horizontal="left" vertical="center" wrapText="1"/>
    </xf>
    <xf numFmtId="0" fontId="9" fillId="6" borderId="0" xfId="0" applyFont="1" applyFill="1"/>
    <xf numFmtId="0" fontId="5" fillId="0" borderId="9" xfId="0" applyFont="1" applyBorder="1" applyAlignment="1">
      <alignment horizontal="center" vertical="center" wrapText="1"/>
    </xf>
    <xf numFmtId="1" fontId="10" fillId="0" borderId="9" xfId="0" applyNumberFormat="1" applyFont="1" applyBorder="1" applyAlignment="1">
      <alignment horizontal="center"/>
    </xf>
    <xf numFmtId="1" fontId="9" fillId="6" borderId="0" xfId="0" applyNumberFormat="1" applyFont="1" applyFill="1"/>
    <xf numFmtId="0" fontId="5" fillId="0" borderId="9" xfId="0" applyFont="1" applyBorder="1" applyAlignment="1">
      <alignment wrapText="1"/>
    </xf>
    <xf numFmtId="0" fontId="9" fillId="6" borderId="0" xfId="0" applyFont="1" applyFill="1"/>
    <xf numFmtId="0" fontId="5" fillId="0" borderId="9" xfId="0" applyFont="1" applyBorder="1" applyAlignment="1"/>
    <xf numFmtId="0" fontId="5" fillId="0" borderId="0" xfId="0" applyFont="1"/>
    <xf numFmtId="0" fontId="7" fillId="6" borderId="21" xfId="0" applyFont="1" applyFill="1" applyBorder="1" applyAlignment="1">
      <alignment vertical="top" wrapText="1"/>
    </xf>
    <xf numFmtId="0" fontId="5" fillId="0" borderId="9" xfId="0" applyFont="1" applyBorder="1" applyAlignment="1">
      <alignment horizontal="left" vertical="center" wrapText="1"/>
    </xf>
    <xf numFmtId="1" fontId="10" fillId="0" borderId="22" xfId="0" applyNumberFormat="1" applyFont="1" applyBorder="1" applyAlignment="1">
      <alignment horizontal="center"/>
    </xf>
    <xf numFmtId="8" fontId="5" fillId="0" borderId="23" xfId="0" applyNumberFormat="1" applyFont="1" applyBorder="1" applyAlignment="1">
      <alignment horizontal="center" vertical="top" wrapText="1"/>
    </xf>
    <xf numFmtId="0" fontId="10" fillId="0" borderId="22" xfId="0" applyFont="1" applyBorder="1" applyAlignment="1">
      <alignment horizontal="center"/>
    </xf>
    <xf numFmtId="0" fontId="11" fillId="6" borderId="9" xfId="0" applyFont="1" applyFill="1" applyBorder="1" applyAlignment="1"/>
    <xf numFmtId="1" fontId="5" fillId="0" borderId="9" xfId="0" applyNumberFormat="1" applyFont="1" applyBorder="1" applyAlignment="1">
      <alignment horizontal="center" vertical="center"/>
    </xf>
    <xf numFmtId="165" fontId="7" fillId="5" borderId="1" xfId="0" applyNumberFormat="1" applyFont="1" applyFill="1" applyBorder="1" applyAlignment="1">
      <alignment horizontal="center" vertical="top" wrapText="1"/>
    </xf>
    <xf numFmtId="8" fontId="5" fillId="5" borderId="2" xfId="0" applyNumberFormat="1" applyFont="1" applyFill="1" applyBorder="1" applyAlignment="1">
      <alignment horizontal="center" vertical="top" wrapText="1"/>
    </xf>
    <xf numFmtId="8" fontId="5" fillId="5" borderId="3" xfId="0" applyNumberFormat="1" applyFont="1" applyFill="1" applyBorder="1" applyAlignment="1">
      <alignment horizontal="center" vertical="top" wrapText="1"/>
    </xf>
    <xf numFmtId="8" fontId="5" fillId="5" borderId="9" xfId="0" applyNumberFormat="1" applyFont="1" applyFill="1" applyBorder="1" applyAlignment="1">
      <alignment horizontal="center" vertical="top" wrapText="1"/>
    </xf>
    <xf numFmtId="0" fontId="7" fillId="5" borderId="2" xfId="0" applyFont="1" applyFill="1" applyBorder="1" applyAlignment="1">
      <alignment horizontal="center" vertical="top" wrapText="1"/>
    </xf>
    <xf numFmtId="0" fontId="5" fillId="5" borderId="2" xfId="0" applyFont="1" applyFill="1" applyBorder="1" applyAlignment="1">
      <alignment horizontal="center" vertical="top" wrapText="1"/>
    </xf>
    <xf numFmtId="0" fontId="5" fillId="5" borderId="2" xfId="0" applyFont="1" applyFill="1" applyBorder="1" applyAlignment="1">
      <alignment horizontal="left" vertical="center" wrapText="1"/>
    </xf>
    <xf numFmtId="0" fontId="5" fillId="5" borderId="2" xfId="0" applyFont="1" applyFill="1" applyBorder="1" applyAlignment="1">
      <alignment horizontal="center" vertical="center" wrapText="1"/>
    </xf>
    <xf numFmtId="0" fontId="5" fillId="5" borderId="7" xfId="0" applyFont="1" applyFill="1" applyBorder="1" applyAlignment="1">
      <alignment horizontal="center" vertical="top" wrapText="1"/>
    </xf>
    <xf numFmtId="0" fontId="5" fillId="5" borderId="2" xfId="0" applyFont="1" applyFill="1" applyBorder="1" applyAlignment="1">
      <alignment wrapText="1"/>
    </xf>
    <xf numFmtId="0" fontId="5" fillId="5" borderId="9" xfId="0" applyFont="1" applyFill="1" applyBorder="1" applyAlignment="1">
      <alignment wrapText="1"/>
    </xf>
    <xf numFmtId="0" fontId="5" fillId="0" borderId="20" xfId="0" applyFont="1" applyBorder="1" applyAlignment="1">
      <alignment horizontal="center" vertical="top" wrapText="1"/>
    </xf>
    <xf numFmtId="0" fontId="5" fillId="7" borderId="9" xfId="0" applyFont="1" applyFill="1" applyBorder="1" applyAlignment="1">
      <alignment horizontal="left" vertical="center" wrapText="1"/>
    </xf>
    <xf numFmtId="1" fontId="5" fillId="0" borderId="9" xfId="0" applyNumberFormat="1" applyFont="1" applyBorder="1" applyAlignment="1">
      <alignment horizontal="center" vertical="center"/>
    </xf>
    <xf numFmtId="1" fontId="12" fillId="0" borderId="22" xfId="0" applyNumberFormat="1" applyFont="1" applyBorder="1" applyAlignment="1">
      <alignment horizontal="center"/>
    </xf>
    <xf numFmtId="0" fontId="10" fillId="0" borderId="9" xfId="0" applyFont="1" applyBorder="1" applyAlignment="1">
      <alignment horizontal="center"/>
    </xf>
    <xf numFmtId="0" fontId="12" fillId="0" borderId="22" xfId="0" applyFont="1" applyBorder="1" applyAlignment="1">
      <alignment horizontal="center"/>
    </xf>
    <xf numFmtId="0" fontId="7" fillId="7" borderId="9" xfId="0" applyFont="1" applyFill="1" applyBorder="1" applyAlignment="1">
      <alignment horizontal="left" vertical="center" wrapText="1"/>
    </xf>
    <xf numFmtId="0" fontId="7" fillId="8" borderId="24" xfId="0" applyFont="1" applyFill="1" applyBorder="1" applyAlignment="1">
      <alignment vertical="top" wrapText="1"/>
    </xf>
    <xf numFmtId="0" fontId="5" fillId="0" borderId="9" xfId="0" quotePrefix="1" applyFont="1" applyBorder="1" applyAlignment="1">
      <alignment horizontal="center" vertical="top" wrapText="1"/>
    </xf>
    <xf numFmtId="0" fontId="6" fillId="5" borderId="9" xfId="0" applyFont="1" applyFill="1" applyBorder="1" applyAlignment="1">
      <alignment vertical="top" wrapText="1"/>
    </xf>
    <xf numFmtId="165" fontId="7" fillId="5" borderId="9" xfId="0" applyNumberFormat="1" applyFont="1" applyFill="1" applyBorder="1" applyAlignment="1">
      <alignment horizontal="center" vertical="top" wrapText="1"/>
    </xf>
    <xf numFmtId="8" fontId="5" fillId="5" borderId="25" xfId="0" applyNumberFormat="1" applyFont="1" applyFill="1" applyBorder="1" applyAlignment="1">
      <alignment horizontal="center" vertical="top" wrapText="1"/>
    </xf>
    <xf numFmtId="8" fontId="5" fillId="5" borderId="26" xfId="0" applyNumberFormat="1" applyFont="1" applyFill="1" applyBorder="1" applyAlignment="1">
      <alignment horizontal="center" vertical="center" wrapText="1"/>
    </xf>
    <xf numFmtId="0" fontId="7" fillId="5" borderId="9" xfId="0" applyFont="1" applyFill="1" applyBorder="1" applyAlignment="1">
      <alignment horizontal="center" vertical="top" wrapText="1"/>
    </xf>
    <xf numFmtId="0" fontId="5" fillId="5" borderId="9" xfId="0" applyFont="1" applyFill="1" applyBorder="1" applyAlignment="1">
      <alignment horizontal="center" vertical="top" wrapText="1"/>
    </xf>
    <xf numFmtId="0" fontId="5" fillId="5" borderId="9" xfId="0" applyFont="1" applyFill="1" applyBorder="1" applyAlignment="1">
      <alignment horizontal="left" vertical="center" wrapText="1"/>
    </xf>
    <xf numFmtId="0" fontId="5" fillId="5" borderId="9" xfId="0" applyFont="1" applyFill="1" applyBorder="1" applyAlignment="1">
      <alignment horizontal="center" vertical="center" wrapText="1"/>
    </xf>
    <xf numFmtId="0" fontId="5" fillId="5" borderId="26" xfId="0" applyFont="1" applyFill="1" applyBorder="1" applyAlignment="1">
      <alignment horizontal="center" vertical="top" wrapText="1"/>
    </xf>
    <xf numFmtId="166" fontId="8" fillId="0" borderId="0" xfId="0" applyNumberFormat="1" applyFont="1" applyAlignment="1">
      <alignment horizontal="left"/>
    </xf>
    <xf numFmtId="0" fontId="5" fillId="0" borderId="9" xfId="0" applyFont="1" applyBorder="1" applyAlignment="1">
      <alignment horizontal="center" vertical="center" wrapText="1"/>
    </xf>
    <xf numFmtId="0" fontId="7" fillId="8" borderId="27" xfId="0" applyFont="1" applyFill="1" applyBorder="1" applyAlignment="1">
      <alignment vertical="top" wrapText="1"/>
    </xf>
    <xf numFmtId="8" fontId="5" fillId="7" borderId="9" xfId="0" applyNumberFormat="1" applyFont="1" applyFill="1" applyBorder="1" applyAlignment="1">
      <alignment horizontal="center" vertical="top" wrapText="1"/>
    </xf>
    <xf numFmtId="8" fontId="5" fillId="7" borderId="26" xfId="0" applyNumberFormat="1" applyFont="1" applyFill="1" applyBorder="1" applyAlignment="1">
      <alignment horizontal="center" vertical="center" wrapText="1"/>
    </xf>
    <xf numFmtId="0" fontId="5" fillId="7" borderId="9" xfId="0" applyFont="1" applyFill="1" applyBorder="1" applyAlignment="1">
      <alignment horizontal="center" vertical="top" wrapText="1"/>
    </xf>
    <xf numFmtId="0" fontId="5" fillId="7" borderId="9" xfId="0" applyFont="1" applyFill="1" applyBorder="1" applyAlignment="1">
      <alignment horizontal="center" vertical="top" wrapText="1"/>
    </xf>
    <xf numFmtId="0" fontId="5" fillId="7" borderId="9" xfId="0" applyFont="1" applyFill="1" applyBorder="1" applyAlignment="1">
      <alignment horizontal="center" vertical="center" wrapText="1"/>
    </xf>
    <xf numFmtId="0" fontId="5" fillId="7" borderId="18" xfId="0" applyFont="1" applyFill="1" applyBorder="1"/>
    <xf numFmtId="166" fontId="5" fillId="7" borderId="13" xfId="0" applyNumberFormat="1" applyFont="1" applyFill="1" applyBorder="1" applyAlignment="1">
      <alignment horizontal="center" vertical="center"/>
    </xf>
    <xf numFmtId="0" fontId="7" fillId="7" borderId="9" xfId="0" applyFont="1" applyFill="1" applyBorder="1" applyAlignment="1">
      <alignment horizontal="center" vertical="center" wrapText="1"/>
    </xf>
    <xf numFmtId="166" fontId="5" fillId="7" borderId="9" xfId="0" applyNumberFormat="1" applyFont="1" applyFill="1" applyBorder="1" applyAlignment="1">
      <alignment horizontal="center" vertical="center"/>
    </xf>
    <xf numFmtId="0" fontId="7" fillId="6" borderId="19" xfId="0" applyFont="1" applyFill="1" applyBorder="1" applyAlignment="1">
      <alignment vertical="top" wrapText="1"/>
    </xf>
    <xf numFmtId="6" fontId="8" fillId="0" borderId="0" xfId="0" applyNumberFormat="1" applyFont="1" applyAlignment="1">
      <alignment horizontal="left"/>
    </xf>
    <xf numFmtId="0" fontId="13" fillId="0" borderId="0" xfId="0" applyFont="1" applyAlignment="1"/>
    <xf numFmtId="0" fontId="7" fillId="0" borderId="0" xfId="0" applyFont="1"/>
    <xf numFmtId="8" fontId="5" fillId="0" borderId="20" xfId="0" applyNumberFormat="1" applyFont="1" applyBorder="1" applyAlignment="1">
      <alignment horizontal="center" vertical="center" wrapText="1"/>
    </xf>
    <xf numFmtId="0" fontId="5" fillId="0" borderId="20" xfId="0" applyFont="1" applyBorder="1" applyAlignment="1">
      <alignment horizontal="center" vertical="top" wrapText="1"/>
    </xf>
    <xf numFmtId="0" fontId="5" fillId="0" borderId="0" xfId="0" applyFont="1" applyAlignment="1">
      <alignment wrapText="1"/>
    </xf>
    <xf numFmtId="0" fontId="7" fillId="9" borderId="19" xfId="0" applyFont="1" applyFill="1" applyBorder="1" applyAlignment="1">
      <alignment vertical="top" wrapText="1"/>
    </xf>
    <xf numFmtId="0" fontId="7" fillId="9" borderId="21" xfId="0" applyFont="1" applyFill="1" applyBorder="1" applyAlignment="1">
      <alignment vertical="top" wrapText="1"/>
    </xf>
    <xf numFmtId="0" fontId="7" fillId="9" borderId="21" xfId="0" applyFont="1" applyFill="1" applyBorder="1" applyAlignment="1">
      <alignment vertical="top" wrapText="1"/>
    </xf>
    <xf numFmtId="166" fontId="5" fillId="0" borderId="23" xfId="0" applyNumberFormat="1" applyFont="1" applyBorder="1" applyAlignment="1">
      <alignment horizontal="center" vertical="center"/>
    </xf>
    <xf numFmtId="0" fontId="7" fillId="7" borderId="9" xfId="0" applyFont="1" applyFill="1" applyBorder="1" applyAlignment="1">
      <alignment horizontal="center" vertical="top" wrapText="1"/>
    </xf>
    <xf numFmtId="0" fontId="7" fillId="7" borderId="26" xfId="0" applyFont="1" applyFill="1" applyBorder="1" applyAlignment="1">
      <alignment horizontal="center" vertical="top" wrapText="1"/>
    </xf>
    <xf numFmtId="165" fontId="5" fillId="7" borderId="9" xfId="0" applyNumberFormat="1" applyFont="1" applyFill="1" applyBorder="1" applyAlignment="1">
      <alignment horizontal="center" vertical="center"/>
    </xf>
    <xf numFmtId="166" fontId="5" fillId="0" borderId="22" xfId="0" applyNumberFormat="1" applyFont="1" applyBorder="1" applyAlignment="1">
      <alignment horizontal="center" vertical="center"/>
    </xf>
    <xf numFmtId="165" fontId="5" fillId="0" borderId="22" xfId="0" applyNumberFormat="1" applyFont="1" applyBorder="1" applyAlignment="1">
      <alignment horizontal="center" vertical="center"/>
    </xf>
    <xf numFmtId="0" fontId="12" fillId="0" borderId="9" xfId="0" applyFont="1" applyBorder="1" applyAlignment="1">
      <alignment horizontal="center"/>
    </xf>
    <xf numFmtId="165" fontId="5" fillId="7" borderId="13" xfId="0" applyNumberFormat="1" applyFont="1" applyFill="1" applyBorder="1" applyAlignment="1">
      <alignment horizontal="center" vertical="center"/>
    </xf>
    <xf numFmtId="0" fontId="5" fillId="7" borderId="26" xfId="0" applyFont="1" applyFill="1" applyBorder="1" applyAlignment="1">
      <alignment horizontal="center" vertical="top" wrapText="1"/>
    </xf>
    <xf numFmtId="0" fontId="5" fillId="7" borderId="9" xfId="0" quotePrefix="1" applyFont="1" applyFill="1" applyBorder="1" applyAlignment="1">
      <alignment horizontal="center" vertical="top" wrapText="1"/>
    </xf>
    <xf numFmtId="0" fontId="7" fillId="5" borderId="9" xfId="0" applyFont="1" applyFill="1" applyBorder="1" applyAlignment="1">
      <alignment horizontal="left" vertical="center" wrapText="1"/>
    </xf>
    <xf numFmtId="0" fontId="4" fillId="4" borderId="21" xfId="0" applyFont="1" applyFill="1" applyBorder="1" applyAlignment="1">
      <alignment vertical="center"/>
    </xf>
    <xf numFmtId="0" fontId="4" fillId="4" borderId="28" xfId="0" applyFont="1" applyFill="1" applyBorder="1" applyAlignment="1">
      <alignment vertical="center"/>
    </xf>
    <xf numFmtId="0" fontId="4" fillId="4" borderId="4" xfId="0" applyFont="1" applyFill="1" applyBorder="1" applyAlignment="1">
      <alignment horizontal="center" vertical="center"/>
    </xf>
    <xf numFmtId="0" fontId="5" fillId="4" borderId="4" xfId="0" applyFont="1" applyFill="1" applyBorder="1"/>
    <xf numFmtId="0" fontId="5" fillId="4" borderId="4" xfId="0" applyFont="1" applyFill="1" applyBorder="1" applyAlignment="1">
      <alignment horizontal="left" vertical="center"/>
    </xf>
    <xf numFmtId="0" fontId="5" fillId="4" borderId="13" xfId="0" applyFont="1" applyFill="1" applyBorder="1" applyAlignment="1">
      <alignment horizontal="center" vertical="center"/>
    </xf>
    <xf numFmtId="0" fontId="5" fillId="4" borderId="29" xfId="0" applyFont="1" applyFill="1" applyBorder="1"/>
    <xf numFmtId="0" fontId="5" fillId="4" borderId="13" xfId="0" applyFont="1" applyFill="1" applyBorder="1"/>
    <xf numFmtId="0" fontId="5" fillId="4" borderId="18" xfId="0" applyFont="1" applyFill="1" applyBorder="1"/>
    <xf numFmtId="0" fontId="7" fillId="5" borderId="2" xfId="0" applyFont="1" applyFill="1" applyBorder="1" applyAlignment="1">
      <alignment horizontal="left" vertical="center" wrapText="1"/>
    </xf>
    <xf numFmtId="166" fontId="5" fillId="0" borderId="9" xfId="0" applyNumberFormat="1" applyFont="1" applyBorder="1"/>
    <xf numFmtId="0" fontId="7" fillId="0" borderId="9" xfId="0" applyFont="1" applyBorder="1" applyAlignment="1">
      <alignment horizontal="center" vertical="top" wrapText="1"/>
    </xf>
    <xf numFmtId="0" fontId="14" fillId="0" borderId="0" xfId="0" applyFont="1" applyAlignment="1">
      <alignment horizontal="center" vertical="top" wrapText="1"/>
    </xf>
    <xf numFmtId="0" fontId="14" fillId="0" borderId="9" xfId="0" applyFont="1" applyBorder="1" applyAlignment="1">
      <alignment horizontal="center" vertical="top" wrapText="1"/>
    </xf>
    <xf numFmtId="8" fontId="5" fillId="5" borderId="9" xfId="0" applyNumberFormat="1" applyFont="1" applyFill="1" applyBorder="1" applyAlignment="1">
      <alignment horizontal="center" vertical="center" wrapText="1"/>
    </xf>
    <xf numFmtId="0" fontId="7" fillId="7" borderId="9" xfId="0" applyFont="1" applyFill="1" applyBorder="1" applyAlignment="1">
      <alignment horizontal="center" vertical="top" wrapText="1"/>
    </xf>
    <xf numFmtId="0" fontId="5" fillId="0" borderId="0" xfId="0" applyFont="1" applyAlignment="1">
      <alignment horizontal="left" vertical="center" wrapText="1"/>
    </xf>
    <xf numFmtId="166" fontId="5" fillId="0" borderId="9" xfId="0" applyNumberFormat="1" applyFont="1" applyBorder="1" applyAlignment="1"/>
    <xf numFmtId="0" fontId="7" fillId="10" borderId="19" xfId="0" applyFont="1" applyFill="1" applyBorder="1" applyAlignment="1">
      <alignment vertical="top" wrapText="1"/>
    </xf>
    <xf numFmtId="167" fontId="5" fillId="7" borderId="9" xfId="0" applyNumberFormat="1" applyFont="1" applyFill="1" applyBorder="1" applyAlignment="1">
      <alignment horizontal="center" vertical="center"/>
    </xf>
    <xf numFmtId="0" fontId="7" fillId="7" borderId="9" xfId="0" applyFont="1" applyFill="1" applyBorder="1" applyAlignment="1">
      <alignment horizontal="center" vertical="top"/>
    </xf>
    <xf numFmtId="0" fontId="7" fillId="10" borderId="21" xfId="0" applyFont="1" applyFill="1" applyBorder="1" applyAlignment="1">
      <alignment vertical="top" wrapText="1"/>
    </xf>
    <xf numFmtId="0" fontId="15" fillId="0" borderId="9" xfId="0" applyFont="1" applyBorder="1" applyAlignment="1">
      <alignment horizontal="left" vertical="center" wrapText="1"/>
    </xf>
    <xf numFmtId="0" fontId="7" fillId="7" borderId="9" xfId="0" applyFont="1" applyFill="1" applyBorder="1" applyAlignment="1">
      <alignment horizontal="center" vertical="top"/>
    </xf>
    <xf numFmtId="0" fontId="16" fillId="0" borderId="0" xfId="0" applyFont="1" applyAlignment="1"/>
    <xf numFmtId="0" fontId="7" fillId="9" borderId="9" xfId="0" applyFont="1" applyFill="1" applyBorder="1" applyAlignment="1">
      <alignment vertical="top" wrapText="1"/>
    </xf>
    <xf numFmtId="0" fontId="5" fillId="7" borderId="9" xfId="0" applyFont="1" applyFill="1" applyBorder="1" applyAlignment="1">
      <alignment vertical="center"/>
    </xf>
    <xf numFmtId="0" fontId="5" fillId="7" borderId="26" xfId="0" applyFont="1" applyFill="1" applyBorder="1" applyAlignment="1">
      <alignment horizontal="center" vertical="center"/>
    </xf>
    <xf numFmtId="0" fontId="9" fillId="6" borderId="0" xfId="0" applyFont="1" applyFill="1" applyAlignment="1"/>
    <xf numFmtId="0" fontId="14" fillId="6" borderId="0" xfId="0" applyFont="1" applyFill="1" applyAlignment="1">
      <alignment horizontal="center" vertical="top" wrapText="1"/>
    </xf>
    <xf numFmtId="0" fontId="14" fillId="6" borderId="9" xfId="0" applyFont="1" applyFill="1" applyBorder="1" applyAlignment="1">
      <alignment horizontal="center" vertical="top" wrapText="1"/>
    </xf>
    <xf numFmtId="0" fontId="17" fillId="11" borderId="19" xfId="0" applyFont="1" applyFill="1" applyBorder="1" applyAlignment="1">
      <alignment vertical="top" wrapText="1"/>
    </xf>
    <xf numFmtId="0" fontId="5" fillId="0" borderId="9" xfId="0" applyFont="1" applyBorder="1" applyAlignment="1">
      <alignment vertical="center"/>
    </xf>
    <xf numFmtId="0" fontId="5" fillId="0" borderId="20" xfId="0" applyFont="1" applyBorder="1" applyAlignment="1">
      <alignment horizontal="center" vertical="center"/>
    </xf>
    <xf numFmtId="0" fontId="5" fillId="0" borderId="0" xfId="0" applyFont="1" applyAlignment="1">
      <alignment horizontal="left" vertical="center"/>
    </xf>
    <xf numFmtId="0" fontId="5" fillId="0" borderId="9" xfId="0" applyFont="1" applyBorder="1" applyAlignment="1">
      <alignment horizontal="center" vertical="center"/>
    </xf>
    <xf numFmtId="0" fontId="7" fillId="11" borderId="21" xfId="0" applyFont="1" applyFill="1" applyBorder="1" applyAlignment="1">
      <alignment vertical="top" wrapText="1"/>
    </xf>
    <xf numFmtId="0" fontId="5" fillId="0" borderId="9" xfId="0" applyFont="1" applyBorder="1" applyAlignment="1">
      <alignment horizontal="left" vertical="center" wrapText="1"/>
    </xf>
    <xf numFmtId="0" fontId="7" fillId="11" borderId="30" xfId="0" applyFont="1" applyFill="1" applyBorder="1" applyAlignment="1">
      <alignment vertical="top" wrapText="1"/>
    </xf>
    <xf numFmtId="0" fontId="7" fillId="0" borderId="9" xfId="0" applyFont="1" applyBorder="1" applyAlignment="1">
      <alignment horizontal="center" vertical="center" wrapText="1"/>
    </xf>
    <xf numFmtId="0" fontId="7" fillId="0" borderId="20" xfId="0" applyFont="1" applyBorder="1" applyAlignment="1">
      <alignment horizontal="center" vertical="top" wrapText="1"/>
    </xf>
    <xf numFmtId="0" fontId="7" fillId="0" borderId="30" xfId="0" applyFont="1" applyBorder="1" applyAlignment="1">
      <alignment vertical="top" wrapText="1"/>
    </xf>
    <xf numFmtId="0" fontId="5" fillId="7" borderId="9" xfId="0" applyFont="1" applyFill="1" applyBorder="1" applyAlignment="1">
      <alignment horizontal="left" vertical="center" wrapText="1"/>
    </xf>
    <xf numFmtId="0" fontId="5" fillId="7" borderId="9" xfId="0" applyFont="1" applyFill="1" applyBorder="1" applyAlignment="1">
      <alignment horizontal="center" vertical="center" wrapText="1"/>
    </xf>
    <xf numFmtId="0" fontId="5" fillId="0" borderId="20" xfId="0" applyFont="1" applyBorder="1" applyAlignment="1">
      <alignment horizontal="center" vertical="center" wrapText="1"/>
    </xf>
    <xf numFmtId="0" fontId="5" fillId="0" borderId="20" xfId="0" applyFont="1" applyBorder="1" applyAlignment="1">
      <alignment horizontal="center" vertical="center" wrapText="1"/>
    </xf>
    <xf numFmtId="0" fontId="7" fillId="6" borderId="30" xfId="0" applyFont="1" applyFill="1" applyBorder="1" applyAlignment="1">
      <alignment vertical="top" wrapText="1"/>
    </xf>
    <xf numFmtId="0" fontId="7" fillId="9" borderId="30" xfId="0" applyFont="1" applyFill="1" applyBorder="1" applyAlignment="1">
      <alignment vertical="top" wrapText="1"/>
    </xf>
    <xf numFmtId="0" fontId="5" fillId="7" borderId="26"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23" xfId="0" applyFont="1" applyBorder="1" applyAlignment="1">
      <alignment vertical="center"/>
    </xf>
    <xf numFmtId="8" fontId="5" fillId="0" borderId="0" xfId="0" applyNumberFormat="1" applyFont="1" applyAlignment="1">
      <alignment horizontal="center" vertical="center" wrapText="1"/>
    </xf>
    <xf numFmtId="0" fontId="5" fillId="6" borderId="9" xfId="0" applyFont="1" applyFill="1" applyBorder="1" applyAlignment="1">
      <alignment horizontal="center" vertical="top" wrapText="1"/>
    </xf>
    <xf numFmtId="165" fontId="5" fillId="0" borderId="9" xfId="0" applyNumberFormat="1" applyFont="1" applyBorder="1" applyAlignment="1">
      <alignment horizontal="center" vertical="center"/>
    </xf>
    <xf numFmtId="0" fontId="7" fillId="11" borderId="19" xfId="0" applyFont="1" applyFill="1" applyBorder="1" applyAlignment="1">
      <alignment vertical="top" wrapText="1"/>
    </xf>
    <xf numFmtId="0" fontId="7" fillId="6" borderId="0" xfId="0" applyFont="1" applyFill="1"/>
    <xf numFmtId="6" fontId="7" fillId="0" borderId="30" xfId="0" applyNumberFormat="1" applyFont="1" applyBorder="1" applyAlignment="1">
      <alignment horizontal="center" vertical="top" wrapText="1"/>
    </xf>
    <xf numFmtId="0" fontId="5" fillId="6" borderId="9" xfId="0" applyFont="1" applyFill="1" applyBorder="1" applyAlignment="1">
      <alignment horizontal="left" vertical="center" wrapText="1"/>
    </xf>
    <xf numFmtId="0" fontId="7" fillId="11" borderId="0" xfId="0" applyFont="1" applyFill="1"/>
    <xf numFmtId="6" fontId="6" fillId="11" borderId="0" xfId="0" applyNumberFormat="1" applyFont="1" applyFill="1" applyAlignment="1">
      <alignment horizontal="center" vertical="top" wrapText="1"/>
    </xf>
    <xf numFmtId="166" fontId="18" fillId="11" borderId="9" xfId="0" applyNumberFormat="1" applyFont="1" applyFill="1" applyBorder="1" applyAlignment="1">
      <alignment horizontal="center" vertical="center"/>
    </xf>
    <xf numFmtId="166" fontId="18" fillId="11" borderId="23" xfId="0" applyNumberFormat="1" applyFont="1" applyFill="1" applyBorder="1" applyAlignment="1">
      <alignment horizontal="center" vertical="center"/>
    </xf>
    <xf numFmtId="0" fontId="18" fillId="11" borderId="9" xfId="0" applyFont="1" applyFill="1" applyBorder="1" applyAlignment="1">
      <alignment vertical="center"/>
    </xf>
    <xf numFmtId="0" fontId="5" fillId="11" borderId="20" xfId="0" applyFont="1" applyFill="1" applyBorder="1" applyAlignment="1">
      <alignment horizontal="center" vertical="center"/>
    </xf>
    <xf numFmtId="8" fontId="18" fillId="11" borderId="0" xfId="0" applyNumberFormat="1" applyFont="1" applyFill="1" applyAlignment="1">
      <alignment horizontal="center" vertical="center" wrapText="1"/>
    </xf>
    <xf numFmtId="0" fontId="5" fillId="11" borderId="0" xfId="0" applyFont="1" applyFill="1" applyAlignment="1">
      <alignment horizontal="center" vertical="top" wrapText="1"/>
    </xf>
    <xf numFmtId="0" fontId="18" fillId="11" borderId="9" xfId="0" applyFont="1" applyFill="1" applyBorder="1" applyAlignment="1">
      <alignment horizontal="center" vertical="top" wrapText="1"/>
    </xf>
    <xf numFmtId="0" fontId="5" fillId="11" borderId="9" xfId="0" applyFont="1" applyFill="1" applyBorder="1" applyAlignment="1">
      <alignment horizontal="center" vertical="top" wrapText="1"/>
    </xf>
    <xf numFmtId="0" fontId="7" fillId="11" borderId="9" xfId="0" applyFont="1" applyFill="1" applyBorder="1" applyAlignment="1">
      <alignment horizontal="left" vertical="center" wrapText="1"/>
    </xf>
    <xf numFmtId="0" fontId="18" fillId="11" borderId="9" xfId="0" applyFont="1" applyFill="1" applyBorder="1" applyAlignment="1">
      <alignment horizontal="left" vertical="center" wrapText="1"/>
    </xf>
    <xf numFmtId="0" fontId="9" fillId="11" borderId="0" xfId="0" applyFont="1" applyFill="1"/>
    <xf numFmtId="0" fontId="18" fillId="11" borderId="9" xfId="0" applyFont="1" applyFill="1" applyBorder="1" applyAlignment="1">
      <alignment horizontal="center" vertical="center" wrapText="1"/>
    </xf>
    <xf numFmtId="0" fontId="5" fillId="11" borderId="9" xfId="0" applyFont="1" applyFill="1" applyBorder="1" applyAlignment="1">
      <alignment horizontal="center" vertical="center" wrapText="1"/>
    </xf>
    <xf numFmtId="1" fontId="9" fillId="11" borderId="0" xfId="0" applyNumberFormat="1" applyFont="1" applyFill="1"/>
    <xf numFmtId="0" fontId="5" fillId="11" borderId="9" xfId="0" applyFont="1" applyFill="1" applyBorder="1" applyAlignment="1">
      <alignment wrapText="1"/>
    </xf>
    <xf numFmtId="0" fontId="9" fillId="11" borderId="0" xfId="0" applyFont="1" applyFill="1"/>
    <xf numFmtId="0" fontId="11" fillId="11" borderId="9" xfId="0" applyFont="1" applyFill="1" applyBorder="1" applyAlignment="1"/>
    <xf numFmtId="0" fontId="18" fillId="11" borderId="0" xfId="0" applyFont="1" applyFill="1"/>
    <xf numFmtId="0" fontId="7" fillId="6" borderId="9" xfId="0" applyFont="1" applyFill="1" applyBorder="1" applyAlignment="1">
      <alignment horizontal="center" vertical="top" wrapText="1"/>
    </xf>
    <xf numFmtId="0" fontId="7" fillId="0" borderId="9" xfId="0" applyFont="1" applyBorder="1" applyAlignment="1">
      <alignment horizontal="center" vertical="center" wrapText="1"/>
    </xf>
    <xf numFmtId="0" fontId="7" fillId="0" borderId="20" xfId="0" applyFont="1" applyBorder="1" applyAlignment="1">
      <alignment horizontal="center" vertical="top" wrapText="1"/>
    </xf>
    <xf numFmtId="0" fontId="7" fillId="0" borderId="9" xfId="0" applyFont="1" applyBorder="1" applyAlignment="1">
      <alignment horizontal="center" vertical="top" wrapText="1"/>
    </xf>
    <xf numFmtId="0" fontId="7" fillId="6" borderId="20" xfId="0" applyFont="1" applyFill="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xf>
    <xf numFmtId="0" fontId="7" fillId="0" borderId="19" xfId="0" applyFont="1" applyBorder="1" applyAlignment="1">
      <alignment vertical="top" wrapText="1"/>
    </xf>
    <xf numFmtId="0" fontId="5" fillId="5" borderId="26" xfId="0" applyFont="1" applyFill="1" applyBorder="1" applyAlignment="1">
      <alignment horizontal="center" vertical="top" wrapText="1"/>
    </xf>
    <xf numFmtId="0" fontId="7" fillId="12" borderId="26" xfId="0" applyFont="1" applyFill="1" applyBorder="1" applyAlignment="1">
      <alignment horizontal="center" vertical="top" wrapText="1"/>
    </xf>
    <xf numFmtId="0" fontId="7" fillId="11" borderId="9" xfId="0" applyFont="1" applyFill="1" applyBorder="1" applyAlignment="1">
      <alignment vertical="top" wrapText="1"/>
    </xf>
    <xf numFmtId="0" fontId="15" fillId="0" borderId="0" xfId="0" applyFont="1" applyAlignment="1">
      <alignment horizontal="left" vertical="center"/>
    </xf>
    <xf numFmtId="0" fontId="7" fillId="7" borderId="9" xfId="0" applyFont="1" applyFill="1" applyBorder="1" applyAlignment="1">
      <alignment horizontal="center" vertical="center" wrapText="1"/>
    </xf>
    <xf numFmtId="0" fontId="7" fillId="0" borderId="19" xfId="0" applyFont="1" applyBorder="1" applyAlignment="1">
      <alignment vertical="top"/>
    </xf>
    <xf numFmtId="166" fontId="5" fillId="7" borderId="26" xfId="0" applyNumberFormat="1" applyFont="1" applyFill="1" applyBorder="1" applyAlignment="1">
      <alignment horizontal="center" vertical="center"/>
    </xf>
    <xf numFmtId="0" fontId="5" fillId="7" borderId="26" xfId="0" applyFont="1" applyFill="1" applyBorder="1" applyAlignment="1">
      <alignment horizontal="center" vertical="center" wrapText="1"/>
    </xf>
    <xf numFmtId="0" fontId="5" fillId="6" borderId="26" xfId="0" applyFont="1" applyFill="1" applyBorder="1" applyAlignment="1">
      <alignment horizontal="center" vertical="center" wrapText="1"/>
    </xf>
    <xf numFmtId="0" fontId="7" fillId="0" borderId="30" xfId="0" applyFont="1" applyBorder="1" applyAlignment="1">
      <alignment vertical="top"/>
    </xf>
    <xf numFmtId="0" fontId="19" fillId="6" borderId="0" xfId="0" applyFont="1" applyFill="1" applyAlignment="1">
      <alignment horizontal="center"/>
    </xf>
    <xf numFmtId="0" fontId="19" fillId="0" borderId="0" xfId="0" applyFont="1" applyAlignment="1"/>
    <xf numFmtId="0" fontId="19" fillId="12" borderId="0" xfId="0" applyFont="1" applyFill="1" applyAlignment="1"/>
    <xf numFmtId="0" fontId="7" fillId="11" borderId="31" xfId="0" applyFont="1" applyFill="1" applyBorder="1" applyAlignment="1">
      <alignment vertical="top" wrapText="1"/>
    </xf>
    <xf numFmtId="0" fontId="5" fillId="7" borderId="26" xfId="0" applyFont="1" applyFill="1" applyBorder="1" applyAlignment="1">
      <alignment horizontal="center" vertical="top" wrapText="1"/>
    </xf>
    <xf numFmtId="0" fontId="7" fillId="11" borderId="32" xfId="0" applyFont="1" applyFill="1" applyBorder="1" applyAlignment="1">
      <alignment vertical="top" wrapText="1"/>
    </xf>
    <xf numFmtId="0" fontId="5" fillId="7" borderId="9" xfId="0" applyFont="1" applyFill="1" applyBorder="1" applyAlignment="1">
      <alignment horizontal="center" vertical="center"/>
    </xf>
    <xf numFmtId="0" fontId="7" fillId="6" borderId="0" xfId="0" applyFont="1" applyFill="1" applyAlignment="1">
      <alignment horizontal="center"/>
    </xf>
    <xf numFmtId="0" fontId="5" fillId="12" borderId="20" xfId="0" applyFont="1" applyFill="1" applyBorder="1" applyAlignment="1">
      <alignment horizontal="center" vertical="top" wrapText="1"/>
    </xf>
    <xf numFmtId="0" fontId="5" fillId="13" borderId="9" xfId="0" applyFont="1" applyFill="1" applyBorder="1" applyAlignment="1">
      <alignment horizontal="center" vertical="center" wrapText="1"/>
    </xf>
    <xf numFmtId="0" fontId="5" fillId="0" borderId="0" xfId="0" applyFont="1" applyAlignment="1">
      <alignment horizontal="left" vertical="center"/>
    </xf>
    <xf numFmtId="0" fontId="5" fillId="0" borderId="9" xfId="0" applyFont="1" applyBorder="1" applyAlignment="1">
      <alignment horizontal="left" vertical="center"/>
    </xf>
    <xf numFmtId="0" fontId="20" fillId="6" borderId="0" xfId="0" applyFont="1" applyFill="1" applyAlignment="1"/>
    <xf numFmtId="0" fontId="6" fillId="5" borderId="0" xfId="0" applyFont="1" applyFill="1" applyAlignment="1">
      <alignment vertical="top" wrapText="1"/>
    </xf>
    <xf numFmtId="165" fontId="7" fillId="5" borderId="0" xfId="0" applyNumberFormat="1" applyFont="1" applyFill="1" applyAlignment="1">
      <alignment horizontal="center" vertical="top" wrapText="1"/>
    </xf>
    <xf numFmtId="8" fontId="5" fillId="5" borderId="20" xfId="0" applyNumberFormat="1" applyFont="1" applyFill="1" applyBorder="1" applyAlignment="1">
      <alignment horizontal="center" vertical="center" wrapText="1"/>
    </xf>
    <xf numFmtId="8" fontId="5" fillId="5" borderId="0" xfId="0" applyNumberFormat="1" applyFont="1" applyFill="1" applyAlignment="1">
      <alignment horizontal="center" vertical="center" wrapText="1"/>
    </xf>
    <xf numFmtId="0" fontId="5" fillId="5" borderId="20" xfId="0" applyFont="1" applyFill="1" applyBorder="1" applyAlignment="1">
      <alignment horizontal="center" vertical="top" wrapText="1"/>
    </xf>
    <xf numFmtId="0" fontId="5" fillId="5" borderId="0" xfId="0" applyFont="1" applyFill="1"/>
    <xf numFmtId="0" fontId="7" fillId="9" borderId="9" xfId="0" applyFont="1" applyFill="1" applyBorder="1" applyAlignment="1">
      <alignment vertical="top" wrapText="1"/>
    </xf>
    <xf numFmtId="0" fontId="5" fillId="0" borderId="20" xfId="0" applyFont="1" applyBorder="1" applyAlignment="1">
      <alignment horizontal="center" vertical="center"/>
    </xf>
    <xf numFmtId="0" fontId="5" fillId="7" borderId="26" xfId="0" applyFont="1" applyFill="1" applyBorder="1" applyAlignment="1">
      <alignment horizontal="center" vertical="center"/>
    </xf>
    <xf numFmtId="0" fontId="7" fillId="6" borderId="19" xfId="0" applyFont="1" applyFill="1" applyBorder="1" applyAlignment="1">
      <alignment vertical="top"/>
    </xf>
    <xf numFmtId="0" fontId="7" fillId="11" borderId="30" xfId="0" applyFont="1" applyFill="1" applyBorder="1" applyAlignment="1">
      <alignment vertical="top"/>
    </xf>
    <xf numFmtId="0" fontId="8" fillId="0" borderId="0" xfId="0" applyFont="1" applyAlignment="1">
      <alignment horizontal="left"/>
    </xf>
    <xf numFmtId="0" fontId="15" fillId="0" borderId="9" xfId="0" applyFont="1" applyBorder="1" applyAlignment="1">
      <alignment horizontal="left" vertical="center"/>
    </xf>
    <xf numFmtId="0" fontId="7" fillId="7" borderId="26" xfId="0" applyFont="1" applyFill="1" applyBorder="1" applyAlignment="1">
      <alignment horizontal="center" vertical="top" wrapText="1"/>
    </xf>
    <xf numFmtId="0" fontId="7" fillId="7" borderId="9" xfId="0" quotePrefix="1" applyFont="1" applyFill="1" applyBorder="1" applyAlignment="1">
      <alignment horizontal="center" vertical="top" wrapText="1"/>
    </xf>
    <xf numFmtId="0" fontId="5" fillId="0" borderId="9" xfId="0" applyFont="1" applyBorder="1"/>
    <xf numFmtId="0" fontId="5" fillId="0" borderId="0" xfId="0" applyFont="1" applyAlignment="1">
      <alignment horizontal="center" vertical="center"/>
    </xf>
    <xf numFmtId="0" fontId="5" fillId="0" borderId="8" xfId="0" applyFont="1" applyBorder="1"/>
    <xf numFmtId="0" fontId="5"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W1139"/>
  <sheetViews>
    <sheetView tabSelected="1" workbookViewId="0">
      <pane xSplit="1" ySplit="1" topLeftCell="I2" activePane="bottomRight" state="frozen"/>
      <selection pane="topRight" activeCell="B1" sqref="B1"/>
      <selection pane="bottomLeft" activeCell="A2" sqref="A2"/>
      <selection pane="bottomRight" activeCell="I4" sqref="I4:I425"/>
    </sheetView>
  </sheetViews>
  <sheetFormatPr baseColWidth="10" defaultColWidth="12.625" defaultRowHeight="15" customHeight="1"/>
  <cols>
    <col min="1" max="1" width="25.375" customWidth="1"/>
    <col min="2" max="2" width="10" customWidth="1"/>
    <col min="3" max="3" width="14.75" customWidth="1"/>
    <col min="4" max="4" width="9.75" customWidth="1"/>
    <col min="5" max="8" width="35.75" customWidth="1"/>
    <col min="9" max="10" width="45.5" customWidth="1"/>
    <col min="11" max="12" width="55.625" customWidth="1"/>
    <col min="13" max="14" width="111.625" customWidth="1"/>
    <col min="15" max="15" width="48.625" customWidth="1"/>
    <col min="16" max="17" width="22.875" customWidth="1"/>
    <col min="18" max="19" width="35.25" customWidth="1"/>
    <col min="20" max="21" width="26.125" customWidth="1"/>
    <col min="22" max="22" width="121" customWidth="1"/>
    <col min="23" max="23" width="9.375" customWidth="1"/>
  </cols>
  <sheetData>
    <row r="1" spans="1:23" ht="15.75" customHeight="1">
      <c r="A1" s="1" t="s">
        <v>0</v>
      </c>
      <c r="B1" s="2" t="s">
        <v>1</v>
      </c>
      <c r="C1" s="3" t="s">
        <v>2</v>
      </c>
      <c r="D1" s="4" t="s">
        <v>3</v>
      </c>
      <c r="E1" s="3" t="s">
        <v>4</v>
      </c>
      <c r="F1" s="5" t="s">
        <v>5</v>
      </c>
      <c r="G1" s="5" t="s">
        <v>6</v>
      </c>
      <c r="H1" s="5" t="s">
        <v>7</v>
      </c>
      <c r="I1" s="6" t="s">
        <v>8</v>
      </c>
      <c r="J1" s="7" t="s">
        <v>9</v>
      </c>
      <c r="K1" s="8" t="s">
        <v>10</v>
      </c>
      <c r="L1" s="8" t="s">
        <v>11</v>
      </c>
      <c r="M1" s="9" t="s">
        <v>12</v>
      </c>
      <c r="N1" s="9" t="s">
        <v>13</v>
      </c>
      <c r="O1" s="8" t="s">
        <v>14</v>
      </c>
      <c r="P1" s="7" t="s">
        <v>15</v>
      </c>
      <c r="Q1" s="10" t="s">
        <v>16</v>
      </c>
      <c r="R1" s="11" t="s">
        <v>17</v>
      </c>
      <c r="S1" s="12"/>
      <c r="T1" s="8" t="s">
        <v>18</v>
      </c>
      <c r="U1" s="13" t="s">
        <v>19</v>
      </c>
      <c r="V1" s="14" t="s">
        <v>20</v>
      </c>
      <c r="W1" s="15"/>
    </row>
    <row r="2" spans="1:23" ht="15.75" customHeight="1">
      <c r="A2" s="16" t="s">
        <v>21</v>
      </c>
      <c r="B2" s="16"/>
      <c r="C2" s="16"/>
      <c r="D2" s="16"/>
      <c r="E2" s="16"/>
      <c r="F2" s="17"/>
      <c r="G2" s="17"/>
      <c r="H2" s="17"/>
      <c r="I2" s="18"/>
      <c r="J2" s="18"/>
      <c r="K2" s="18"/>
      <c r="L2" s="18"/>
      <c r="M2" s="19"/>
      <c r="N2" s="19"/>
      <c r="O2" s="20"/>
      <c r="P2" s="20"/>
      <c r="Q2" s="20"/>
      <c r="R2" s="18"/>
      <c r="S2" s="18"/>
      <c r="T2" s="18"/>
      <c r="U2" s="18"/>
      <c r="V2" s="18"/>
      <c r="W2" s="18"/>
    </row>
    <row r="3" spans="1:23" ht="15.75" customHeight="1">
      <c r="A3" s="21" t="s">
        <v>22</v>
      </c>
      <c r="B3" s="22"/>
      <c r="C3" s="23"/>
      <c r="D3" s="24"/>
      <c r="E3" s="25"/>
      <c r="F3" s="26"/>
      <c r="G3" s="26"/>
      <c r="H3" s="26"/>
      <c r="I3" s="27"/>
      <c r="J3" s="28"/>
      <c r="K3" s="29"/>
      <c r="L3" s="29"/>
      <c r="M3" s="30"/>
      <c r="N3" s="30"/>
      <c r="O3" s="31"/>
      <c r="P3" s="31"/>
      <c r="Q3" s="32"/>
      <c r="R3" s="33"/>
      <c r="S3" s="34"/>
      <c r="T3" s="35"/>
      <c r="U3" s="36"/>
      <c r="V3" s="37"/>
      <c r="W3" s="38"/>
    </row>
    <row r="4" spans="1:23" ht="15.75" customHeight="1">
      <c r="A4" s="39" t="s">
        <v>23</v>
      </c>
      <c r="B4" s="40">
        <v>26</v>
      </c>
      <c r="C4" s="41"/>
      <c r="D4" s="41"/>
      <c r="E4" s="42"/>
      <c r="F4" s="43" t="s">
        <v>24</v>
      </c>
      <c r="G4" s="43" t="s">
        <v>25</v>
      </c>
      <c r="H4" s="44" t="s">
        <v>26</v>
      </c>
      <c r="I4" s="45"/>
      <c r="J4" s="46" t="s">
        <v>27</v>
      </c>
      <c r="K4" s="47"/>
      <c r="L4" s="47" t="s">
        <v>28</v>
      </c>
      <c r="M4" s="48" t="str">
        <f ca="1">IFERROR(__xludf.DUMMYFUNCTION("googletranslate(L4, ""fr"", ""nl"")"),"
- Rechte snede
- geribbelde kraag met contrasterende biezen
- gestileerde Rib in de kraag
- knoopsluiting met twee knoppen
- Korte mouwen
- Bottom geribde mouwen met contrasterende biezen
- Zijsplitten
- Logo J &amp; JOY gegomd sleeve
")</f>
        <v xml:space="preserve">
- Rechte snede
- geribbelde kraag met contrasterende biezen
- gestileerde Rib in de kraag
- knoopsluiting met twee knoppen
- Korte mouwen
- Bottom geribde mouwen met contrasterende biezen
- Zijsplitten
- Logo J &amp; JOY gegomd sleeve
</v>
      </c>
      <c r="N4" s="48" t="s">
        <v>29</v>
      </c>
      <c r="O4" s="49" t="str">
        <f ca="1">IFERROR(__xludf.DUMMYFUNCTION("googletranslate(N4, ""fr"", ""nl"")"),"Met gestippelde motieven geïnspireerd door de Australische Aboriginal kunst, deze blauwe polo shirt met rode details is uw perfecte polo shirt voor deze zomer. Draag het met jeans of korte broek, het geeft je een stijl die zowel casual en origineel zonder"&amp;" opzichtig.")</f>
        <v>Met gestippelde motieven geïnspireerd door de Australische Aboriginal kunst, deze blauwe polo shirt met rode details is uw perfecte polo shirt voor deze zomer. Draag het met jeans of korte broek, het geeft je een stijl die zowel casual en origineel zonder opzichtig.</v>
      </c>
      <c r="P4" s="50" t="s">
        <v>30</v>
      </c>
      <c r="Q4" s="49" t="str">
        <f ca="1">IFERROR(__xludf.DUMMYFUNCTION("GOOGLETRANSLATE(P4, ""fr"", ""nl"")"),"blauw")</f>
        <v>blauw</v>
      </c>
      <c r="R4" s="51" t="s">
        <v>31</v>
      </c>
      <c r="S4" s="52" t="str">
        <f ca="1">IFERROR(__xludf.DUMMYFUNCTION("GOOGLETRANSLATE(R4, ""fr"", ""nl"")"),"100% katoen")</f>
        <v>100% katoen</v>
      </c>
      <c r="T4" s="53" t="s">
        <v>32</v>
      </c>
      <c r="U4" s="54" t="str">
        <f ca="1">IFERROR(__xludf.DUMMYFUNCTION("GOOGLETRANSLATE(T4, ""fr"", ""nl"")"),"Op 30 ° C max
Gebruik geen bleekmiddel
Gebruik geen van de droger
Strijken op gemiddelde temperatuur
Niet stomen")</f>
        <v>Op 30 ° C max
Gebruik geen bleekmiddel
Gebruik geen van de droger
Strijken op gemiddelde temperatuur
Niet stomen</v>
      </c>
      <c r="V4" s="55" t="s">
        <v>33</v>
      </c>
      <c r="W4" s="56"/>
    </row>
    <row r="5" spans="1:23" ht="15.75" customHeight="1">
      <c r="A5" s="57" t="s">
        <v>34</v>
      </c>
      <c r="B5" s="40">
        <v>26</v>
      </c>
      <c r="C5" s="41"/>
      <c r="D5" s="41"/>
      <c r="E5" s="42"/>
      <c r="F5" s="43" t="s">
        <v>24</v>
      </c>
      <c r="G5" s="43" t="s">
        <v>25</v>
      </c>
      <c r="H5" s="44" t="s">
        <v>35</v>
      </c>
      <c r="I5" s="45"/>
      <c r="J5" s="46" t="s">
        <v>36</v>
      </c>
      <c r="K5" s="47"/>
      <c r="L5" s="47" t="s">
        <v>37</v>
      </c>
      <c r="M5" s="48" t="str">
        <f ca="1">IFERROR(__xludf.DUMMYFUNCTION("googletranslate(L5, ""fr"", ""nl"")"),"
- Rechte snede
- geribbelde kraag met contrasterende biezen
- gestileerde Rib in de kraag
- knoopsluiting met twee knoppen
- Korte mouwen
- Bottom geribde mouwen met contrasterende biezen
- Zijsplitten
- J &amp; JOY geborduurd logo op de borst
- Emb"&amp;"roidery gestileerd in de rug
")</f>
        <v xml:space="preserve">
- Rechte snede
- geribbelde kraag met contrasterende biezen
- gestileerde Rib in de kraag
- knoopsluiting met twee knoppen
- Korte mouwen
- Bottom geribde mouwen met contrasterende biezen
- Zijsplitten
- J &amp; JOY geborduurd logo op de borst
- Embroidery gestileerd in de rug
</v>
      </c>
      <c r="N5" s="58" t="s">
        <v>38</v>
      </c>
      <c r="O5" s="49" t="str">
        <f ca="1">IFERROR(__xludf.DUMMYFUNCTION("googletranslate(N5, ""fr"", ""nl"")"),"Met een trillende blauwe, rode details en een tekening in de rug nodigt uit om te ontdekken Australië, deze polo is allemaal goed!")</f>
        <v>Met een trillende blauwe, rode details en een tekening in de rug nodigt uit om te ontdekken Australië, deze polo is allemaal goed!</v>
      </c>
      <c r="P5" s="50" t="s">
        <v>30</v>
      </c>
      <c r="Q5" s="49" t="str">
        <f ca="1">IFERROR(__xludf.DUMMYFUNCTION("GOOGLETRANSLATE(P5, ""fr"", ""nl"")"),"blauw")</f>
        <v>blauw</v>
      </c>
      <c r="R5" s="59" t="s">
        <v>31</v>
      </c>
      <c r="S5" s="52" t="str">
        <f ca="1">IFERROR(__xludf.DUMMYFUNCTION("GOOGLETRANSLATE(R5, ""fr"", ""nl"")"),"100% katoen")</f>
        <v>100% katoen</v>
      </c>
      <c r="T5" s="53" t="s">
        <v>32</v>
      </c>
      <c r="U5" s="54" t="str">
        <f ca="1">IFERROR(__xludf.DUMMYFUNCTION("GOOGLETRANSLATE(T5, ""fr"", ""nl"")"),"Op 30 ° C max
Gebruik geen bleekmiddel
Gebruik geen van de droger
Strijken op gemiddelde temperatuur
Niet stomen")</f>
        <v>Op 30 ° C max
Gebruik geen bleekmiddel
Gebruik geen van de droger
Strijken op gemiddelde temperatuur
Niet stomen</v>
      </c>
      <c r="V5" s="55" t="s">
        <v>33</v>
      </c>
      <c r="W5" s="56"/>
    </row>
    <row r="6" spans="1:23" ht="15.75" customHeight="1">
      <c r="A6" s="57" t="s">
        <v>39</v>
      </c>
      <c r="B6" s="40">
        <v>26</v>
      </c>
      <c r="C6" s="41"/>
      <c r="D6" s="41"/>
      <c r="E6" s="42"/>
      <c r="F6" s="43" t="s">
        <v>24</v>
      </c>
      <c r="G6" s="43" t="s">
        <v>25</v>
      </c>
      <c r="H6" s="44" t="s">
        <v>40</v>
      </c>
      <c r="I6" s="45"/>
      <c r="J6" s="46" t="s">
        <v>41</v>
      </c>
      <c r="K6" s="47"/>
      <c r="L6" s="47" t="s">
        <v>42</v>
      </c>
      <c r="M6" s="48" t="str">
        <f ca="1">IFERROR(__xludf.DUMMYFUNCTION("googletranslate(L6, ""fr"", ""nl"")"),"
- Rechte snede
- geribbelde kraag met contrasterende biezen
- gestileerde Rib in de kraag
- knoopsluiting met twee knoppen
- Korte mouwen
- Bottom geribde mouwen met contrasterende biezen
- Zijsplitten
- kangoeroe motief druk
- J &amp; JOY geborduurd logo op"&amp;" de borst
")</f>
        <v xml:space="preserve">
- Rechte snede
- geribbelde kraag met contrasterende biezen
- gestileerde Rib in de kraag
- knoopsluiting met twee knoppen
- Korte mouwen
- Bottom geribde mouwen met contrasterende biezen
- Zijsplitten
- kangoeroe motief druk
- J &amp; JOY geborduurd logo op de borst
</v>
      </c>
      <c r="N6" s="58" t="s">
        <v>43</v>
      </c>
      <c r="O6" s="49" t="str">
        <f ca="1">IFERROR(__xludf.DUMMYFUNCTION("googletranslate(N6, ""fr"", ""nl"")"),"Welkom in Australië! Met deze driehoekig patroon dat verkeersborden vertegenwoordigt als we oversteken het land van de kangoeroes, een imagines al in de Australische road trip!
Doe je polo en gesp up, een voor de rit!")</f>
        <v>Welkom in Australië! Met deze driehoekig patroon dat verkeersborden vertegenwoordigt als we oversteken het land van de kangoeroes, een imagines al in de Australische road trip!
Doe je polo en gesp up, een voor de rit!</v>
      </c>
      <c r="P6" s="50" t="s">
        <v>30</v>
      </c>
      <c r="Q6" s="49" t="str">
        <f ca="1">IFERROR(__xludf.DUMMYFUNCTION("GOOGLETRANSLATE(P6, ""fr"", ""nl"")"),"blauw")</f>
        <v>blauw</v>
      </c>
      <c r="R6" s="59" t="s">
        <v>31</v>
      </c>
      <c r="S6" s="52" t="str">
        <f ca="1">IFERROR(__xludf.DUMMYFUNCTION("GOOGLETRANSLATE(R6, ""fr"", ""nl"")"),"100% katoen")</f>
        <v>100% katoen</v>
      </c>
      <c r="T6" s="53" t="s">
        <v>32</v>
      </c>
      <c r="U6" s="54" t="str">
        <f ca="1">IFERROR(__xludf.DUMMYFUNCTION("GOOGLETRANSLATE(T6, ""fr"", ""nl"")"),"Op 30 ° C max
Gebruik geen bleekmiddel
Gebruik geen van de droger
Strijken op gemiddelde temperatuur
Niet stomen")</f>
        <v>Op 30 ° C max
Gebruik geen bleekmiddel
Gebruik geen van de droger
Strijken op gemiddelde temperatuur
Niet stomen</v>
      </c>
      <c r="V6" s="55" t="s">
        <v>33</v>
      </c>
      <c r="W6" s="56"/>
    </row>
    <row r="7" spans="1:23" ht="15.75" customHeight="1">
      <c r="A7" s="57" t="s">
        <v>44</v>
      </c>
      <c r="B7" s="40">
        <v>24</v>
      </c>
      <c r="C7" s="41"/>
      <c r="D7" s="41"/>
      <c r="E7" s="42"/>
      <c r="F7" s="43" t="s">
        <v>24</v>
      </c>
      <c r="G7" s="43" t="s">
        <v>25</v>
      </c>
      <c r="H7" s="44" t="s">
        <v>45</v>
      </c>
      <c r="I7" s="45"/>
      <c r="J7" s="46" t="s">
        <v>46</v>
      </c>
      <c r="K7" s="47"/>
      <c r="L7" s="47" t="s">
        <v>47</v>
      </c>
      <c r="M7" s="48" t="str">
        <f ca="1">IFERROR(__xludf.DUMMYFUNCTION("googletranslate(L7, ""fr"", ""nl"")"),"
- Rechte snede
- geribbelde kraag met contrasterende biezen
- gestileerde Rib in de kraag
- knoopsluiting met twee knoppen
- Korte mouwen
- Bottom geribde mouwen met contrasterende biezen
- Zijsplitten
- Logo J &amp; JOY gegomd op de borst")</f>
        <v xml:space="preserve">
- Rechte snede
- geribbelde kraag met contrasterende biezen
- gestileerde Rib in de kraag
- knoopsluiting met twee knoppen
- Korte mouwen
- Bottom geribde mouwen met contrasterende biezen
- Zijsplitten
- Logo J &amp; JOY gegomd op de borst</v>
      </c>
      <c r="N7" s="58" t="s">
        <v>48</v>
      </c>
      <c r="O7" s="49" t="str">
        <f ca="1">IFERROR(__xludf.DUMMYFUNCTION("googletranslate(N7, ""fr"", ""nl"")"),"Deze intense koraalrood herinnert ons aan de enorme vol van de Outback, de Australische outback. Gedragen met jeans met een blauw sweatshirt, polo shirt geeft je een casual chic uitstraling vitaminen.")</f>
        <v>Deze intense koraalrood herinnert ons aan de enorme vol van de Outback, de Australische outback. Gedragen met jeans met een blauw sweatshirt, polo shirt geeft je een casual chic uitstraling vitaminen.</v>
      </c>
      <c r="P7" s="50" t="s">
        <v>49</v>
      </c>
      <c r="Q7" s="49" t="str">
        <f ca="1">IFERROR(__xludf.DUMMYFUNCTION("GOOGLETRANSLATE(P7, ""fr"", ""nl"")"),"oranje")</f>
        <v>oranje</v>
      </c>
      <c r="R7" s="59" t="s">
        <v>50</v>
      </c>
      <c r="S7" s="52" t="str">
        <f ca="1">IFERROR(__xludf.DUMMYFUNCTION("GOOGLETRANSLATE(R7, ""fr"", ""nl"")"),"65% polyester 35% katoen")</f>
        <v>65% polyester 35% katoen</v>
      </c>
      <c r="T7" s="53" t="s">
        <v>32</v>
      </c>
      <c r="U7" s="54" t="str">
        <f ca="1">IFERROR(__xludf.DUMMYFUNCTION("GOOGLETRANSLATE(T7, ""fr"", ""nl"")"),"Op 30 ° C max
Gebruik geen bleekmiddel
Gebruik geen van de droger
Strijken op gemiddelde temperatuur
Niet stomen")</f>
        <v>Op 30 ° C max
Gebruik geen bleekmiddel
Gebruik geen van de droger
Strijken op gemiddelde temperatuur
Niet stomen</v>
      </c>
      <c r="V7" s="55" t="s">
        <v>33</v>
      </c>
      <c r="W7" s="56"/>
    </row>
    <row r="8" spans="1:23" ht="15.75" customHeight="1">
      <c r="A8" s="57" t="s">
        <v>51</v>
      </c>
      <c r="B8" s="40">
        <v>26</v>
      </c>
      <c r="C8" s="41"/>
      <c r="D8" s="41"/>
      <c r="E8" s="42"/>
      <c r="F8" s="43" t="s">
        <v>24</v>
      </c>
      <c r="G8" s="43" t="s">
        <v>25</v>
      </c>
      <c r="H8" s="44" t="s">
        <v>52</v>
      </c>
      <c r="I8" s="45"/>
      <c r="J8" s="46" t="s">
        <v>53</v>
      </c>
      <c r="K8" s="47"/>
      <c r="L8" s="47" t="s">
        <v>54</v>
      </c>
      <c r="M8" s="48" t="str">
        <f ca="1">IFERROR(__xludf.DUMMYFUNCTION("googletranslate(L8, ""fr"", ""nl"")"),"
- Rechte snede
- geribbelde kraag met contrasterende biezen
- gestileerde Rib in de kraag
- knoopsluiting met twee knoppen
- Korte mouwen
- Bottom geribde mouwen met contrasterende biezen
- Zijsplitten
- J &amp; JOY geborduurd logo op de borst
")</f>
        <v xml:space="preserve">
- Rechte snede
- geribbelde kraag met contrasterende biezen
- gestileerde Rib in de kraag
- knoopsluiting met twee knoppen
- Korte mouwen
- Bottom geribde mouwen met contrasterende biezen
- Zijsplitten
- J &amp; JOY geborduurd logo op de borst
</v>
      </c>
      <c r="N8" s="58" t="s">
        <v>55</v>
      </c>
      <c r="O8" s="49" t="str">
        <f ca="1">IFERROR(__xludf.DUMMYFUNCTION("googletranslate(N8, ""fr"", ""nl"")"),"Inspired land terracotta Australische Outback, deze intense rode polo viert de kracht van de natuur. Details Coral zijn kraag voeg de finishing touch aan een kamer die je outfits dit seizoen zal stimuleren.")</f>
        <v>Inspired land terracotta Australische Outback, deze intense rode polo viert de kracht van de natuur. Details Coral zijn kraag voeg de finishing touch aan een kamer die je outfits dit seizoen zal stimuleren.</v>
      </c>
      <c r="P8" s="50" t="s">
        <v>56</v>
      </c>
      <c r="Q8" s="49" t="str">
        <f ca="1">IFERROR(__xludf.DUMMYFUNCTION("GOOGLETRANSLATE(P8, ""fr"", ""nl"")"),"rood")</f>
        <v>rood</v>
      </c>
      <c r="R8" s="59" t="s">
        <v>31</v>
      </c>
      <c r="S8" s="52" t="str">
        <f ca="1">IFERROR(__xludf.DUMMYFUNCTION("GOOGLETRANSLATE(R8, ""fr"", ""nl"")"),"100% katoen")</f>
        <v>100% katoen</v>
      </c>
      <c r="T8" s="53" t="s">
        <v>32</v>
      </c>
      <c r="U8" s="54" t="str">
        <f ca="1">IFERROR(__xludf.DUMMYFUNCTION("GOOGLETRANSLATE(T8, ""fr"", ""nl"")"),"Op 30 ° C max
Gebruik geen bleekmiddel
Gebruik geen van de droger
Strijken op gemiddelde temperatuur
Niet stomen")</f>
        <v>Op 30 ° C max
Gebruik geen bleekmiddel
Gebruik geen van de droger
Strijken op gemiddelde temperatuur
Niet stomen</v>
      </c>
      <c r="V8" s="55" t="s">
        <v>33</v>
      </c>
      <c r="W8" s="56"/>
    </row>
    <row r="9" spans="1:23" ht="15.75" customHeight="1">
      <c r="A9" s="57" t="s">
        <v>57</v>
      </c>
      <c r="B9" s="40">
        <v>26</v>
      </c>
      <c r="C9" s="42"/>
      <c r="D9" s="60"/>
      <c r="E9" s="42"/>
      <c r="F9" s="43" t="s">
        <v>24</v>
      </c>
      <c r="G9" s="43" t="s">
        <v>25</v>
      </c>
      <c r="H9" s="44" t="s">
        <v>58</v>
      </c>
      <c r="I9" s="45"/>
      <c r="J9" s="46" t="s">
        <v>59</v>
      </c>
      <c r="K9" s="47"/>
      <c r="L9" s="47" t="s">
        <v>37</v>
      </c>
      <c r="M9" s="48" t="str">
        <f ca="1">IFERROR(__xludf.DUMMYFUNCTION("googletranslate(L9, ""fr"", ""nl"")"),"
- Rechte snede
- geribbelde kraag met contrasterende biezen
- gestileerde Rib in de kraag
- knoopsluiting met twee knoppen
- Korte mouwen
- Bottom geribde mouwen met contrasterende biezen
- Zijsplitten
- J &amp; JOY geborduurd logo op de borst
- Emb"&amp;"roidery gestileerd in de rug
")</f>
        <v xml:space="preserve">
- Rechte snede
- geribbelde kraag met contrasterende biezen
- gestileerde Rib in de kraag
- knoopsluiting met twee knoppen
- Korte mouwen
- Bottom geribde mouwen met contrasterende biezen
- Zijsplitten
- J &amp; JOY geborduurd logo op de borst
- Embroidery gestileerd in de rug
</v>
      </c>
      <c r="N9" s="58" t="s">
        <v>60</v>
      </c>
      <c r="O9" s="49" t="str">
        <f ca="1">IFERROR(__xludf.DUMMYFUNCTION("googletranslate(N9, ""fr"", ""nl"")"),"Dit is de kleur trend dit seizoen: dit roze Lila brengt zachtheid en originaliteit aan je outfit.")</f>
        <v>Dit is de kleur trend dit seizoen: dit roze Lila brengt zachtheid en originaliteit aan je outfit.</v>
      </c>
      <c r="P9" s="50" t="s">
        <v>61</v>
      </c>
      <c r="Q9" s="49" t="str">
        <f ca="1">IFERROR(__xludf.DUMMYFUNCTION("GOOGLETRANSLATE(P9, ""fr"", ""nl"")"),"roze")</f>
        <v>roze</v>
      </c>
      <c r="R9" s="59" t="s">
        <v>31</v>
      </c>
      <c r="S9" s="52" t="str">
        <f ca="1">IFERROR(__xludf.DUMMYFUNCTION("GOOGLETRANSLATE(R9, ""fr"", ""nl"")"),"100% katoen")</f>
        <v>100% katoen</v>
      </c>
      <c r="T9" s="53" t="s">
        <v>32</v>
      </c>
      <c r="U9" s="54" t="str">
        <f ca="1">IFERROR(__xludf.DUMMYFUNCTION("GOOGLETRANSLATE(T9, ""fr"", ""nl"")"),"Op 30 ° C max
Gebruik geen bleekmiddel
Gebruik geen van de droger
Strijken op gemiddelde temperatuur
Niet stomen")</f>
        <v>Op 30 ° C max
Gebruik geen bleekmiddel
Gebruik geen van de droger
Strijken op gemiddelde temperatuur
Niet stomen</v>
      </c>
      <c r="V9" s="55" t="s">
        <v>33</v>
      </c>
      <c r="W9" s="56"/>
    </row>
    <row r="10" spans="1:23" ht="15.75" customHeight="1">
      <c r="A10" s="57" t="s">
        <v>62</v>
      </c>
      <c r="B10" s="40">
        <v>26</v>
      </c>
      <c r="C10" s="41"/>
      <c r="D10" s="41"/>
      <c r="E10" s="42"/>
      <c r="F10" s="43" t="s">
        <v>24</v>
      </c>
      <c r="G10" s="43" t="s">
        <v>25</v>
      </c>
      <c r="H10" s="44" t="s">
        <v>63</v>
      </c>
      <c r="I10" s="45"/>
      <c r="J10" s="46" t="s">
        <v>64</v>
      </c>
      <c r="K10" s="47"/>
      <c r="L10" s="47" t="s">
        <v>65</v>
      </c>
      <c r="M10" s="48" t="str">
        <f ca="1">IFERROR(__xludf.DUMMYFUNCTION("googletranslate(L10, ""fr"", ""nl"")"),"
- Rechte snede
- geribbelde kraag met contrasterende biezen
- gestileerde Rib in de kraag
- knoopsluiting met twee knoppen
- Korte mouwen
- Bottom geribde mouwen met contrasterende biezen
- Zijsplitten
- J &amp; JOY geborduurd logo op de borst
- Embroidery g"&amp;"estileerd in de rug
")</f>
        <v xml:space="preserve">
- Rechte snede
- geribbelde kraag met contrasterende biezen
- gestileerde Rib in de kraag
- knoopsluiting met twee knoppen
- Korte mouwen
- Bottom geribde mouwen met contrasterende biezen
- Zijsplitten
- J &amp; JOY geborduurd logo op de borst
- Embroidery gestileerd in de rug
</v>
      </c>
      <c r="N10" s="58" t="s">
        <v>66</v>
      </c>
      <c r="O10" s="49" t="str">
        <f ca="1">IFERROR(__xludf.DUMMYFUNCTION("googletranslate(N10, ""fr"", ""nl"")"),"Deze flamboyante rode herleeft de teint! Geïnspireerd door de rotsmonoliet rood Uluru in de Australische achterland, deze polo verhoogt uw outfits dit seizoen. Perfect met jeans en witte sneakers!")</f>
        <v>Deze flamboyante rode herleeft de teint! Geïnspireerd door de rotsmonoliet rood Uluru in de Australische achterland, deze polo verhoogt uw outfits dit seizoen. Perfect met jeans en witte sneakers!</v>
      </c>
      <c r="P10" s="50" t="s">
        <v>56</v>
      </c>
      <c r="Q10" s="49" t="str">
        <f ca="1">IFERROR(__xludf.DUMMYFUNCTION("GOOGLETRANSLATE(P10, ""fr"", ""nl"")"),"rood")</f>
        <v>rood</v>
      </c>
      <c r="R10" s="59" t="s">
        <v>31</v>
      </c>
      <c r="S10" s="52" t="str">
        <f ca="1">IFERROR(__xludf.DUMMYFUNCTION("GOOGLETRANSLATE(R10, ""fr"", ""nl"")"),"100% katoen")</f>
        <v>100% katoen</v>
      </c>
      <c r="T10" s="53" t="s">
        <v>32</v>
      </c>
      <c r="U10" s="54" t="str">
        <f ca="1">IFERROR(__xludf.DUMMYFUNCTION("GOOGLETRANSLATE(T10, ""fr"", ""nl"")"),"Op 30 ° C max
Gebruik geen bleekmiddel
Gebruik geen van de droger
Strijken op gemiddelde temperatuur
Niet stomen")</f>
        <v>Op 30 ° C max
Gebruik geen bleekmiddel
Gebruik geen van de droger
Strijken op gemiddelde temperatuur
Niet stomen</v>
      </c>
      <c r="V10" s="55" t="s">
        <v>33</v>
      </c>
      <c r="W10" s="56"/>
    </row>
    <row r="11" spans="1:23" ht="15.75" customHeight="1">
      <c r="A11" s="57" t="s">
        <v>67</v>
      </c>
      <c r="B11" s="40">
        <v>26</v>
      </c>
      <c r="C11" s="41"/>
      <c r="D11" s="41"/>
      <c r="E11" s="42"/>
      <c r="F11" s="43" t="s">
        <v>24</v>
      </c>
      <c r="G11" s="43" t="s">
        <v>25</v>
      </c>
      <c r="H11" s="44" t="s">
        <v>68</v>
      </c>
      <c r="I11" s="45"/>
      <c r="J11" s="46" t="s">
        <v>69</v>
      </c>
      <c r="K11" s="47"/>
      <c r="L11" s="47" t="s">
        <v>70</v>
      </c>
      <c r="M11" s="48" t="str">
        <f ca="1">IFERROR(__xludf.DUMMYFUNCTION("googletranslate(L11, ""fr"", ""nl"")"),"
- Rechte snede
- geribbelde kraag met contrasterende biezen
- gestileerde Rib in de kraag
- knoopsluiting met twee knoppen
- Korte mouwen
- Bottom geribde mouwen met contrasterende biezen
- Zijsplitten
- J &amp; JOY geborduurd logo op de borst
")</f>
        <v xml:space="preserve">
- Rechte snede
- geribbelde kraag met contrasterende biezen
- gestileerde Rib in de kraag
- knoopsluiting met twee knoppen
- Korte mouwen
- Bottom geribde mouwen met contrasterende biezen
- Zijsplitten
- J &amp; JOY geborduurd logo op de borst
</v>
      </c>
      <c r="N11" s="58" t="s">
        <v>71</v>
      </c>
      <c r="O11" s="49" t="str">
        <f ca="1">IFERROR(__xludf.DUMMYFUNCTION("googletranslate(N11, ""fr"", ""nl"")"),"Deze polo beige en marineblauw details zullen de meest veelzijdige stuk in je garderobe dit seizoen. Het paren goed met jeans en witte sneakers voor een avondje barbecue met vrienden in meer stijlvolle versie met een blauwe chino broek.")</f>
        <v>Deze polo beige en marineblauw details zullen de meest veelzijdige stuk in je garderobe dit seizoen. Het paren goed met jeans en witte sneakers voor een avondje barbecue met vrienden in meer stijlvolle versie met een blauwe chino broek.</v>
      </c>
      <c r="P11" s="50" t="s">
        <v>72</v>
      </c>
      <c r="Q11" s="49" t="str">
        <f ca="1">IFERROR(__xludf.DUMMYFUNCTION("GOOGLETRANSLATE(P11, ""fr"", ""nl"")"),"beige")</f>
        <v>beige</v>
      </c>
      <c r="R11" s="59" t="s">
        <v>31</v>
      </c>
      <c r="S11" s="52" t="str">
        <f ca="1">IFERROR(__xludf.DUMMYFUNCTION("GOOGLETRANSLATE(R11, ""fr"", ""nl"")"),"100% katoen")</f>
        <v>100% katoen</v>
      </c>
      <c r="T11" s="53" t="s">
        <v>32</v>
      </c>
      <c r="U11" s="54" t="str">
        <f ca="1">IFERROR(__xludf.DUMMYFUNCTION("GOOGLETRANSLATE(T11, ""fr"", ""nl"")"),"Op 30 ° C max
Gebruik geen bleekmiddel
Gebruik geen van de droger
Strijken op gemiddelde temperatuur
Niet stomen")</f>
        <v>Op 30 ° C max
Gebruik geen bleekmiddel
Gebruik geen van de droger
Strijken op gemiddelde temperatuur
Niet stomen</v>
      </c>
      <c r="V11" s="55" t="s">
        <v>33</v>
      </c>
      <c r="W11" s="56"/>
    </row>
    <row r="12" spans="1:23" ht="15.75" customHeight="1">
      <c r="A12" s="57" t="s">
        <v>73</v>
      </c>
      <c r="B12" s="40">
        <v>26</v>
      </c>
      <c r="C12" s="41"/>
      <c r="D12" s="41"/>
      <c r="E12" s="42"/>
      <c r="F12" s="43" t="s">
        <v>24</v>
      </c>
      <c r="G12" s="43" t="s">
        <v>25</v>
      </c>
      <c r="H12" s="44" t="s">
        <v>74</v>
      </c>
      <c r="I12" s="45"/>
      <c r="J12" s="46" t="s">
        <v>75</v>
      </c>
      <c r="K12" s="47"/>
      <c r="L12" s="47" t="s">
        <v>76</v>
      </c>
      <c r="M12" s="48" t="str">
        <f ca="1">IFERROR(__xludf.DUMMYFUNCTION("googletranslate(L12,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2" s="58" t="s">
        <v>77</v>
      </c>
      <c r="O12" s="49" t="str">
        <f ca="1">IFERROR(__xludf.DUMMYFUNCTION("googletranslate(N12, ""fr"", ""nl"")"),"Deze print ""bladeren"" en de mix van rode en blauwe kleuren nemen u mee in het wild Australian! Met deze polo, kijk je dat opvalt!
Bonus: het is gemakkelijk te match! Blauw, rood, bruin, beige of bordeaux ... Alles is hem!")</f>
        <v>Deze print "bladeren" en de mix van rode en blauwe kleuren nemen u mee in het wild Australian! Met deze polo, kijk je dat opvalt!
Bonus: het is gemakkelijk te match! Blauw, rood, bruin, beige of bordeaux ... Alles is hem!</v>
      </c>
      <c r="P12" s="50" t="s">
        <v>30</v>
      </c>
      <c r="Q12" s="49" t="str">
        <f ca="1">IFERROR(__xludf.DUMMYFUNCTION("GOOGLETRANSLATE(P12, ""fr"", ""nl"")"),"blauw")</f>
        <v>blauw</v>
      </c>
      <c r="R12" s="59" t="s">
        <v>31</v>
      </c>
      <c r="S12" s="52" t="str">
        <f ca="1">IFERROR(__xludf.DUMMYFUNCTION("GOOGLETRANSLATE(R12, ""fr"", ""nl"")"),"100% katoen")</f>
        <v>100% katoen</v>
      </c>
      <c r="T12" s="53" t="s">
        <v>32</v>
      </c>
      <c r="U12" s="54" t="str">
        <f ca="1">IFERROR(__xludf.DUMMYFUNCTION("GOOGLETRANSLATE(T12, ""fr"", ""nl"")"),"Op 30 ° C max
Gebruik geen bleekmiddel
Gebruik geen van de droger
Strijken op gemiddelde temperatuur
Niet stomen")</f>
        <v>Op 30 ° C max
Gebruik geen bleekmiddel
Gebruik geen van de droger
Strijken op gemiddelde temperatuur
Niet stomen</v>
      </c>
      <c r="V12" s="55" t="s">
        <v>33</v>
      </c>
      <c r="W12" s="56"/>
    </row>
    <row r="13" spans="1:23" ht="15.75" customHeight="1">
      <c r="A13" s="57" t="s">
        <v>78</v>
      </c>
      <c r="B13" s="40">
        <v>26</v>
      </c>
      <c r="C13" s="41"/>
      <c r="D13" s="41"/>
      <c r="E13" s="42"/>
      <c r="F13" s="43" t="s">
        <v>24</v>
      </c>
      <c r="G13" s="43" t="s">
        <v>25</v>
      </c>
      <c r="H13" s="44" t="s">
        <v>79</v>
      </c>
      <c r="I13" s="45"/>
      <c r="J13" s="46" t="s">
        <v>80</v>
      </c>
      <c r="K13" s="47"/>
      <c r="L13" s="47" t="s">
        <v>81</v>
      </c>
      <c r="M13" s="48" t="str">
        <f ca="1">IFERROR(__xludf.DUMMYFUNCTION("googletranslate(L13, ""fr"", ""nl"")"),"
- Rechte snede
- geribbelde kraag met contrasterende biezen
- gestileerde Rib in de kraag
- knoopsluiting met twee knoppen
- Korte mouwen
- Bottom geribde mouwen met contrasterende biezen
- Zijsplitten
- Logo J &amp; JOY borst
- Embroidery gestileerd in de r"&amp;"ug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3" s="58" t="s">
        <v>82</v>
      </c>
      <c r="O13" s="49" t="str">
        <f ca="1">IFERROR(__xludf.DUMMYFUNCTION("googletranslate(N13, ""fr"", ""nl"")"),"Je zou denken dat het surfen goed in Australië? Dan is dit overhemd voor u!
Met zijn pastel blauw en roze details deze polo is perfect voor een dagje aan het strand in Byron Bay. Gebrek Hij dan de surfplank!")</f>
        <v>Je zou denken dat het surfen goed in Australië? Dan is dit overhemd voor u!
Met zijn pastel blauw en roze details deze polo is perfect voor een dagje aan het strand in Byron Bay. Gebrek Hij dan de surfplank!</v>
      </c>
      <c r="P13" s="50" t="s">
        <v>30</v>
      </c>
      <c r="Q13" s="49" t="str">
        <f ca="1">IFERROR(__xludf.DUMMYFUNCTION("GOOGLETRANSLATE(P13, ""fr"", ""nl"")"),"blauw")</f>
        <v>blauw</v>
      </c>
      <c r="R13" s="61" t="s">
        <v>31</v>
      </c>
      <c r="S13" s="52" t="str">
        <f ca="1">IFERROR(__xludf.DUMMYFUNCTION("GOOGLETRANSLATE(R13, ""fr"", ""nl"")"),"100% katoen")</f>
        <v>100% katoen</v>
      </c>
      <c r="T13" s="53" t="s">
        <v>32</v>
      </c>
      <c r="U13" s="54" t="str">
        <f ca="1">IFERROR(__xludf.DUMMYFUNCTION("GOOGLETRANSLATE(T13, ""fr"", ""nl"")"),"Op 30 ° C max
Gebruik geen bleekmiddel
Gebruik geen van de droger
Strijken op gemiddelde temperatuur
Niet stomen")</f>
        <v>Op 30 ° C max
Gebruik geen bleekmiddel
Gebruik geen van de droger
Strijken op gemiddelde temperatuur
Niet stomen</v>
      </c>
      <c r="V13" s="62" t="s">
        <v>83</v>
      </c>
      <c r="W13" s="56"/>
    </row>
    <row r="14" spans="1:23" ht="15.75" customHeight="1">
      <c r="A14" s="57" t="s">
        <v>84</v>
      </c>
      <c r="B14" s="40">
        <v>26</v>
      </c>
      <c r="C14" s="41"/>
      <c r="D14" s="41"/>
      <c r="E14" s="42"/>
      <c r="F14" s="43" t="s">
        <v>24</v>
      </c>
      <c r="G14" s="43" t="s">
        <v>25</v>
      </c>
      <c r="H14" s="44" t="s">
        <v>85</v>
      </c>
      <c r="I14" s="45"/>
      <c r="J14" s="46" t="s">
        <v>86</v>
      </c>
      <c r="K14" s="47"/>
      <c r="L14" s="47" t="s">
        <v>76</v>
      </c>
      <c r="M14" s="48" t="str">
        <f ca="1">IFERROR(__xludf.DUMMYFUNCTION("googletranslate(L14,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4" s="58" t="s">
        <v>87</v>
      </c>
      <c r="O14" s="49" t="str">
        <f ca="1">IFERROR(__xludf.DUMMYFUNCTION("googletranslate(N14, ""fr"", ""nl"")"),"Surfplanken en kleuren pop: met deze polo, klaar om te surfen in Australië je bent!
Of twister een klassieke look of om een ​​outfit van 100% fun te vullen, deze kleurrijke polo is perfect!")</f>
        <v>Surfplanken en kleuren pop: met deze polo, klaar om te surfen in Australië je bent!
Of twister een klassieke look of om een ​​outfit van 100% fun te vullen, deze kleurrijke polo is perfect!</v>
      </c>
      <c r="P14" s="50" t="s">
        <v>30</v>
      </c>
      <c r="Q14" s="49" t="str">
        <f ca="1">IFERROR(__xludf.DUMMYFUNCTION("GOOGLETRANSLATE(P14, ""fr"", ""nl"")"),"blauw")</f>
        <v>blauw</v>
      </c>
      <c r="R14" s="59" t="s">
        <v>31</v>
      </c>
      <c r="S14" s="52" t="str">
        <f ca="1">IFERROR(__xludf.DUMMYFUNCTION("GOOGLETRANSLATE(R14, ""fr"", ""nl"")"),"100% katoen")</f>
        <v>100% katoen</v>
      </c>
      <c r="T14" s="53" t="s">
        <v>32</v>
      </c>
      <c r="U14" s="54" t="str">
        <f ca="1">IFERROR(__xludf.DUMMYFUNCTION("GOOGLETRANSLATE(T14, ""fr"", ""nl"")"),"Op 30 ° C max
Gebruik geen bleekmiddel
Gebruik geen van de droger
Strijken op gemiddelde temperatuur
Niet stomen")</f>
        <v>Op 30 ° C max
Gebruik geen bleekmiddel
Gebruik geen van de droger
Strijken op gemiddelde temperatuur
Niet stomen</v>
      </c>
      <c r="V14" s="62" t="s">
        <v>83</v>
      </c>
      <c r="W14" s="56"/>
    </row>
    <row r="15" spans="1:23" ht="15.75" customHeight="1">
      <c r="A15" s="57" t="s">
        <v>88</v>
      </c>
      <c r="B15" s="40">
        <v>26</v>
      </c>
      <c r="C15" s="41"/>
      <c r="D15" s="41"/>
      <c r="E15" s="42"/>
      <c r="F15" s="43" t="s">
        <v>24</v>
      </c>
      <c r="G15" s="43" t="s">
        <v>25</v>
      </c>
      <c r="H15" s="44" t="s">
        <v>89</v>
      </c>
      <c r="I15" s="45"/>
      <c r="J15" s="46" t="s">
        <v>90</v>
      </c>
      <c r="K15" s="47"/>
      <c r="L15" s="47" t="s">
        <v>76</v>
      </c>
      <c r="M15" s="48" t="str">
        <f ca="1">IFERROR(__xludf.DUMMYFUNCTION("googletranslate(L15,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5" s="58" t="s">
        <v>91</v>
      </c>
      <c r="O15" s="49" t="str">
        <f ca="1">IFERROR(__xludf.DUMMYFUNCTION("googletranslate(N15, ""fr"", ""nl"")"),"Deze polo zal u wilt om te wandelen door de zee in Australië! Geleid roze en wit, het geeft je een casual chic blik verse, perfect voor deze zomer.")</f>
        <v>Deze polo zal u wilt om te wandelen door de zee in Australië! Geleid roze en wit, het geeft je een casual chic blik verse, perfect voor deze zomer.</v>
      </c>
      <c r="P15" s="50" t="s">
        <v>61</v>
      </c>
      <c r="Q15" s="49" t="str">
        <f ca="1">IFERROR(__xludf.DUMMYFUNCTION("GOOGLETRANSLATE(P15, ""fr"", ""nl"")"),"roze")</f>
        <v>roze</v>
      </c>
      <c r="R15" s="61" t="s">
        <v>31</v>
      </c>
      <c r="S15" s="52" t="str">
        <f ca="1">IFERROR(__xludf.DUMMYFUNCTION("GOOGLETRANSLATE(R15, ""fr"", ""nl"")"),"100% katoen")</f>
        <v>100% katoen</v>
      </c>
      <c r="T15" s="53" t="s">
        <v>32</v>
      </c>
      <c r="U15" s="54" t="str">
        <f ca="1">IFERROR(__xludf.DUMMYFUNCTION("GOOGLETRANSLATE(T15, ""fr"", ""nl"")"),"Op 30 ° C max
Gebruik geen bleekmiddel
Gebruik geen van de droger
Strijken op gemiddelde temperatuur
Niet stomen")</f>
        <v>Op 30 ° C max
Gebruik geen bleekmiddel
Gebruik geen van de droger
Strijken op gemiddelde temperatuur
Niet stomen</v>
      </c>
      <c r="V15" s="62" t="s">
        <v>83</v>
      </c>
      <c r="W15" s="56"/>
    </row>
    <row r="16" spans="1:23" ht="15.75" customHeight="1">
      <c r="A16" s="57" t="s">
        <v>92</v>
      </c>
      <c r="B16" s="40">
        <v>26</v>
      </c>
      <c r="C16" s="41"/>
      <c r="D16" s="41"/>
      <c r="E16" s="42"/>
      <c r="F16" s="43" t="s">
        <v>24</v>
      </c>
      <c r="G16" s="43" t="s">
        <v>25</v>
      </c>
      <c r="H16" s="44" t="s">
        <v>93</v>
      </c>
      <c r="I16" s="45"/>
      <c r="J16" s="46" t="s">
        <v>94</v>
      </c>
      <c r="K16" s="47"/>
      <c r="L16" s="47" t="s">
        <v>81</v>
      </c>
      <c r="M16" s="48" t="str">
        <f ca="1">IFERROR(__xludf.DUMMYFUNCTION("googletranslate(L16, ""fr"", ""nl"")"),"
- Rechte snede
- geribbelde kraag met contrasterende biezen
- gestileerde Rib in de kraag
- knoopsluiting met twee knoppen
- Korte mouwen
- Bottom geribde mouwen met contrasterende biezen
- Zijsplitten
- Logo J &amp; JOY borst
- Embroidery gestileerd in de r"&amp;"ug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6" s="58" t="s">
        <v>95</v>
      </c>
      <c r="O16" s="49" t="str">
        <f ca="1">IFERROR(__xludf.DUMMYFUNCTION("googletranslate(N16, ""fr"", ""nl"")"),"Een echte rode en nam, perfect voor de zomer dagen! Met deze polo en tekening in de rug, in de richting van Byron Bay, Australië, voor een middag ""surf &amp; chill 'op het strand!")</f>
        <v>Een echte rode en nam, perfect voor de zomer dagen! Met deze polo en tekening in de rug, in de richting van Byron Bay, Australië, voor een middag "surf &amp; chill 'op het strand!</v>
      </c>
      <c r="P16" s="50" t="s">
        <v>56</v>
      </c>
      <c r="Q16" s="49" t="str">
        <f ca="1">IFERROR(__xludf.DUMMYFUNCTION("GOOGLETRANSLATE(P16, ""fr"", ""nl"")"),"rood")</f>
        <v>rood</v>
      </c>
      <c r="R16" s="59" t="s">
        <v>31</v>
      </c>
      <c r="S16" s="52" t="str">
        <f ca="1">IFERROR(__xludf.DUMMYFUNCTION("GOOGLETRANSLATE(R16, ""fr"", ""nl"")"),"100% katoen")</f>
        <v>100% katoen</v>
      </c>
      <c r="T16" s="53" t="s">
        <v>32</v>
      </c>
      <c r="U16" s="54" t="str">
        <f ca="1">IFERROR(__xludf.DUMMYFUNCTION("GOOGLETRANSLATE(T16, ""fr"", ""nl"")"),"Op 30 ° C max
Gebruik geen bleekmiddel
Gebruik geen van de droger
Strijken op gemiddelde temperatuur
Niet stomen")</f>
        <v>Op 30 ° C max
Gebruik geen bleekmiddel
Gebruik geen van de droger
Strijken op gemiddelde temperatuur
Niet stomen</v>
      </c>
      <c r="V16" s="62" t="s">
        <v>83</v>
      </c>
      <c r="W16" s="56"/>
    </row>
    <row r="17" spans="1:23" ht="15.75" customHeight="1">
      <c r="A17" s="57" t="s">
        <v>96</v>
      </c>
      <c r="B17" s="40">
        <v>26</v>
      </c>
      <c r="C17" s="41"/>
      <c r="D17" s="41"/>
      <c r="E17" s="42"/>
      <c r="F17" s="43" t="s">
        <v>24</v>
      </c>
      <c r="G17" s="43" t="s">
        <v>25</v>
      </c>
      <c r="H17" s="44" t="s">
        <v>97</v>
      </c>
      <c r="I17" s="45"/>
      <c r="J17" s="46" t="s">
        <v>98</v>
      </c>
      <c r="K17" s="47"/>
      <c r="L17" s="47" t="s">
        <v>76</v>
      </c>
      <c r="M17" s="48" t="str">
        <f ca="1">IFERROR(__xludf.DUMMYFUNCTION("googletranslate(L17,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7" s="58" t="s">
        <v>99</v>
      </c>
      <c r="O17" s="49" t="str">
        <f ca="1">IFERROR(__xludf.DUMMYFUNCTION("googletranslate(N17, ""fr"", ""nl"")"),"Deze polo gevoerde sailor man is tijdloos stuk dat je nodig hebt om de zomer te genieten. De afwisselende rood, lichtblauw en donkerblauw voegt een dosis van originaliteit aan deze tijdloze model en kunt u gemakkelijk af te stemmen met elke outfit.")</f>
        <v>Deze polo gevoerde sailor man is tijdloos stuk dat je nodig hebt om de zomer te genieten. De afwisselende rood, lichtblauw en donkerblauw voegt een dosis van originaliteit aan deze tijdloze model en kunt u gemakkelijk af te stemmen met elke outfit.</v>
      </c>
      <c r="P17" s="50" t="s">
        <v>100</v>
      </c>
      <c r="Q17" s="49" t="str">
        <f ca="1">IFERROR(__xludf.DUMMYFUNCTION("GOOGLETRANSLATE(P17, ""fr"", ""nl"")"),"Wit")</f>
        <v>Wit</v>
      </c>
      <c r="R17" s="59" t="s">
        <v>31</v>
      </c>
      <c r="S17" s="52" t="str">
        <f ca="1">IFERROR(__xludf.DUMMYFUNCTION("GOOGLETRANSLATE(R17, ""fr"", ""nl"")"),"100% katoen")</f>
        <v>100% katoen</v>
      </c>
      <c r="T17" s="53" t="s">
        <v>32</v>
      </c>
      <c r="U17" s="54" t="str">
        <f ca="1">IFERROR(__xludf.DUMMYFUNCTION("GOOGLETRANSLATE(T17, ""fr"", ""nl"")"),"Op 30 ° C max
Gebruik geen bleekmiddel
Gebruik geen van de droger
Strijken op gemiddelde temperatuur
Niet stomen")</f>
        <v>Op 30 ° C max
Gebruik geen bleekmiddel
Gebruik geen van de droger
Strijken op gemiddelde temperatuur
Niet stomen</v>
      </c>
      <c r="V17" s="62" t="s">
        <v>83</v>
      </c>
      <c r="W17" s="56"/>
    </row>
    <row r="18" spans="1:23" ht="15.75" customHeight="1">
      <c r="A18" s="57" t="s">
        <v>101</v>
      </c>
      <c r="B18" s="40">
        <v>26</v>
      </c>
      <c r="C18" s="41"/>
      <c r="D18" s="41"/>
      <c r="E18" s="42"/>
      <c r="F18" s="43" t="s">
        <v>24</v>
      </c>
      <c r="G18" s="43" t="s">
        <v>25</v>
      </c>
      <c r="H18" s="44" t="s">
        <v>102</v>
      </c>
      <c r="I18" s="45"/>
      <c r="J18" s="46" t="s">
        <v>103</v>
      </c>
      <c r="K18" s="47"/>
      <c r="L18" s="47" t="s">
        <v>81</v>
      </c>
      <c r="M18" s="48" t="str">
        <f ca="1">IFERROR(__xludf.DUMMYFUNCTION("googletranslate(L18, ""fr"", ""nl"")"),"
- Rechte snede
- geribbelde kraag met contrasterende biezen
- gestileerde Rib in de kraag
- knoopsluiting met twee knoppen
- Korte mouwen
- Bottom geribde mouwen met contrasterende biezen
- Zijsplitten
- Logo J &amp; JOY borst
- Embroidery gestileerd in de r"&amp;"ug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8" s="58" t="s">
        <v>104</v>
      </c>
      <c r="O18" s="49" t="str">
        <f ca="1">IFERROR(__xludf.DUMMYFUNCTION("googletranslate(N18, ""fr"", ""nl"")"),"Met zijn pastel geel en tekening in de rug, deze polo is het onmisbaar onderdeel in de kleedkamer van de Australische surfer! De donkere blauwe accenten op de kraag en mouwen zijn het verhogen van alles voor een blik zeer trendy. Vergeet niet uw raad!")</f>
        <v>Met zijn pastel geel en tekening in de rug, deze polo is het onmisbaar onderdeel in de kleedkamer van de Australische surfer! De donkere blauwe accenten op de kraag en mouwen zijn het verhogen van alles voor een blik zeer trendy. Vergeet niet uw raad!</v>
      </c>
      <c r="P18" s="50" t="s">
        <v>105</v>
      </c>
      <c r="Q18" s="49" t="str">
        <f ca="1">IFERROR(__xludf.DUMMYFUNCTION("GOOGLETRANSLATE(P18, ""fr"", ""nl"")"),"geel")</f>
        <v>geel</v>
      </c>
      <c r="R18" s="59" t="s">
        <v>31</v>
      </c>
      <c r="S18" s="52" t="str">
        <f ca="1">IFERROR(__xludf.DUMMYFUNCTION("GOOGLETRANSLATE(R18, ""fr"", ""nl"")"),"100% katoen")</f>
        <v>100% katoen</v>
      </c>
      <c r="T18" s="53" t="s">
        <v>32</v>
      </c>
      <c r="U18" s="54" t="str">
        <f ca="1">IFERROR(__xludf.DUMMYFUNCTION("GOOGLETRANSLATE(T18, ""fr"", ""nl"")"),"Op 30 ° C max
Gebruik geen bleekmiddel
Gebruik geen van de droger
Strijken op gemiddelde temperatuur
Niet stomen")</f>
        <v>Op 30 ° C max
Gebruik geen bleekmiddel
Gebruik geen van de droger
Strijken op gemiddelde temperatuur
Niet stomen</v>
      </c>
      <c r="V18" s="62" t="s">
        <v>83</v>
      </c>
      <c r="W18" s="56"/>
    </row>
    <row r="19" spans="1:23" ht="15.75" customHeight="1">
      <c r="A19" s="57" t="s">
        <v>106</v>
      </c>
      <c r="B19" s="40">
        <v>26</v>
      </c>
      <c r="C19" s="41"/>
      <c r="D19" s="41"/>
      <c r="E19" s="42"/>
      <c r="F19" s="43" t="s">
        <v>24</v>
      </c>
      <c r="G19" s="43" t="s">
        <v>25</v>
      </c>
      <c r="H19" s="44" t="s">
        <v>107</v>
      </c>
      <c r="I19" s="45"/>
      <c r="J19" s="46" t="s">
        <v>108</v>
      </c>
      <c r="K19" s="47"/>
      <c r="L19" s="47" t="s">
        <v>109</v>
      </c>
      <c r="M19" s="48" t="str">
        <f ca="1">IFERROR(__xludf.DUMMYFUNCTION("googletranslate(L19, ""fr"", ""nl"")"),"
- Rechte snede
- geribbelde kraag met contrasterende biezen
- gestileerde Rib in de kraag
- knoopsluiting met twee knoppen
- Korte mouwen
- Bottom geribde mouwen met contrasterende biezen
- Zijsplitten
- Logo J &amp; JOY sleeve")</f>
        <v xml:space="preserve">
- Rechte snede
- geribbelde kraag met contrasterende biezen
- gestileerde Rib in de kraag
- knoopsluiting met twee knoppen
- Korte mouwen
- Bottom geribde mouwen met contrasterende biezen
- Zijsplitten
- Logo J &amp; JOY sleeve</v>
      </c>
      <c r="N19" s="58" t="s">
        <v>110</v>
      </c>
      <c r="O19" s="49" t="str">
        <f ca="1">IFERROR(__xludf.DUMMYFUNCTION("googletranslate(N19, ""fr"", ""nl"")"),"Een patroon ""jungle"" en groene tinten op een diepe blauwe: welkom in het regenwoud in Australië!
Deze polo pak al diegenen die een geest van avontuur te hebben!
De +: hetzelfde overhemd is beschikbaar voor kleine strijders voor vader en zoon looks asso"&amp;"rtiment!")</f>
        <v>Een patroon "jungle" en groene tinten op een diepe blauwe: welkom in het regenwoud in Australië!
Deze polo pak al diegenen die een geest van avontuur te hebben!
De +: hetzelfde overhemd is beschikbaar voor kleine strijders voor vader en zoon looks assortiment!</v>
      </c>
      <c r="P19" s="50" t="s">
        <v>30</v>
      </c>
      <c r="Q19" s="49" t="str">
        <f ca="1">IFERROR(__xludf.DUMMYFUNCTION("GOOGLETRANSLATE(P19, ""fr"", ""nl"")"),"blauw")</f>
        <v>blauw</v>
      </c>
      <c r="R19" s="59" t="s">
        <v>31</v>
      </c>
      <c r="S19" s="52" t="str">
        <f ca="1">IFERROR(__xludf.DUMMYFUNCTION("GOOGLETRANSLATE(R19, ""fr"", ""nl"")"),"100% katoen")</f>
        <v>100% katoen</v>
      </c>
      <c r="T19" s="53" t="s">
        <v>32</v>
      </c>
      <c r="U19" s="54" t="str">
        <f ca="1">IFERROR(__xludf.DUMMYFUNCTION("GOOGLETRANSLATE(T19, ""fr"", ""nl"")"),"Op 30 ° C max
Gebruik geen bleekmiddel
Gebruik geen van de droger
Strijken op gemiddelde temperatuur
Niet stomen")</f>
        <v>Op 30 ° C max
Gebruik geen bleekmiddel
Gebruik geen van de droger
Strijken op gemiddelde temperatuur
Niet stomen</v>
      </c>
      <c r="V19" s="62" t="s">
        <v>111</v>
      </c>
      <c r="W19" s="56"/>
    </row>
    <row r="20" spans="1:23" ht="15.75" customHeight="1">
      <c r="A20" s="57" t="s">
        <v>112</v>
      </c>
      <c r="B20" s="40">
        <v>26</v>
      </c>
      <c r="C20" s="41"/>
      <c r="D20" s="41"/>
      <c r="E20" s="42"/>
      <c r="F20" s="43" t="s">
        <v>24</v>
      </c>
      <c r="G20" s="43" t="s">
        <v>25</v>
      </c>
      <c r="H20" s="44" t="s">
        <v>113</v>
      </c>
      <c r="I20" s="45"/>
      <c r="J20" s="46" t="s">
        <v>114</v>
      </c>
      <c r="K20" s="47"/>
      <c r="L20" s="47" t="s">
        <v>81</v>
      </c>
      <c r="M20" s="48" t="str">
        <f ca="1">IFERROR(__xludf.DUMMYFUNCTION("googletranslate(L20, ""fr"", ""nl"")"),"
- Rechte snede
- geribbelde kraag met contrasterende biezen
- gestileerde Rib in de kraag
- knoopsluiting met twee knoppen
- Korte mouwen
- Bottom geribde mouwen met contrasterende biezen
- Zijsplitten
- Logo J &amp; JOY borst
- Embroidery gestileerd in de r"&amp;"ug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20" s="58" t="s">
        <v>115</v>
      </c>
      <c r="O20" s="49" t="str">
        <f ca="1">IFERROR(__xludf.DUMMYFUNCTION("googletranslate(N20, ""fr"", ""nl"")"),"Deze groene polo ""lime"" brengt pep aan elke outfit dit seizoen! Een originele kleur die men nooit banden!")</f>
        <v>Deze groene polo "lime" brengt pep aan elke outfit dit seizoen! Een originele kleur die men nooit banden!</v>
      </c>
      <c r="P20" s="50" t="s">
        <v>116</v>
      </c>
      <c r="Q20" s="49" t="str">
        <f ca="1">IFERROR(__xludf.DUMMYFUNCTION("GOOGLETRANSLATE(P20, ""fr"", ""nl"")"),"groen")</f>
        <v>groen</v>
      </c>
      <c r="R20" s="61" t="s">
        <v>117</v>
      </c>
      <c r="S20" s="52" t="str">
        <f ca="1">IFERROR(__xludf.DUMMYFUNCTION("GOOGLETRANSLATE(R20, ""fr"", ""nl"")"),"60% katoen 40% polyester")</f>
        <v>60% katoen 40% polyester</v>
      </c>
      <c r="T20" s="53" t="s">
        <v>32</v>
      </c>
      <c r="U20" s="54" t="str">
        <f ca="1">IFERROR(__xludf.DUMMYFUNCTION("GOOGLETRANSLATE(T20, ""fr"", ""nl"")"),"Op 30 ° C max
Gebruik geen bleekmiddel
Gebruik geen van de droger
Strijken op gemiddelde temperatuur
Niet stomen")</f>
        <v>Op 30 ° C max
Gebruik geen bleekmiddel
Gebruik geen van de droger
Strijken op gemiddelde temperatuur
Niet stomen</v>
      </c>
      <c r="V20" s="62" t="s">
        <v>111</v>
      </c>
      <c r="W20" s="56"/>
    </row>
    <row r="21" spans="1:23" ht="15.75" customHeight="1">
      <c r="A21" s="57" t="s">
        <v>118</v>
      </c>
      <c r="B21" s="40">
        <v>26</v>
      </c>
      <c r="C21" s="41"/>
      <c r="D21" s="41"/>
      <c r="E21" s="42"/>
      <c r="F21" s="43" t="s">
        <v>24</v>
      </c>
      <c r="G21" s="43" t="s">
        <v>25</v>
      </c>
      <c r="H21" s="44" t="s">
        <v>119</v>
      </c>
      <c r="I21" s="45"/>
      <c r="J21" s="46" t="s">
        <v>120</v>
      </c>
      <c r="K21" s="47"/>
      <c r="L21" s="47" t="s">
        <v>76</v>
      </c>
      <c r="M21" s="48" t="str">
        <f ca="1">IFERROR(__xludf.DUMMYFUNCTION("googletranslate(L21,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21" s="58" t="s">
        <v>121</v>
      </c>
      <c r="O21" s="49" t="str">
        <f ca="1">IFERROR(__xludf.DUMMYFUNCTION("googletranslate(N21, ""fr"", ""nl"")"),"Doe je koffers, deze polo neemt je mee op een Australisch eiland om te genieten van het prachtige landschap en de unieke in dit deel van de wereld ambiance!
Met waterpolo groene en co die redenen ""cocktails"", breng je de positieve stemming van de vakant"&amp;"ie in je look deze zomer!")</f>
        <v>Doe je koffers, deze polo neemt je mee op een Australisch eiland om te genieten van het prachtige landschap en de unieke in dit deel van de wereld ambiance!
Met waterpolo groene en co die redenen "cocktails", breng je de positieve stemming van de vakantie in je look deze zomer!</v>
      </c>
      <c r="P21" s="50" t="s">
        <v>116</v>
      </c>
      <c r="Q21" s="49" t="str">
        <f ca="1">IFERROR(__xludf.DUMMYFUNCTION("GOOGLETRANSLATE(P21, ""fr"", ""nl"")"),"groen")</f>
        <v>groen</v>
      </c>
      <c r="R21" s="59" t="s">
        <v>31</v>
      </c>
      <c r="S21" s="52" t="str">
        <f ca="1">IFERROR(__xludf.DUMMYFUNCTION("GOOGLETRANSLATE(R21, ""fr"", ""nl"")"),"100% katoen")</f>
        <v>100% katoen</v>
      </c>
      <c r="T21" s="53" t="s">
        <v>32</v>
      </c>
      <c r="U21" s="54" t="str">
        <f ca="1">IFERROR(__xludf.DUMMYFUNCTION("GOOGLETRANSLATE(T21, ""fr"", ""nl"")"),"Op 30 ° C max
Gebruik geen bleekmiddel
Gebruik geen van de droger
Strijken op gemiddelde temperatuur
Niet stomen")</f>
        <v>Op 30 ° C max
Gebruik geen bleekmiddel
Gebruik geen van de droger
Strijken op gemiddelde temperatuur
Niet stomen</v>
      </c>
      <c r="V21" s="62" t="s">
        <v>111</v>
      </c>
      <c r="W21" s="56"/>
    </row>
    <row r="22" spans="1:23" ht="15.75" customHeight="1">
      <c r="A22" s="57" t="s">
        <v>122</v>
      </c>
      <c r="B22" s="40">
        <v>26</v>
      </c>
      <c r="C22" s="42"/>
      <c r="D22" s="60"/>
      <c r="E22" s="42"/>
      <c r="F22" s="43" t="s">
        <v>24</v>
      </c>
      <c r="G22" s="43" t="s">
        <v>25</v>
      </c>
      <c r="H22" s="44" t="s">
        <v>123</v>
      </c>
      <c r="I22" s="45"/>
      <c r="J22" s="46" t="s">
        <v>124</v>
      </c>
      <c r="K22" s="47"/>
      <c r="L22" s="47" t="s">
        <v>76</v>
      </c>
      <c r="M22" s="48" t="str">
        <f ca="1">IFERROR(__xludf.DUMMYFUNCTION("googletranslate(L22,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22" s="58" t="s">
        <v>125</v>
      </c>
      <c r="O22" s="49" t="str">
        <f ca="1">IFERROR(__xludf.DUMMYFUNCTION("googletranslate(N22, ""fr"", ""nl"")"),"Dit motief doet denken aan de palmbomen en neemt je mee in de Australische regenwoud. Grijs en kaki polo die worden opgefleurd met lime groen in de details van de kraag en mouwen, voor een resultaat zo mooi als het origineel!")</f>
        <v>Dit motief doet denken aan de palmbomen en neemt je mee in de Australische regenwoud. Grijs en kaki polo die worden opgefleurd met lime groen in de details van de kraag en mouwen, voor een resultaat zo mooi als het origineel!</v>
      </c>
      <c r="P22" s="50" t="s">
        <v>116</v>
      </c>
      <c r="Q22" s="49" t="str">
        <f ca="1">IFERROR(__xludf.DUMMYFUNCTION("GOOGLETRANSLATE(P22, ""fr"", ""nl"")"),"groen")</f>
        <v>groen</v>
      </c>
      <c r="R22" s="59" t="s">
        <v>31</v>
      </c>
      <c r="S22" s="52" t="str">
        <f ca="1">IFERROR(__xludf.DUMMYFUNCTION("GOOGLETRANSLATE(R22, ""fr"", ""nl"")"),"100% katoen")</f>
        <v>100% katoen</v>
      </c>
      <c r="T22" s="53" t="s">
        <v>32</v>
      </c>
      <c r="U22" s="54" t="str">
        <f ca="1">IFERROR(__xludf.DUMMYFUNCTION("GOOGLETRANSLATE(T22, ""fr"", ""nl"")"),"Op 30 ° C max
Gebruik geen bleekmiddel
Gebruik geen van de droger
Strijken op gemiddelde temperatuur
Niet stomen")</f>
        <v>Op 30 ° C max
Gebruik geen bleekmiddel
Gebruik geen van de droger
Strijken op gemiddelde temperatuur
Niet stomen</v>
      </c>
      <c r="V22" s="62" t="s">
        <v>111</v>
      </c>
      <c r="W22" s="56"/>
    </row>
    <row r="23" spans="1:23" ht="15.75" customHeight="1">
      <c r="A23" s="57" t="s">
        <v>126</v>
      </c>
      <c r="B23" s="40">
        <v>26</v>
      </c>
      <c r="C23" s="41"/>
      <c r="D23" s="41"/>
      <c r="E23" s="42"/>
      <c r="F23" s="43" t="s">
        <v>24</v>
      </c>
      <c r="G23" s="43" t="s">
        <v>25</v>
      </c>
      <c r="H23" s="44" t="s">
        <v>127</v>
      </c>
      <c r="I23" s="45"/>
      <c r="J23" s="46" t="s">
        <v>128</v>
      </c>
      <c r="K23" s="47"/>
      <c r="L23" s="47" t="s">
        <v>129</v>
      </c>
      <c r="M23" s="48" t="str">
        <f ca="1">IFERROR(__xludf.DUMMYFUNCTION("googletranslate(L23,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23" s="58" t="s">
        <v>130</v>
      </c>
      <c r="O23" s="49" t="str">
        <f ca="1">IFERROR(__xludf.DUMMYFUNCTION("googletranslate(N23, ""fr"", ""nl"")"),"Deze gedrukte 100% jungle wekt de zintuigen van alle avonturiers?
Ziet u buideldieren verborgen in het gebladerte van het regenwoud?")</f>
        <v>Deze gedrukte 100% jungle wekt de zintuigen van alle avonturiers?
Ziet u buideldieren verborgen in het gebladerte van het regenwoud?</v>
      </c>
      <c r="P23" s="50" t="s">
        <v>100</v>
      </c>
      <c r="Q23" s="49" t="str">
        <f ca="1">IFERROR(__xludf.DUMMYFUNCTION("GOOGLETRANSLATE(P23, ""fr"", ""nl"")"),"Wit")</f>
        <v>Wit</v>
      </c>
      <c r="R23" s="51" t="s">
        <v>117</v>
      </c>
      <c r="S23" s="52" t="str">
        <f ca="1">IFERROR(__xludf.DUMMYFUNCTION("GOOGLETRANSLATE(R23, ""fr"", ""nl"")"),"60% katoen 40% polyester")</f>
        <v>60% katoen 40% polyester</v>
      </c>
      <c r="T23" s="53" t="s">
        <v>32</v>
      </c>
      <c r="U23" s="54" t="str">
        <f ca="1">IFERROR(__xludf.DUMMYFUNCTION("GOOGLETRANSLATE(T23, ""fr"", ""nl"")"),"Op 30 ° C max
Gebruik geen bleekmiddel
Gebruik geen van de droger
Strijken op gemiddelde temperatuur
Niet stomen")</f>
        <v>Op 30 ° C max
Gebruik geen bleekmiddel
Gebruik geen van de droger
Strijken op gemiddelde temperatuur
Niet stomen</v>
      </c>
      <c r="V23" s="62" t="s">
        <v>111</v>
      </c>
      <c r="W23" s="56"/>
    </row>
    <row r="24" spans="1:23" ht="15.75" customHeight="1">
      <c r="A24" s="57" t="s">
        <v>131</v>
      </c>
      <c r="B24" s="40">
        <v>24</v>
      </c>
      <c r="C24" s="41"/>
      <c r="D24" s="41"/>
      <c r="E24" s="42"/>
      <c r="F24" s="43" t="s">
        <v>24</v>
      </c>
      <c r="G24" s="43" t="s">
        <v>25</v>
      </c>
      <c r="H24" s="44" t="s">
        <v>132</v>
      </c>
      <c r="I24" s="45"/>
      <c r="J24" s="46" t="s">
        <v>133</v>
      </c>
      <c r="K24" s="47"/>
      <c r="L24" s="47" t="s">
        <v>134</v>
      </c>
      <c r="M24" s="48" t="str">
        <f ca="1">IFERROR(__xludf.DUMMYFUNCTION("googletranslate(L24, ""fr"", ""nl"")"),"
- Rechte snede
- geribbelde kraag met contrasterende biezen
- gestileerde Rib in de kraag
- knoopsluiting met twee knoppen
- Korte mouwen
- Bottom geribde mouwen met contrasterende biezen
- Zijsplitten
- Logo J &amp; JOY borst")</f>
        <v xml:space="preserve">
- Rechte snede
- geribbelde kraag met contrasterende biezen
- gestileerde Rib in de kraag
- knoopsluiting met twee knoppen
- Korte mouwen
- Bottom geribde mouwen met contrasterende biezen
- Zijsplitten
- Logo J &amp; JOY borst</v>
      </c>
      <c r="N24" s="58" t="s">
        <v>135</v>
      </c>
      <c r="O24" s="49" t="str">
        <f ca="1">IFERROR(__xludf.DUMMYFUNCTION("googletranslate(N24, ""fr"", ""nl"")"),"Een vrij klassieke polo uitgebreid met een aantal verrassende accenten van kalk groen en donkerblauw. Hij geen goed, en je je kleedt deze zomer!")</f>
        <v>Een vrij klassieke polo uitgebreid met een aantal verrassende accenten van kalk groen en donkerblauw. Hij geen goed, en je je kleedt deze zomer!</v>
      </c>
      <c r="P24" s="50" t="s">
        <v>30</v>
      </c>
      <c r="Q24" s="49" t="str">
        <f ca="1">IFERROR(__xludf.DUMMYFUNCTION("GOOGLETRANSLATE(P24, ""fr"", ""nl"")"),"blauw")</f>
        <v>blauw</v>
      </c>
      <c r="R24" s="59" t="s">
        <v>31</v>
      </c>
      <c r="S24" s="52" t="str">
        <f ca="1">IFERROR(__xludf.DUMMYFUNCTION("GOOGLETRANSLATE(R24, ""fr"", ""nl"")"),"100% katoen")</f>
        <v>100% katoen</v>
      </c>
      <c r="T24" s="53" t="s">
        <v>32</v>
      </c>
      <c r="U24" s="54" t="str">
        <f ca="1">IFERROR(__xludf.DUMMYFUNCTION("GOOGLETRANSLATE(T24, ""fr"", ""nl"")"),"Op 30 ° C max
Gebruik geen bleekmiddel
Gebruik geen van de droger
Strijken op gemiddelde temperatuur
Niet stomen")</f>
        <v>Op 30 ° C max
Gebruik geen bleekmiddel
Gebruik geen van de droger
Strijken op gemiddelde temperatuur
Niet stomen</v>
      </c>
      <c r="V24" s="62" t="s">
        <v>111</v>
      </c>
      <c r="W24" s="56"/>
    </row>
    <row r="25" spans="1:23" ht="15.75" customHeight="1">
      <c r="A25" s="57" t="s">
        <v>136</v>
      </c>
      <c r="B25" s="40">
        <v>26</v>
      </c>
      <c r="C25" s="41"/>
      <c r="D25" s="41"/>
      <c r="E25" s="42"/>
      <c r="F25" s="43" t="s">
        <v>24</v>
      </c>
      <c r="G25" s="43" t="s">
        <v>25</v>
      </c>
      <c r="H25" s="44" t="s">
        <v>137</v>
      </c>
      <c r="I25" s="45"/>
      <c r="J25" s="46" t="s">
        <v>138</v>
      </c>
      <c r="K25" s="47"/>
      <c r="L25" s="47" t="s">
        <v>134</v>
      </c>
      <c r="M25" s="48" t="str">
        <f ca="1">IFERROR(__xludf.DUMMYFUNCTION("googletranslate(L25, ""fr"", ""nl"")"),"
- Rechte snede
- geribbelde kraag met contrasterende biezen
- gestileerde Rib in de kraag
- knoopsluiting met twee knoppen
- Korte mouwen
- Bottom geribde mouwen met contrasterende biezen
- Zijsplitten
- Logo J &amp; JOY borst")</f>
        <v xml:space="preserve">
- Rechte snede
- geribbelde kraag met contrasterende biezen
- gestileerde Rib in de kraag
- knoopsluiting met twee knoppen
- Korte mouwen
- Bottom geribde mouwen met contrasterende biezen
- Zijsplitten
- Logo J &amp; JOY borst</v>
      </c>
      <c r="N25" s="58" t="s">
        <v>139</v>
      </c>
      <c r="O25" s="49" t="str">
        <f ca="1">IFERROR(__xludf.DUMMYFUNCTION("googletranslate(N25, ""fr"", ""nl"")"),"Een veilige wed dat je niet moe en je jurk de hele zomer!")</f>
        <v>Een veilige wed dat je niet moe en je jurk de hele zomer!</v>
      </c>
      <c r="P25" s="50" t="s">
        <v>30</v>
      </c>
      <c r="Q25" s="49" t="str">
        <f ca="1">IFERROR(__xludf.DUMMYFUNCTION("GOOGLETRANSLATE(P25, ""fr"", ""nl"")"),"blauw")</f>
        <v>blauw</v>
      </c>
      <c r="R25" s="59" t="s">
        <v>31</v>
      </c>
      <c r="S25" s="52" t="str">
        <f ca="1">IFERROR(__xludf.DUMMYFUNCTION("GOOGLETRANSLATE(R25, ""fr"", ""nl"")"),"100% katoen")</f>
        <v>100% katoen</v>
      </c>
      <c r="T25" s="53" t="s">
        <v>32</v>
      </c>
      <c r="U25" s="54" t="str">
        <f ca="1">IFERROR(__xludf.DUMMYFUNCTION("GOOGLETRANSLATE(T25, ""fr"", ""nl"")"),"Op 30 ° C max
Gebruik geen bleekmiddel
Gebruik geen van de droger
Strijken op gemiddelde temperatuur
Niet stomen")</f>
        <v>Op 30 ° C max
Gebruik geen bleekmiddel
Gebruik geen van de droger
Strijken op gemiddelde temperatuur
Niet stomen</v>
      </c>
      <c r="V25" s="62" t="s">
        <v>111</v>
      </c>
      <c r="W25" s="56"/>
    </row>
    <row r="26" spans="1:23" ht="15.75" customHeight="1">
      <c r="A26" s="57" t="s">
        <v>140</v>
      </c>
      <c r="B26" s="40">
        <v>26</v>
      </c>
      <c r="C26" s="41"/>
      <c r="D26" s="41"/>
      <c r="E26" s="42"/>
      <c r="F26" s="43" t="s">
        <v>24</v>
      </c>
      <c r="G26" s="43" t="s">
        <v>25</v>
      </c>
      <c r="H26" s="44" t="s">
        <v>141</v>
      </c>
      <c r="I26" s="45"/>
      <c r="J26" s="46" t="s">
        <v>142</v>
      </c>
      <c r="K26" s="47"/>
      <c r="L26" s="47" t="s">
        <v>143</v>
      </c>
      <c r="M26" s="48" t="str">
        <f ca="1">IFERROR(__xludf.DUMMYFUNCTION("googletranslate(L26, ""fr"", ""nl"")"),"
- Rechte snede
- geribbelde kraag met contrasterende biezen
- gestileerde Rib in de kraag
- knoopsluiting met twee knoppen
- Korte mouwen met contrasterende biezen
- Bottom geribde mouwen met contrasterende biezen
- Zijsplitten
- Logo J &amp; JOY borst
")</f>
        <v xml:space="preserve">
- Rechte snede
- geribbelde kraag met contrasterende biezen
- gestileerde Rib in de kraag
- knoopsluiting met twee knoppen
- Korte mouwen met contrasterende biezen
- Bottom geribde mouwen met contrasterende biezen
- Zijsplitten
- Logo J &amp; JOY borst
</v>
      </c>
      <c r="N26" s="58" t="s">
        <v>144</v>
      </c>
      <c r="O26" s="49" t="str">
        <f ca="1">IFERROR(__xludf.DUMMYFUNCTION("googletranslate(N26, ""fr"", ""nl"")"),"Een fel oranje, schouders en kraag werkte in elk detail en tekening in de rug die uitzonderlijke vogels aangetroffen in Cape Tribulation oproept ... Welkom in Australië met een polo die uw stijl trilt!")</f>
        <v>Een fel oranje, schouders en kraag werkte in elk detail en tekening in de rug die uitzonderlijke vogels aangetroffen in Cape Tribulation oproept ... Welkom in Australië met een polo die uw stijl trilt!</v>
      </c>
      <c r="P26" s="50" t="s">
        <v>49</v>
      </c>
      <c r="Q26" s="49" t="str">
        <f ca="1">IFERROR(__xludf.DUMMYFUNCTION("GOOGLETRANSLATE(P26, ""fr"", ""nl"")"),"oranje")</f>
        <v>oranje</v>
      </c>
      <c r="R26" s="59" t="s">
        <v>31</v>
      </c>
      <c r="S26" s="52" t="str">
        <f ca="1">IFERROR(__xludf.DUMMYFUNCTION("GOOGLETRANSLATE(R26, ""fr"", ""nl"")"),"100% katoen")</f>
        <v>100% katoen</v>
      </c>
      <c r="T26" s="53" t="s">
        <v>32</v>
      </c>
      <c r="U26" s="54" t="str">
        <f ca="1">IFERROR(__xludf.DUMMYFUNCTION("GOOGLETRANSLATE(T26, ""fr"", ""nl"")"),"Op 30 ° C max
Gebruik geen bleekmiddel
Gebruik geen van de droger
Strijken op gemiddelde temperatuur
Niet stomen")</f>
        <v>Op 30 ° C max
Gebruik geen bleekmiddel
Gebruik geen van de droger
Strijken op gemiddelde temperatuur
Niet stomen</v>
      </c>
      <c r="V26" s="62" t="s">
        <v>145</v>
      </c>
      <c r="W26" s="56"/>
    </row>
    <row r="27" spans="1:23" ht="15.75" customHeight="1">
      <c r="A27" s="57" t="s">
        <v>146</v>
      </c>
      <c r="B27" s="40">
        <v>24</v>
      </c>
      <c r="C27" s="41"/>
      <c r="D27" s="41"/>
      <c r="E27" s="42"/>
      <c r="F27" s="43" t="s">
        <v>24</v>
      </c>
      <c r="G27" s="43" t="s">
        <v>25</v>
      </c>
      <c r="H27" s="44" t="s">
        <v>147</v>
      </c>
      <c r="I27" s="45"/>
      <c r="J27" s="46" t="s">
        <v>148</v>
      </c>
      <c r="K27" s="47"/>
      <c r="L27" s="47" t="s">
        <v>149</v>
      </c>
      <c r="M27" s="48" t="str">
        <f ca="1">IFERROR(__xludf.DUMMYFUNCTION("googletranslate(L27, ""fr"", ""nl"")"),"
- Rechte snede
- geribbelde kraag met contrasterende biezen
- gestileerde Rib in de kraag
- knoopsluiting met twee knoppen
- Korte mouwen
- Bottom geribde mouwen met contrasterende biezen
- Zijsplitten
- Logo J &amp; JOY borst
- Embroidery gestileerd in de r"&amp;"ug")</f>
        <v xml:space="preserve">
- Rechte snede
- geribbelde kraag met contrasterende biezen
- gestileerde Rib in de kraag
- knoopsluiting met twee knoppen
- Korte mouwen
- Bottom geribde mouwen met contrasterende biezen
- Zijsplitten
- Logo J &amp; JOY borst
- Embroidery gestileerd in de rug</v>
      </c>
      <c r="N27" s="58" t="s">
        <v>150</v>
      </c>
      <c r="O27" s="49" t="str">
        <f ca="1">IFERROR(__xludf.DUMMYFUNCTION("googletranslate(N27, ""fr"", ""nl"")"),"Real veilige gok, deze polo marine blauw met accenten kameel heeft nooit zal u niet! Kon niet vervelen!")</f>
        <v>Real veilige gok, deze polo marine blauw met accenten kameel heeft nooit zal u niet! Kon niet vervelen!</v>
      </c>
      <c r="P27" s="50" t="s">
        <v>30</v>
      </c>
      <c r="Q27" s="49" t="str">
        <f ca="1">IFERROR(__xludf.DUMMYFUNCTION("GOOGLETRANSLATE(P27, ""fr"", ""nl"")"),"blauw")</f>
        <v>blauw</v>
      </c>
      <c r="R27" s="59" t="s">
        <v>31</v>
      </c>
      <c r="S27" s="52" t="str">
        <f ca="1">IFERROR(__xludf.DUMMYFUNCTION("GOOGLETRANSLATE(R27, ""fr"", ""nl"")"),"100% katoen")</f>
        <v>100% katoen</v>
      </c>
      <c r="T27" s="53" t="s">
        <v>32</v>
      </c>
      <c r="U27" s="54" t="str">
        <f ca="1">IFERROR(__xludf.DUMMYFUNCTION("GOOGLETRANSLATE(T27, ""fr"", ""nl"")"),"Op 30 ° C max
Gebruik geen bleekmiddel
Gebruik geen van de droger
Strijken op gemiddelde temperatuur
Niet stomen")</f>
        <v>Op 30 ° C max
Gebruik geen bleekmiddel
Gebruik geen van de droger
Strijken op gemiddelde temperatuur
Niet stomen</v>
      </c>
      <c r="V27" s="62" t="s">
        <v>145</v>
      </c>
      <c r="W27" s="56"/>
    </row>
    <row r="28" spans="1:23" ht="15.75" customHeight="1">
      <c r="A28" s="57" t="s">
        <v>151</v>
      </c>
      <c r="B28" s="40">
        <v>26</v>
      </c>
      <c r="C28" s="41"/>
      <c r="D28" s="41"/>
      <c r="E28" s="42"/>
      <c r="F28" s="43" t="s">
        <v>24</v>
      </c>
      <c r="G28" s="43" t="s">
        <v>25</v>
      </c>
      <c r="H28" s="44" t="s">
        <v>152</v>
      </c>
      <c r="I28" s="45"/>
      <c r="J28" s="46" t="s">
        <v>153</v>
      </c>
      <c r="K28" s="47"/>
      <c r="L28" s="47" t="s">
        <v>134</v>
      </c>
      <c r="M28" s="48" t="str">
        <f ca="1">IFERROR(__xludf.DUMMYFUNCTION("googletranslate(L28, ""fr"", ""nl"")"),"
- Rechte snede
- geribbelde kraag met contrasterende biezen
- gestileerde Rib in de kraag
- knoopsluiting met twee knoppen
- Korte mouwen
- Bottom geribde mouwen met contrasterende biezen
- Zijsplitten
- Logo J &amp; JOY borst")</f>
        <v xml:space="preserve">
- Rechte snede
- geribbelde kraag met contrasterende biezen
- gestileerde Rib in de kraag
- knoopsluiting met twee knoppen
- Korte mouwen
- Bottom geribde mouwen met contrasterende biezen
- Zijsplitten
- Logo J &amp; JOY borst</v>
      </c>
      <c r="N28" s="58" t="s">
        <v>154</v>
      </c>
      <c r="O28" s="49" t="str">
        <f ca="1">IFERROR(__xludf.DUMMYFUNCTION("googletranslate(N28, ""fr"", ""nl"")"),"De aard dichte gebloeid Cape Tribulation, Australië, wordt uitgenodigd op deze polo trekt een originele, trendy en verondersteld. Dit is de sterke stukje van je garderobe deze zomer.")</f>
        <v>De aard dichte gebloeid Cape Tribulation, Australië, wordt uitgenodigd op deze polo trekt een originele, trendy en verondersteld. Dit is de sterke stukje van je garderobe deze zomer.</v>
      </c>
      <c r="P28" s="50" t="s">
        <v>155</v>
      </c>
      <c r="Q28" s="49" t="str">
        <f ca="1">IFERROR(__xludf.DUMMYFUNCTION("GOOGLETRANSLATE(P28, ""fr"", ""nl"")"),"veelkleurig")</f>
        <v>veelkleurig</v>
      </c>
      <c r="R28" s="59" t="s">
        <v>31</v>
      </c>
      <c r="S28" s="52" t="str">
        <f ca="1">IFERROR(__xludf.DUMMYFUNCTION("GOOGLETRANSLATE(R28, ""fr"", ""nl"")"),"100% katoen")</f>
        <v>100% katoen</v>
      </c>
      <c r="T28" s="53" t="s">
        <v>32</v>
      </c>
      <c r="U28" s="54" t="str">
        <f ca="1">IFERROR(__xludf.DUMMYFUNCTION("GOOGLETRANSLATE(T28, ""fr"", ""nl"")"),"Op 30 ° C max
Gebruik geen bleekmiddel
Gebruik geen van de droger
Strijken op gemiddelde temperatuur
Niet stomen")</f>
        <v>Op 30 ° C max
Gebruik geen bleekmiddel
Gebruik geen van de droger
Strijken op gemiddelde temperatuur
Niet stomen</v>
      </c>
      <c r="V28" s="62" t="s">
        <v>145</v>
      </c>
      <c r="W28" s="56"/>
    </row>
    <row r="29" spans="1:23" ht="15.75" customHeight="1">
      <c r="A29" s="57" t="s">
        <v>156</v>
      </c>
      <c r="B29" s="40">
        <v>26</v>
      </c>
      <c r="C29" s="41"/>
      <c r="D29" s="41"/>
      <c r="E29" s="42"/>
      <c r="F29" s="43" t="s">
        <v>24</v>
      </c>
      <c r="G29" s="43" t="s">
        <v>25</v>
      </c>
      <c r="H29" s="44" t="s">
        <v>157</v>
      </c>
      <c r="I29" s="45"/>
      <c r="J29" s="46" t="s">
        <v>158</v>
      </c>
      <c r="K29" s="47"/>
      <c r="L29" s="47" t="s">
        <v>76</v>
      </c>
      <c r="M29" s="48" t="str">
        <f ca="1">IFERROR(__xludf.DUMMYFUNCTION("googletranslate(L29,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29" s="58" t="s">
        <v>159</v>
      </c>
      <c r="O29" s="49" t="str">
        <f ca="1">IFERROR(__xludf.DUMMYFUNCTION("googletranslate(N29, ""fr"", ""nl"")"),"De leukste Australische dieren wordt geïnstalleerd op uw polo. Met dit ontwerp koala, wordt u gewaarschuwd: het is mogelijk dat uw familie zal willen u een knuffel te geven!")</f>
        <v>De leukste Australische dieren wordt geïnstalleerd op uw polo. Met dit ontwerp koala, wordt u gewaarschuwd: het is mogelijk dat uw familie zal willen u een knuffel te geven!</v>
      </c>
      <c r="P29" s="50" t="s">
        <v>30</v>
      </c>
      <c r="Q29" s="49" t="str">
        <f ca="1">IFERROR(__xludf.DUMMYFUNCTION("GOOGLETRANSLATE(P29, ""fr"", ""nl"")"),"blauw")</f>
        <v>blauw</v>
      </c>
      <c r="R29" s="59" t="s">
        <v>31</v>
      </c>
      <c r="S29" s="52" t="str">
        <f ca="1">IFERROR(__xludf.DUMMYFUNCTION("GOOGLETRANSLATE(R29, ""fr"", ""nl"")"),"100% katoen")</f>
        <v>100% katoen</v>
      </c>
      <c r="T29" s="53" t="s">
        <v>32</v>
      </c>
      <c r="U29" s="54" t="str">
        <f ca="1">IFERROR(__xludf.DUMMYFUNCTION("GOOGLETRANSLATE(T29, ""fr"", ""nl"")"),"Op 30 ° C max
Gebruik geen bleekmiddel
Gebruik geen van de droger
Strijken op gemiddelde temperatuur
Niet stomen")</f>
        <v>Op 30 ° C max
Gebruik geen bleekmiddel
Gebruik geen van de droger
Strijken op gemiddelde temperatuur
Niet stomen</v>
      </c>
      <c r="V29" s="62" t="s">
        <v>145</v>
      </c>
      <c r="W29" s="56"/>
    </row>
    <row r="30" spans="1:23" ht="15.75" customHeight="1">
      <c r="A30" s="57" t="s">
        <v>160</v>
      </c>
      <c r="B30" s="40">
        <v>26</v>
      </c>
      <c r="C30" s="41"/>
      <c r="D30" s="41"/>
      <c r="E30" s="42"/>
      <c r="F30" s="43" t="s">
        <v>24</v>
      </c>
      <c r="G30" s="43" t="s">
        <v>25</v>
      </c>
      <c r="H30" s="44" t="s">
        <v>161</v>
      </c>
      <c r="I30" s="45"/>
      <c r="J30" s="46" t="s">
        <v>162</v>
      </c>
      <c r="K30" s="47"/>
      <c r="L30" s="47" t="s">
        <v>76</v>
      </c>
      <c r="M30" s="48" t="str">
        <f ca="1">IFERROR(__xludf.DUMMYFUNCTION("googletranslate(L30,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30" s="58" t="s">
        <v>163</v>
      </c>
      <c r="O30" s="49" t="str">
        <f ca="1">IFERROR(__xludf.DUMMYFUNCTION("googletranslate(N30, ""fr"", ""nl"")"),"Oranje en een opvallende vogel motief: dit polo is allemaal goed en brengt een flinke dosis vitaminen aan uw garderobe!")</f>
        <v>Oranje en een opvallende vogel motief: dit polo is allemaal goed en brengt een flinke dosis vitaminen aan uw garderobe!</v>
      </c>
      <c r="P30" s="50" t="s">
        <v>49</v>
      </c>
      <c r="Q30" s="49" t="str">
        <f ca="1">IFERROR(__xludf.DUMMYFUNCTION("GOOGLETRANSLATE(P30, ""fr"", ""nl"")"),"oranje")</f>
        <v>oranje</v>
      </c>
      <c r="R30" s="59" t="s">
        <v>31</v>
      </c>
      <c r="S30" s="52" t="str">
        <f ca="1">IFERROR(__xludf.DUMMYFUNCTION("GOOGLETRANSLATE(R30, ""fr"", ""nl"")"),"100% katoen")</f>
        <v>100% katoen</v>
      </c>
      <c r="T30" s="53" t="s">
        <v>32</v>
      </c>
      <c r="U30" s="54" t="str">
        <f ca="1">IFERROR(__xludf.DUMMYFUNCTION("GOOGLETRANSLATE(T30, ""fr"", ""nl"")"),"Op 30 ° C max
Gebruik geen bleekmiddel
Gebruik geen van de droger
Strijken op gemiddelde temperatuur
Niet stomen")</f>
        <v>Op 30 ° C max
Gebruik geen bleekmiddel
Gebruik geen van de droger
Strijken op gemiddelde temperatuur
Niet stomen</v>
      </c>
      <c r="V30" s="62" t="s">
        <v>145</v>
      </c>
      <c r="W30" s="56"/>
    </row>
    <row r="31" spans="1:23" ht="15.75" customHeight="1">
      <c r="A31" s="57" t="s">
        <v>164</v>
      </c>
      <c r="B31" s="40">
        <v>24</v>
      </c>
      <c r="C31" s="41"/>
      <c r="D31" s="41"/>
      <c r="E31" s="42"/>
      <c r="F31" s="43" t="s">
        <v>24</v>
      </c>
      <c r="G31" s="43" t="s">
        <v>25</v>
      </c>
      <c r="H31" s="44" t="s">
        <v>165</v>
      </c>
      <c r="I31" s="45"/>
      <c r="J31" s="46" t="s">
        <v>166</v>
      </c>
      <c r="K31" s="47"/>
      <c r="L31" s="47" t="s">
        <v>76</v>
      </c>
      <c r="M31" s="48" t="str">
        <f ca="1">IFERROR(__xludf.DUMMYFUNCTION("googletranslate(L31,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31" s="58" t="s">
        <v>167</v>
      </c>
      <c r="O31" s="49" t="str">
        <f ca="1">IFERROR(__xludf.DUMMYFUNCTION("googletranslate(N31, ""fr"", ""nl"")"),"De klassieke polo en effectieve standaard die nooit aan u is dit. Om te dragen in alle omstandigheden!")</f>
        <v>De klassieke polo en effectieve standaard die nooit aan u is dit. Om te dragen in alle omstandigheden!</v>
      </c>
      <c r="P31" s="50" t="s">
        <v>100</v>
      </c>
      <c r="Q31" s="49" t="str">
        <f ca="1">IFERROR(__xludf.DUMMYFUNCTION("GOOGLETRANSLATE(P31, ""fr"", ""nl"")"),"Wit")</f>
        <v>Wit</v>
      </c>
      <c r="R31" s="59" t="s">
        <v>31</v>
      </c>
      <c r="S31" s="52" t="str">
        <f ca="1">IFERROR(__xludf.DUMMYFUNCTION("GOOGLETRANSLATE(R31, ""fr"", ""nl"")"),"100% katoen")</f>
        <v>100% katoen</v>
      </c>
      <c r="T31" s="53" t="s">
        <v>32</v>
      </c>
      <c r="U31" s="54" t="str">
        <f ca="1">IFERROR(__xludf.DUMMYFUNCTION("GOOGLETRANSLATE(T31, ""fr"", ""nl"")"),"Op 30 ° C max
Gebruik geen bleekmiddel
Gebruik geen van de droger
Strijken op gemiddelde temperatuur
Niet stomen")</f>
        <v>Op 30 ° C max
Gebruik geen bleekmiddel
Gebruik geen van de droger
Strijken op gemiddelde temperatuur
Niet stomen</v>
      </c>
      <c r="V31" s="62" t="s">
        <v>145</v>
      </c>
      <c r="W31" s="56"/>
    </row>
    <row r="32" spans="1:23" ht="15.75" customHeight="1">
      <c r="A32" s="57" t="s">
        <v>168</v>
      </c>
      <c r="B32" s="40">
        <v>26</v>
      </c>
      <c r="C32" s="41"/>
      <c r="D32" s="41"/>
      <c r="E32" s="42"/>
      <c r="F32" s="43" t="s">
        <v>24</v>
      </c>
      <c r="G32" s="43" t="s">
        <v>25</v>
      </c>
      <c r="H32" s="44" t="s">
        <v>169</v>
      </c>
      <c r="I32" s="45"/>
      <c r="J32" s="46" t="s">
        <v>170</v>
      </c>
      <c r="K32" s="47"/>
      <c r="L32" s="47" t="s">
        <v>76</v>
      </c>
      <c r="M32" s="48" t="str">
        <f ca="1">IFERROR(__xludf.DUMMYFUNCTION("googletranslate(L32,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32" s="58" t="s">
        <v>171</v>
      </c>
      <c r="O32" s="49" t="str">
        <f ca="1">IFERROR(__xludf.DUMMYFUNCTION("googletranslate(N32, ""fr"", ""nl"")"),"Australië heeft niet alleen buideldieren voor u om te ontdekken! Deze uitzonderlijke land is ook vlogen over de prachtige kleurrijke vogels. Hier is er een die landde op de donkerblauwe polo shirt.
Een origineel en uniek, dat de kleuren je garderobe.")</f>
        <v>Australië heeft niet alleen buideldieren voor u om te ontdekken! Deze uitzonderlijke land is ook vlogen over de prachtige kleurrijke vogels. Hier is er een die landde op de donkerblauwe polo shirt.
Een origineel en uniek, dat de kleuren je garderobe.</v>
      </c>
      <c r="P32" s="50" t="s">
        <v>30</v>
      </c>
      <c r="Q32" s="49" t="str">
        <f ca="1">IFERROR(__xludf.DUMMYFUNCTION("GOOGLETRANSLATE(P32, ""fr"", ""nl"")"),"blauw")</f>
        <v>blauw</v>
      </c>
      <c r="R32" s="59" t="s">
        <v>31</v>
      </c>
      <c r="S32" s="52" t="str">
        <f ca="1">IFERROR(__xludf.DUMMYFUNCTION("GOOGLETRANSLATE(R32, ""fr"", ""nl"")"),"100% katoen")</f>
        <v>100% katoen</v>
      </c>
      <c r="T32" s="53" t="s">
        <v>32</v>
      </c>
      <c r="U32" s="54" t="str">
        <f ca="1">IFERROR(__xludf.DUMMYFUNCTION("GOOGLETRANSLATE(T32, ""fr"", ""nl"")"),"Op 30 ° C max
Gebruik geen bleekmiddel
Gebruik geen van de droger
Strijken op gemiddelde temperatuur
Niet stomen")</f>
        <v>Op 30 ° C max
Gebruik geen bleekmiddel
Gebruik geen van de droger
Strijken op gemiddelde temperatuur
Niet stomen</v>
      </c>
      <c r="V32" s="62" t="s">
        <v>145</v>
      </c>
      <c r="W32" s="56"/>
    </row>
    <row r="33" spans="1:23" ht="243.75" customHeight="1">
      <c r="A33" s="57" t="s">
        <v>172</v>
      </c>
      <c r="B33" s="40">
        <v>24</v>
      </c>
      <c r="C33" s="41"/>
      <c r="D33" s="41"/>
      <c r="E33" s="42"/>
      <c r="F33" s="43" t="s">
        <v>24</v>
      </c>
      <c r="G33" s="43" t="s">
        <v>25</v>
      </c>
      <c r="H33" s="44" t="s">
        <v>173</v>
      </c>
      <c r="I33" s="45"/>
      <c r="J33" s="46" t="s">
        <v>174</v>
      </c>
      <c r="K33" s="47"/>
      <c r="L33" s="47" t="s">
        <v>175</v>
      </c>
      <c r="M33" s="48" t="str">
        <f ca="1">IFERROR(__xludf.DUMMYFUNCTION("googletranslate(L33,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33" s="58" t="s">
        <v>176</v>
      </c>
      <c r="O33" s="49" t="str">
        <f ca="1">IFERROR(__xludf.DUMMYFUNCTION("googletranslate(N33, ""fr"", ""nl"")"),"Geen redenen of kunstgrepen, deze polo ""Essential"" geel behoeften niets anders dan zijn sprankelende en heldere kleuren, weergegeven zonder complex. In een palet van neon tonen, deze collectie biedt de essentiële basis die je nodig hebt voor een succesv"&amp;"olle zomer looks.")</f>
        <v>Geen redenen of kunstgrepen, deze polo "Essential" geel behoeften niets anders dan zijn sprankelende en heldere kleuren, weergegeven zonder complex. In een palet van neon tonen, deze collectie biedt de essentiële basis die je nodig hebt voor een succesvolle zomer looks.</v>
      </c>
      <c r="P33" s="50" t="s">
        <v>105</v>
      </c>
      <c r="Q33" s="49" t="str">
        <f ca="1">IFERROR(__xludf.DUMMYFUNCTION("GOOGLETRANSLATE(P33, ""fr"", ""nl"")"),"geel")</f>
        <v>geel</v>
      </c>
      <c r="R33" s="63" t="s">
        <v>177</v>
      </c>
      <c r="S33" s="52" t="str">
        <f ca="1">IFERROR(__xludf.DUMMYFUNCTION("GOOGLETRANSLATE(R33, ""fr"", ""nl"")"),"35% katoen 65% polyester")</f>
        <v>35% katoen 65% polyester</v>
      </c>
      <c r="T33" s="53" t="s">
        <v>32</v>
      </c>
      <c r="U33" s="54" t="str">
        <f ca="1">IFERROR(__xludf.DUMMYFUNCTION("GOOGLETRANSLATE(T33, ""fr"", ""nl"")"),"Op 30 ° C max
Gebruik geen bleekmiddel
Gebruik geen van de droger
Strijken op gemiddelde temperatuur
Niet stomen")</f>
        <v>Op 30 ° C max
Gebruik geen bleekmiddel
Gebruik geen van de droger
Strijken op gemiddelde temperatuur
Niet stomen</v>
      </c>
      <c r="V33" s="62" t="s">
        <v>178</v>
      </c>
      <c r="W33" s="56"/>
    </row>
    <row r="34" spans="1:23" ht="15.75" customHeight="1">
      <c r="A34" s="57" t="s">
        <v>179</v>
      </c>
      <c r="B34" s="40">
        <v>24</v>
      </c>
      <c r="C34" s="41"/>
      <c r="D34" s="41"/>
      <c r="E34" s="42"/>
      <c r="F34" s="43" t="s">
        <v>24</v>
      </c>
      <c r="G34" s="43" t="s">
        <v>25</v>
      </c>
      <c r="H34" s="44" t="s">
        <v>180</v>
      </c>
      <c r="I34" s="45"/>
      <c r="J34" s="46" t="s">
        <v>181</v>
      </c>
      <c r="K34" s="47"/>
      <c r="L34" s="47" t="s">
        <v>182</v>
      </c>
      <c r="M34" s="48" t="str">
        <f ca="1">IFERROR(__xludf.DUMMYFUNCTION("googletranslate(L34,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34" s="58" t="s">
        <v>183</v>
      </c>
      <c r="O34" s="49" t="str">
        <f ca="1">IFERROR(__xludf.DUMMYFUNCTION("googletranslate(N34, ""fr"", ""nl"")"),"Geen redenen of kunstgrepen, deze polo ""Essential"" Blue heeft niets anders dan zijn sprankelende en heldere kleuren, weergegeven zonder complex. In een palet van neon tonen, deze collectie biedt de essentiële basis die je nodig hebt voor een succesvolle"&amp;" zomer looks.")</f>
        <v>Geen redenen of kunstgrepen, deze polo "Essential" Blue heeft niets anders dan zijn sprankelende en heldere kleuren, weergegeven zonder complex. In een palet van neon tonen, deze collectie biedt de essentiële basis die je nodig hebt voor een succesvolle zomer looks.</v>
      </c>
      <c r="P34" s="50" t="s">
        <v>30</v>
      </c>
      <c r="Q34" s="49" t="str">
        <f ca="1">IFERROR(__xludf.DUMMYFUNCTION("GOOGLETRANSLATE(P34, ""fr"", ""nl"")"),"blauw")</f>
        <v>blauw</v>
      </c>
      <c r="R34" s="63" t="s">
        <v>177</v>
      </c>
      <c r="S34" s="52" t="str">
        <f ca="1">IFERROR(__xludf.DUMMYFUNCTION("GOOGLETRANSLATE(R34, ""fr"", ""nl"")"),"35% katoen 65% polyester")</f>
        <v>35% katoen 65% polyester</v>
      </c>
      <c r="T34" s="53" t="s">
        <v>32</v>
      </c>
      <c r="U34" s="54" t="str">
        <f ca="1">IFERROR(__xludf.DUMMYFUNCTION("GOOGLETRANSLATE(T34, ""fr"", ""nl"")"),"Op 30 ° C max
Gebruik geen bleekmiddel
Gebruik geen van de droger
Strijken op gemiddelde temperatuur
Niet stomen")</f>
        <v>Op 30 ° C max
Gebruik geen bleekmiddel
Gebruik geen van de droger
Strijken op gemiddelde temperatuur
Niet stomen</v>
      </c>
      <c r="V34" s="62" t="s">
        <v>178</v>
      </c>
      <c r="W34" s="56"/>
    </row>
    <row r="35" spans="1:23" ht="15.75" customHeight="1">
      <c r="A35" s="57" t="s">
        <v>184</v>
      </c>
      <c r="B35" s="40">
        <v>24</v>
      </c>
      <c r="C35" s="41"/>
      <c r="D35" s="41"/>
      <c r="E35" s="42"/>
      <c r="F35" s="43" t="s">
        <v>24</v>
      </c>
      <c r="G35" s="43" t="s">
        <v>25</v>
      </c>
      <c r="H35" s="44" t="s">
        <v>185</v>
      </c>
      <c r="I35" s="45"/>
      <c r="J35" s="46" t="s">
        <v>186</v>
      </c>
      <c r="K35" s="47"/>
      <c r="L35" s="47" t="s">
        <v>187</v>
      </c>
      <c r="M35" s="48" t="str">
        <f ca="1">IFERROR(__xludf.DUMMYFUNCTION("googletranslate(L35,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35" s="58" t="s">
        <v>188</v>
      </c>
      <c r="O35" s="49" t="str">
        <f ca="1">IFERROR(__xludf.DUMMYFUNCTION("googletranslate(N35, ""fr"", ""nl"")"),"Geen redenen of kunstgrepen, deze polo ""Essential"" orange heeft niets anders dan zijn sprankelende en heldere kleuren, weergegeven zonder complex. In een palet van neon tonen, deze collectie biedt de essentiële basis die je nodig hebt voor een succesvol"&amp;"le zomer looks.")</f>
        <v>Geen redenen of kunstgrepen, deze polo "Essential" orange heeft niets anders dan zijn sprankelende en heldere kleuren, weergegeven zonder complex. In een palet van neon tonen, deze collectie biedt de essentiële basis die je nodig hebt voor een succesvolle zomer looks.</v>
      </c>
      <c r="P35" s="50" t="s">
        <v>49</v>
      </c>
      <c r="Q35" s="49" t="str">
        <f ca="1">IFERROR(__xludf.DUMMYFUNCTION("GOOGLETRANSLATE(P35, ""fr"", ""nl"")"),"oranje")</f>
        <v>oranje</v>
      </c>
      <c r="R35" s="63" t="s">
        <v>177</v>
      </c>
      <c r="S35" s="52" t="str">
        <f ca="1">IFERROR(__xludf.DUMMYFUNCTION("GOOGLETRANSLATE(R35, ""fr"", ""nl"")"),"35% katoen 65% polyester")</f>
        <v>35% katoen 65% polyester</v>
      </c>
      <c r="T35" s="53" t="s">
        <v>32</v>
      </c>
      <c r="U35" s="54" t="str">
        <f ca="1">IFERROR(__xludf.DUMMYFUNCTION("GOOGLETRANSLATE(T35, ""fr"", ""nl"")"),"Op 30 ° C max
Gebruik geen bleekmiddel
Gebruik geen van de droger
Strijken op gemiddelde temperatuur
Niet stomen")</f>
        <v>Op 30 ° C max
Gebruik geen bleekmiddel
Gebruik geen van de droger
Strijken op gemiddelde temperatuur
Niet stomen</v>
      </c>
      <c r="V35" s="62" t="s">
        <v>178</v>
      </c>
      <c r="W35" s="56"/>
    </row>
    <row r="36" spans="1:23" ht="15.75" customHeight="1">
      <c r="A36" s="57" t="s">
        <v>189</v>
      </c>
      <c r="B36" s="40">
        <v>24</v>
      </c>
      <c r="C36" s="41"/>
      <c r="D36" s="41"/>
      <c r="E36" s="42"/>
      <c r="F36" s="43" t="s">
        <v>24</v>
      </c>
      <c r="G36" s="43" t="s">
        <v>25</v>
      </c>
      <c r="H36" s="44" t="s">
        <v>190</v>
      </c>
      <c r="I36" s="45"/>
      <c r="J36" s="46" t="s">
        <v>191</v>
      </c>
      <c r="K36" s="47"/>
      <c r="L36" s="47" t="s">
        <v>192</v>
      </c>
      <c r="M36" s="48" t="str">
        <f ca="1">IFERROR(__xludf.DUMMYFUNCTION("googletranslate(L36,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36" s="58" t="s">
        <v>193</v>
      </c>
      <c r="O36" s="49" t="str">
        <f ca="1">IFERROR(__xludf.DUMMYFUNCTION("googletranslate(N36, ""fr"", ""nl"")"),"Geen redenen of kunstgrepen, deze polo ""Essential"" koraal behoeften niets anders dan zijn sprankelende en heldere kleuren, weergegeven zonder complex. In een palet van neon tonen, deze collectie biedt de essentiële basis die je nodig hebt voor een succe"&amp;"svolle zomer looks.")</f>
        <v>Geen redenen of kunstgrepen, deze polo "Essential" koraal behoeften niets anders dan zijn sprankelende en heldere kleuren, weergegeven zonder complex. In een palet van neon tonen, deze collectie biedt de essentiële basis die je nodig hebt voor een succesvolle zomer looks.</v>
      </c>
      <c r="P36" s="50" t="s">
        <v>194</v>
      </c>
      <c r="Q36" s="49" t="str">
        <f ca="1">IFERROR(__xludf.DUMMYFUNCTION("GOOGLETRANSLATE(P36, ""fr"", ""nl"")"),"koraal")</f>
        <v>koraal</v>
      </c>
      <c r="R36" s="63" t="s">
        <v>177</v>
      </c>
      <c r="S36" s="52" t="str">
        <f ca="1">IFERROR(__xludf.DUMMYFUNCTION("GOOGLETRANSLATE(R36, ""fr"", ""nl"")"),"35% katoen 65% polyester")</f>
        <v>35% katoen 65% polyester</v>
      </c>
      <c r="T36" s="53" t="s">
        <v>32</v>
      </c>
      <c r="U36" s="54" t="str">
        <f ca="1">IFERROR(__xludf.DUMMYFUNCTION("GOOGLETRANSLATE(T36, ""fr"", ""nl"")"),"Op 30 ° C max
Gebruik geen bleekmiddel
Gebruik geen van de droger
Strijken op gemiddelde temperatuur
Niet stomen")</f>
        <v>Op 30 ° C max
Gebruik geen bleekmiddel
Gebruik geen van de droger
Strijken op gemiddelde temperatuur
Niet stomen</v>
      </c>
      <c r="V36" s="62" t="s">
        <v>178</v>
      </c>
      <c r="W36" s="56"/>
    </row>
    <row r="37" spans="1:23" ht="15.75" customHeight="1">
      <c r="A37" s="57" t="s">
        <v>195</v>
      </c>
      <c r="B37" s="40">
        <v>24</v>
      </c>
      <c r="C37" s="41"/>
      <c r="D37" s="41"/>
      <c r="E37" s="42"/>
      <c r="F37" s="43" t="s">
        <v>24</v>
      </c>
      <c r="G37" s="43" t="s">
        <v>25</v>
      </c>
      <c r="H37" s="44" t="s">
        <v>196</v>
      </c>
      <c r="I37" s="45"/>
      <c r="J37" s="46" t="s">
        <v>197</v>
      </c>
      <c r="K37" s="47"/>
      <c r="L37" s="47" t="s">
        <v>198</v>
      </c>
      <c r="M37" s="48" t="str">
        <f ca="1">IFERROR(__xludf.DUMMYFUNCTION("googletranslate(L37,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37" s="58" t="s">
        <v>183</v>
      </c>
      <c r="O37" s="49" t="str">
        <f ca="1">IFERROR(__xludf.DUMMYFUNCTION("googletranslate(N37, ""fr"", ""nl"")"),"Geen redenen of kunstgrepen, deze polo ""Essential"" Blue heeft niets anders dan zijn sprankelende en heldere kleuren, weergegeven zonder complex. In een palet van neon tonen, deze collectie biedt de essentiële basis die je nodig hebt voor een succesvolle"&amp;" zomer looks.")</f>
        <v>Geen redenen of kunstgrepen, deze polo "Essential" Blue heeft niets anders dan zijn sprankelende en heldere kleuren, weergegeven zonder complex. In een palet van neon tonen, deze collectie biedt de essentiële basis die je nodig hebt voor een succesvolle zomer looks.</v>
      </c>
      <c r="P37" s="50" t="s">
        <v>30</v>
      </c>
      <c r="Q37" s="49" t="str">
        <f ca="1">IFERROR(__xludf.DUMMYFUNCTION("GOOGLETRANSLATE(P37, ""fr"", ""nl"")"),"blauw")</f>
        <v>blauw</v>
      </c>
      <c r="R37" s="63" t="s">
        <v>177</v>
      </c>
      <c r="S37" s="52" t="str">
        <f ca="1">IFERROR(__xludf.DUMMYFUNCTION("GOOGLETRANSLATE(R37, ""fr"", ""nl"")"),"35% katoen 65% polyester")</f>
        <v>35% katoen 65% polyester</v>
      </c>
      <c r="T37" s="53" t="s">
        <v>32</v>
      </c>
      <c r="U37" s="54" t="str">
        <f ca="1">IFERROR(__xludf.DUMMYFUNCTION("GOOGLETRANSLATE(T37, ""fr"", ""nl"")"),"Op 30 ° C max
Gebruik geen bleekmiddel
Gebruik geen van de droger
Strijken op gemiddelde temperatuur
Niet stomen")</f>
        <v>Op 30 ° C max
Gebruik geen bleekmiddel
Gebruik geen van de droger
Strijken op gemiddelde temperatuur
Niet stomen</v>
      </c>
      <c r="V37" s="62" t="s">
        <v>178</v>
      </c>
      <c r="W37" s="56"/>
    </row>
    <row r="38" spans="1:23" ht="15.75" customHeight="1">
      <c r="A38" s="21" t="s">
        <v>199</v>
      </c>
      <c r="B38" s="64"/>
      <c r="C38" s="65"/>
      <c r="D38" s="66"/>
      <c r="E38" s="67"/>
      <c r="F38" s="26"/>
      <c r="G38" s="26"/>
      <c r="H38" s="26"/>
      <c r="I38" s="26"/>
      <c r="J38" s="68"/>
      <c r="K38" s="69"/>
      <c r="L38" s="69"/>
      <c r="M38" s="48" t="str">
        <f ca="1">IFERROR(__xludf.DUMMYFUNCTION("googletranslate(L38, ""fr"", ""nl"")"),"#VALUE!")</f>
        <v>#VALUE!</v>
      </c>
      <c r="N38" s="70"/>
      <c r="O38" s="49" t="str">
        <f ca="1">IFERROR(__xludf.DUMMYFUNCTION("googletranslate(N38, ""fr"", ""nl"")"),"#VALUE!")</f>
        <v>#VALUE!</v>
      </c>
      <c r="P38" s="71"/>
      <c r="Q38" s="49" t="str">
        <f ca="1">IFERROR(__xludf.DUMMYFUNCTION("GOOGLETRANSLATE(P38, ""fr"", ""nl"")"),"#VALUE!")</f>
        <v>#VALUE!</v>
      </c>
      <c r="R38" s="72"/>
      <c r="S38" s="52" t="str">
        <f ca="1">IFERROR(__xludf.DUMMYFUNCTION("GOOGLETRANSLATE(R38, ""fr"", ""nl"")"),"#VALUE!")</f>
        <v>#VALUE!</v>
      </c>
      <c r="T38" s="73"/>
      <c r="U38" s="54" t="str">
        <f ca="1">IFERROR(__xludf.DUMMYFUNCTION("GOOGLETRANSLATE(T38, ""fr"", ""nl"")"),"#VALUE!")</f>
        <v>#VALUE!</v>
      </c>
      <c r="V38" s="74"/>
      <c r="W38" s="38"/>
    </row>
    <row r="39" spans="1:23" ht="15.75" customHeight="1">
      <c r="A39" s="39" t="s">
        <v>200</v>
      </c>
      <c r="B39" s="40">
        <v>16</v>
      </c>
      <c r="C39" s="41"/>
      <c r="D39" s="41"/>
      <c r="E39" s="42"/>
      <c r="F39" s="43" t="s">
        <v>24</v>
      </c>
      <c r="G39" s="43" t="s">
        <v>201</v>
      </c>
      <c r="H39" s="44" t="s">
        <v>26</v>
      </c>
      <c r="I39" s="45"/>
      <c r="J39" s="43" t="s">
        <v>202</v>
      </c>
      <c r="K39" s="75"/>
      <c r="L39" s="47" t="s">
        <v>203</v>
      </c>
      <c r="M39" s="48" t="str">
        <f ca="1">IFERROR(__xludf.DUMMYFUNCTION("googletranslate(L39, ""fr"", ""nl"")"),"
- Rechte snede
- Gedrukte patroon
- ronde kraag bordje langs de ronde hals
- geribbelde rand en modieus in de kraag
- hem and gestikte randen
- Korte mouwen
- Logo J &amp; JOY borst
")</f>
        <v xml:space="preserve">
- Rechte snede
- Gedrukte patroon
- ronde kraag bordje langs de ronde hals
- geribbelde rand en modieus in de kraag
- hem and gestikte randen
- Korte mouwen
- Logo J &amp; JOY borst
</v>
      </c>
      <c r="N39" s="48" t="s">
        <v>204</v>
      </c>
      <c r="O39" s="49" t="str">
        <f ca="1">IFERROR(__xludf.DUMMYFUNCTION("googletranslate(N39, ""fr"", ""nl"")"),"Met gestippelde motieven geïnspireerd door de Australische Aboriginal kunst, deze blauwe overhemd met rode details is ideaal voor deze zomer. Draag het met jeans of korte broek, het geeft je een stijl in een keer klassieke en origineel.")</f>
        <v>Met gestippelde motieven geïnspireerd door de Australische Aboriginal kunst, deze blauwe overhemd met rode details is ideaal voor deze zomer. Draag het met jeans of korte broek, het geeft je een stijl in een keer klassieke en origineel.</v>
      </c>
      <c r="P39" s="50" t="s">
        <v>30</v>
      </c>
      <c r="Q39" s="49" t="str">
        <f ca="1">IFERROR(__xludf.DUMMYFUNCTION("GOOGLETRANSLATE(P39, ""fr"", ""nl"")"),"blauw")</f>
        <v>blauw</v>
      </c>
      <c r="R39" s="51" t="s">
        <v>31</v>
      </c>
      <c r="S39" s="52" t="str">
        <f ca="1">IFERROR(__xludf.DUMMYFUNCTION("GOOGLETRANSLATE(R39, ""fr"", ""nl"")"),"100% katoen")</f>
        <v>100% katoen</v>
      </c>
      <c r="T39" s="53" t="s">
        <v>32</v>
      </c>
      <c r="U39" s="54" t="str">
        <f ca="1">IFERROR(__xludf.DUMMYFUNCTION("GOOGLETRANSLATE(T39, ""fr"", ""nl"")"),"Op 30 ° C max
Gebruik geen bleekmiddel
Gebruik geen van de droger
Strijken op gemiddelde temperatuur
Niet stomen")</f>
        <v>Op 30 ° C max
Gebruik geen bleekmiddel
Gebruik geen van de droger
Strijken op gemiddelde temperatuur
Niet stomen</v>
      </c>
      <c r="V39" s="62" t="s">
        <v>33</v>
      </c>
      <c r="W39" s="56"/>
    </row>
    <row r="40" spans="1:23" ht="15.75" customHeight="1">
      <c r="A40" s="57" t="s">
        <v>205</v>
      </c>
      <c r="B40" s="40">
        <v>16</v>
      </c>
      <c r="C40" s="41"/>
      <c r="D40" s="41"/>
      <c r="E40" s="42"/>
      <c r="F40" s="43" t="s">
        <v>24</v>
      </c>
      <c r="G40" s="43" t="s">
        <v>201</v>
      </c>
      <c r="H40" s="44" t="s">
        <v>206</v>
      </c>
      <c r="I40" s="45"/>
      <c r="J40" s="43" t="s">
        <v>207</v>
      </c>
      <c r="K40" s="75"/>
      <c r="L40" s="47" t="s">
        <v>208</v>
      </c>
      <c r="M40" s="48" t="str">
        <f ca="1">IFERROR(__xludf.DUMMYFUNCTION("googletranslate(L40, ""fr"", ""nl"")"),"
- Rechte snede
- Patroon gedrukt op het hart en in de rug
- Ronde hals vlakte ronde hals
- geribbelde rand en modieus in de kraag
- hem and gestikte randen
- Korte mouwen
- Logo J &amp; JOY sleeve")</f>
        <v xml:space="preserve">
- Rechte snede
- Patroon gedrukt op het hart en in de rug
- Ronde hals vlakte ronde hals
- geribbelde rand en modieus in de kraag
- hem and gestikte randen
- Korte mouwen
- Logo J &amp; JOY sleeve</v>
      </c>
      <c r="N40" s="58" t="s">
        <v>209</v>
      </c>
      <c r="O40" s="49" t="str">
        <f ca="1">IFERROR(__xludf.DUMMYFUNCTION("googletranslate(N40, ""fr"", ""nl"")"),"De kleur roze lila grootste trend van het moment en een illustratie in de rug die je meeneemt naar de Australische Outback: Dit overhemd was het allemaal goed!")</f>
        <v>De kleur roze lila grootste trend van het moment en een illustratie in de rug die je meeneemt naar de Australische Outback: Dit overhemd was het allemaal goed!</v>
      </c>
      <c r="P40" s="50" t="s">
        <v>61</v>
      </c>
      <c r="Q40" s="49" t="str">
        <f ca="1">IFERROR(__xludf.DUMMYFUNCTION("GOOGLETRANSLATE(P40, ""fr"", ""nl"")"),"roze")</f>
        <v>roze</v>
      </c>
      <c r="R40" s="59" t="s">
        <v>31</v>
      </c>
      <c r="S40" s="52" t="str">
        <f ca="1">IFERROR(__xludf.DUMMYFUNCTION("GOOGLETRANSLATE(R40, ""fr"", ""nl"")"),"100% katoen")</f>
        <v>100% katoen</v>
      </c>
      <c r="T40" s="53" t="s">
        <v>32</v>
      </c>
      <c r="U40" s="54" t="str">
        <f ca="1">IFERROR(__xludf.DUMMYFUNCTION("GOOGLETRANSLATE(T40, ""fr"", ""nl"")"),"Op 30 ° C max
Gebruik geen bleekmiddel
Gebruik geen van de droger
Strijken op gemiddelde temperatuur
Niet stomen")</f>
        <v>Op 30 ° C max
Gebruik geen bleekmiddel
Gebruik geen van de droger
Strijken op gemiddelde temperatuur
Niet stomen</v>
      </c>
      <c r="V40" s="62" t="s">
        <v>33</v>
      </c>
      <c r="W40" s="56"/>
    </row>
    <row r="41" spans="1:23" ht="15.75" customHeight="1">
      <c r="A41" s="57" t="s">
        <v>210</v>
      </c>
      <c r="B41" s="40">
        <v>16</v>
      </c>
      <c r="C41" s="41"/>
      <c r="D41" s="41"/>
      <c r="E41" s="42"/>
      <c r="F41" s="43" t="s">
        <v>24</v>
      </c>
      <c r="G41" s="43" t="s">
        <v>201</v>
      </c>
      <c r="H41" s="44" t="s">
        <v>211</v>
      </c>
      <c r="I41" s="45"/>
      <c r="J41" s="43" t="s">
        <v>212</v>
      </c>
      <c r="K41" s="75"/>
      <c r="L41" s="47" t="s">
        <v>213</v>
      </c>
      <c r="M41" s="48" t="str">
        <f ca="1">IFERROR(__xludf.DUMMYFUNCTION("googletranslate(L41, ""fr"", ""nl"")"),"
- Rechte snede
- Quadricolore
- Ronde hals vlakte ronde hals
- geribbelde rand en modieus in de kraag
- hem and gestikte randen
- Korte mouwen
- Logo J &amp; JOY sleeve
")</f>
        <v xml:space="preserve">
- Rechte snede
- Quadricolore
- Ronde hals vlakte ronde hals
- geribbelde rand en modieus in de kraag
- hem and gestikte randen
- Korte mouwen
- Logo J &amp; JOY sleeve
</v>
      </c>
      <c r="N41" s="76" t="s">
        <v>214</v>
      </c>
      <c r="O41" s="49" t="str">
        <f ca="1">IFERROR(__xludf.DUMMYFUNCTION("googletranslate(N41, ""fr"", ""nl"")"),"Een t-shirt origineel, kleurrijk en makkelijk mee te nemen zo veel in het voorjaar en de zomer. Met zijn strepen met kleuren en zijn kleine afbeelding van de Australische Outback, heb je de sterke element van je outfit gevonden.")</f>
        <v>Een t-shirt origineel, kleurrijk en makkelijk mee te nemen zo veel in het voorjaar en de zomer. Met zijn strepen met kleuren en zijn kleine afbeelding van de Australische Outback, heb je de sterke element van je outfit gevonden.</v>
      </c>
      <c r="P41" s="50" t="s">
        <v>155</v>
      </c>
      <c r="Q41" s="49" t="str">
        <f ca="1">IFERROR(__xludf.DUMMYFUNCTION("GOOGLETRANSLATE(P41, ""fr"", ""nl"")"),"veelkleurig")</f>
        <v>veelkleurig</v>
      </c>
      <c r="R41" s="59" t="s">
        <v>31</v>
      </c>
      <c r="S41" s="52" t="str">
        <f ca="1">IFERROR(__xludf.DUMMYFUNCTION("GOOGLETRANSLATE(R41, ""fr"", ""nl"")"),"100% katoen")</f>
        <v>100% katoen</v>
      </c>
      <c r="T41" s="53" t="s">
        <v>32</v>
      </c>
      <c r="U41" s="54" t="str">
        <f ca="1">IFERROR(__xludf.DUMMYFUNCTION("GOOGLETRANSLATE(T41, ""fr"", ""nl"")"),"Op 30 ° C max
Gebruik geen bleekmiddel
Gebruik geen van de droger
Strijken op gemiddelde temperatuur
Niet stomen")</f>
        <v>Op 30 ° C max
Gebruik geen bleekmiddel
Gebruik geen van de droger
Strijken op gemiddelde temperatuur
Niet stomen</v>
      </c>
      <c r="V41" s="62" t="s">
        <v>33</v>
      </c>
      <c r="W41" s="56"/>
    </row>
    <row r="42" spans="1:23" ht="15.75" customHeight="1">
      <c r="A42" s="57" t="s">
        <v>215</v>
      </c>
      <c r="B42" s="40">
        <v>18</v>
      </c>
      <c r="C42" s="41"/>
      <c r="D42" s="41"/>
      <c r="E42" s="42"/>
      <c r="F42" s="43" t="s">
        <v>24</v>
      </c>
      <c r="G42" s="43" t="s">
        <v>201</v>
      </c>
      <c r="H42" s="44" t="s">
        <v>216</v>
      </c>
      <c r="I42" s="45"/>
      <c r="J42" s="43" t="s">
        <v>217</v>
      </c>
      <c r="K42" s="75"/>
      <c r="L42" s="47" t="s">
        <v>218</v>
      </c>
      <c r="M42" s="48" t="str">
        <f ca="1">IFERROR(__xludf.DUMMYFUNCTION("googletranslate(L42, ""fr"", ""nl"")"),"
- Rechte snede
- Printed patroon horizontale
- ronde kraag bordje langs de ronde hals
- geribbelde rand en modieus in de kraag
- hem and gestikte randen
- Korte mouwen
- Borstzak
- Logo J &amp; JOY sleeve")</f>
        <v xml:space="preserve">
- Rechte snede
- Printed patroon horizontale
- ronde kraag bordje langs de ronde hals
- geribbelde rand en modieus in de kraag
- hem and gestikte randen
- Korte mouwen
- Borstzak
- Logo J &amp; JOY sleeve</v>
      </c>
      <c r="N42" s="76" t="s">
        <v>219</v>
      </c>
      <c r="O42" s="49" t="str">
        <f ca="1">IFERROR(__xludf.DUMMYFUNCTION("googletranslate(N42, ""fr"", ""nl"")"),"Binnen de lijnen en verschillende tinten beige, blauw en bruin: dit overhemd is ons hart beroerte.")</f>
        <v>Binnen de lijnen en verschillende tinten beige, blauw en bruin: dit overhemd is ons hart beroerte.</v>
      </c>
      <c r="P42" s="50" t="s">
        <v>100</v>
      </c>
      <c r="Q42" s="49" t="str">
        <f ca="1">IFERROR(__xludf.DUMMYFUNCTION("GOOGLETRANSLATE(P42, ""fr"", ""nl"")"),"Wit")</f>
        <v>Wit</v>
      </c>
      <c r="R42" s="77"/>
      <c r="S42" s="52" t="str">
        <f ca="1">IFERROR(__xludf.DUMMYFUNCTION("GOOGLETRANSLATE(R42, ""fr"", ""nl"")"),"#VALUE!")</f>
        <v>#VALUE!</v>
      </c>
      <c r="T42" s="53" t="s">
        <v>32</v>
      </c>
      <c r="U42" s="54" t="str">
        <f ca="1">IFERROR(__xludf.DUMMYFUNCTION("GOOGLETRANSLATE(T42, ""fr"", ""nl"")"),"Op 30 ° C max
Gebruik geen bleekmiddel
Gebruik geen van de droger
Strijken op gemiddelde temperatuur
Niet stomen")</f>
        <v>Op 30 ° C max
Gebruik geen bleekmiddel
Gebruik geen van de droger
Strijken op gemiddelde temperatuur
Niet stomen</v>
      </c>
      <c r="V42" s="62" t="s">
        <v>33</v>
      </c>
      <c r="W42" s="56"/>
    </row>
    <row r="43" spans="1:23" ht="15.75" customHeight="1">
      <c r="A43" s="57" t="s">
        <v>220</v>
      </c>
      <c r="B43" s="40">
        <v>16</v>
      </c>
      <c r="C43" s="41"/>
      <c r="D43" s="41"/>
      <c r="E43" s="42"/>
      <c r="F43" s="43" t="s">
        <v>24</v>
      </c>
      <c r="G43" s="43" t="s">
        <v>201</v>
      </c>
      <c r="H43" s="44" t="s">
        <v>221</v>
      </c>
      <c r="I43" s="45"/>
      <c r="J43" s="43" t="s">
        <v>222</v>
      </c>
      <c r="K43" s="75"/>
      <c r="L43" s="47" t="s">
        <v>223</v>
      </c>
      <c r="M43" s="48" t="str">
        <f ca="1">IFERROR(__xludf.DUMMYFUNCTION("googletranslate(L43, ""fr"", ""nl"")"),"
- Rechte snede
- Gedrukte patroon
- Ronde hals vlakte ronde hals
- geribbelde rand en modieus in de kraag
- hem and gestikte randen
- Korte mouwen
- getextureerde patroon op de rug
- Logo J &amp; JOY sleeve")</f>
        <v xml:space="preserve">
- Rechte snede
- Gedrukte patroon
- Ronde hals vlakte ronde hals
- geribbelde rand en modieus in de kraag
- hem and gestikte randen
- Korte mouwen
- getextureerde patroon op de rug
- Logo J &amp; JOY sleeve</v>
      </c>
      <c r="N43" s="76" t="s">
        <v>224</v>
      </c>
      <c r="O43" s="49" t="str">
        <f ca="1">IFERROR(__xludf.DUMMYFUNCTION("googletranslate(N43, ""fr"", ""nl"")"),"Het is niet een mooie rode t-shirt is een hulde aan de ""pointillisme"", deze specifieke aboriginal voorouderlijke kunst in Australië. We houden van de gestippelde patroon, roodgloeiend en de vele details van dit overhemd die oplicht uw garderobe!")</f>
        <v>Het is niet een mooie rode t-shirt is een hulde aan de "pointillisme", deze specifieke aboriginal voorouderlijke kunst in Australië. We houden van de gestippelde patroon, roodgloeiend en de vele details van dit overhemd die oplicht uw garderobe!</v>
      </c>
      <c r="P43" s="50" t="s">
        <v>56</v>
      </c>
      <c r="Q43" s="49" t="str">
        <f ca="1">IFERROR(__xludf.DUMMYFUNCTION("GOOGLETRANSLATE(P43, ""fr"", ""nl"")"),"rood")</f>
        <v>rood</v>
      </c>
      <c r="R43" s="77"/>
      <c r="S43" s="52" t="str">
        <f ca="1">IFERROR(__xludf.DUMMYFUNCTION("GOOGLETRANSLATE(R43, ""fr"", ""nl"")"),"#VALUE!")</f>
        <v>#VALUE!</v>
      </c>
      <c r="T43" s="53" t="s">
        <v>32</v>
      </c>
      <c r="U43" s="54" t="str">
        <f ca="1">IFERROR(__xludf.DUMMYFUNCTION("GOOGLETRANSLATE(T43, ""fr"", ""nl"")"),"Op 30 ° C max
Gebruik geen bleekmiddel
Gebruik geen van de droger
Strijken op gemiddelde temperatuur
Niet stomen")</f>
        <v>Op 30 ° C max
Gebruik geen bleekmiddel
Gebruik geen van de droger
Strijken op gemiddelde temperatuur
Niet stomen</v>
      </c>
      <c r="V43" s="62" t="s">
        <v>33</v>
      </c>
      <c r="W43" s="56"/>
    </row>
    <row r="44" spans="1:23" ht="15.75" customHeight="1">
      <c r="A44" s="57" t="s">
        <v>225</v>
      </c>
      <c r="B44" s="40">
        <v>16</v>
      </c>
      <c r="C44" s="41"/>
      <c r="D44" s="41"/>
      <c r="E44" s="42"/>
      <c r="F44" s="43" t="s">
        <v>24</v>
      </c>
      <c r="G44" s="43" t="s">
        <v>201</v>
      </c>
      <c r="H44" s="44" t="s">
        <v>74</v>
      </c>
      <c r="I44" s="45"/>
      <c r="J44" s="43" t="s">
        <v>226</v>
      </c>
      <c r="K44" s="75"/>
      <c r="L44" s="47" t="s">
        <v>227</v>
      </c>
      <c r="M44" s="48" t="str">
        <f ca="1">IFERROR(__xludf.DUMMYFUNCTION("googletranslate(L44, ""fr"", ""nl"")"),"
- Rechte snede
- Gedrukte patroon
- Ronde hals vlakte ronde hals
- geribbelde rand en modieus in de kraag
- hem and gestikte randen
- Korte mouwen
- J &amp; JOY geborduurd logo op de borst
")</f>
        <v xml:space="preserve">
- Rechte snede
- Gedrukte patroon
- Ronde hals vlakte ronde hals
- geribbelde rand en modieus in de kraag
- hem and gestikte randen
- Korte mouwen
- J &amp; JOY geborduurd logo op de borst
</v>
      </c>
      <c r="N44" s="76" t="s">
        <v>228</v>
      </c>
      <c r="O44" s="49" t="str">
        <f ca="1">IFERROR(__xludf.DUMMYFUNCTION("googletranslate(N44, ""fr"", ""nl"")"),"Steenkunst? jungle motief? Een mix van dit alles!
Dit overhemd heeft geen gebrek aan originaliteit, en het vergroten van uw outfits deze zomer!")</f>
        <v>Steenkunst? jungle motief? Een mix van dit alles!
Dit overhemd heeft geen gebrek aan originaliteit, en het vergroten van uw outfits deze zomer!</v>
      </c>
      <c r="P44" s="50" t="s">
        <v>30</v>
      </c>
      <c r="Q44" s="49" t="str">
        <f ca="1">IFERROR(__xludf.DUMMYFUNCTION("GOOGLETRANSLATE(P44, ""fr"", ""nl"")"),"blauw")</f>
        <v>blauw</v>
      </c>
      <c r="R44" s="51" t="s">
        <v>31</v>
      </c>
      <c r="S44" s="52" t="str">
        <f ca="1">IFERROR(__xludf.DUMMYFUNCTION("GOOGLETRANSLATE(R44, ""fr"", ""nl"")"),"100% katoen")</f>
        <v>100% katoen</v>
      </c>
      <c r="T44" s="53" t="s">
        <v>32</v>
      </c>
      <c r="U44" s="54" t="str">
        <f ca="1">IFERROR(__xludf.DUMMYFUNCTION("GOOGLETRANSLATE(T44, ""fr"", ""nl"")"),"Op 30 ° C max
Gebruik geen bleekmiddel
Gebruik geen van de droger
Strijken op gemiddelde temperatuur
Niet stomen")</f>
        <v>Op 30 ° C max
Gebruik geen bleekmiddel
Gebruik geen van de droger
Strijken op gemiddelde temperatuur
Niet stomen</v>
      </c>
      <c r="V44" s="62" t="s">
        <v>33</v>
      </c>
      <c r="W44" s="56"/>
    </row>
    <row r="45" spans="1:23" ht="15.75" customHeight="1">
      <c r="A45" s="57" t="s">
        <v>229</v>
      </c>
      <c r="B45" s="40">
        <v>16</v>
      </c>
      <c r="C45" s="41"/>
      <c r="D45" s="41"/>
      <c r="E45" s="42"/>
      <c r="F45" s="43" t="s">
        <v>24</v>
      </c>
      <c r="G45" s="43" t="s">
        <v>201</v>
      </c>
      <c r="H45" s="44" t="s">
        <v>230</v>
      </c>
      <c r="I45" s="45"/>
      <c r="J45" s="43" t="s">
        <v>231</v>
      </c>
      <c r="K45" s="75"/>
      <c r="L45" s="47" t="s">
        <v>232</v>
      </c>
      <c r="M45" s="48" t="str">
        <f ca="1">IFERROR(__xludf.DUMMYFUNCTION("googletranslate(L45, ""fr"", ""nl"")"),"
- Rechte snede
- Gedrukte patroon boemerang
- ronde kraag bordje langs de ronde hals
- geribbelde rand en modieus in de kraag
- hem and gestikte randen
- Korte mouwen
- Logo J &amp; JOY borst
")</f>
        <v xml:space="preserve">
- Rechte snede
- Gedrukte patroon boemerang
- ronde kraag bordje langs de ronde hals
- geribbelde rand en modieus in de kraag
- hem and gestikte randen
- Korte mouwen
- Logo J &amp; JOY borst
</v>
      </c>
      <c r="N45" s="76" t="s">
        <v>233</v>
      </c>
      <c r="O45" s="49" t="str">
        <f ca="1">IFERROR(__xludf.DUMMYFUNCTION("googletranslate(N45, ""fr"", ""nl"")"),"De boemerang is een van de grote symbolen van Australië. Oorspronkelijk gebruikt door Aboriginals om te jagen of graven, dit object is nu een populaire decoratief element en een sport speelde rond de wereld.
Het toont vandaag op deze witte t-shirt gevoerd"&amp;", mooi en een beetje eigenzinnig.")</f>
        <v>De boemerang is een van de grote symbolen van Australië. Oorspronkelijk gebruikt door Aboriginals om te jagen of graven, dit object is nu een populaire decoratief element en een sport speelde rond de wereld.
Het toont vandaag op deze witte t-shirt gevoerd, mooi en een beetje eigenzinnig.</v>
      </c>
      <c r="P45" s="50" t="s">
        <v>234</v>
      </c>
      <c r="Q45" s="49" t="str">
        <f ca="1">IFERROR(__xludf.DUMMYFUNCTION("GOOGLETRANSLATE(P45, ""fr"", ""nl"")"),"Grijs")</f>
        <v>Grijs</v>
      </c>
      <c r="R45" s="78" t="s">
        <v>235</v>
      </c>
      <c r="S45" s="52" t="str">
        <f ca="1">IFERROR(__xludf.DUMMYFUNCTION("GOOGLETRANSLATE(R45, ""fr"", ""nl"")"),"98% cotton 2% polyester")</f>
        <v>98% cotton 2% polyester</v>
      </c>
      <c r="T45" s="53" t="s">
        <v>32</v>
      </c>
      <c r="U45" s="54" t="str">
        <f ca="1">IFERROR(__xludf.DUMMYFUNCTION("GOOGLETRANSLATE(T45, ""fr"", ""nl"")"),"Op 30 ° C max
Gebruik geen bleekmiddel
Gebruik geen van de droger
Strijken op gemiddelde temperatuur
Niet stomen")</f>
        <v>Op 30 ° C max
Gebruik geen bleekmiddel
Gebruik geen van de droger
Strijken op gemiddelde temperatuur
Niet stomen</v>
      </c>
      <c r="V45" s="62" t="s">
        <v>33</v>
      </c>
      <c r="W45" s="56"/>
    </row>
    <row r="46" spans="1:23" ht="15.75" customHeight="1">
      <c r="A46" s="57" t="s">
        <v>236</v>
      </c>
      <c r="B46" s="40">
        <v>16</v>
      </c>
      <c r="C46" s="41"/>
      <c r="D46" s="41"/>
      <c r="E46" s="42"/>
      <c r="F46" s="43" t="s">
        <v>24</v>
      </c>
      <c r="G46" s="43" t="s">
        <v>201</v>
      </c>
      <c r="H46" s="44" t="s">
        <v>79</v>
      </c>
      <c r="I46" s="45"/>
      <c r="J46" s="43" t="s">
        <v>237</v>
      </c>
      <c r="K46" s="75"/>
      <c r="L46" s="47" t="s">
        <v>238</v>
      </c>
      <c r="M46" s="48" t="str">
        <f ca="1">IFERROR(__xludf.DUMMYFUNCTION("googletranslate(L46, ""fr"", ""nl"")"),"
- Rechte snede
- Patroon gedrukt op de rug
- Ronde hals vlakte ronde hals
- geribbelde rand en modieus in de kraag
- hem and gestikte randen
- Korte mouwen
- J &amp; JOY geborduurd logo op de borst
")</f>
        <v xml:space="preserve">
- Rechte snede
- Patroon gedrukt op de rug
- Ronde hals vlakte ronde hals
- geribbelde rand en modieus in de kraag
- hem and gestikte randen
- Korte mouwen
- J &amp; JOY geborduurd logo op de borst
</v>
      </c>
      <c r="N46" s="76" t="s">
        <v>239</v>
      </c>
      <c r="O46" s="49" t="str">
        <f ca="1">IFERROR(__xludf.DUMMYFUNCTION("googletranslate(N46, ""fr"", ""nl"")"),"Een blauw pastel overhemd met trillende tonen van roos, stack kost het je deze zomer!")</f>
        <v>Een blauw pastel overhemd met trillende tonen van roos, stack kost het je deze zomer!</v>
      </c>
      <c r="P46" s="50" t="s">
        <v>30</v>
      </c>
      <c r="Q46" s="49" t="str">
        <f ca="1">IFERROR(__xludf.DUMMYFUNCTION("GOOGLETRANSLATE(P46, ""fr"", ""nl"")"),"blauw")</f>
        <v>blauw</v>
      </c>
      <c r="R46" s="59" t="s">
        <v>31</v>
      </c>
      <c r="S46" s="52" t="str">
        <f ca="1">IFERROR(__xludf.DUMMYFUNCTION("GOOGLETRANSLATE(R46, ""fr"", ""nl"")"),"100% katoen")</f>
        <v>100% katoen</v>
      </c>
      <c r="T46" s="53" t="s">
        <v>32</v>
      </c>
      <c r="U46" s="54" t="str">
        <f ca="1">IFERROR(__xludf.DUMMYFUNCTION("GOOGLETRANSLATE(T46, ""fr"", ""nl"")"),"Op 30 ° C max
Gebruik geen bleekmiddel
Gebruik geen van de droger
Strijken op gemiddelde temperatuur
Niet stomen")</f>
        <v>Op 30 ° C max
Gebruik geen bleekmiddel
Gebruik geen van de droger
Strijken op gemiddelde temperatuur
Niet stomen</v>
      </c>
      <c r="V46" s="62" t="s">
        <v>83</v>
      </c>
      <c r="W46" s="56"/>
    </row>
    <row r="47" spans="1:23" ht="15.75" customHeight="1">
      <c r="A47" s="57" t="s">
        <v>240</v>
      </c>
      <c r="B47" s="40">
        <v>16</v>
      </c>
      <c r="C47" s="41"/>
      <c r="D47" s="41"/>
      <c r="E47" s="42"/>
      <c r="F47" s="43" t="s">
        <v>24</v>
      </c>
      <c r="G47" s="43" t="s">
        <v>201</v>
      </c>
      <c r="H47" s="44" t="s">
        <v>241</v>
      </c>
      <c r="I47" s="45"/>
      <c r="J47" s="43" t="s">
        <v>242</v>
      </c>
      <c r="K47" s="75"/>
      <c r="L47" s="47" t="s">
        <v>243</v>
      </c>
      <c r="M47" s="48" t="str">
        <f ca="1">IFERROR(__xludf.DUMMYFUNCTION("googletranslate(L47, ""fr"", ""nl"")"),"
- Rechte snede
- Patroon gedrukt op de rug
- Ronde hals vlakte ronde hals
- geribbelde rand en modieus in de kraag
- hem and gestikte randen
- Korte mouwen
- Logo J &amp; JOY borst
")</f>
        <v xml:space="preserve">
- Rechte snede
- Patroon gedrukt op de rug
- Ronde hals vlakte ronde hals
- geribbelde rand en modieus in de kraag
- hem and gestikte randen
- Korte mouwen
- Logo J &amp; JOY borst
</v>
      </c>
      <c r="N47" s="76" t="s">
        <v>244</v>
      </c>
      <c r="O47" s="49" t="str">
        <f ca="1">IFERROR(__xludf.DUMMYFUNCTION("googletranslate(N47, ""fr"", ""nl"")"),"Kan niet mis gaan weg: met dit overhemd, we gaan naar het strand om te surfen!
kleuren pop en een leuke patroon in de rug twistent deze donkere blauw shirt voor een resultaat dat u zal verbazen.")</f>
        <v>Kan niet mis gaan weg: met dit overhemd, we gaan naar het strand om te surfen!
kleuren pop en een leuke patroon in de rug twistent deze donkere blauw shirt voor een resultaat dat u zal verbazen.</v>
      </c>
      <c r="P47" s="50" t="s">
        <v>30</v>
      </c>
      <c r="Q47" s="49" t="str">
        <f ca="1">IFERROR(__xludf.DUMMYFUNCTION("GOOGLETRANSLATE(P47, ""fr"", ""nl"")"),"blauw")</f>
        <v>blauw</v>
      </c>
      <c r="R47" s="59" t="s">
        <v>31</v>
      </c>
      <c r="S47" s="52" t="str">
        <f ca="1">IFERROR(__xludf.DUMMYFUNCTION("GOOGLETRANSLATE(R47, ""fr"", ""nl"")"),"100% katoen")</f>
        <v>100% katoen</v>
      </c>
      <c r="T47" s="53" t="s">
        <v>32</v>
      </c>
      <c r="U47" s="54" t="str">
        <f ca="1">IFERROR(__xludf.DUMMYFUNCTION("GOOGLETRANSLATE(T47, ""fr"", ""nl"")"),"Op 30 ° C max
Gebruik geen bleekmiddel
Gebruik geen van de droger
Strijken op gemiddelde temperatuur
Niet stomen")</f>
        <v>Op 30 ° C max
Gebruik geen bleekmiddel
Gebruik geen van de droger
Strijken op gemiddelde temperatuur
Niet stomen</v>
      </c>
      <c r="V47" s="62" t="s">
        <v>83</v>
      </c>
      <c r="W47" s="56"/>
    </row>
    <row r="48" spans="1:23" ht="15.75" customHeight="1">
      <c r="A48" s="57" t="s">
        <v>245</v>
      </c>
      <c r="B48" s="40">
        <v>16</v>
      </c>
      <c r="C48" s="41"/>
      <c r="D48" s="41"/>
      <c r="E48" s="42"/>
      <c r="F48" s="43" t="s">
        <v>24</v>
      </c>
      <c r="G48" s="43" t="s">
        <v>201</v>
      </c>
      <c r="H48" s="44" t="s">
        <v>246</v>
      </c>
      <c r="I48" s="45"/>
      <c r="J48" s="43" t="s">
        <v>247</v>
      </c>
      <c r="K48" s="75"/>
      <c r="L48" s="47" t="s">
        <v>248</v>
      </c>
      <c r="M48" s="48" t="str">
        <f ca="1">IFERROR(__xludf.DUMMYFUNCTION("googletranslate(L48, ""fr"", ""nl"")"),"
- Rechte snede
- Gedrukte patroon
- Ronde hals vlakte ronde hals
- geribbelde rand en modieus in de kraag
- hem and gestikte randen
- Korte mouwen
- Logo J &amp; JOY borst
")</f>
        <v xml:space="preserve">
- Rechte snede
- Gedrukte patroon
- Ronde hals vlakte ronde hals
- geribbelde rand en modieus in de kraag
- hem and gestikte randen
- Korte mouwen
- Logo J &amp; JOY borst
</v>
      </c>
      <c r="N48" s="58" t="s">
        <v>249</v>
      </c>
      <c r="O48" s="49" t="str">
        <f ca="1">IFERROR(__xludf.DUMMYFUNCTION("googletranslate(N48, ""fr"", ""nl"")"),"Dit is de perfecte t-shirt Australische surfer!")</f>
        <v>Dit is de perfecte t-shirt Australische surfer!</v>
      </c>
      <c r="P48" s="50" t="s">
        <v>61</v>
      </c>
      <c r="Q48" s="49" t="str">
        <f ca="1">IFERROR(__xludf.DUMMYFUNCTION("GOOGLETRANSLATE(P48, ""fr"", ""nl"")"),"roze")</f>
        <v>roze</v>
      </c>
      <c r="R48" s="61" t="s">
        <v>31</v>
      </c>
      <c r="S48" s="52" t="str">
        <f ca="1">IFERROR(__xludf.DUMMYFUNCTION("GOOGLETRANSLATE(R48, ""fr"", ""nl"")"),"100% katoen")</f>
        <v>100% katoen</v>
      </c>
      <c r="T48" s="53" t="s">
        <v>32</v>
      </c>
      <c r="U48" s="54" t="str">
        <f ca="1">IFERROR(__xludf.DUMMYFUNCTION("GOOGLETRANSLATE(T48, ""fr"", ""nl"")"),"Op 30 ° C max
Gebruik geen bleekmiddel
Gebruik geen van de droger
Strijken op gemiddelde temperatuur
Niet stomen")</f>
        <v>Op 30 ° C max
Gebruik geen bleekmiddel
Gebruik geen van de droger
Strijken op gemiddelde temperatuur
Niet stomen</v>
      </c>
      <c r="V48" s="62" t="s">
        <v>83</v>
      </c>
      <c r="W48" s="56"/>
    </row>
    <row r="49" spans="1:23" ht="15.75" customHeight="1">
      <c r="A49" s="57" t="s">
        <v>250</v>
      </c>
      <c r="B49" s="40">
        <v>16</v>
      </c>
      <c r="C49" s="41"/>
      <c r="D49" s="41"/>
      <c r="E49" s="42"/>
      <c r="F49" s="43" t="s">
        <v>24</v>
      </c>
      <c r="G49" s="43" t="s">
        <v>201</v>
      </c>
      <c r="H49" s="44" t="s">
        <v>89</v>
      </c>
      <c r="I49" s="45"/>
      <c r="J49" s="43" t="s">
        <v>251</v>
      </c>
      <c r="K49" s="75"/>
      <c r="L49" s="47" t="s">
        <v>252</v>
      </c>
      <c r="M49" s="48" t="str">
        <f ca="1">IFERROR(__xludf.DUMMYFUNCTION("googletranslate(L49, ""fr"", ""nl"")"),"
- Rechte snede
- Gedrukte patroon
- ronde kraag bordje langs de ronde hals
- geribbelde rand en modieus in de kraag
- hem and gestikte randen
- Korte mouwen
- Logo J &amp; JOY borst
")</f>
        <v xml:space="preserve">
- Rechte snede
- Gedrukte patroon
- ronde kraag bordje langs de ronde hals
- geribbelde rand en modieus in de kraag
- hem and gestikte randen
- Korte mouwen
- Logo J &amp; JOY borst
</v>
      </c>
      <c r="N49" s="58" t="s">
        <v>253</v>
      </c>
      <c r="O49" s="49" t="str">
        <f ca="1">IFERROR(__xludf.DUMMYFUNCTION("googletranslate(N49, ""fr"", ""nl"")"),"Dit overhemd is onze hartaanval! Roze en blauwe lijnen, een kleine illustratie van de stranden van Byron Bay en een ronde hals die contrasten de rest met zijn pastel roze: alles wat er!")</f>
        <v>Dit overhemd is onze hartaanval! Roze en blauwe lijnen, een kleine illustratie van de stranden van Byron Bay en een ronde hals die contrasten de rest met zijn pastel roze: alles wat er!</v>
      </c>
      <c r="P49" s="50" t="s">
        <v>100</v>
      </c>
      <c r="Q49" s="49" t="str">
        <f ca="1">IFERROR(__xludf.DUMMYFUNCTION("GOOGLETRANSLATE(P49, ""fr"", ""nl"")"),"Wit")</f>
        <v>Wit</v>
      </c>
      <c r="R49" s="77"/>
      <c r="S49" s="52" t="str">
        <f ca="1">IFERROR(__xludf.DUMMYFUNCTION("GOOGLETRANSLATE(R49, ""fr"", ""nl"")"),"#VALUE!")</f>
        <v>#VALUE!</v>
      </c>
      <c r="T49" s="53" t="s">
        <v>32</v>
      </c>
      <c r="U49" s="54" t="str">
        <f ca="1">IFERROR(__xludf.DUMMYFUNCTION("GOOGLETRANSLATE(T49, ""fr"", ""nl"")"),"Op 30 ° C max
Gebruik geen bleekmiddel
Gebruik geen van de droger
Strijken op gemiddelde temperatuur
Niet stomen")</f>
        <v>Op 30 ° C max
Gebruik geen bleekmiddel
Gebruik geen van de droger
Strijken op gemiddelde temperatuur
Niet stomen</v>
      </c>
      <c r="V49" s="62" t="s">
        <v>83</v>
      </c>
      <c r="W49" s="56"/>
    </row>
    <row r="50" spans="1:23" ht="15.75" customHeight="1">
      <c r="A50" s="57" t="s">
        <v>254</v>
      </c>
      <c r="B50" s="40">
        <v>16</v>
      </c>
      <c r="C50" s="41"/>
      <c r="D50" s="41"/>
      <c r="E50" s="42"/>
      <c r="F50" s="43" t="s">
        <v>24</v>
      </c>
      <c r="G50" s="43" t="s">
        <v>201</v>
      </c>
      <c r="H50" s="44" t="s">
        <v>255</v>
      </c>
      <c r="I50" s="45"/>
      <c r="J50" s="43" t="s">
        <v>256</v>
      </c>
      <c r="K50" s="75"/>
      <c r="L50" s="47" t="s">
        <v>257</v>
      </c>
      <c r="M50" s="48" t="str">
        <f ca="1">IFERROR(__xludf.DUMMYFUNCTION("googletranslate(L50, ""fr"", ""nl"")"),"
- Rechte snede
- Gedrukte patroon hamburger
- Ronde hals vlakte ronde hals
- geribbelde rand en modieus in de kraag
- hem and gestikte randen
- Korte mouwen
- Logo J &amp; JOY borst
")</f>
        <v xml:space="preserve">
- Rechte snede
- Gedrukte patroon hamburger
- Ronde hals vlakte ronde hals
- geribbelde rand en modieus in de kraag
- hem and gestikte randen
- Korte mouwen
- Logo J &amp; JOY borst
</v>
      </c>
      <c r="N50" s="76" t="s">
        <v>258</v>
      </c>
      <c r="O50" s="49" t="str">
        <f ca="1">IFERROR(__xludf.DUMMYFUNCTION("googletranslate(N50, ""fr"", ""nl"")"),"Dit shirt met kleurrijke tekeningen gaat met alles, verhoogt je outfit en staat garant voor een leuke uitstraling en een beetje eigenzinnig.")</f>
        <v>Dit shirt met kleurrijke tekeningen gaat met alles, verhoogt je outfit en staat garant voor een leuke uitstraling en een beetje eigenzinnig.</v>
      </c>
      <c r="P50" s="50" t="s">
        <v>30</v>
      </c>
      <c r="Q50" s="49" t="str">
        <f ca="1">IFERROR(__xludf.DUMMYFUNCTION("GOOGLETRANSLATE(P50, ""fr"", ""nl"")"),"blauw")</f>
        <v>blauw</v>
      </c>
      <c r="R50" s="79" t="s">
        <v>31</v>
      </c>
      <c r="S50" s="52" t="str">
        <f ca="1">IFERROR(__xludf.DUMMYFUNCTION("GOOGLETRANSLATE(R50, ""fr"", ""nl"")"),"100% katoen")</f>
        <v>100% katoen</v>
      </c>
      <c r="T50" s="53" t="s">
        <v>32</v>
      </c>
      <c r="U50" s="54" t="str">
        <f ca="1">IFERROR(__xludf.DUMMYFUNCTION("GOOGLETRANSLATE(T50, ""fr"", ""nl"")"),"Op 30 ° C max
Gebruik geen bleekmiddel
Gebruik geen van de droger
Strijken op gemiddelde temperatuur
Niet stomen")</f>
        <v>Op 30 ° C max
Gebruik geen bleekmiddel
Gebruik geen van de droger
Strijken op gemiddelde temperatuur
Niet stomen</v>
      </c>
      <c r="V50" s="62" t="s">
        <v>83</v>
      </c>
      <c r="W50" s="56"/>
    </row>
    <row r="51" spans="1:23" ht="15.75" customHeight="1">
      <c r="A51" s="57" t="s">
        <v>259</v>
      </c>
      <c r="B51" s="40">
        <v>14</v>
      </c>
      <c r="C51" s="41"/>
      <c r="D51" s="41"/>
      <c r="E51" s="42"/>
      <c r="F51" s="43" t="s">
        <v>24</v>
      </c>
      <c r="G51" s="43" t="s">
        <v>201</v>
      </c>
      <c r="H51" s="44" t="s">
        <v>260</v>
      </c>
      <c r="I51" s="45"/>
      <c r="J51" s="43" t="s">
        <v>261</v>
      </c>
      <c r="K51" s="75"/>
      <c r="L51" s="47" t="s">
        <v>262</v>
      </c>
      <c r="M51" s="48" t="str">
        <f ca="1">IFERROR(__xludf.DUMMYFUNCTION("googletranslate(L51,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51" s="58" t="s">
        <v>263</v>
      </c>
      <c r="O51" s="49" t="str">
        <f ca="1">IFERROR(__xludf.DUMMYFUNCTION("googletranslate(N51, ""fr"", ""nl"")"),"Deze witte t-shirt die je rechtstreeks op de Australische strand met zijn kunstwerk op de voorzijde. Wij houden van !")</f>
        <v>Deze witte t-shirt die je rechtstreeks op de Australische strand met zijn kunstwerk op de voorzijde. Wij houden van !</v>
      </c>
      <c r="P51" s="50" t="s">
        <v>100</v>
      </c>
      <c r="Q51" s="49" t="str">
        <f ca="1">IFERROR(__xludf.DUMMYFUNCTION("GOOGLETRANSLATE(P51, ""fr"", ""nl"")"),"Wit")</f>
        <v>Wit</v>
      </c>
      <c r="R51" s="59" t="s">
        <v>31</v>
      </c>
      <c r="S51" s="52" t="str">
        <f ca="1">IFERROR(__xludf.DUMMYFUNCTION("GOOGLETRANSLATE(R51, ""fr"", ""nl"")"),"100% katoen")</f>
        <v>100% katoen</v>
      </c>
      <c r="T51" s="53" t="s">
        <v>32</v>
      </c>
      <c r="U51" s="54" t="str">
        <f ca="1">IFERROR(__xludf.DUMMYFUNCTION("GOOGLETRANSLATE(T51, ""fr"", ""nl"")"),"Op 30 ° C max
Gebruik geen bleekmiddel
Gebruik geen van de droger
Strijken op gemiddelde temperatuur
Niet stomen")</f>
        <v>Op 30 ° C max
Gebruik geen bleekmiddel
Gebruik geen van de droger
Strijken op gemiddelde temperatuur
Niet stomen</v>
      </c>
      <c r="V51" s="62" t="s">
        <v>83</v>
      </c>
      <c r="W51" s="56"/>
    </row>
    <row r="52" spans="1:23" ht="15.75" customHeight="1">
      <c r="A52" s="57" t="s">
        <v>264</v>
      </c>
      <c r="B52" s="40">
        <v>14</v>
      </c>
      <c r="C52" s="41"/>
      <c r="D52" s="41"/>
      <c r="E52" s="42"/>
      <c r="F52" s="43" t="s">
        <v>24</v>
      </c>
      <c r="G52" s="43" t="s">
        <v>201</v>
      </c>
      <c r="H52" s="44" t="s">
        <v>265</v>
      </c>
      <c r="I52" s="45"/>
      <c r="J52" s="43" t="s">
        <v>266</v>
      </c>
      <c r="K52" s="75"/>
      <c r="L52" s="47" t="s">
        <v>262</v>
      </c>
      <c r="M52" s="48" t="str">
        <f ca="1">IFERROR(__xludf.DUMMYFUNCTION("googletranslate(L52,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52" s="76" t="s">
        <v>267</v>
      </c>
      <c r="O52" s="49" t="str">
        <f ca="1">IFERROR(__xludf.DUMMYFUNCTION("googletranslate(N52, ""fr"", ""nl"")"),"Welkom bij Bondi Beach! Op deze Australisch strand, neem de zon, we surfen, en bovenal ... we genieten!")</f>
        <v>Welkom bij Bondi Beach! Op deze Australisch strand, neem de zon, we surfen, en bovenal ... we genieten!</v>
      </c>
      <c r="P52" s="50" t="s">
        <v>105</v>
      </c>
      <c r="Q52" s="49" t="str">
        <f ca="1">IFERROR(__xludf.DUMMYFUNCTION("GOOGLETRANSLATE(P52, ""fr"", ""nl"")"),"geel")</f>
        <v>geel</v>
      </c>
      <c r="R52" s="59" t="s">
        <v>31</v>
      </c>
      <c r="S52" s="52" t="str">
        <f ca="1">IFERROR(__xludf.DUMMYFUNCTION("GOOGLETRANSLATE(R52, ""fr"", ""nl"")"),"100% katoen")</f>
        <v>100% katoen</v>
      </c>
      <c r="T52" s="53" t="s">
        <v>32</v>
      </c>
      <c r="U52" s="54" t="str">
        <f ca="1">IFERROR(__xludf.DUMMYFUNCTION("GOOGLETRANSLATE(T52, ""fr"", ""nl"")"),"Op 30 ° C max
Gebruik geen bleekmiddel
Gebruik geen van de droger
Strijken op gemiddelde temperatuur
Niet stomen")</f>
        <v>Op 30 ° C max
Gebruik geen bleekmiddel
Gebruik geen van de droger
Strijken op gemiddelde temperatuur
Niet stomen</v>
      </c>
      <c r="V52" s="62" t="s">
        <v>83</v>
      </c>
      <c r="W52" s="56"/>
    </row>
    <row r="53" spans="1:23" ht="15.75" customHeight="1">
      <c r="A53" s="57" t="s">
        <v>268</v>
      </c>
      <c r="B53" s="40">
        <v>16</v>
      </c>
      <c r="C53" s="41"/>
      <c r="D53" s="41"/>
      <c r="E53" s="42"/>
      <c r="F53" s="43" t="s">
        <v>24</v>
      </c>
      <c r="G53" s="43" t="s">
        <v>201</v>
      </c>
      <c r="H53" s="44" t="s">
        <v>269</v>
      </c>
      <c r="I53" s="45"/>
      <c r="J53" s="43" t="s">
        <v>270</v>
      </c>
      <c r="K53" s="75"/>
      <c r="L53" s="47" t="s">
        <v>271</v>
      </c>
      <c r="M53" s="48" t="str">
        <f ca="1">IFERROR(__xludf.DUMMYFUNCTION("googletranslate(L53, ""fr"", ""nl"")"),"
- Rechte snede
- Gradient blauw naar wit
- Ronde hals vlakte ronde hals
- geribbelde rand en modieus in de kraag
- hem and gestikte randen
- Korte mouwen
- Logo J &amp; JOY borst
")</f>
        <v xml:space="preserve">
- Rechte snede
- Gradient blauw naar wit
- Ronde hals vlakte ronde hals
- geribbelde rand en modieus in de kraag
- hem and gestikte randen
- Korte mouwen
- Logo J &amp; JOY borst
</v>
      </c>
      <c r="N53" s="58" t="s">
        <v>272</v>
      </c>
      <c r="O53" s="49" t="str">
        <f ca="1">IFERROR(__xludf.DUMMYFUNCTION("googletranslate(N53, ""fr"", ""nl"")"),"Een gradiënt van blauw, van diep tot lichtere, en een kleine patroon dat de Australische stranden vertegenwoordigt: het is direct aan de trend van het moment met dit overhemd zowel veelzijdig en beslist af te koelen!")</f>
        <v>Een gradiënt van blauw, van diep tot lichtere, en een kleine patroon dat de Australische stranden vertegenwoordigt: het is direct aan de trend van het moment met dit overhemd zowel veelzijdig en beslist af te koelen!</v>
      </c>
      <c r="P53" s="50" t="s">
        <v>30</v>
      </c>
      <c r="Q53" s="49" t="str">
        <f ca="1">IFERROR(__xludf.DUMMYFUNCTION("GOOGLETRANSLATE(P53, ""fr"", ""nl"")"),"blauw")</f>
        <v>blauw</v>
      </c>
      <c r="R53" s="59" t="s">
        <v>31</v>
      </c>
      <c r="S53" s="52" t="str">
        <f ca="1">IFERROR(__xludf.DUMMYFUNCTION("GOOGLETRANSLATE(R53, ""fr"", ""nl"")"),"100% katoen")</f>
        <v>100% katoen</v>
      </c>
      <c r="T53" s="53" t="s">
        <v>32</v>
      </c>
      <c r="U53" s="54" t="str">
        <f ca="1">IFERROR(__xludf.DUMMYFUNCTION("GOOGLETRANSLATE(T53, ""fr"", ""nl"")"),"Op 30 ° C max
Gebruik geen bleekmiddel
Gebruik geen van de droger
Strijken op gemiddelde temperatuur
Niet stomen")</f>
        <v>Op 30 ° C max
Gebruik geen bleekmiddel
Gebruik geen van de droger
Strijken op gemiddelde temperatuur
Niet stomen</v>
      </c>
      <c r="V53" s="62" t="s">
        <v>83</v>
      </c>
      <c r="W53" s="56"/>
    </row>
    <row r="54" spans="1:23" ht="15.75" customHeight="1">
      <c r="A54" s="57" t="s">
        <v>273</v>
      </c>
      <c r="B54" s="40">
        <v>16</v>
      </c>
      <c r="C54" s="41"/>
      <c r="D54" s="41"/>
      <c r="E54" s="42"/>
      <c r="F54" s="43" t="s">
        <v>24</v>
      </c>
      <c r="G54" s="43" t="s">
        <v>201</v>
      </c>
      <c r="H54" s="44" t="s">
        <v>274</v>
      </c>
      <c r="I54" s="45"/>
      <c r="J54" s="43" t="s">
        <v>275</v>
      </c>
      <c r="K54" s="75"/>
      <c r="L54" s="47" t="s">
        <v>276</v>
      </c>
      <c r="M54" s="48" t="str">
        <f ca="1">IFERROR(__xludf.DUMMYFUNCTION("googletranslate(L54, ""fr"", ""nl"")"),"
- Rechte snede
- Gedrukte patroon
- ronde kraag bordje langs de ronde hals
- geribbelde rand en modieus in de kraag
- hem and gestikte randen
- Korte mouwen
- Logo J &amp; JOY sleeve
")</f>
        <v xml:space="preserve">
- Rechte snede
- Gedrukte patroon
- ronde kraag bordje langs de ronde hals
- geribbelde rand en modieus in de kraag
- hem and gestikte randen
- Korte mouwen
- Logo J &amp; JOY sleeve
</v>
      </c>
      <c r="N54" s="58" t="s">
        <v>277</v>
      </c>
      <c r="O54" s="49" t="str">
        <f ca="1">IFERROR(__xludf.DUMMYFUNCTION("googletranslate(N54, ""fr"", ""nl"")"),"Een patroon ""jungle"", schaduwen van groen op een deep blue: welkom in het regenwoud in Australië!
Dit overhemd zal iedereen die een geest van avontuur verrukken!")</f>
        <v>Een patroon "jungle", schaduwen van groen op een deep blue: welkom in het regenwoud in Australië!
Dit overhemd zal iedereen die een geest van avontuur verrukken!</v>
      </c>
      <c r="P54" s="50" t="s">
        <v>278</v>
      </c>
      <c r="Q54" s="49" t="str">
        <f ca="1">IFERROR(__xludf.DUMMYFUNCTION("GOOGLETRANSLATE(P54, ""fr"", ""nl"")"),"blu")</f>
        <v>blu</v>
      </c>
      <c r="R54" s="59" t="s">
        <v>31</v>
      </c>
      <c r="S54" s="52" t="str">
        <f ca="1">IFERROR(__xludf.DUMMYFUNCTION("GOOGLETRANSLATE(R54, ""fr"", ""nl"")"),"100% katoen")</f>
        <v>100% katoen</v>
      </c>
      <c r="T54" s="53" t="s">
        <v>32</v>
      </c>
      <c r="U54" s="54" t="str">
        <f ca="1">IFERROR(__xludf.DUMMYFUNCTION("GOOGLETRANSLATE(T54, ""fr"", ""nl"")"),"Op 30 ° C max
Gebruik geen bleekmiddel
Gebruik geen van de droger
Strijken op gemiddelde temperatuur
Niet stomen")</f>
        <v>Op 30 ° C max
Gebruik geen bleekmiddel
Gebruik geen van de droger
Strijken op gemiddelde temperatuur
Niet stomen</v>
      </c>
      <c r="V54" s="62" t="s">
        <v>111</v>
      </c>
      <c r="W54" s="56"/>
    </row>
    <row r="55" spans="1:23" ht="15.75" customHeight="1">
      <c r="A55" s="57" t="s">
        <v>279</v>
      </c>
      <c r="B55" s="40">
        <v>14</v>
      </c>
      <c r="C55" s="41"/>
      <c r="D55" s="41"/>
      <c r="E55" s="42"/>
      <c r="F55" s="43" t="s">
        <v>24</v>
      </c>
      <c r="G55" s="43" t="s">
        <v>201</v>
      </c>
      <c r="H55" s="44" t="s">
        <v>280</v>
      </c>
      <c r="I55" s="45"/>
      <c r="J55" s="43" t="s">
        <v>281</v>
      </c>
      <c r="K55" s="75"/>
      <c r="L55" s="47" t="s">
        <v>262</v>
      </c>
      <c r="M55" s="48" t="str">
        <f ca="1">IFERROR(__xludf.DUMMYFUNCTION("googletranslate(L55,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55" s="76" t="s">
        <v>282</v>
      </c>
      <c r="O55" s="49" t="str">
        <f ca="1">IFERROR(__xludf.DUMMYFUNCTION("googletranslate(N55, ""fr"", ""nl"")"),"Dit overhemd lime geel verfrist de zomeravonden! En met zijn kunstwerk dat het regenwoud oproept, bieden wij een beetje ontsnappen!")</f>
        <v>Dit overhemd lime geel verfrist de zomeravonden! En met zijn kunstwerk dat het regenwoud oproept, bieden wij een beetje ontsnappen!</v>
      </c>
      <c r="P55" s="50" t="s">
        <v>105</v>
      </c>
      <c r="Q55" s="49" t="str">
        <f ca="1">IFERROR(__xludf.DUMMYFUNCTION("GOOGLETRANSLATE(P55, ""fr"", ""nl"")"),"geel")</f>
        <v>geel</v>
      </c>
      <c r="R55" s="80" t="s">
        <v>283</v>
      </c>
      <c r="S55" s="52" t="str">
        <f ca="1">IFERROR(__xludf.DUMMYFUNCTION("GOOGLETRANSLATE(R55, ""fr"", ""nl"")"),"65% katoen 35% polyester")</f>
        <v>65% katoen 35% polyester</v>
      </c>
      <c r="T55" s="53" t="s">
        <v>32</v>
      </c>
      <c r="U55" s="54" t="str">
        <f ca="1">IFERROR(__xludf.DUMMYFUNCTION("GOOGLETRANSLATE(T55, ""fr"", ""nl"")"),"Op 30 ° C max
Gebruik geen bleekmiddel
Gebruik geen van de droger
Strijken op gemiddelde temperatuur
Niet stomen")</f>
        <v>Op 30 ° C max
Gebruik geen bleekmiddel
Gebruik geen van de droger
Strijken op gemiddelde temperatuur
Niet stomen</v>
      </c>
      <c r="V55" s="62" t="s">
        <v>111</v>
      </c>
      <c r="W55" s="56"/>
    </row>
    <row r="56" spans="1:23" ht="15.75" customHeight="1">
      <c r="A56" s="57" t="s">
        <v>284</v>
      </c>
      <c r="B56" s="40">
        <v>16</v>
      </c>
      <c r="C56" s="41"/>
      <c r="D56" s="41"/>
      <c r="E56" s="42"/>
      <c r="F56" s="43" t="s">
        <v>24</v>
      </c>
      <c r="G56" s="43" t="s">
        <v>201</v>
      </c>
      <c r="H56" s="44" t="s">
        <v>285</v>
      </c>
      <c r="I56" s="45"/>
      <c r="J56" s="43" t="s">
        <v>286</v>
      </c>
      <c r="K56" s="75"/>
      <c r="L56" s="47" t="s">
        <v>287</v>
      </c>
      <c r="M56" s="48" t="str">
        <f ca="1">IFERROR(__xludf.DUMMYFUNCTION("googletranslate(L56,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56" s="58" t="s">
        <v>288</v>
      </c>
      <c r="O56" s="49" t="str">
        <f ca="1">IFERROR(__xludf.DUMMYFUNCTION("googletranslate(N56, ""fr"", ""nl"")"),"Een donker blauwe T-shirt geïllustreerd met een Australisch strand in geel lime tinten: verfrist onze zomer en we bieden een stuk ontsnappen!")</f>
        <v>Een donker blauwe T-shirt geïllustreerd met een Australisch strand in geel lime tinten: verfrist onze zomer en we bieden een stuk ontsnappen!</v>
      </c>
      <c r="P56" s="50" t="s">
        <v>30</v>
      </c>
      <c r="Q56" s="49" t="str">
        <f ca="1">IFERROR(__xludf.DUMMYFUNCTION("GOOGLETRANSLATE(P56, ""fr"", ""nl"")"),"blauw")</f>
        <v>blauw</v>
      </c>
      <c r="R56" s="59" t="s">
        <v>31</v>
      </c>
      <c r="S56" s="52" t="str">
        <f ca="1">IFERROR(__xludf.DUMMYFUNCTION("GOOGLETRANSLATE(R56, ""fr"", ""nl"")"),"100% katoen")</f>
        <v>100% katoen</v>
      </c>
      <c r="T56" s="53" t="s">
        <v>32</v>
      </c>
      <c r="U56" s="54" t="str">
        <f ca="1">IFERROR(__xludf.DUMMYFUNCTION("GOOGLETRANSLATE(T56, ""fr"", ""nl"")"),"Op 30 ° C max
Gebruik geen bleekmiddel
Gebruik geen van de droger
Strijken op gemiddelde temperatuur
Niet stomen")</f>
        <v>Op 30 ° C max
Gebruik geen bleekmiddel
Gebruik geen van de droger
Strijken op gemiddelde temperatuur
Niet stomen</v>
      </c>
      <c r="V56" s="62" t="s">
        <v>111</v>
      </c>
      <c r="W56" s="56"/>
    </row>
    <row r="57" spans="1:23" ht="15.75" customHeight="1">
      <c r="A57" s="57" t="s">
        <v>289</v>
      </c>
      <c r="B57" s="40">
        <v>16</v>
      </c>
      <c r="C57" s="41"/>
      <c r="D57" s="41"/>
      <c r="E57" s="42"/>
      <c r="F57" s="43" t="s">
        <v>24</v>
      </c>
      <c r="G57" s="43" t="s">
        <v>201</v>
      </c>
      <c r="H57" s="44" t="s">
        <v>290</v>
      </c>
      <c r="I57" s="45"/>
      <c r="J57" s="43" t="s">
        <v>291</v>
      </c>
      <c r="K57" s="75"/>
      <c r="L57" s="47" t="s">
        <v>292</v>
      </c>
      <c r="M57" s="48" t="str">
        <f ca="1">IFERROR(__xludf.DUMMYFUNCTION("googletranslate(L57, ""fr"", ""nl"")"),"
- Rechte snede
- Plant Printed patroon
- Ronde hals vlakte ronde hals
- geribbelde rand en modieus in de kraag
- hem and gestikte randen
- Korte mouwen
- Logo J &amp; JOY borst
")</f>
        <v xml:space="preserve">
- Rechte snede
- Plant Printed patroon
- Ronde hals vlakte ronde hals
- geribbelde rand en modieus in de kraag
- hem and gestikte randen
- Korte mouwen
- Logo J &amp; JOY borst
</v>
      </c>
      <c r="N57" s="58" t="s">
        <v>293</v>
      </c>
      <c r="O57" s="49" t="str">
        <f ca="1">IFERROR(__xludf.DUMMYFUNCTION("googletranslate(N57, ""fr"", ""nl"")"),"Een gedrukte ""bladeren"" op een groene achtergrond: welkom op de jungle! Geïnspireerd door de Australische regenwoud, volgt u shirt in de hitte van deze zomer!")</f>
        <v>Een gedrukte "bladeren" op een groene achtergrond: welkom op de jungle! Geïnspireerd door de Australische regenwoud, volgt u shirt in de hitte van deze zomer!</v>
      </c>
      <c r="P57" s="50" t="s">
        <v>116</v>
      </c>
      <c r="Q57" s="49" t="str">
        <f ca="1">IFERROR(__xludf.DUMMYFUNCTION("GOOGLETRANSLATE(P57, ""fr"", ""nl"")"),"groen")</f>
        <v>groen</v>
      </c>
      <c r="R57" s="59" t="s">
        <v>31</v>
      </c>
      <c r="S57" s="52" t="str">
        <f ca="1">IFERROR(__xludf.DUMMYFUNCTION("GOOGLETRANSLATE(R57, ""fr"", ""nl"")"),"100% katoen")</f>
        <v>100% katoen</v>
      </c>
      <c r="T57" s="53" t="s">
        <v>32</v>
      </c>
      <c r="U57" s="54" t="str">
        <f ca="1">IFERROR(__xludf.DUMMYFUNCTION("GOOGLETRANSLATE(T57, ""fr"", ""nl"")"),"Op 30 ° C max
Gebruik geen bleekmiddel
Gebruik geen van de droger
Strijken op gemiddelde temperatuur
Niet stomen")</f>
        <v>Op 30 ° C max
Gebruik geen bleekmiddel
Gebruik geen van de droger
Strijken op gemiddelde temperatuur
Niet stomen</v>
      </c>
      <c r="V57" s="62" t="s">
        <v>111</v>
      </c>
      <c r="W57" s="56"/>
    </row>
    <row r="58" spans="1:23" ht="15.75" customHeight="1">
      <c r="A58" s="57" t="s">
        <v>294</v>
      </c>
      <c r="B58" s="40">
        <v>16</v>
      </c>
      <c r="C58" s="41"/>
      <c r="D58" s="41"/>
      <c r="E58" s="42"/>
      <c r="F58" s="43" t="s">
        <v>24</v>
      </c>
      <c r="G58" s="43" t="s">
        <v>201</v>
      </c>
      <c r="H58" s="44" t="s">
        <v>295</v>
      </c>
      <c r="I58" s="45"/>
      <c r="J58" s="43" t="s">
        <v>296</v>
      </c>
      <c r="K58" s="75"/>
      <c r="L58" s="47" t="s">
        <v>287</v>
      </c>
      <c r="M58" s="48" t="str">
        <f ca="1">IFERROR(__xludf.DUMMYFUNCTION("googletranslate(L58,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58" s="81" t="s">
        <v>297</v>
      </c>
      <c r="O58" s="49" t="str">
        <f ca="1">IFERROR(__xludf.DUMMYFUNCTION("googletranslate(N58, ""fr"", ""nl"")"),"Beach, schildpadden en kokospalmen ... Een perfect overhemd om te controleren of de oorspronkelijke deze zomer looks te maken!")</f>
        <v>Beach, schildpadden en kokospalmen ... Een perfect overhemd om te controleren of de oorspronkelijke deze zomer looks te maken!</v>
      </c>
      <c r="P58" s="50" t="s">
        <v>100</v>
      </c>
      <c r="Q58" s="49" t="str">
        <f ca="1">IFERROR(__xludf.DUMMYFUNCTION("GOOGLETRANSLATE(P58, ""fr"", ""nl"")"),"Wit")</f>
        <v>Wit</v>
      </c>
      <c r="R58" s="59" t="s">
        <v>31</v>
      </c>
      <c r="S58" s="52" t="str">
        <f ca="1">IFERROR(__xludf.DUMMYFUNCTION("GOOGLETRANSLATE(R58, ""fr"", ""nl"")"),"100% katoen")</f>
        <v>100% katoen</v>
      </c>
      <c r="T58" s="53" t="s">
        <v>32</v>
      </c>
      <c r="U58" s="54" t="str">
        <f ca="1">IFERROR(__xludf.DUMMYFUNCTION("GOOGLETRANSLATE(T58, ""fr"", ""nl"")"),"Op 30 ° C max
Gebruik geen bleekmiddel
Gebruik geen van de droger
Strijken op gemiddelde temperatuur
Niet stomen")</f>
        <v>Op 30 ° C max
Gebruik geen bleekmiddel
Gebruik geen van de droger
Strijken op gemiddelde temperatuur
Niet stomen</v>
      </c>
      <c r="V58" s="62" t="s">
        <v>111</v>
      </c>
      <c r="W58" s="56"/>
    </row>
    <row r="59" spans="1:23" ht="15.75" customHeight="1">
      <c r="A59" s="57" t="s">
        <v>298</v>
      </c>
      <c r="B59" s="40">
        <v>16</v>
      </c>
      <c r="C59" s="41"/>
      <c r="D59" s="41"/>
      <c r="E59" s="42"/>
      <c r="F59" s="43" t="s">
        <v>24</v>
      </c>
      <c r="G59" s="43" t="s">
        <v>201</v>
      </c>
      <c r="H59" s="44" t="s">
        <v>299</v>
      </c>
      <c r="I59" s="45"/>
      <c r="J59" s="43" t="s">
        <v>300</v>
      </c>
      <c r="K59" s="75"/>
      <c r="L59" s="47" t="s">
        <v>301</v>
      </c>
      <c r="M59" s="48" t="str">
        <f ca="1">IFERROR(__xludf.DUMMYFUNCTION("googletranslate(L59, ""fr"", ""nl"")"),"
- Rechte snede
- Patroon gedrukt op de rug
- Ronde hals vlakte ronde hals
- geribbelde rand en modieus in de kraag
- hem and gestikte randen
- Korte mouwen
- Logo J &amp; JOY borst
")</f>
        <v xml:space="preserve">
- Rechte snede
- Patroon gedrukt op de rug
- Ronde hals vlakte ronde hals
- geribbelde rand en modieus in de kraag
- hem and gestikte randen
- Korte mouwen
- Logo J &amp; JOY borst
</v>
      </c>
      <c r="N59" s="58" t="s">
        <v>302</v>
      </c>
      <c r="O59" s="49" t="str">
        <f ca="1">IFERROR(__xludf.DUMMYFUNCTION("googletranslate(N59, ""fr"", ""nl"")"),"Deze groene intense raiser je garderobe en gele toetsen spice outfit. Geïnspireerd door het regenwoud, is dit overhemd sensatie.")</f>
        <v>Deze groene intense raiser je garderobe en gele toetsen spice outfit. Geïnspireerd door het regenwoud, is dit overhemd sensatie.</v>
      </c>
      <c r="P59" s="50" t="s">
        <v>116</v>
      </c>
      <c r="Q59" s="49" t="str">
        <f ca="1">IFERROR(__xludf.DUMMYFUNCTION("GOOGLETRANSLATE(P59, ""fr"", ""nl"")"),"groen")</f>
        <v>groen</v>
      </c>
      <c r="R59" s="59" t="s">
        <v>31</v>
      </c>
      <c r="S59" s="52" t="str">
        <f ca="1">IFERROR(__xludf.DUMMYFUNCTION("GOOGLETRANSLATE(R59, ""fr"", ""nl"")"),"100% katoen")</f>
        <v>100% katoen</v>
      </c>
      <c r="T59" s="53" t="s">
        <v>32</v>
      </c>
      <c r="U59" s="54" t="str">
        <f ca="1">IFERROR(__xludf.DUMMYFUNCTION("GOOGLETRANSLATE(T59, ""fr"", ""nl"")"),"Op 30 ° C max
Gebruik geen bleekmiddel
Gebruik geen van de droger
Strijken op gemiddelde temperatuur
Niet stomen")</f>
        <v>Op 30 ° C max
Gebruik geen bleekmiddel
Gebruik geen van de droger
Strijken op gemiddelde temperatuur
Niet stomen</v>
      </c>
      <c r="V59" s="62" t="s">
        <v>111</v>
      </c>
      <c r="W59" s="56"/>
    </row>
    <row r="60" spans="1:23" ht="15.75" customHeight="1">
      <c r="A60" s="57" t="s">
        <v>303</v>
      </c>
      <c r="B60" s="40">
        <v>16</v>
      </c>
      <c r="C60" s="41"/>
      <c r="D60" s="41"/>
      <c r="E60" s="42"/>
      <c r="F60" s="43" t="s">
        <v>24</v>
      </c>
      <c r="G60" s="43" t="s">
        <v>201</v>
      </c>
      <c r="H60" s="44" t="s">
        <v>304</v>
      </c>
      <c r="I60" s="45"/>
      <c r="J60" s="43" t="s">
        <v>305</v>
      </c>
      <c r="K60" s="75"/>
      <c r="L60" s="47" t="s">
        <v>306</v>
      </c>
      <c r="M60" s="48" t="str">
        <f ca="1">IFERROR(__xludf.DUMMYFUNCTION("googletranslate(L60,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60" s="76" t="s">
        <v>307</v>
      </c>
      <c r="O60" s="49" t="str">
        <f ca="1">IFERROR(__xludf.DUMMYFUNCTION("googletranslate(N60, ""fr"", ""nl"")"),"Welkom bij Cape Tribulation, een bijzondere plek waar men een rauwe natuur en kleurrijke kunt ontdekken.
Deze blauw / groen gemengd met zeer moderne oranje fut sleutels, het is de perfecte combinatie voor een t-shirt dat onderscheidt u zich!")</f>
        <v>Welkom bij Cape Tribulation, een bijzondere plek waar men een rauwe natuur en kleurrijke kunt ontdekken.
Deze blauw / groen gemengd met zeer moderne oranje fut sleutels, het is de perfecte combinatie voor een t-shirt dat onderscheidt u zich!</v>
      </c>
      <c r="P60" s="50" t="s">
        <v>30</v>
      </c>
      <c r="Q60" s="49" t="str">
        <f ca="1">IFERROR(__xludf.DUMMYFUNCTION("GOOGLETRANSLATE(P60, ""fr"", ""nl"")"),"blauw")</f>
        <v>blauw</v>
      </c>
      <c r="R60" s="59" t="s">
        <v>31</v>
      </c>
      <c r="S60" s="52" t="str">
        <f ca="1">IFERROR(__xludf.DUMMYFUNCTION("GOOGLETRANSLATE(R60, ""fr"", ""nl"")"),"100% katoen")</f>
        <v>100% katoen</v>
      </c>
      <c r="T60" s="53" t="s">
        <v>32</v>
      </c>
      <c r="U60" s="54" t="str">
        <f ca="1">IFERROR(__xludf.DUMMYFUNCTION("GOOGLETRANSLATE(T60, ""fr"", ""nl"")"),"Op 30 ° C max
Gebruik geen bleekmiddel
Gebruik geen van de droger
Strijken op gemiddelde temperatuur
Niet stomen")</f>
        <v>Op 30 ° C max
Gebruik geen bleekmiddel
Gebruik geen van de droger
Strijken op gemiddelde temperatuur
Niet stomen</v>
      </c>
      <c r="V60" s="62" t="s">
        <v>145</v>
      </c>
      <c r="W60" s="56"/>
    </row>
    <row r="61" spans="1:23" ht="15.75" customHeight="1">
      <c r="A61" s="57" t="s">
        <v>308</v>
      </c>
      <c r="B61" s="40">
        <v>14</v>
      </c>
      <c r="C61" s="41"/>
      <c r="D61" s="41"/>
      <c r="E61" s="42"/>
      <c r="F61" s="43" t="s">
        <v>24</v>
      </c>
      <c r="G61" s="43" t="s">
        <v>201</v>
      </c>
      <c r="H61" s="44" t="s">
        <v>141</v>
      </c>
      <c r="I61" s="45"/>
      <c r="J61" s="43" t="s">
        <v>309</v>
      </c>
      <c r="K61" s="75"/>
      <c r="L61" s="47" t="s">
        <v>306</v>
      </c>
      <c r="M61" s="48" t="str">
        <f ca="1">IFERROR(__xludf.DUMMYFUNCTION("googletranslate(L61,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61" s="81" t="s">
        <v>310</v>
      </c>
      <c r="O61" s="49" t="str">
        <f ca="1">IFERROR(__xludf.DUMMYFUNCTION("googletranslate(N61, ""fr"", ""nl"")"),"Een mangrove Queensland regenwoud is geïnstalleerd op deze heldere oranje achtergrond. Resultaat: een verrassende overhemd!")</f>
        <v>Een mangrove Queensland regenwoud is geïnstalleerd op deze heldere oranje achtergrond. Resultaat: een verrassende overhemd!</v>
      </c>
      <c r="P61" s="50" t="s">
        <v>49</v>
      </c>
      <c r="Q61" s="49" t="str">
        <f ca="1">IFERROR(__xludf.DUMMYFUNCTION("GOOGLETRANSLATE(P61, ""fr"", ""nl"")"),"oranje")</f>
        <v>oranje</v>
      </c>
      <c r="R61" s="61" t="s">
        <v>31</v>
      </c>
      <c r="S61" s="52" t="str">
        <f ca="1">IFERROR(__xludf.DUMMYFUNCTION("GOOGLETRANSLATE(R61, ""fr"", ""nl"")"),"100% katoen")</f>
        <v>100% katoen</v>
      </c>
      <c r="T61" s="53" t="s">
        <v>32</v>
      </c>
      <c r="U61" s="54" t="str">
        <f ca="1">IFERROR(__xludf.DUMMYFUNCTION("GOOGLETRANSLATE(T61, ""fr"", ""nl"")"),"Op 30 ° C max
Gebruik geen bleekmiddel
Gebruik geen van de droger
Strijken op gemiddelde temperatuur
Niet stomen")</f>
        <v>Op 30 ° C max
Gebruik geen bleekmiddel
Gebruik geen van de droger
Strijken op gemiddelde temperatuur
Niet stomen</v>
      </c>
      <c r="V61" s="62" t="s">
        <v>145</v>
      </c>
      <c r="W61" s="56"/>
    </row>
    <row r="62" spans="1:23" ht="15.75" customHeight="1">
      <c r="A62" s="57" t="s">
        <v>311</v>
      </c>
      <c r="B62" s="40">
        <v>16</v>
      </c>
      <c r="C62" s="41"/>
      <c r="D62" s="41"/>
      <c r="E62" s="42"/>
      <c r="F62" s="43" t="s">
        <v>24</v>
      </c>
      <c r="G62" s="43" t="s">
        <v>201</v>
      </c>
      <c r="H62" s="44" t="s">
        <v>312</v>
      </c>
      <c r="I62" s="45"/>
      <c r="J62" s="43" t="s">
        <v>313</v>
      </c>
      <c r="K62" s="75"/>
      <c r="L62" s="47" t="s">
        <v>306</v>
      </c>
      <c r="M62" s="48" t="str">
        <f ca="1">IFERROR(__xludf.DUMMYFUNCTION("googletranslate(L62,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62" s="58" t="s">
        <v>314</v>
      </c>
      <c r="O62" s="49" t="str">
        <f ca="1">IFERROR(__xludf.DUMMYFUNCTION("googletranslate(N62, ""fr"", ""nl"")"),"Het laat ruimte voor onze smaak voor avontuur met dit overhemd! Zijn gedrukte neemt ons mee door de Australische regenwoud. Een overhemd zeer essentieel deze zomer.")</f>
        <v>Het laat ruimte voor onze smaak voor avontuur met dit overhemd! Zijn gedrukte neemt ons mee door de Australische regenwoud. Een overhemd zeer essentieel deze zomer.</v>
      </c>
      <c r="P62" s="50" t="s">
        <v>100</v>
      </c>
      <c r="Q62" s="49" t="str">
        <f ca="1">IFERROR(__xludf.DUMMYFUNCTION("GOOGLETRANSLATE(P62, ""fr"", ""nl"")"),"Wit")</f>
        <v>Wit</v>
      </c>
      <c r="R62" s="78" t="s">
        <v>235</v>
      </c>
      <c r="S62" s="52" t="str">
        <f ca="1">IFERROR(__xludf.DUMMYFUNCTION("GOOGLETRANSLATE(R62, ""fr"", ""nl"")"),"98% cotton 2% polyester")</f>
        <v>98% cotton 2% polyester</v>
      </c>
      <c r="T62" s="53" t="s">
        <v>32</v>
      </c>
      <c r="U62" s="54" t="str">
        <f ca="1">IFERROR(__xludf.DUMMYFUNCTION("GOOGLETRANSLATE(T62, ""fr"", ""nl"")"),"Op 30 ° C max
Gebruik geen bleekmiddel
Gebruik geen van de droger
Strijken op gemiddelde temperatuur
Niet stomen")</f>
        <v>Op 30 ° C max
Gebruik geen bleekmiddel
Gebruik geen van de droger
Strijken op gemiddelde temperatuur
Niet stomen</v>
      </c>
      <c r="V62" s="62" t="s">
        <v>145</v>
      </c>
      <c r="W62" s="56"/>
    </row>
    <row r="63" spans="1:23" ht="15.75" customHeight="1">
      <c r="A63" s="57" t="s">
        <v>315</v>
      </c>
      <c r="B63" s="40">
        <v>16</v>
      </c>
      <c r="C63" s="41"/>
      <c r="D63" s="41"/>
      <c r="E63" s="42"/>
      <c r="F63" s="43" t="s">
        <v>24</v>
      </c>
      <c r="G63" s="43" t="s">
        <v>201</v>
      </c>
      <c r="H63" s="44" t="s">
        <v>316</v>
      </c>
      <c r="I63" s="45"/>
      <c r="J63" s="43" t="s">
        <v>317</v>
      </c>
      <c r="K63" s="75"/>
      <c r="L63" s="47" t="s">
        <v>306</v>
      </c>
      <c r="M63" s="48" t="str">
        <f ca="1">IFERROR(__xludf.DUMMYFUNCTION("googletranslate(L63,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63" s="81" t="s">
        <v>318</v>
      </c>
      <c r="O63" s="49" t="str">
        <f ca="1">IFERROR(__xludf.DUMMYFUNCTION("googletranslate(N63, ""fr"", ""nl"")"),"Op Cape Tribulation, zie je vogels zo kleurrijk ze lijken te komen van een cartoon!
Een tot twee verzoeken op dit overhemd, en we houden van deze mix van donker blauw, levendige oranje en groene ""jungle"".")</f>
        <v>Op Cape Tribulation, zie je vogels zo kleurrijk ze lijken te komen van een cartoon!
Een tot twee verzoeken op dit overhemd, en we houden van deze mix van donker blauw, levendige oranje en groene "jungle".</v>
      </c>
      <c r="P63" s="50" t="s">
        <v>30</v>
      </c>
      <c r="Q63" s="49" t="str">
        <f ca="1">IFERROR(__xludf.DUMMYFUNCTION("GOOGLETRANSLATE(P63, ""fr"", ""nl"")"),"blauw")</f>
        <v>blauw</v>
      </c>
      <c r="R63" s="59" t="s">
        <v>31</v>
      </c>
      <c r="S63" s="52" t="str">
        <f ca="1">IFERROR(__xludf.DUMMYFUNCTION("GOOGLETRANSLATE(R63, ""fr"", ""nl"")"),"100% katoen")</f>
        <v>100% katoen</v>
      </c>
      <c r="T63" s="53" t="s">
        <v>32</v>
      </c>
      <c r="U63" s="54" t="str">
        <f ca="1">IFERROR(__xludf.DUMMYFUNCTION("GOOGLETRANSLATE(T63, ""fr"", ""nl"")"),"Op 30 ° C max
Gebruik geen bleekmiddel
Gebruik geen van de droger
Strijken op gemiddelde temperatuur
Niet stomen")</f>
        <v>Op 30 ° C max
Gebruik geen bleekmiddel
Gebruik geen van de droger
Strijken op gemiddelde temperatuur
Niet stomen</v>
      </c>
      <c r="V63" s="62" t="s">
        <v>145</v>
      </c>
      <c r="W63" s="56"/>
    </row>
    <row r="64" spans="1:23" ht="15.75" customHeight="1">
      <c r="A64" s="82" t="s">
        <v>319</v>
      </c>
      <c r="B64" s="40">
        <v>16</v>
      </c>
      <c r="C64" s="41"/>
      <c r="D64" s="41"/>
      <c r="E64" s="42"/>
      <c r="F64" s="43" t="s">
        <v>24</v>
      </c>
      <c r="G64" s="43" t="s">
        <v>201</v>
      </c>
      <c r="H64" s="44" t="s">
        <v>320</v>
      </c>
      <c r="I64" s="45"/>
      <c r="J64" s="43" t="s">
        <v>321</v>
      </c>
      <c r="K64" s="75"/>
      <c r="L64" s="83" t="s">
        <v>227</v>
      </c>
      <c r="M64" s="48" t="str">
        <f ca="1">IFERROR(__xludf.DUMMYFUNCTION("googletranslate(L64, ""fr"", ""nl"")"),"
- Rechte snede
- Gedrukte patroon
- Ronde hals vlakte ronde hals
- geribbelde rand en modieus in de kraag
- hem and gestikte randen
- Korte mouwen
- J &amp; JOY geborduurd logo op de borst
")</f>
        <v xml:space="preserve">
- Rechte snede
- Gedrukte patroon
- Ronde hals vlakte ronde hals
- geribbelde rand en modieus in de kraag
- hem and gestikte randen
- Korte mouwen
- J &amp; JOY geborduurd logo op de borst
</v>
      </c>
      <c r="N64" s="58" t="s">
        <v>322</v>
      </c>
      <c r="O64" s="49" t="str">
        <f ca="1">IFERROR(__xludf.DUMMYFUNCTION("googletranslate(N64, ""fr"", ""nl"")"),"Iconische Cult T-shirt wit met multi-gekleurde Lines.
Geen redenen of apparaten, hoeft deze sterke stukken niet iets nodig hebt, maar hun heldere en felle kleuren, weergegeven zonder complex. In een palet van neonschaduwen, deze grondbeginselen zijn de sl"&amp;"eutel tot een succesvolle zomer look.")</f>
        <v>Iconische Cult T-shirt wit met multi-gekleurde Lines.
Geen redenen of apparaten, hoeft deze sterke stukken niet iets nodig hebt, maar hun heldere en felle kleuren, weergegeven zonder complex. In een palet van neonschaduwen, deze grondbeginselen zijn de sleutel tot een succesvolle zomer look.</v>
      </c>
      <c r="P64" s="50" t="s">
        <v>323</v>
      </c>
      <c r="Q64" s="49" t="str">
        <f ca="1">IFERROR(__xludf.DUMMYFUNCTION("GOOGLETRANSLATE(P64, ""fr"", ""nl"")"),"veelkleurig")</f>
        <v>veelkleurig</v>
      </c>
      <c r="R64" s="63" t="s">
        <v>324</v>
      </c>
      <c r="S64" s="52" t="str">
        <f ca="1">IFERROR(__xludf.DUMMYFUNCTION("GOOGLETRANSLATE(R64, ""fr"", ""nl"")"),"95% katoen en 5% polyester")</f>
        <v>95% katoen en 5% polyester</v>
      </c>
      <c r="T64" s="53" t="s">
        <v>32</v>
      </c>
      <c r="U64" s="54" t="str">
        <f ca="1">IFERROR(__xludf.DUMMYFUNCTION("GOOGLETRANSLATE(T64, ""fr"", ""nl"")"),"Op 30 ° C max
Gebruik geen bleekmiddel
Gebruik geen van de droger
Strijken op gemiddelde temperatuur
Niet stomen")</f>
        <v>Op 30 ° C max
Gebruik geen bleekmiddel
Gebruik geen van de droger
Strijken op gemiddelde temperatuur
Niet stomen</v>
      </c>
      <c r="V64" s="62" t="s">
        <v>145</v>
      </c>
      <c r="W64" s="56"/>
    </row>
    <row r="65" spans="1:23" ht="15.75" customHeight="1">
      <c r="A65" s="84" t="s">
        <v>325</v>
      </c>
      <c r="B65" s="85"/>
      <c r="C65" s="67"/>
      <c r="D65" s="86"/>
      <c r="E65" s="67"/>
      <c r="F65" s="87"/>
      <c r="G65" s="87"/>
      <c r="H65" s="87"/>
      <c r="I65" s="26"/>
      <c r="J65" s="88"/>
      <c r="K65" s="89"/>
      <c r="L65" s="89"/>
      <c r="M65" s="48" t="str">
        <f ca="1">IFERROR(__xludf.DUMMYFUNCTION("googletranslate(L65, ""fr"", ""nl"")"),"#VALUE!")</f>
        <v>#VALUE!</v>
      </c>
      <c r="N65" s="90"/>
      <c r="O65" s="49" t="str">
        <f ca="1">IFERROR(__xludf.DUMMYFUNCTION("googletranslate(N65, ""fr"", ""nl"")"),"#VALUE!")</f>
        <v>#VALUE!</v>
      </c>
      <c r="P65" s="91"/>
      <c r="Q65" s="49" t="str">
        <f ca="1">IFERROR(__xludf.DUMMYFUNCTION("GOOGLETRANSLATE(P65, ""fr"", ""nl"")"),"#VALUE!")</f>
        <v>#VALUE!</v>
      </c>
      <c r="R65" s="92"/>
      <c r="S65" s="52" t="str">
        <f ca="1">IFERROR(__xludf.DUMMYFUNCTION("GOOGLETRANSLATE(R65, ""fr"", ""nl"")"),"#VALUE!")</f>
        <v>#VALUE!</v>
      </c>
      <c r="T65" s="89"/>
      <c r="U65" s="54" t="str">
        <f ca="1">IFERROR(__xludf.DUMMYFUNCTION("GOOGLETRANSLATE(T65, ""fr"", ""nl"")"),"#VALUE!")</f>
        <v>#VALUE!</v>
      </c>
      <c r="V65" s="89"/>
      <c r="W65" s="38"/>
    </row>
    <row r="66" spans="1:23" ht="15.75" customHeight="1">
      <c r="A66" s="39" t="s">
        <v>326</v>
      </c>
      <c r="B66" s="93">
        <v>32</v>
      </c>
      <c r="C66" s="41"/>
      <c r="E66" s="42"/>
      <c r="F66" s="43" t="s">
        <v>24</v>
      </c>
      <c r="G66" s="43" t="s">
        <v>327</v>
      </c>
      <c r="H66" s="44" t="s">
        <v>328</v>
      </c>
      <c r="I66" s="45"/>
      <c r="J66" s="46" t="s">
        <v>329</v>
      </c>
      <c r="K66" s="47"/>
      <c r="L66" s="47" t="s">
        <v>330</v>
      </c>
      <c r="M66" s="48" t="str">
        <f ca="1">IFERROR(__xludf.DUMMYFUNCTION("googletranslate(L66, ""fr"", ""nl"")"),"
- Rechte snede
- rits kraag
- geribbelde rand en modieus in de kraag
- randen en rib boord stretch
- Lange mouwen
- Kangaroo pocket
- Tricolor
- Logo J &amp; JOY op het hart")</f>
        <v xml:space="preserve">
- Rechte snede
- rits kraag
- geribbelde rand en modieus in de kraag
- randen en rib boord stretch
- Lange mouwen
- Kangaroo pocket
- Tricolor
- Logo J &amp; JOY op het hart</v>
      </c>
      <c r="N66" s="58" t="s">
        <v>331</v>
      </c>
      <c r="O66" s="49" t="str">
        <f ca="1">IFERROR(__xludf.DUMMYFUNCTION("googletranslate(N66, ""fr"", ""nl"")"),"Dit sweatshirt is de perfecte mix tussen sportkleding en casual chic. Met zijn verfijnde hoge kraag en zak op de voorzijde, zal ook voor een dag op het kantoor vindt die dag voor een barbecue met vrienden. Bourgondië, grijs en koraal accenten maken het pl"&amp;"aatje compleet van dit kledingstuk zult u houden van dragend.")</f>
        <v>Dit sweatshirt is de perfecte mix tussen sportkleding en casual chic. Met zijn verfijnde hoge kraag en zak op de voorzijde, zal ook voor een dag op het kantoor vindt die dag voor een barbecue met vrienden. Bourgondië, grijs en koraal accenten maken het plaatje compleet van dit kledingstuk zult u houden van dragend.</v>
      </c>
      <c r="P66" s="50" t="s">
        <v>155</v>
      </c>
      <c r="Q66" s="49" t="str">
        <f ca="1">IFERROR(__xludf.DUMMYFUNCTION("GOOGLETRANSLATE(P66, ""fr"", ""nl"")"),"veelkleurig")</f>
        <v>veelkleurig</v>
      </c>
      <c r="R66" s="94"/>
      <c r="S66" s="52" t="str">
        <f ca="1">IFERROR(__xludf.DUMMYFUNCTION("GOOGLETRANSLATE(R66, ""fr"", ""nl"")"),"#VALUE!")</f>
        <v>#VALUE!</v>
      </c>
      <c r="T66" s="53" t="s">
        <v>32</v>
      </c>
      <c r="U66" s="54" t="str">
        <f ca="1">IFERROR(__xludf.DUMMYFUNCTION("GOOGLETRANSLATE(T66, ""fr"", ""nl"")"),"Op 30 ° C max
Gebruik geen bleekmiddel
Gebruik geen van de droger
Strijken op gemiddelde temperatuur
Niet stomen")</f>
        <v>Op 30 ° C max
Gebruik geen bleekmiddel
Gebruik geen van de droger
Strijken op gemiddelde temperatuur
Niet stomen</v>
      </c>
      <c r="V66" s="62" t="s">
        <v>33</v>
      </c>
      <c r="W66" s="56"/>
    </row>
    <row r="67" spans="1:23" ht="15.75" customHeight="1">
      <c r="A67" s="57" t="s">
        <v>332</v>
      </c>
      <c r="B67" s="93">
        <v>32</v>
      </c>
      <c r="C67" s="41"/>
      <c r="E67" s="42"/>
      <c r="F67" s="43" t="s">
        <v>24</v>
      </c>
      <c r="G67" s="43" t="s">
        <v>327</v>
      </c>
      <c r="H67" s="44" t="s">
        <v>333</v>
      </c>
      <c r="I67" s="45"/>
      <c r="J67" s="46" t="s">
        <v>334</v>
      </c>
      <c r="K67" s="47"/>
      <c r="L67" s="47" t="s">
        <v>335</v>
      </c>
      <c r="M67" s="48" t="str">
        <f ca="1">IFERROR(__xludf.DUMMYFUNCTION("googletranslate(L67, ""fr"", ""nl"")"),"
- Rechte snede
- Capuchon met contrast koord
- geribbelde rand en modieus in de kraag
- randen en rib boord stretch
- Lange mouwen
- Kangaroo pocket
- Quadricolore
- Logo J &amp; JOY op het hart")</f>
        <v xml:space="preserve">
- Rechte snede
- Capuchon met contrast koord
- geribbelde rand en modieus in de kraag
- randen en rib boord stretch
- Lange mouwen
- Kangaroo pocket
- Quadricolore
- Logo J &amp; JOY op het hart</v>
      </c>
      <c r="N67" s="76" t="s">
        <v>336</v>
      </c>
      <c r="O67" s="49" t="str">
        <f ca="1">IFERROR(__xludf.DUMMYFUNCTION("googletranslate(N67, ""fr"", ""nl"")"),"Dit sweatshirt is degene die boosts je look met gemak! Gedragen met jeans met sneakers en een rood shirt, wit of blauw, het maakt zijn volledige effect, zowel op het werk en in het weekend!")</f>
        <v>Dit sweatshirt is degene die boosts je look met gemak! Gedragen met jeans met sneakers en een rood shirt, wit of blauw, het maakt zijn volledige effect, zowel op het werk en in het weekend!</v>
      </c>
      <c r="P67" s="50" t="s">
        <v>155</v>
      </c>
      <c r="Q67" s="49" t="str">
        <f ca="1">IFERROR(__xludf.DUMMYFUNCTION("GOOGLETRANSLATE(P67, ""fr"", ""nl"")"),"veelkleurig")</f>
        <v>veelkleurig</v>
      </c>
      <c r="R67" s="79" t="s">
        <v>337</v>
      </c>
      <c r="S67" s="52" t="str">
        <f ca="1">IFERROR(__xludf.DUMMYFUNCTION("GOOGLETRANSLATE(R67, ""fr"", ""nl"")"),"75% katoen en 25% polyester")</f>
        <v>75% katoen en 25% polyester</v>
      </c>
      <c r="T67" s="53" t="s">
        <v>32</v>
      </c>
      <c r="U67" s="54" t="str">
        <f ca="1">IFERROR(__xludf.DUMMYFUNCTION("GOOGLETRANSLATE(T67, ""fr"", ""nl"")"),"Op 30 ° C max
Gebruik geen bleekmiddel
Gebruik geen van de droger
Strijken op gemiddelde temperatuur
Niet stomen")</f>
        <v>Op 30 ° C max
Gebruik geen bleekmiddel
Gebruik geen van de droger
Strijken op gemiddelde temperatuur
Niet stomen</v>
      </c>
      <c r="V67" s="62" t="s">
        <v>33</v>
      </c>
      <c r="W67" s="56"/>
    </row>
    <row r="68" spans="1:23" ht="15.75" customHeight="1">
      <c r="A68" s="57" t="s">
        <v>338</v>
      </c>
      <c r="B68" s="93">
        <v>30</v>
      </c>
      <c r="C68" s="41"/>
      <c r="E68" s="42"/>
      <c r="F68" s="43" t="s">
        <v>24</v>
      </c>
      <c r="G68" s="43" t="s">
        <v>327</v>
      </c>
      <c r="H68" s="44" t="s">
        <v>339</v>
      </c>
      <c r="I68" s="45"/>
      <c r="J68" s="46" t="s">
        <v>340</v>
      </c>
      <c r="K68" s="47"/>
      <c r="L68" s="47" t="s">
        <v>341</v>
      </c>
      <c r="M68" s="48" t="str">
        <f ca="1">IFERROR(__xludf.DUMMYFUNCTION("googletranslate(L68, ""fr"", ""nl"")")," 
- Rechte snede
- Ronde kraag
- geribbelde rand en modieus in de kraag
- randen en rib boord stretch
- Lange mouwen
- Logo J &amp; JOY op het hart
- Schrijven textuur in de rug
")</f>
        <v xml:space="preserve"> 
- Rechte snede
- Ronde kraag
- geribbelde rand en modieus in de kraag
- randen en rib boord stretch
- Lange mouwen
- Logo J &amp; JOY op het hart
- Schrijven textuur in de rug
</v>
      </c>
      <c r="N68" s="76" t="s">
        <v>342</v>
      </c>
      <c r="O68" s="49" t="str">
        <f ca="1">IFERROR(__xludf.DUMMYFUNCTION("googletranslate(N68, ""fr"", ""nl"")"),"De ronde hals trui, is het van belang het moment! In zijn comfortabel en met zijn vlammend rood materiaal, dit sweatshirt verhoogt de allure en verwarmt u op kantoor of in de avond!")</f>
        <v>De ronde hals trui, is het van belang het moment! In zijn comfortabel en met zijn vlammend rood materiaal, dit sweatshirt verhoogt de allure en verwarmt u op kantoor of in de avond!</v>
      </c>
      <c r="P68" s="50" t="s">
        <v>56</v>
      </c>
      <c r="Q68" s="49" t="str">
        <f ca="1">IFERROR(__xludf.DUMMYFUNCTION("GOOGLETRANSLATE(P68, ""fr"", ""nl"")"),"rood")</f>
        <v>rood</v>
      </c>
      <c r="R68" s="94"/>
      <c r="S68" s="52" t="str">
        <f ca="1">IFERROR(__xludf.DUMMYFUNCTION("GOOGLETRANSLATE(R68, ""fr"", ""nl"")"),"#VALUE!")</f>
        <v>#VALUE!</v>
      </c>
      <c r="T68" s="53" t="s">
        <v>32</v>
      </c>
      <c r="U68" s="54" t="str">
        <f ca="1">IFERROR(__xludf.DUMMYFUNCTION("GOOGLETRANSLATE(T68, ""fr"", ""nl"")"),"Op 30 ° C max
Gebruik geen bleekmiddel
Gebruik geen van de droger
Strijken op gemiddelde temperatuur
Niet stomen")</f>
        <v>Op 30 ° C max
Gebruik geen bleekmiddel
Gebruik geen van de droger
Strijken op gemiddelde temperatuur
Niet stomen</v>
      </c>
      <c r="V68" s="62" t="s">
        <v>33</v>
      </c>
      <c r="W68" s="56"/>
    </row>
    <row r="69" spans="1:23" ht="15.75" customHeight="1">
      <c r="A69" s="57" t="s">
        <v>343</v>
      </c>
      <c r="B69" s="93">
        <v>34</v>
      </c>
      <c r="C69" s="41"/>
      <c r="E69" s="42"/>
      <c r="F69" s="43" t="s">
        <v>24</v>
      </c>
      <c r="G69" s="43" t="s">
        <v>327</v>
      </c>
      <c r="H69" s="44" t="s">
        <v>344</v>
      </c>
      <c r="I69" s="45"/>
      <c r="J69" s="46" t="s">
        <v>345</v>
      </c>
      <c r="K69" s="47"/>
      <c r="L69" s="47" t="s">
        <v>346</v>
      </c>
      <c r="M69" s="48" t="str">
        <f ca="1">IFERROR(__xludf.DUMMYFUNCTION("googletranslate(L69, ""fr"", ""nl"")"),"
- Rechte snede
- Met rits opening met contrasterende afwerking
- Halsband
- geribbelde rand en modieus in de kraag
- randen en rib boord stretch
- Lange mouwen
- Double pouch kangoeroe weg
- Logo J &amp; JOY op het hart")</f>
        <v xml:space="preserve">
- Rechte snede
- Met rits opening met contrasterende afwerking
- Halsband
- geribbelde rand en modieus in de kraag
- randen en rib boord stretch
- Lange mouwen
- Double pouch kangoeroe weg
- Logo J &amp; JOY op het hart</v>
      </c>
      <c r="N69" s="76" t="s">
        <v>347</v>
      </c>
      <c r="O69" s="49" t="str">
        <f ca="1">IFERROR(__xludf.DUMMYFUNCTION("googletranslate(N69, ""fr"", ""nl"")"),"Klassiek maar met mooie details Attent, warm en toch licht, het is de definitieve trui!
De bonus: het gaat met alles!")</f>
        <v>Klassiek maar met mooie details Attent, warm en toch licht, het is de definitieve trui!
De bonus: het gaat met alles!</v>
      </c>
      <c r="P69" s="50" t="s">
        <v>30</v>
      </c>
      <c r="Q69" s="49" t="str">
        <f ca="1">IFERROR(__xludf.DUMMYFUNCTION("GOOGLETRANSLATE(P69, ""fr"", ""nl"")"),"blauw")</f>
        <v>blauw</v>
      </c>
      <c r="R69" s="79" t="s">
        <v>31</v>
      </c>
      <c r="S69" s="52" t="str">
        <f ca="1">IFERROR(__xludf.DUMMYFUNCTION("GOOGLETRANSLATE(R69, ""fr"", ""nl"")"),"100% katoen")</f>
        <v>100% katoen</v>
      </c>
      <c r="T69" s="53" t="s">
        <v>32</v>
      </c>
      <c r="U69" s="54" t="str">
        <f ca="1">IFERROR(__xludf.DUMMYFUNCTION("GOOGLETRANSLATE(T69, ""fr"", ""nl"")"),"Op 30 ° C max
Gebruik geen bleekmiddel
Gebruik geen van de droger
Strijken op gemiddelde temperatuur
Niet stomen")</f>
        <v>Op 30 ° C max
Gebruik geen bleekmiddel
Gebruik geen van de droger
Strijken op gemiddelde temperatuur
Niet stomen</v>
      </c>
      <c r="V69" s="62" t="s">
        <v>33</v>
      </c>
      <c r="W69" s="56"/>
    </row>
    <row r="70" spans="1:23" ht="15.75" customHeight="1">
      <c r="A70" s="57" t="s">
        <v>348</v>
      </c>
      <c r="B70" s="93">
        <v>32</v>
      </c>
      <c r="C70" s="41"/>
      <c r="E70" s="42"/>
      <c r="F70" s="43" t="s">
        <v>24</v>
      </c>
      <c r="G70" s="43" t="s">
        <v>327</v>
      </c>
      <c r="H70" s="44" t="s">
        <v>93</v>
      </c>
      <c r="I70" s="45"/>
      <c r="J70" s="46" t="s">
        <v>349</v>
      </c>
      <c r="K70" s="47"/>
      <c r="L70" s="47" t="s">
        <v>350</v>
      </c>
      <c r="M70" s="48" t="str">
        <f ca="1">IFERROR(__xludf.DUMMYFUNCTION("googletranslate(L70, ""fr"", ""nl"")")," 
- Rechte snede
- rits kraag
- geribbelde rand en modieus in de kraag
- randen en rib boord stretch
- Lange mouwen
- Zijzakken
- Logo J &amp; JOY op het hart")</f>
        <v xml:space="preserve"> 
- Rechte snede
- rits kraag
- geribbelde rand en modieus in de kraag
- randen en rib boord stretch
- Lange mouwen
- Zijzakken
- Logo J &amp; JOY op het hart</v>
      </c>
      <c r="N70" s="76" t="s">
        <v>351</v>
      </c>
      <c r="O70" s="49" t="str">
        <f ca="1">IFERROR(__xludf.DUMMYFUNCTION("googletranslate(N70, ""fr"", ""nl"")"),"Een mooie rode, een klassieke snit en eenvoudig model te dragen in alle omstandigheden. Een essentieel stuk te hebben in je garderobe dit jaar!")</f>
        <v>Een mooie rode, een klassieke snit en eenvoudig model te dragen in alle omstandigheden. Een essentieel stuk te hebben in je garderobe dit jaar!</v>
      </c>
      <c r="P70" s="50" t="s">
        <v>61</v>
      </c>
      <c r="Q70" s="49" t="str">
        <f ca="1">IFERROR(__xludf.DUMMYFUNCTION("GOOGLETRANSLATE(P70, ""fr"", ""nl"")"),"roze")</f>
        <v>roze</v>
      </c>
      <c r="R70" s="61" t="s">
        <v>337</v>
      </c>
      <c r="S70" s="52" t="str">
        <f ca="1">IFERROR(__xludf.DUMMYFUNCTION("GOOGLETRANSLATE(R70, ""fr"", ""nl"")"),"75% katoen en 25% polyester")</f>
        <v>75% katoen en 25% polyester</v>
      </c>
      <c r="T70" s="53" t="s">
        <v>32</v>
      </c>
      <c r="U70" s="54" t="str">
        <f ca="1">IFERROR(__xludf.DUMMYFUNCTION("GOOGLETRANSLATE(T70, ""fr"", ""nl"")"),"Op 30 ° C max
Gebruik geen bleekmiddel
Gebruik geen van de droger
Strijken op gemiddelde temperatuur
Niet stomen")</f>
        <v>Op 30 ° C max
Gebruik geen bleekmiddel
Gebruik geen van de droger
Strijken op gemiddelde temperatuur
Niet stomen</v>
      </c>
      <c r="V70" s="62" t="s">
        <v>83</v>
      </c>
      <c r="W70" s="56"/>
    </row>
    <row r="71" spans="1:23" ht="15.75" customHeight="1">
      <c r="A71" s="57" t="s">
        <v>352</v>
      </c>
      <c r="B71" s="93">
        <v>32</v>
      </c>
      <c r="C71" s="41"/>
      <c r="E71" s="42"/>
      <c r="F71" s="43" t="s">
        <v>24</v>
      </c>
      <c r="G71" s="43" t="s">
        <v>327</v>
      </c>
      <c r="H71" s="44" t="s">
        <v>353</v>
      </c>
      <c r="I71" s="45"/>
      <c r="J71" s="46" t="s">
        <v>354</v>
      </c>
      <c r="K71" s="47"/>
      <c r="L71" s="47" t="s">
        <v>355</v>
      </c>
      <c r="M71" s="48" t="str">
        <f ca="1">IFERROR(__xludf.DUMMYFUNCTION("googletranslate(L71, ""fr"", ""nl"")"),"
- Rechte snede
- Met rits opening met contrasterende afwerking
- Halsband
- geribbelde rand en modieus in de kraag
- randen en rib boord stretch
- Lange mouwen
- Double pouch kangoeroe weg
- Logo J &amp; JOY op het hart
- J &amp; JOY Patch op schouder")</f>
        <v xml:space="preserve">
- Rechte snede
- Met rits opening met contrasterende afwerking
- Halsband
- geribbelde rand en modieus in de kraag
- randen en rib boord stretch
- Lange mouwen
- Double pouch kangoeroe weg
- Logo J &amp; JOY op het hart
- J &amp; JOY Patch op schouder</v>
      </c>
      <c r="N71" s="58" t="s">
        <v>356</v>
      </c>
      <c r="O71" s="49" t="str">
        <f ca="1">IFERROR(__xludf.DUMMYFUNCTION("googletranslate(N71, ""fr"", ""nl"")"),"De klassiekers nooit uit te gaan van stijl! Met deze trui rits en hoge kraag, je hebt wat je nodig hebt voor elke situatie. Een zakelijke bijeenkomst, een avond met vrienden of een ritje op het weekend: je trui houdt je warm en diep blauw is het eens met "&amp;"elke outfit.")</f>
        <v>De klassiekers nooit uit te gaan van stijl! Met deze trui rits en hoge kraag, je hebt wat je nodig hebt voor elke situatie. Een zakelijke bijeenkomst, een avond met vrienden of een ritje op het weekend: je trui houdt je warm en diep blauw is het eens met elke outfit.</v>
      </c>
      <c r="P71" s="50" t="s">
        <v>30</v>
      </c>
      <c r="Q71" s="49" t="str">
        <f ca="1">IFERROR(__xludf.DUMMYFUNCTION("GOOGLETRANSLATE(P71, ""fr"", ""nl"")"),"blauw")</f>
        <v>blauw</v>
      </c>
      <c r="R71" s="61" t="s">
        <v>337</v>
      </c>
      <c r="S71" s="52" t="str">
        <f ca="1">IFERROR(__xludf.DUMMYFUNCTION("GOOGLETRANSLATE(R71, ""fr"", ""nl"")"),"75% katoen en 25% polyester")</f>
        <v>75% katoen en 25% polyester</v>
      </c>
      <c r="T71" s="53" t="s">
        <v>32</v>
      </c>
      <c r="U71" s="54" t="str">
        <f ca="1">IFERROR(__xludf.DUMMYFUNCTION("GOOGLETRANSLATE(T71, ""fr"", ""nl"")"),"Op 30 ° C max
Gebruik geen bleekmiddel
Gebruik geen van de droger
Strijken op gemiddelde temperatuur
Niet stomen")</f>
        <v>Op 30 ° C max
Gebruik geen bleekmiddel
Gebruik geen van de droger
Strijken op gemiddelde temperatuur
Niet stomen</v>
      </c>
      <c r="V71" s="62" t="s">
        <v>83</v>
      </c>
      <c r="W71" s="56"/>
    </row>
    <row r="72" spans="1:23" ht="15.75" customHeight="1">
      <c r="A72" s="57" t="s">
        <v>357</v>
      </c>
      <c r="B72" s="93">
        <v>34</v>
      </c>
      <c r="C72" s="41"/>
      <c r="E72" s="42"/>
      <c r="F72" s="43" t="s">
        <v>24</v>
      </c>
      <c r="G72" s="43" t="s">
        <v>327</v>
      </c>
      <c r="H72" s="44" t="s">
        <v>358</v>
      </c>
      <c r="I72" s="45"/>
      <c r="J72" s="46" t="s">
        <v>359</v>
      </c>
      <c r="K72" s="47"/>
      <c r="L72" s="47" t="s">
        <v>360</v>
      </c>
      <c r="M72" s="48" t="str">
        <f ca="1">IFERROR(__xludf.DUMMYFUNCTION("googletranslate(L72, ""fr"", ""nl"")"),"
- Rechte snede
- Met rits opening met contrasterende afwerking
- Kap met koord klemming contrast / éénkleurige
- geribbelde rand en modieus in de kraag
- randen en rib boord stretch
- Lange mouwen
- Double pouch kangoeroe weg
- Logo J &amp; JOY op he"&amp;"t hart
- Patch J &amp; JOY gegomd schouder")</f>
        <v xml:space="preserve">
- Rechte snede
- Met rits opening met contrasterende afwerking
- Kap met koord klemming contrast / éénkleurige
- geribbelde rand en modieus in de kraag
- randen en rib boord stretch
- Lange mouwen
- Double pouch kangoeroe weg
- Logo J &amp; JOY op het hart
- Patch J &amp; JOY gegomd schouder</v>
      </c>
      <c r="N72" s="76" t="s">
        <v>361</v>
      </c>
      <c r="O72" s="49" t="str">
        <f ca="1">IFERROR(__xludf.DUMMYFUNCTION("googletranslate(N72, ""fr"", ""nl"")"),"Het comfort van sportkleding, met details en een klassieke grijze kleur aan je outfit van de dag te markeren. Makkelijk mee te nemen in alle omstandigheden, dit sweatshirt verwarmt elke outfit het hele jaar door! Een essentieel zo.")</f>
        <v>Het comfort van sportkleding, met details en een klassieke grijze kleur aan je outfit van de dag te markeren. Makkelijk mee te nemen in alle omstandigheden, dit sweatshirt verwarmt elke outfit het hele jaar door! Een essentieel zo.</v>
      </c>
      <c r="P72" s="50" t="s">
        <v>234</v>
      </c>
      <c r="Q72" s="49" t="str">
        <f ca="1">IFERROR(__xludf.DUMMYFUNCTION("GOOGLETRANSLATE(P72, ""fr"", ""nl"")"),"Grijs")</f>
        <v>Grijs</v>
      </c>
      <c r="R72" s="61" t="s">
        <v>337</v>
      </c>
      <c r="S72" s="52" t="str">
        <f ca="1">IFERROR(__xludf.DUMMYFUNCTION("GOOGLETRANSLATE(R72, ""fr"", ""nl"")"),"75% katoen en 25% polyester")</f>
        <v>75% katoen en 25% polyester</v>
      </c>
      <c r="T72" s="53" t="s">
        <v>32</v>
      </c>
      <c r="U72" s="54" t="str">
        <f ca="1">IFERROR(__xludf.DUMMYFUNCTION("GOOGLETRANSLATE(T72, ""fr"", ""nl"")"),"Op 30 ° C max
Gebruik geen bleekmiddel
Gebruik geen van de droger
Strijken op gemiddelde temperatuur
Niet stomen")</f>
        <v>Op 30 ° C max
Gebruik geen bleekmiddel
Gebruik geen van de droger
Strijken op gemiddelde temperatuur
Niet stomen</v>
      </c>
      <c r="V72" s="62" t="s">
        <v>83</v>
      </c>
      <c r="W72" s="56"/>
    </row>
    <row r="73" spans="1:23" ht="15.75" customHeight="1">
      <c r="A73" s="57" t="s">
        <v>362</v>
      </c>
      <c r="B73" s="93">
        <v>32</v>
      </c>
      <c r="C73" s="41"/>
      <c r="E73" s="42"/>
      <c r="F73" s="43" t="s">
        <v>24</v>
      </c>
      <c r="G73" s="43" t="s">
        <v>327</v>
      </c>
      <c r="H73" s="44" t="s">
        <v>363</v>
      </c>
      <c r="I73" s="45"/>
      <c r="J73" s="46" t="s">
        <v>364</v>
      </c>
      <c r="K73" s="47"/>
      <c r="L73" s="47" t="s">
        <v>365</v>
      </c>
      <c r="M73" s="48" t="str">
        <f ca="1">IFERROR(__xludf.DUMMYFUNCTION("googletranslate(L73, ""fr"", ""nl"")"),"
- Rechte snede
- Capuchon met contrast koord
- geribbelde rand en modieus in de kraag
- randen en rib boord stretch
- Lange mouwen
- Kangaroo pocket
- gekleurde strepen op de mouwen
- Logo J &amp; JOY op het hart
- J &amp; JOY Patch op schouder")</f>
        <v xml:space="preserve">
- Rechte snede
- Capuchon met contrast koord
- geribbelde rand en modieus in de kraag
- randen en rib boord stretch
- Lange mouwen
- Kangaroo pocket
- gekleurde strepen op de mouwen
- Logo J &amp; JOY op het hart
- J &amp; JOY Patch op schouder</v>
      </c>
      <c r="N73" s="58" t="s">
        <v>366</v>
      </c>
      <c r="O73" s="49" t="str">
        <f ca="1">IFERROR(__xludf.DUMMYFUNCTION("googletranslate(N73, ""fr"", ""nl"")"),"Een sweatshirt voor vet, dat mixen blauw, wit en geel sleutels tot een uitgesproken coole look.
De bonus: je bent zo goed in die u niet meer wilt verwijderen!")</f>
        <v>Een sweatshirt voor vet, dat mixen blauw, wit en geel sleutels tot een uitgesproken coole look.
De bonus: je bent zo goed in die u niet meer wilt verwijderen!</v>
      </c>
      <c r="P73" s="50" t="s">
        <v>100</v>
      </c>
      <c r="Q73" s="49" t="str">
        <f ca="1">IFERROR(__xludf.DUMMYFUNCTION("GOOGLETRANSLATE(P73, ""fr"", ""nl"")"),"Wit")</f>
        <v>Wit</v>
      </c>
      <c r="R73" s="61" t="s">
        <v>337</v>
      </c>
      <c r="S73" s="52" t="str">
        <f ca="1">IFERROR(__xludf.DUMMYFUNCTION("GOOGLETRANSLATE(R73, ""fr"", ""nl"")"),"75% katoen en 25% polyester")</f>
        <v>75% katoen en 25% polyester</v>
      </c>
      <c r="T73" s="53" t="s">
        <v>32</v>
      </c>
      <c r="U73" s="54" t="str">
        <f ca="1">IFERROR(__xludf.DUMMYFUNCTION("GOOGLETRANSLATE(T73, ""fr"", ""nl"")"),"Op 30 ° C max
Gebruik geen bleekmiddel
Gebruik geen van de droger
Strijken op gemiddelde temperatuur
Niet stomen")</f>
        <v>Op 30 ° C max
Gebruik geen bleekmiddel
Gebruik geen van de droger
Strijken op gemiddelde temperatuur
Niet stomen</v>
      </c>
      <c r="V73" s="62" t="s">
        <v>83</v>
      </c>
      <c r="W73" s="56"/>
    </row>
    <row r="74" spans="1:23" ht="15.75" customHeight="1">
      <c r="A74" s="57" t="s">
        <v>367</v>
      </c>
      <c r="B74" s="93">
        <v>32</v>
      </c>
      <c r="C74" s="41"/>
      <c r="E74" s="42"/>
      <c r="F74" s="43" t="s">
        <v>24</v>
      </c>
      <c r="G74" s="43" t="s">
        <v>327</v>
      </c>
      <c r="H74" s="44" t="s">
        <v>368</v>
      </c>
      <c r="I74" s="45"/>
      <c r="J74" s="46" t="s">
        <v>369</v>
      </c>
      <c r="K74" s="47"/>
      <c r="L74" s="47" t="s">
        <v>370</v>
      </c>
      <c r="M74" s="48" t="str">
        <f ca="1">IFERROR(__xludf.DUMMYFUNCTION("googletranslate(L74, ""fr"", ""nl"")")," 
- Rechte snede
- Ronde kraag
- geribbelde rand en modieus in de kraag
- randen en rib boord stretch
- Lange mouwen
- Gedrukte patroon
- Logo J &amp; JOY op het hart")</f>
        <v xml:space="preserve"> 
- Rechte snede
- Ronde kraag
- geribbelde rand en modieus in de kraag
- randen en rib boord stretch
- Lange mouwen
- Gedrukte patroon
- Logo J &amp; JOY op het hart</v>
      </c>
      <c r="N74" s="58" t="s">
        <v>371</v>
      </c>
      <c r="O74" s="49" t="str">
        <f ca="1">IFERROR(__xludf.DUMMYFUNCTION("googletranslate(N74, ""fr"", ""nl"")"),"Een trui voor koele trekt avonturiers aanvaard! Met deze jungle motief, uw avonturen!
Schitterend hele jaar gedragen met jeans of chino met kaki sneakers, beige, bruin of wit, u en het is de sterke ruimte in uw kleedkamer.")</f>
        <v>Een trui voor koele trekt avonturiers aanvaard! Met deze jungle motief, uw avonturen!
Schitterend hele jaar gedragen met jeans of chino met kaki sneakers, beige, bruin of wit, u en het is de sterke ruimte in uw kleedkamer.</v>
      </c>
      <c r="P74" s="50" t="s">
        <v>155</v>
      </c>
      <c r="Q74" s="49" t="str">
        <f ca="1">IFERROR(__xludf.DUMMYFUNCTION("GOOGLETRANSLATE(P74, ""fr"", ""nl"")"),"veelkleurig")</f>
        <v>veelkleurig</v>
      </c>
      <c r="R74" s="61" t="s">
        <v>372</v>
      </c>
      <c r="S74" s="52" t="str">
        <f ca="1">IFERROR(__xludf.DUMMYFUNCTION("GOOGLETRANSLATE(R74, ""fr"", ""nl"")"),"50% katoen 50% polyester")</f>
        <v>50% katoen 50% polyester</v>
      </c>
      <c r="T74" s="53" t="s">
        <v>32</v>
      </c>
      <c r="U74" s="54" t="str">
        <f ca="1">IFERROR(__xludf.DUMMYFUNCTION("GOOGLETRANSLATE(T74, ""fr"", ""nl"")"),"Op 30 ° C max
Gebruik geen bleekmiddel
Gebruik geen van de droger
Strijken op gemiddelde temperatuur
Niet stomen")</f>
        <v>Op 30 ° C max
Gebruik geen bleekmiddel
Gebruik geen van de droger
Strijken op gemiddelde temperatuur
Niet stomen</v>
      </c>
      <c r="V74" s="62" t="s">
        <v>111</v>
      </c>
      <c r="W74" s="56"/>
    </row>
    <row r="75" spans="1:23" ht="15.75" customHeight="1">
      <c r="A75" s="57" t="s">
        <v>373</v>
      </c>
      <c r="B75" s="93">
        <v>32</v>
      </c>
      <c r="C75" s="41"/>
      <c r="E75" s="42"/>
      <c r="F75" s="43" t="s">
        <v>24</v>
      </c>
      <c r="G75" s="43" t="s">
        <v>327</v>
      </c>
      <c r="H75" s="44" t="s">
        <v>374</v>
      </c>
      <c r="I75" s="45"/>
      <c r="J75" s="46" t="s">
        <v>375</v>
      </c>
      <c r="K75" s="47"/>
      <c r="L75" s="47" t="s">
        <v>376</v>
      </c>
      <c r="M75" s="48" t="str">
        <f ca="1">IFERROR(__xludf.DUMMYFUNCTION("googletranslate(L75, ""fr"", ""nl"")"),"
- Rechte snede
- Capuchon met contrast koord
- geribbelde rand en modieus in de kraag
- randen en rib boord stretch
- Lange mouwen
- Kangaroo pocket
- Logo J &amp; JOY op het hart")</f>
        <v xml:space="preserve">
- Rechte snede
- Capuchon met contrast koord
- geribbelde rand en modieus in de kraag
- randen en rib boord stretch
- Lange mouwen
- Kangaroo pocket
- Logo J &amp; JOY op het hart</v>
      </c>
      <c r="N75" s="76" t="s">
        <v>377</v>
      </c>
      <c r="O75" s="49" t="str">
        <f ca="1">IFERROR(__xludf.DUMMYFUNCTION("googletranslate(N75, ""fr"", ""nl"")"),"Dit lime geel is de dosis vitaminen raden wij u aan om een ​​goede dag te beginnen! En bovendien, dit model is zo lekker dat u niet wilt om het te verwijderen!")</f>
        <v>Dit lime geel is de dosis vitaminen raden wij u aan om een ​​goede dag te beginnen! En bovendien, dit model is zo lekker dat u niet wilt om het te verwijderen!</v>
      </c>
      <c r="P75" s="50" t="s">
        <v>105</v>
      </c>
      <c r="Q75" s="49" t="str">
        <f ca="1">IFERROR(__xludf.DUMMYFUNCTION("GOOGLETRANSLATE(P75, ""fr"", ""nl"")"),"geel")</f>
        <v>geel</v>
      </c>
      <c r="R75" s="61" t="s">
        <v>337</v>
      </c>
      <c r="S75" s="52" t="str">
        <f ca="1">IFERROR(__xludf.DUMMYFUNCTION("GOOGLETRANSLATE(R75, ""fr"", ""nl"")"),"75% katoen en 25% polyester")</f>
        <v>75% katoen en 25% polyester</v>
      </c>
      <c r="T75" s="53" t="s">
        <v>32</v>
      </c>
      <c r="U75" s="54" t="str">
        <f ca="1">IFERROR(__xludf.DUMMYFUNCTION("GOOGLETRANSLATE(T75, ""fr"", ""nl"")"),"Op 30 ° C max
Gebruik geen bleekmiddel
Gebruik geen van de droger
Strijken op gemiddelde temperatuur
Niet stomen")</f>
        <v>Op 30 ° C max
Gebruik geen bleekmiddel
Gebruik geen van de droger
Strijken op gemiddelde temperatuur
Niet stomen</v>
      </c>
      <c r="V75" s="62" t="s">
        <v>111</v>
      </c>
      <c r="W75" s="56"/>
    </row>
    <row r="76" spans="1:23" ht="15.75" customHeight="1">
      <c r="A76" s="57" t="s">
        <v>378</v>
      </c>
      <c r="B76" s="93">
        <v>32</v>
      </c>
      <c r="C76" s="41"/>
      <c r="E76" s="42"/>
      <c r="F76" s="43" t="s">
        <v>24</v>
      </c>
      <c r="G76" s="43" t="s">
        <v>327</v>
      </c>
      <c r="H76" s="44" t="s">
        <v>379</v>
      </c>
      <c r="I76" s="45"/>
      <c r="J76" s="46" t="s">
        <v>380</v>
      </c>
      <c r="K76" s="47"/>
      <c r="L76" s="47" t="s">
        <v>381</v>
      </c>
      <c r="M76" s="48" t="str">
        <f ca="1">IFERROR(__xludf.DUMMYFUNCTION("googletranslate(L76, ""fr"", ""nl"")")," 
- Rechte snede
- Ronde kraag
- geribbelde rand en modieus in de kraag
- randen en rib boord stretch
- Lange mouwen
- Geleid Pattern
- Logo J &amp; JOY op het hart")</f>
        <v xml:space="preserve"> 
- Rechte snede
- Ronde kraag
- geribbelde rand en modieus in de kraag
- randen en rib boord stretch
- Lange mouwen
- Geleid Pattern
- Logo J &amp; JOY op het hart</v>
      </c>
      <c r="N76" s="76" t="s">
        <v>382</v>
      </c>
      <c r="O76" s="49" t="str">
        <f ca="1">IFERROR(__xludf.DUMMYFUNCTION("googletranslate(N76, ""fr"", ""nl"")"),"Eenvoudig, effectief en super leuke: dit sweatshirt trend ""sailor"" wordt opgesmukt met mooie lime groene details. Ideaal om te dragen met jeans en witte sneakers voor een mooie outfit trend.")</f>
        <v>Eenvoudig, effectief en super leuke: dit sweatshirt trend "sailor" wordt opgesmukt met mooie lime groene details. Ideaal om te dragen met jeans en witte sneakers voor een mooie outfit trend.</v>
      </c>
      <c r="P76" s="50" t="s">
        <v>155</v>
      </c>
      <c r="Q76" s="49" t="str">
        <f ca="1">IFERROR(__xludf.DUMMYFUNCTION("GOOGLETRANSLATE(P76, ""fr"", ""nl"")"),"veelkleurig")</f>
        <v>veelkleurig</v>
      </c>
      <c r="R76" s="94"/>
      <c r="S76" s="52" t="str">
        <f ca="1">IFERROR(__xludf.DUMMYFUNCTION("GOOGLETRANSLATE(R76, ""fr"", ""nl"")"),"#VALUE!")</f>
        <v>#VALUE!</v>
      </c>
      <c r="T76" s="53" t="s">
        <v>32</v>
      </c>
      <c r="U76" s="54" t="str">
        <f ca="1">IFERROR(__xludf.DUMMYFUNCTION("GOOGLETRANSLATE(T76, ""fr"", ""nl"")"),"Op 30 ° C max
Gebruik geen bleekmiddel
Gebruik geen van de droger
Strijken op gemiddelde temperatuur
Niet stomen")</f>
        <v>Op 30 ° C max
Gebruik geen bleekmiddel
Gebruik geen van de droger
Strijken op gemiddelde temperatuur
Niet stomen</v>
      </c>
      <c r="V76" s="62" t="s">
        <v>111</v>
      </c>
      <c r="W76" s="56"/>
    </row>
    <row r="77" spans="1:23" ht="15.75" customHeight="1">
      <c r="A77" s="57" t="s">
        <v>383</v>
      </c>
      <c r="B77" s="93">
        <v>34</v>
      </c>
      <c r="C77" s="41"/>
      <c r="E77" s="42"/>
      <c r="F77" s="43" t="s">
        <v>24</v>
      </c>
      <c r="G77" s="43" t="s">
        <v>327</v>
      </c>
      <c r="H77" s="44" t="s">
        <v>384</v>
      </c>
      <c r="I77" s="45"/>
      <c r="J77" s="46" t="s">
        <v>385</v>
      </c>
      <c r="K77" s="47"/>
      <c r="L77" s="47" t="s">
        <v>346</v>
      </c>
      <c r="M77" s="48" t="str">
        <f ca="1">IFERROR(__xludf.DUMMYFUNCTION("googletranslate(L77, ""fr"", ""nl"")"),"
- Rechte snede
- Met rits opening met contrasterende afwerking
- Halsband
- geribbelde rand en modieus in de kraag
- randen en rib boord stretch
- Lange mouwen
- Double pouch kangoeroe weg
- Logo J &amp; JOY op het hart")</f>
        <v xml:space="preserve">
- Rechte snede
- Met rits opening met contrasterende afwerking
- Halsband
- geribbelde rand en modieus in de kraag
- randen en rib boord stretch
- Lange mouwen
- Double pouch kangoeroe weg
- Logo J &amp; JOY op het hart</v>
      </c>
      <c r="N77" s="76" t="s">
        <v>386</v>
      </c>
      <c r="O77" s="49" t="str">
        <f ca="1">IFERROR(__xludf.DUMMYFUNCTION("googletranslate(N77, ""fr"", ""nl"")"),"Navy blauw, wit en groen: een combinatie die goed werkt!
Een koudegolf? Deze trui, met zijn eenvoudig en aantrekkelijk design, is de beste keuze van kleding mee te nemen! En trouwens, het past bij alle stijlen!")</f>
        <v>Navy blauw, wit en groen: een combinatie die goed werkt!
Een koudegolf? Deze trui, met zijn eenvoudig en aantrekkelijk design, is de beste keuze van kleding mee te nemen! En trouwens, het past bij alle stijlen!</v>
      </c>
      <c r="P77" s="50" t="s">
        <v>30</v>
      </c>
      <c r="Q77" s="49" t="str">
        <f ca="1">IFERROR(__xludf.DUMMYFUNCTION("GOOGLETRANSLATE(P77, ""fr"", ""nl"")"),"blauw")</f>
        <v>blauw</v>
      </c>
      <c r="R77" s="79" t="s">
        <v>337</v>
      </c>
      <c r="S77" s="52" t="str">
        <f ca="1">IFERROR(__xludf.DUMMYFUNCTION("GOOGLETRANSLATE(R77, ""fr"", ""nl"")"),"75% katoen en 25% polyester")</f>
        <v>75% katoen en 25% polyester</v>
      </c>
      <c r="T77" s="53" t="s">
        <v>32</v>
      </c>
      <c r="U77" s="54" t="str">
        <f ca="1">IFERROR(__xludf.DUMMYFUNCTION("GOOGLETRANSLATE(T77, ""fr"", ""nl"")"),"Op 30 ° C max
Gebruik geen bleekmiddel
Gebruik geen van de droger
Strijken op gemiddelde temperatuur
Niet stomen")</f>
        <v>Op 30 ° C max
Gebruik geen bleekmiddel
Gebruik geen van de droger
Strijken op gemiddelde temperatuur
Niet stomen</v>
      </c>
      <c r="V77" s="62" t="s">
        <v>111</v>
      </c>
      <c r="W77" s="56"/>
    </row>
    <row r="78" spans="1:23" ht="15.75" customHeight="1">
      <c r="A78" s="57" t="s">
        <v>387</v>
      </c>
      <c r="B78" s="93">
        <v>32</v>
      </c>
      <c r="C78" s="41"/>
      <c r="E78" s="42"/>
      <c r="F78" s="43" t="s">
        <v>24</v>
      </c>
      <c r="G78" s="43" t="s">
        <v>327</v>
      </c>
      <c r="H78" s="44" t="s">
        <v>141</v>
      </c>
      <c r="I78" s="45"/>
      <c r="J78" s="46" t="s">
        <v>388</v>
      </c>
      <c r="K78" s="47"/>
      <c r="L78" s="47" t="s">
        <v>389</v>
      </c>
      <c r="M78" s="48" t="str">
        <f ca="1">IFERROR(__xludf.DUMMYFUNCTION("googletranslate(L78, ""fr"", ""nl"")"),"
- Rechte snede
- Capuchon met contrast koord
- geribbelde rand en modieus in de kraag
- randen en rib boord stretch
- Lange mouwen
- Zijzakken
- Logo J &amp; JOY op het hart
")</f>
        <v xml:space="preserve">
- Rechte snede
- Capuchon met contrast koord
- geribbelde rand en modieus in de kraag
- randen en rib boord stretch
- Lange mouwen
- Zijzakken
- Logo J &amp; JOY op het hart
</v>
      </c>
      <c r="N78" s="76" t="s">
        <v>390</v>
      </c>
      <c r="O78" s="49" t="str">
        <f ca="1">IFERROR(__xludf.DUMMYFUNCTION("googletranslate(N78, ""fr"", ""nl"")"),"Met zijn levendige oranje en drie gekleurde lijnen die leiden tot alle nog meer moderniteit, vonden we het sweatshirt voor ons!
Mooi, warm en comfortabel om te dragen.")</f>
        <v>Met zijn levendige oranje en drie gekleurde lijnen die leiden tot alle nog meer moderniteit, vonden we het sweatshirt voor ons!
Mooi, warm en comfortabel om te dragen.</v>
      </c>
      <c r="P78" s="50" t="s">
        <v>49</v>
      </c>
      <c r="Q78" s="49" t="str">
        <f ca="1">IFERROR(__xludf.DUMMYFUNCTION("GOOGLETRANSLATE(P78, ""fr"", ""nl"")"),"oranje")</f>
        <v>oranje</v>
      </c>
      <c r="R78" s="61" t="s">
        <v>337</v>
      </c>
      <c r="S78" s="52" t="str">
        <f ca="1">IFERROR(__xludf.DUMMYFUNCTION("GOOGLETRANSLATE(R78, ""fr"", ""nl"")"),"75% katoen en 25% polyester")</f>
        <v>75% katoen en 25% polyester</v>
      </c>
      <c r="T78" s="53" t="s">
        <v>32</v>
      </c>
      <c r="U78" s="54" t="str">
        <f ca="1">IFERROR(__xludf.DUMMYFUNCTION("GOOGLETRANSLATE(T78, ""fr"", ""nl"")"),"Op 30 ° C max
Gebruik geen bleekmiddel
Gebruik geen van de droger
Strijken op gemiddelde temperatuur
Niet stomen")</f>
        <v>Op 30 ° C max
Gebruik geen bleekmiddel
Gebruik geen van de droger
Strijken op gemiddelde temperatuur
Niet stomen</v>
      </c>
      <c r="V78" s="62" t="s">
        <v>145</v>
      </c>
      <c r="W78" s="56"/>
    </row>
    <row r="79" spans="1:23" ht="15.75" customHeight="1">
      <c r="A79" s="57" t="s">
        <v>391</v>
      </c>
      <c r="B79" s="93">
        <v>32</v>
      </c>
      <c r="C79" s="41"/>
      <c r="E79" s="42"/>
      <c r="F79" s="43" t="s">
        <v>24</v>
      </c>
      <c r="G79" s="43" t="s">
        <v>327</v>
      </c>
      <c r="H79" s="44" t="s">
        <v>392</v>
      </c>
      <c r="I79" s="45"/>
      <c r="J79" s="46" t="s">
        <v>393</v>
      </c>
      <c r="K79" s="47"/>
      <c r="L79" s="47" t="s">
        <v>394</v>
      </c>
      <c r="M79" s="48" t="str">
        <f ca="1">IFERROR(__xludf.DUMMYFUNCTION("googletranslate(L79, ""fr"", ""nl"")"),"
- Rechte snede
- zip hood koord in contrast
- geribbelde rand en modieus in de kraag
- randen en rib boord stretch
- Lange mouwen lijnen
- Zijzakken
- Logo J &amp; JOY op het hart
")</f>
        <v xml:space="preserve">
- Rechte snede
- zip hood koord in contrast
- geribbelde rand en modieus in de kraag
- randen en rib boord stretch
- Lange mouwen lijnen
- Zijzakken
- Logo J &amp; JOY op het hart
</v>
      </c>
      <c r="N79" s="58" t="s">
        <v>395</v>
      </c>
      <c r="O79" s="49" t="str">
        <f ca="1">IFERROR(__xludf.DUMMYFUNCTION("googletranslate(N79, ""fr"", ""nl"")"),"Laat u niet misleiden door de marine: deze sweater is allesbehalve klassieker! Met gekleurde lijnen op de mouwen en schouders, de hoodie je nodig hebt om het simpel te houden, met een goede dosis originaliteit. Het is allemaal in de details!")</f>
        <v>Laat u niet misleiden door de marine: deze sweater is allesbehalve klassieker! Met gekleurde lijnen op de mouwen en schouders, de hoodie je nodig hebt om het simpel te houden, met een goede dosis originaliteit. Het is allemaal in de details!</v>
      </c>
      <c r="P79" s="50" t="s">
        <v>30</v>
      </c>
      <c r="Q79" s="49" t="str">
        <f ca="1">IFERROR(__xludf.DUMMYFUNCTION("GOOGLETRANSLATE(P79, ""fr"", ""nl"")"),"blauw")</f>
        <v>blauw</v>
      </c>
      <c r="R79" s="61" t="s">
        <v>283</v>
      </c>
      <c r="S79" s="52" t="str">
        <f ca="1">IFERROR(__xludf.DUMMYFUNCTION("GOOGLETRANSLATE(R79, ""fr"", ""nl"")"),"65% katoen 35% polyester")</f>
        <v>65% katoen 35% polyester</v>
      </c>
      <c r="T79" s="53" t="s">
        <v>32</v>
      </c>
      <c r="U79" s="54" t="str">
        <f ca="1">IFERROR(__xludf.DUMMYFUNCTION("GOOGLETRANSLATE(T79, ""fr"", ""nl"")"),"Op 30 ° C max
Gebruik geen bleekmiddel
Gebruik geen van de droger
Strijken op gemiddelde temperatuur
Niet stomen")</f>
        <v>Op 30 ° C max
Gebruik geen bleekmiddel
Gebruik geen van de droger
Strijken op gemiddelde temperatuur
Niet stomen</v>
      </c>
      <c r="V79" s="62" t="s">
        <v>145</v>
      </c>
      <c r="W79" s="56"/>
    </row>
    <row r="80" spans="1:23" ht="15.75" customHeight="1">
      <c r="A80" s="95" t="s">
        <v>396</v>
      </c>
      <c r="B80" s="93">
        <v>30</v>
      </c>
      <c r="C80" s="41"/>
      <c r="E80" s="42"/>
      <c r="F80" s="43" t="s">
        <v>24</v>
      </c>
      <c r="G80" s="43" t="s">
        <v>327</v>
      </c>
      <c r="H80" s="44" t="s">
        <v>173</v>
      </c>
      <c r="I80" s="45"/>
      <c r="J80" s="46" t="s">
        <v>397</v>
      </c>
      <c r="K80" s="47"/>
      <c r="L80" s="83" t="s">
        <v>398</v>
      </c>
      <c r="M80" s="48" t="str">
        <f ca="1">IFERROR(__xludf.DUMMYFUNCTION("googletranslate(L80,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80" s="76" t="s">
        <v>399</v>
      </c>
      <c r="O80" s="49" t="str">
        <f ca="1">IFERROR(__xludf.DUMMYFUNCTION("googletranslate(N80, ""fr"", ""nl"")"),"Deze gele trui is deel van onze collectie Bright Basics, gekenmerkt door een sterke kamers, licht en unisex.
Geen redenen of kunstgrepen, zullen deze hoodies niets anders dan hun heldere en felle kleuren nodig. Beschikbaar voor volwassenen en kinderen in"&amp;" een palet van neonschaduwen, deze grondbeginselen zijn de basis voor een succesvolle look en waarbij je je goed voelt.
Wat meer is: de hele familie is gekoppeld aan deze stukken unisex voor kinderen en volwassenen!")</f>
        <v>Deze gele trui is 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80" s="50" t="s">
        <v>105</v>
      </c>
      <c r="Q80" s="49" t="str">
        <f ca="1">IFERROR(__xludf.DUMMYFUNCTION("GOOGLETRANSLATE(P80, ""fr"", ""nl"")"),"geel")</f>
        <v>geel</v>
      </c>
      <c r="R80" s="79" t="s">
        <v>372</v>
      </c>
      <c r="S80" s="52" t="str">
        <f ca="1">IFERROR(__xludf.DUMMYFUNCTION("GOOGLETRANSLATE(R80, ""fr"", ""nl"")"),"50% katoen 50% polyester")</f>
        <v>50% katoen 50% polyester</v>
      </c>
      <c r="T80" s="53" t="s">
        <v>32</v>
      </c>
      <c r="U80" s="54" t="str">
        <f ca="1">IFERROR(__xludf.DUMMYFUNCTION("GOOGLETRANSLATE(T80, ""fr"", ""nl"")"),"Op 30 ° C max
Gebruik geen bleekmiddel
Gebruik geen van de droger
Strijken op gemiddelde temperatuur
Niet stomen")</f>
        <v>Op 30 ° C max
Gebruik geen bleekmiddel
Gebruik geen van de droger
Strijken op gemiddelde temperatuur
Niet stomen</v>
      </c>
      <c r="V80" s="62" t="s">
        <v>178</v>
      </c>
      <c r="W80" s="56"/>
    </row>
    <row r="81" spans="1:23" ht="15.75" customHeight="1">
      <c r="A81" s="95" t="s">
        <v>400</v>
      </c>
      <c r="B81" s="93">
        <v>30</v>
      </c>
      <c r="C81" s="41"/>
      <c r="E81" s="42"/>
      <c r="F81" s="43" t="s">
        <v>24</v>
      </c>
      <c r="G81" s="43" t="s">
        <v>327</v>
      </c>
      <c r="H81" s="44" t="s">
        <v>180</v>
      </c>
      <c r="I81" s="45"/>
      <c r="J81" s="46" t="s">
        <v>401</v>
      </c>
      <c r="K81" s="47"/>
      <c r="L81" s="83" t="s">
        <v>398</v>
      </c>
      <c r="M81" s="48" t="str">
        <f ca="1">IFERROR(__xludf.DUMMYFUNCTION("googletranslate(L81,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81" s="76" t="s">
        <v>402</v>
      </c>
      <c r="O81" s="49" t="str">
        <f ca="1">IFERROR(__xludf.DUMMYFUNCTION("googletranslate(N81, ""fr"", ""nl"")"),"Dit turquoise trui is deel van onze collectie Bright Basics, gekenmerkt door een sterke kamers, licht en unisex.
Geen redenen of kunstgrepen, zullen deze hoodies niets anders dan hun heldere en felle kleuren nodig. Beschikbaar voor volwassenen en kindere"&amp;"n in een palet van neonschaduwen, deze grondbeginselen zijn de basis voor een succesvolle look en waarbij je je goed voelt.
Wat meer is: de hele familie is gekoppeld aan deze stukken unisex voor kinderen en volwassenen!")</f>
        <v>Dit turquoise trui is 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81" s="50" t="s">
        <v>403</v>
      </c>
      <c r="Q81" s="49" t="str">
        <f ca="1">IFERROR(__xludf.DUMMYFUNCTION("GOOGLETRANSLATE(P81, ""fr"", ""nl"")"),"turkoois")</f>
        <v>turkoois</v>
      </c>
      <c r="R81" s="61" t="s">
        <v>337</v>
      </c>
      <c r="S81" s="52" t="str">
        <f ca="1">IFERROR(__xludf.DUMMYFUNCTION("GOOGLETRANSLATE(R81, ""fr"", ""nl"")"),"75% katoen en 25% polyester")</f>
        <v>75% katoen en 25% polyester</v>
      </c>
      <c r="T81" s="53" t="s">
        <v>32</v>
      </c>
      <c r="U81" s="54" t="str">
        <f ca="1">IFERROR(__xludf.DUMMYFUNCTION("GOOGLETRANSLATE(T81, ""fr"", ""nl"")"),"Op 30 ° C max
Gebruik geen bleekmiddel
Gebruik geen van de droger
Strijken op gemiddelde temperatuur
Niet stomen")</f>
        <v>Op 30 ° C max
Gebruik geen bleekmiddel
Gebruik geen van de droger
Strijken op gemiddelde temperatuur
Niet stomen</v>
      </c>
      <c r="V81" s="62" t="s">
        <v>178</v>
      </c>
      <c r="W81" s="56"/>
    </row>
    <row r="82" spans="1:23" ht="15.75" customHeight="1">
      <c r="A82" s="95" t="s">
        <v>404</v>
      </c>
      <c r="B82" s="93">
        <v>30</v>
      </c>
      <c r="C82" s="41"/>
      <c r="E82" s="42"/>
      <c r="F82" s="43" t="s">
        <v>24</v>
      </c>
      <c r="G82" s="43" t="s">
        <v>327</v>
      </c>
      <c r="H82" s="44" t="s">
        <v>185</v>
      </c>
      <c r="I82" s="45"/>
      <c r="J82" s="46" t="s">
        <v>405</v>
      </c>
      <c r="K82" s="47"/>
      <c r="L82" s="83" t="s">
        <v>398</v>
      </c>
      <c r="M82" s="48" t="str">
        <f ca="1">IFERROR(__xludf.DUMMYFUNCTION("googletranslate(L82,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82" s="76" t="s">
        <v>406</v>
      </c>
      <c r="O82" s="49" t="str">
        <f ca="1">IFERROR(__xludf.DUMMYFUNCTION("googletranslate(N82, ""fr"", ""nl"")"),"Deze oranje sweatshirt is deel van onze collectie Bright Basics, gekenmerkt door een sterke kamers, licht en unisex.
Geen redenen of kunstgrepen, zullen deze hoodies niets anders dan hun heldere en felle kleuren nodig. Beschikbaar voor volwassenen en kin"&amp;"deren in een palet van neonschaduwen, deze grondbeginselen zijn de basis voor een succesvolle look en waarbij je je goed voelt.
Wat meer is: de hele familie is gekoppeld aan deze stukken unisex voor kinderen en volwassenen!")</f>
        <v>Deze oranje sweatshirt is 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82" s="50" t="s">
        <v>49</v>
      </c>
      <c r="Q82" s="49" t="str">
        <f ca="1">IFERROR(__xludf.DUMMYFUNCTION("GOOGLETRANSLATE(P82, ""fr"", ""nl"")"),"oranje")</f>
        <v>oranje</v>
      </c>
      <c r="R82" s="61" t="s">
        <v>372</v>
      </c>
      <c r="S82" s="52" t="str">
        <f ca="1">IFERROR(__xludf.DUMMYFUNCTION("GOOGLETRANSLATE(R82, ""fr"", ""nl"")"),"50% katoen 50% polyester")</f>
        <v>50% katoen 50% polyester</v>
      </c>
      <c r="T82" s="53" t="s">
        <v>32</v>
      </c>
      <c r="U82" s="54" t="str">
        <f ca="1">IFERROR(__xludf.DUMMYFUNCTION("GOOGLETRANSLATE(T82, ""fr"", ""nl"")"),"Op 30 ° C max
Gebruik geen bleekmiddel
Gebruik geen van de droger
Strijken op gemiddelde temperatuur
Niet stomen")</f>
        <v>Op 30 ° C max
Gebruik geen bleekmiddel
Gebruik geen van de droger
Strijken op gemiddelde temperatuur
Niet stomen</v>
      </c>
      <c r="V82" s="62" t="s">
        <v>178</v>
      </c>
      <c r="W82" s="56"/>
    </row>
    <row r="83" spans="1:23" ht="15.75" customHeight="1">
      <c r="A83" s="95" t="s">
        <v>407</v>
      </c>
      <c r="B83" s="93">
        <v>30</v>
      </c>
      <c r="C83" s="41"/>
      <c r="E83" s="42"/>
      <c r="F83" s="43" t="s">
        <v>24</v>
      </c>
      <c r="G83" s="43" t="s">
        <v>327</v>
      </c>
      <c r="H83" s="44" t="s">
        <v>190</v>
      </c>
      <c r="I83" s="45"/>
      <c r="J83" s="46" t="s">
        <v>408</v>
      </c>
      <c r="K83" s="47"/>
      <c r="L83" s="83" t="s">
        <v>398</v>
      </c>
      <c r="M83" s="48" t="str">
        <f ca="1">IFERROR(__xludf.DUMMYFUNCTION("googletranslate(L83,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83" s="76" t="s">
        <v>409</v>
      </c>
      <c r="O83" s="49" t="str">
        <f ca="1">IFERROR(__xludf.DUMMYFUNCTION("googletranslate(N83, ""fr"", ""nl"")"),"Dit sweatshirt koraal is onderdeel van onze collectie Bright Basics, gekenmerkt door een sterke kamers, licht en unisex.
Geen redenen of kunstgrepen, zullen deze hoodies niets anders dan hun heldere en felle kleuren nodig. Beschikbaar voor volwassenen en"&amp;" kinderen in een palet van neonschaduwen, deze grondbeginselen zijn de basis voor een succesvolle look en waarbij je je goed voelt.
Wat meer is: de hele familie is gekoppeld aan deze stukken unisex voor kinderen en volwassenen!")</f>
        <v>Dit sweatshirt koraal is onderdeel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83" s="50" t="s">
        <v>194</v>
      </c>
      <c r="Q83" s="49" t="str">
        <f ca="1">IFERROR(__xludf.DUMMYFUNCTION("GOOGLETRANSLATE(P83, ""fr"", ""nl"")"),"koraal")</f>
        <v>koraal</v>
      </c>
      <c r="R83" s="61" t="s">
        <v>372</v>
      </c>
      <c r="S83" s="52" t="str">
        <f ca="1">IFERROR(__xludf.DUMMYFUNCTION("GOOGLETRANSLATE(R83, ""fr"", ""nl"")"),"50% katoen 50% polyester")</f>
        <v>50% katoen 50% polyester</v>
      </c>
      <c r="T83" s="53" t="s">
        <v>32</v>
      </c>
      <c r="U83" s="54" t="str">
        <f ca="1">IFERROR(__xludf.DUMMYFUNCTION("GOOGLETRANSLATE(T83, ""fr"", ""nl"")"),"Op 30 ° C max
Gebruik geen bleekmiddel
Gebruik geen van de droger
Strijken op gemiddelde temperatuur
Niet stomen")</f>
        <v>Op 30 ° C max
Gebruik geen bleekmiddel
Gebruik geen van de droger
Strijken op gemiddelde temperatuur
Niet stomen</v>
      </c>
      <c r="V83" s="62" t="s">
        <v>178</v>
      </c>
      <c r="W83" s="56"/>
    </row>
    <row r="84" spans="1:23" ht="15.75" customHeight="1">
      <c r="A84" s="82" t="s">
        <v>410</v>
      </c>
      <c r="B84" s="93">
        <v>30</v>
      </c>
      <c r="C84" s="41"/>
      <c r="E84" s="42"/>
      <c r="F84" s="43" t="s">
        <v>24</v>
      </c>
      <c r="G84" s="43" t="s">
        <v>327</v>
      </c>
      <c r="H84" s="44" t="s">
        <v>196</v>
      </c>
      <c r="I84" s="45"/>
      <c r="J84" s="46" t="s">
        <v>411</v>
      </c>
      <c r="K84" s="47"/>
      <c r="L84" s="83" t="s">
        <v>398</v>
      </c>
      <c r="M84" s="48" t="str">
        <f ca="1">IFERROR(__xludf.DUMMYFUNCTION("googletranslate(L84,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84" s="76" t="s">
        <v>412</v>
      </c>
      <c r="O84" s="49" t="str">
        <f ca="1">IFERROR(__xludf.DUMMYFUNCTION("googletranslate(N84, ""fr"", ""nl"")"),"Deze blauwe sweater maakt deel uit van onze collectie Bright Basics, gekenmerkt door een sterke kamers, licht en unisex.
Geen redenen of kunstgrepen, zullen deze hoodies niets anders dan hun heldere en felle kleuren nodig. Beschikbaar voor volwassenen en"&amp;" kinderen in een palet van neonschaduwen, deze grondbeginselen zijn de basis voor een succesvolle look en waarbij je je goed voelt.
Wat meer is: de hele familie is gekoppeld aan deze stukken unisex voor kinderen en volwassenen!")</f>
        <v>Deze blauwe sweater maakt deel uit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84" s="50" t="s">
        <v>30</v>
      </c>
      <c r="Q84" s="49" t="str">
        <f ca="1">IFERROR(__xludf.DUMMYFUNCTION("GOOGLETRANSLATE(P84, ""fr"", ""nl"")"),"blauw")</f>
        <v>blauw</v>
      </c>
      <c r="R84" s="61" t="s">
        <v>337</v>
      </c>
      <c r="S84" s="52" t="str">
        <f ca="1">IFERROR(__xludf.DUMMYFUNCTION("GOOGLETRANSLATE(R84, ""fr"", ""nl"")"),"75% katoen en 25% polyester")</f>
        <v>75% katoen en 25% polyester</v>
      </c>
      <c r="T84" s="53" t="s">
        <v>32</v>
      </c>
      <c r="U84" s="54" t="str">
        <f ca="1">IFERROR(__xludf.DUMMYFUNCTION("GOOGLETRANSLATE(T84, ""fr"", ""nl"")"),"Op 30 ° C max
Gebruik geen bleekmiddel
Gebruik geen van de droger
Strijken op gemiddelde temperatuur
Niet stomen")</f>
        <v>Op 30 ° C max
Gebruik geen bleekmiddel
Gebruik geen van de droger
Strijken op gemiddelde temperatuur
Niet stomen</v>
      </c>
      <c r="V84" s="62" t="s">
        <v>178</v>
      </c>
      <c r="W84" s="56"/>
    </row>
    <row r="85" spans="1:23" ht="15.75" customHeight="1">
      <c r="A85" s="84" t="s">
        <v>413</v>
      </c>
      <c r="B85" s="85"/>
      <c r="C85" s="67"/>
      <c r="D85" s="86"/>
      <c r="E85" s="67"/>
      <c r="F85" s="87"/>
      <c r="G85" s="87"/>
      <c r="H85" s="87"/>
      <c r="I85" s="26"/>
      <c r="J85" s="88"/>
      <c r="K85" s="89"/>
      <c r="L85" s="89"/>
      <c r="M85" s="48" t="str">
        <f ca="1">IFERROR(__xludf.DUMMYFUNCTION("googletranslate(L85, ""fr"", ""nl"")"),"#VALUE!")</f>
        <v>#VALUE!</v>
      </c>
      <c r="N85" s="90"/>
      <c r="O85" s="49" t="str">
        <f ca="1">IFERROR(__xludf.DUMMYFUNCTION("googletranslate(N85, ""fr"", ""nl"")"),"#VALUE!")</f>
        <v>#VALUE!</v>
      </c>
      <c r="P85" s="91"/>
      <c r="Q85" s="49" t="str">
        <f ca="1">IFERROR(__xludf.DUMMYFUNCTION("GOOGLETRANSLATE(P85, ""fr"", ""nl"")"),"#VALUE!")</f>
        <v>#VALUE!</v>
      </c>
      <c r="R85" s="92"/>
      <c r="S85" s="52" t="str">
        <f ca="1">IFERROR(__xludf.DUMMYFUNCTION("GOOGLETRANSLATE(R85, ""fr"", ""nl"")"),"#VALUE!")</f>
        <v>#VALUE!</v>
      </c>
      <c r="T85" s="89"/>
      <c r="U85" s="54" t="str">
        <f ca="1">IFERROR(__xludf.DUMMYFUNCTION("GOOGLETRANSLATE(T85, ""fr"", ""nl"")"),"#VALUE!")</f>
        <v>#VALUE!</v>
      </c>
      <c r="V85" s="89"/>
      <c r="W85" s="38"/>
    </row>
    <row r="86" spans="1:23" ht="15.75" customHeight="1">
      <c r="A86" s="39" t="s">
        <v>414</v>
      </c>
      <c r="B86" s="40">
        <v>26</v>
      </c>
      <c r="C86" s="41"/>
      <c r="D86" s="41"/>
      <c r="E86" s="96"/>
      <c r="F86" s="43" t="s">
        <v>24</v>
      </c>
      <c r="G86" s="97" t="s">
        <v>415</v>
      </c>
      <c r="H86" s="44" t="s">
        <v>416</v>
      </c>
      <c r="I86" s="45"/>
      <c r="J86" s="98" t="s">
        <v>417</v>
      </c>
      <c r="K86" s="99"/>
      <c r="L86" s="99" t="s">
        <v>418</v>
      </c>
      <c r="M86" s="48" t="str">
        <f ca="1">IFERROR(__xludf.DUMMYFUNCTION("googletranslate(L86, ""fr"", ""nl"")"),"
- Rechte snede
- Gedrukte patroon
- Classic kraag
- hals dichtgeknoopt Tips
- classic knoopsluiting
- Korte mouwen
- Gedrukte patroon kraag naast
- J &amp; JOY geborduurd logo op de borst")</f>
        <v xml:space="preserve">
- Rechte snede
- Gedrukte patroon
- Classic kraag
- hals dichtgeknoopt Tips
- classic knoopsluiting
- Korte mouwen
- Gedrukte patroon kraag naast
- J &amp; JOY geborduurd logo op de borst</v>
      </c>
      <c r="N86" s="76" t="s">
        <v>419</v>
      </c>
      <c r="O86" s="49" t="str">
        <f ca="1">IFERROR(__xludf.DUMMYFUNCTION("googletranslate(N86, ""fr"", ""nl"")"),"Deze blauwe shirt met korte mouwen is licht en volgt u in al uw zomer avonturen. Zijn druk wordt geïnspireerd door iconische Australische boemerangs. Bij")</f>
        <v>Deze blauwe shirt met korte mouwen is licht en volgt u in al uw zomer avonturen. Zijn druk wordt geïnspireerd door iconische Australische boemerangs. Bij</v>
      </c>
      <c r="P86" s="100" t="s">
        <v>30</v>
      </c>
      <c r="Q86" s="49" t="str">
        <f ca="1">IFERROR(__xludf.DUMMYFUNCTION("GOOGLETRANSLATE(P86, ""fr"", ""nl"")"),"blauw")</f>
        <v>blauw</v>
      </c>
      <c r="R86" s="63" t="s">
        <v>31</v>
      </c>
      <c r="S86" s="52" t="str">
        <f ca="1">IFERROR(__xludf.DUMMYFUNCTION("GOOGLETRANSLATE(R86, ""fr"", ""nl"")"),"100% katoen")</f>
        <v>100% katoen</v>
      </c>
      <c r="T86" s="53" t="s">
        <v>32</v>
      </c>
      <c r="U86" s="54" t="str">
        <f ca="1">IFERROR(__xludf.DUMMYFUNCTION("GOOGLETRANSLATE(T86, ""fr"", ""nl"")"),"Op 30 ° C max
Gebruik geen bleekmiddel
Gebruik geen van de droger
Strijken op gemiddelde temperatuur
Niet stomen")</f>
        <v>Op 30 ° C max
Gebruik geen bleekmiddel
Gebruik geen van de droger
Strijken op gemiddelde temperatuur
Niet stomen</v>
      </c>
      <c r="V86" s="62" t="s">
        <v>33</v>
      </c>
      <c r="W86" s="101"/>
    </row>
    <row r="87" spans="1:23" ht="15.75" customHeight="1">
      <c r="A87" s="57" t="s">
        <v>420</v>
      </c>
      <c r="B87" s="40">
        <v>28</v>
      </c>
      <c r="C87" s="41"/>
      <c r="D87" s="41"/>
      <c r="E87" s="96"/>
      <c r="F87" s="43" t="s">
        <v>24</v>
      </c>
      <c r="G87" s="97" t="s">
        <v>415</v>
      </c>
      <c r="H87" s="44" t="s">
        <v>421</v>
      </c>
      <c r="I87" s="45"/>
      <c r="J87" s="98" t="s">
        <v>422</v>
      </c>
      <c r="K87" s="99"/>
      <c r="L87" s="99" t="s">
        <v>423</v>
      </c>
      <c r="M87" s="48" t="str">
        <f ca="1">IFERROR(__xludf.DUMMYFUNCTION("googletranslate(L87,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87" s="76" t="s">
        <v>424</v>
      </c>
      <c r="O87" s="49" t="str">
        <f ca="1">IFERROR(__xludf.DUMMYFUNCTION("googletranslate(N87, ""fr"", ""nl"")"),"Dit shirt met lange mouw geeft een delicate bloemenprint in de kleuren blauw en rood. Het is ideaal voor zowel een kantoor dag op een feestje met vrienden of een familie maaltijd.")</f>
        <v>Dit shirt met lange mouw geeft een delicate bloemenprint in de kleuren blauw en rood. Het is ideaal voor zowel een kantoor dag op een feestje met vrienden of een familie maaltijd.</v>
      </c>
      <c r="P87" s="100" t="s">
        <v>100</v>
      </c>
      <c r="Q87" s="49" t="str">
        <f ca="1">IFERROR(__xludf.DUMMYFUNCTION("GOOGLETRANSLATE(P87, ""fr"", ""nl"")"),"Wit")</f>
        <v>Wit</v>
      </c>
      <c r="R87" s="63" t="s">
        <v>31</v>
      </c>
      <c r="S87" s="52" t="str">
        <f ca="1">IFERROR(__xludf.DUMMYFUNCTION("GOOGLETRANSLATE(R87, ""fr"", ""nl"")"),"100% katoen")</f>
        <v>100% katoen</v>
      </c>
      <c r="T87" s="53" t="s">
        <v>32</v>
      </c>
      <c r="U87" s="54" t="str">
        <f ca="1">IFERROR(__xludf.DUMMYFUNCTION("GOOGLETRANSLATE(T87, ""fr"", ""nl"")"),"Op 30 ° C max
Gebruik geen bleekmiddel
Gebruik geen van de droger
Strijken op gemiddelde temperatuur
Niet stomen")</f>
        <v>Op 30 ° C max
Gebruik geen bleekmiddel
Gebruik geen van de droger
Strijken op gemiddelde temperatuur
Niet stomen</v>
      </c>
      <c r="V87" s="62" t="s">
        <v>33</v>
      </c>
      <c r="W87" s="101"/>
    </row>
    <row r="88" spans="1:23" ht="15.75" customHeight="1">
      <c r="A88" s="57" t="s">
        <v>425</v>
      </c>
      <c r="B88" s="40">
        <v>28</v>
      </c>
      <c r="C88" s="41"/>
      <c r="D88" s="41"/>
      <c r="E88" s="96"/>
      <c r="F88" s="43" t="s">
        <v>24</v>
      </c>
      <c r="G88" s="97" t="s">
        <v>415</v>
      </c>
      <c r="H88" s="44" t="s">
        <v>426</v>
      </c>
      <c r="I88" s="45"/>
      <c r="J88" s="98" t="s">
        <v>427</v>
      </c>
      <c r="K88" s="99"/>
      <c r="L88" s="99" t="s">
        <v>423</v>
      </c>
      <c r="M88" s="48" t="str">
        <f ca="1">IFERROR(__xludf.DUMMYFUNCTION("googletranslate(L88,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88" s="76" t="s">
        <v>428</v>
      </c>
      <c r="O88" s="49" t="str">
        <f ca="1">IFERROR(__xludf.DUMMYFUNCTION("googletranslate(N88, ""fr"", ""nl"")"),"Met zijn delicate afgedrukt als een afbeelding, is dit overhemd is klassiek zonder ooit banaal!")</f>
        <v>Met zijn delicate afgedrukt als een afbeelding, is dit overhemd is klassiek zonder ooit banaal!</v>
      </c>
      <c r="P88" s="100" t="s">
        <v>100</v>
      </c>
      <c r="Q88" s="49" t="str">
        <f ca="1">IFERROR(__xludf.DUMMYFUNCTION("GOOGLETRANSLATE(P88, ""fr"", ""nl"")"),"Wit")</f>
        <v>Wit</v>
      </c>
      <c r="R88" s="63" t="s">
        <v>31</v>
      </c>
      <c r="S88" s="52" t="str">
        <f ca="1">IFERROR(__xludf.DUMMYFUNCTION("GOOGLETRANSLATE(R88, ""fr"", ""nl"")"),"100% katoen")</f>
        <v>100% katoen</v>
      </c>
      <c r="T88" s="53" t="s">
        <v>32</v>
      </c>
      <c r="U88" s="54" t="str">
        <f ca="1">IFERROR(__xludf.DUMMYFUNCTION("GOOGLETRANSLATE(T88, ""fr"", ""nl"")"),"Op 30 ° C max
Gebruik geen bleekmiddel
Gebruik geen van de droger
Strijken op gemiddelde temperatuur
Niet stomen")</f>
        <v>Op 30 ° C max
Gebruik geen bleekmiddel
Gebruik geen van de droger
Strijken op gemiddelde temperatuur
Niet stomen</v>
      </c>
      <c r="V88" s="62" t="s">
        <v>33</v>
      </c>
      <c r="W88" s="101"/>
    </row>
    <row r="89" spans="1:23" ht="15.75" customHeight="1">
      <c r="A89" s="57" t="s">
        <v>429</v>
      </c>
      <c r="B89" s="40">
        <v>28</v>
      </c>
      <c r="C89" s="41"/>
      <c r="D89" s="41"/>
      <c r="E89" s="96"/>
      <c r="F89" s="43" t="s">
        <v>24</v>
      </c>
      <c r="G89" s="97" t="s">
        <v>415</v>
      </c>
      <c r="H89" s="44" t="s">
        <v>430</v>
      </c>
      <c r="I89" s="45"/>
      <c r="J89" s="98" t="s">
        <v>431</v>
      </c>
      <c r="K89" s="99"/>
      <c r="L89" s="99" t="s">
        <v>423</v>
      </c>
      <c r="M89" s="48" t="str">
        <f ca="1">IFERROR(__xludf.DUMMYFUNCTION("googletranslate(L89,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89" s="76" t="s">
        <v>432</v>
      </c>
      <c r="O89" s="49" t="str">
        <f ca="1">IFERROR(__xludf.DUMMYFUNCTION("googletranslate(N89, ""fr"", ""nl"")"),"Een comfortabel overhemd, comfortabel om te dragen onder alle omstandigheden. En als zijn gedrukt ""pineapple"" op gevoerde achtergrond is geen twijfel origineel, haar sobere kleuren en zachte make het een gemakkelijk te dragen overhemd en overeenkomen me"&amp;"t elke dag.")</f>
        <v>Een comfortabel overhemd, comfortabel om te dragen onder alle omstandigheden. En als zijn gedrukt "pineapple" op gevoerde achtergrond is geen twijfel origineel, haar sobere kleuren en zachte make het een gemakkelijk te dragen overhemd en overeenkomen met elke dag.</v>
      </c>
      <c r="P89" s="100" t="s">
        <v>100</v>
      </c>
      <c r="Q89" s="49" t="str">
        <f ca="1">IFERROR(__xludf.DUMMYFUNCTION("GOOGLETRANSLATE(P89, ""fr"", ""nl"")"),"Wit")</f>
        <v>Wit</v>
      </c>
      <c r="R89" s="63" t="s">
        <v>31</v>
      </c>
      <c r="S89" s="52" t="str">
        <f ca="1">IFERROR(__xludf.DUMMYFUNCTION("GOOGLETRANSLATE(R89, ""fr"", ""nl"")"),"100% katoen")</f>
        <v>100% katoen</v>
      </c>
      <c r="T89" s="53" t="s">
        <v>32</v>
      </c>
      <c r="U89" s="54" t="str">
        <f ca="1">IFERROR(__xludf.DUMMYFUNCTION("GOOGLETRANSLATE(T89, ""fr"", ""nl"")"),"Op 30 ° C max
Gebruik geen bleekmiddel
Gebruik geen van de droger
Strijken op gemiddelde temperatuur
Niet stomen")</f>
        <v>Op 30 ° C max
Gebruik geen bleekmiddel
Gebruik geen van de droger
Strijken op gemiddelde temperatuur
Niet stomen</v>
      </c>
      <c r="V89" s="62" t="s">
        <v>33</v>
      </c>
      <c r="W89" s="101"/>
    </row>
    <row r="90" spans="1:23" ht="15.75" customHeight="1">
      <c r="A90" s="57" t="s">
        <v>433</v>
      </c>
      <c r="B90" s="40">
        <v>28</v>
      </c>
      <c r="C90" s="41"/>
      <c r="D90" s="41"/>
      <c r="E90" s="96"/>
      <c r="F90" s="43" t="s">
        <v>24</v>
      </c>
      <c r="G90" s="97" t="s">
        <v>415</v>
      </c>
      <c r="H90" s="44" t="s">
        <v>434</v>
      </c>
      <c r="I90" s="45"/>
      <c r="J90" s="98" t="s">
        <v>435</v>
      </c>
      <c r="K90" s="99"/>
      <c r="L90" s="99" t="s">
        <v>423</v>
      </c>
      <c r="M90" s="48" t="str">
        <f ca="1">IFERROR(__xludf.DUMMYFUNCTION("googletranslate(L90,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90" s="81" t="s">
        <v>436</v>
      </c>
      <c r="O90" s="49" t="str">
        <f ca="1">IFERROR(__xludf.DUMMYFUNCTION("googletranslate(N90, ""fr"", ""nl"")"),"Kangoeroes in zicht! Met dit patroon overhemd, hoef je niet onopgemerkt. Comfortabel om te dragen en veelzijdig gezien zijn kleur, is dit overhemd een must in je garderobe te hebben.")</f>
        <v>Kangoeroes in zicht! Met dit patroon overhemd, hoef je niet onopgemerkt. Comfortabel om te dragen en veelzijdig gezien zijn kleur, is dit overhemd een must in je garderobe te hebben.</v>
      </c>
      <c r="P90" s="100" t="s">
        <v>30</v>
      </c>
      <c r="Q90" s="49" t="str">
        <f ca="1">IFERROR(__xludf.DUMMYFUNCTION("GOOGLETRANSLATE(P90, ""fr"", ""nl"")"),"blauw")</f>
        <v>blauw</v>
      </c>
      <c r="R90" s="63" t="s">
        <v>31</v>
      </c>
      <c r="S90" s="52" t="str">
        <f ca="1">IFERROR(__xludf.DUMMYFUNCTION("GOOGLETRANSLATE(R90, ""fr"", ""nl"")"),"100% katoen")</f>
        <v>100% katoen</v>
      </c>
      <c r="T90" s="53" t="s">
        <v>32</v>
      </c>
      <c r="U90" s="54" t="str">
        <f ca="1">IFERROR(__xludf.DUMMYFUNCTION("GOOGLETRANSLATE(T90, ""fr"", ""nl"")"),"Op 30 ° C max
Gebruik geen bleekmiddel
Gebruik geen van de droger
Strijken op gemiddelde temperatuur
Niet stomen")</f>
        <v>Op 30 ° C max
Gebruik geen bleekmiddel
Gebruik geen van de droger
Strijken op gemiddelde temperatuur
Niet stomen</v>
      </c>
      <c r="V90" s="62" t="s">
        <v>33</v>
      </c>
      <c r="W90" s="101"/>
    </row>
    <row r="91" spans="1:23" ht="15.75" customHeight="1">
      <c r="A91" s="57" t="s">
        <v>437</v>
      </c>
      <c r="B91" s="40">
        <v>28</v>
      </c>
      <c r="C91" s="41"/>
      <c r="D91" s="41"/>
      <c r="E91" s="96"/>
      <c r="F91" s="43" t="s">
        <v>24</v>
      </c>
      <c r="G91" s="97" t="s">
        <v>415</v>
      </c>
      <c r="H91" s="44" t="s">
        <v>438</v>
      </c>
      <c r="I91" s="45"/>
      <c r="J91" s="99" t="s">
        <v>439</v>
      </c>
      <c r="K91" s="99"/>
      <c r="L91" s="99" t="s">
        <v>440</v>
      </c>
      <c r="M91" s="48" t="str">
        <f ca="1">IFERROR(__xludf.DUMMYFUNCTION("googletranslate(L91, ""fr"", ""nl"")"),"
- Rechte snede
- Classic kraag
- hals dichtgeknoopt Tips
- classic knoopsluiting
- Lange mouwen
- manchetten met afgeronde hoeken
- Bedrukte patroon binnen kraag en manchetten
- J &amp; JOY geborduurd logo op de borst
")</f>
        <v xml:space="preserve">
- Rechte snede
- Classic kraag
- hals dichtgeknoopt Tips
- classic knoopsluiting
- Lange mouwen
- manchetten met afgeronde hoeken
- Bedrukte patroon binnen kraag en manchetten
- J &amp; JOY geborduurd logo op de borst
</v>
      </c>
      <c r="N91" s="76" t="s">
        <v>441</v>
      </c>
      <c r="O91" s="49" t="str">
        <f ca="1">IFERROR(__xludf.DUMMYFUNCTION("googletranslate(N91, ""fr"", ""nl"")"),"Classic en verfijnd ... maar niet dat! Met zijn vele details en gedrukt in de kraag en mouwen, dit overhemd is geweldig!")</f>
        <v>Classic en verfijnd ... maar niet dat! Met zijn vele details en gedrukt in de kraag en mouwen, dit overhemd is geweldig!</v>
      </c>
      <c r="P91" s="100" t="s">
        <v>30</v>
      </c>
      <c r="Q91" s="49" t="str">
        <f ca="1">IFERROR(__xludf.DUMMYFUNCTION("GOOGLETRANSLATE(P91, ""fr"", ""nl"")"),"blauw")</f>
        <v>blauw</v>
      </c>
      <c r="R91" s="63" t="s">
        <v>31</v>
      </c>
      <c r="S91" s="52" t="str">
        <f ca="1">IFERROR(__xludf.DUMMYFUNCTION("GOOGLETRANSLATE(R91, ""fr"", ""nl"")"),"100% katoen")</f>
        <v>100% katoen</v>
      </c>
      <c r="T91" s="53" t="s">
        <v>32</v>
      </c>
      <c r="U91" s="54" t="str">
        <f ca="1">IFERROR(__xludf.DUMMYFUNCTION("GOOGLETRANSLATE(T91, ""fr"", ""nl"")"),"Op 30 ° C max
Gebruik geen bleekmiddel
Gebruik geen van de droger
Strijken op gemiddelde temperatuur
Niet stomen")</f>
        <v>Op 30 ° C max
Gebruik geen bleekmiddel
Gebruik geen van de droger
Strijken op gemiddelde temperatuur
Niet stomen</v>
      </c>
      <c r="V91" s="62" t="s">
        <v>33</v>
      </c>
      <c r="W91" s="101"/>
    </row>
    <row r="92" spans="1:23" ht="15.75" customHeight="1">
      <c r="A92" s="57" t="s">
        <v>442</v>
      </c>
      <c r="B92" s="40">
        <v>28</v>
      </c>
      <c r="C92" s="41"/>
      <c r="D92" s="41"/>
      <c r="E92" s="96"/>
      <c r="F92" s="43" t="s">
        <v>24</v>
      </c>
      <c r="G92" s="97" t="s">
        <v>415</v>
      </c>
      <c r="H92" s="44" t="s">
        <v>443</v>
      </c>
      <c r="I92" s="45"/>
      <c r="J92" s="98" t="s">
        <v>444</v>
      </c>
      <c r="K92" s="99"/>
      <c r="L92" s="99" t="s">
        <v>423</v>
      </c>
      <c r="M92" s="48" t="str">
        <f ca="1">IFERROR(__xludf.DUMMYFUNCTION("googletranslate(L92,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92" s="81" t="s">
        <v>445</v>
      </c>
      <c r="O92" s="49" t="str">
        <f ca="1">IFERROR(__xludf.DUMMYFUNCTION("googletranslate(N92, ""fr"", ""nl"")"),"Deze gedrukte overhemd jungle en acid kleuren is de perfecte stuk voor een kijkje Aussie zomer! Slijtage met jeans, chino's of shorts voor een kleurrijke outfit chic en casual.")</f>
        <v>Deze gedrukte overhemd jungle en acid kleuren is de perfecte stuk voor een kijkje Aussie zomer! Slijtage met jeans, chino's of shorts voor een kleurrijke outfit chic en casual.</v>
      </c>
      <c r="P92" s="100" t="s">
        <v>155</v>
      </c>
      <c r="Q92" s="49" t="str">
        <f ca="1">IFERROR(__xludf.DUMMYFUNCTION("GOOGLETRANSLATE(P92, ""fr"", ""nl"")"),"veelkleurig")</f>
        <v>veelkleurig</v>
      </c>
      <c r="R92" s="63" t="s">
        <v>31</v>
      </c>
      <c r="S92" s="52" t="str">
        <f ca="1">IFERROR(__xludf.DUMMYFUNCTION("GOOGLETRANSLATE(R92, ""fr"", ""nl"")"),"100% katoen")</f>
        <v>100% katoen</v>
      </c>
      <c r="T92" s="53" t="s">
        <v>32</v>
      </c>
      <c r="U92" s="54" t="str">
        <f ca="1">IFERROR(__xludf.DUMMYFUNCTION("GOOGLETRANSLATE(T92, ""fr"", ""nl"")"),"Op 30 ° C max
Gebruik geen bleekmiddel
Gebruik geen van de droger
Strijken op gemiddelde temperatuur
Niet stomen")</f>
        <v>Op 30 ° C max
Gebruik geen bleekmiddel
Gebruik geen van de droger
Strijken op gemiddelde temperatuur
Niet stomen</v>
      </c>
      <c r="V92" s="62" t="s">
        <v>83</v>
      </c>
      <c r="W92" s="101"/>
    </row>
    <row r="93" spans="1:23" ht="15.75" customHeight="1">
      <c r="A93" s="57" t="s">
        <v>446</v>
      </c>
      <c r="B93" s="40">
        <v>28</v>
      </c>
      <c r="C93" s="41"/>
      <c r="D93" s="41"/>
      <c r="E93" s="96"/>
      <c r="F93" s="43" t="s">
        <v>24</v>
      </c>
      <c r="G93" s="97" t="s">
        <v>415</v>
      </c>
      <c r="H93" s="44" t="s">
        <v>447</v>
      </c>
      <c r="I93" s="45"/>
      <c r="J93" s="98" t="s">
        <v>448</v>
      </c>
      <c r="K93" s="99"/>
      <c r="L93" s="99" t="s">
        <v>449</v>
      </c>
      <c r="M93" s="48" t="str">
        <f ca="1">IFERROR(__xludf.DUMMYFUNCTION("googletranslate(L93, ""fr"", ""nl"")"),"
- Rechte snede
- Gedrukte patroon
- Classic kraag
- hals dichtgeknoopt Tips
- classic knoopsluiting
- Lange mouwen
- manchetten met afgeronde hoeken
- Borstzak
- Bedrukte patroon binnen kraag en manchetten
- J &amp; JOY geborduurd logo op de borst
")</f>
        <v xml:space="preserve">
- Rechte snede
- Gedrukte patroon
- Classic kraag
- hals dichtgeknoopt Tips
- classic knoopsluiting
- Lange mouwen
- manchetten met afgeronde hoeken
- Borstzak
- Bedrukte patroon binnen kraag en manchetten
- J &amp; JOY geborduurd logo op de borst
</v>
      </c>
      <c r="N93" s="76" t="s">
        <v>450</v>
      </c>
      <c r="O93" s="49" t="str">
        <f ca="1">IFERROR(__xludf.DUMMYFUNCTION("googletranslate(N93, ""fr"", ""nl"")"),"Classic en verfijnd ... maar niet dat! Met zijn vele details en gedrukt in de kraag en mouwen, deze blauwe overhemd is verrassend en tijdloos!")</f>
        <v>Classic en verfijnd ... maar niet dat! Met zijn vele details en gedrukt in de kraag en mouwen, deze blauwe overhemd is verrassend en tijdloos!</v>
      </c>
      <c r="P93" s="100" t="s">
        <v>30</v>
      </c>
      <c r="Q93" s="49" t="str">
        <f ca="1">IFERROR(__xludf.DUMMYFUNCTION("GOOGLETRANSLATE(P93, ""fr"", ""nl"")"),"blauw")</f>
        <v>blauw</v>
      </c>
      <c r="R93" s="63" t="s">
        <v>31</v>
      </c>
      <c r="S93" s="52" t="str">
        <f ca="1">IFERROR(__xludf.DUMMYFUNCTION("GOOGLETRANSLATE(R93, ""fr"", ""nl"")"),"100% katoen")</f>
        <v>100% katoen</v>
      </c>
      <c r="T93" s="53" t="s">
        <v>32</v>
      </c>
      <c r="U93" s="54" t="str">
        <f ca="1">IFERROR(__xludf.DUMMYFUNCTION("GOOGLETRANSLATE(T93, ""fr"", ""nl"")"),"Op 30 ° C max
Gebruik geen bleekmiddel
Gebruik geen van de droger
Strijken op gemiddelde temperatuur
Niet stomen")</f>
        <v>Op 30 ° C max
Gebruik geen bleekmiddel
Gebruik geen van de droger
Strijken op gemiddelde temperatuur
Niet stomen</v>
      </c>
      <c r="V93" s="62" t="s">
        <v>83</v>
      </c>
      <c r="W93" s="101"/>
    </row>
    <row r="94" spans="1:23" ht="15.75" customHeight="1">
      <c r="A94" s="57" t="s">
        <v>451</v>
      </c>
      <c r="B94" s="40">
        <v>28</v>
      </c>
      <c r="C94" s="41"/>
      <c r="D94" s="41"/>
      <c r="E94" s="96"/>
      <c r="F94" s="43" t="s">
        <v>24</v>
      </c>
      <c r="G94" s="97" t="s">
        <v>415</v>
      </c>
      <c r="H94" s="44" t="s">
        <v>452</v>
      </c>
      <c r="I94" s="45"/>
      <c r="J94" s="98" t="s">
        <v>453</v>
      </c>
      <c r="K94" s="99"/>
      <c r="L94" s="99" t="s">
        <v>454</v>
      </c>
      <c r="M94" s="48" t="str">
        <f ca="1">IFERROR(__xludf.DUMMYFUNCTION("googletranslate(L94, ""fr"", ""nl"")"),"
- Rechte snede
- Gedrukte patroon
- Classic kraag
- hals dichtgeknoopt Tips
- classic knoopsluiting
- Lange mouwen
- manchetten met afgeronde hoeken
- Bedrukte patroon binnen kraag en manchetten
- J &amp; JOY geborduurd logo op de borst")</f>
        <v xml:space="preserve">
- Rechte snede
- Gedrukte patroon
- Classic kraag
- hals dichtgeknoopt Tips
- classic knoopsluiting
- Lange mouwen
- manchetten met afgeronde hoeken
- Bedrukte patroon binnen kraag en manchetten
- J &amp; JOY geborduurd logo op de borst</v>
      </c>
      <c r="N94" s="76" t="s">
        <v>455</v>
      </c>
      <c r="O94" s="49" t="str">
        <f ca="1">IFERROR(__xludf.DUMMYFUNCTION("googletranslate(N94, ""fr"", ""nl"")"),"Geïnspireerd Bondi Beach in Australië, het witte shirt is de perfecte speeltuin voor alle surfers die graag de wave te nemen!")</f>
        <v>Geïnspireerd Bondi Beach in Australië, het witte shirt is de perfecte speeltuin voor alle surfers die graag de wave te nemen!</v>
      </c>
      <c r="P94" s="100" t="s">
        <v>100</v>
      </c>
      <c r="Q94" s="49" t="str">
        <f ca="1">IFERROR(__xludf.DUMMYFUNCTION("GOOGLETRANSLATE(P94, ""fr"", ""nl"")"),"Wit")</f>
        <v>Wit</v>
      </c>
      <c r="R94" s="63" t="s">
        <v>31</v>
      </c>
      <c r="S94" s="52" t="str">
        <f ca="1">IFERROR(__xludf.DUMMYFUNCTION("GOOGLETRANSLATE(R94, ""fr"", ""nl"")"),"100% katoen")</f>
        <v>100% katoen</v>
      </c>
      <c r="T94" s="53" t="s">
        <v>32</v>
      </c>
      <c r="U94" s="54" t="str">
        <f ca="1">IFERROR(__xludf.DUMMYFUNCTION("GOOGLETRANSLATE(T94, ""fr"", ""nl"")"),"Op 30 ° C max
Gebruik geen bleekmiddel
Gebruik geen van de droger
Strijken op gemiddelde temperatuur
Niet stomen")</f>
        <v>Op 30 ° C max
Gebruik geen bleekmiddel
Gebruik geen van de droger
Strijken op gemiddelde temperatuur
Niet stomen</v>
      </c>
      <c r="V94" s="62" t="s">
        <v>83</v>
      </c>
      <c r="W94" s="101"/>
    </row>
    <row r="95" spans="1:23" ht="15.75" customHeight="1">
      <c r="A95" s="57" t="s">
        <v>456</v>
      </c>
      <c r="B95" s="40">
        <v>28</v>
      </c>
      <c r="C95" s="41"/>
      <c r="D95" s="41"/>
      <c r="E95" s="42"/>
      <c r="F95" s="43" t="s">
        <v>24</v>
      </c>
      <c r="G95" s="97" t="s">
        <v>415</v>
      </c>
      <c r="H95" s="44" t="s">
        <v>457</v>
      </c>
      <c r="I95" s="45"/>
      <c r="J95" s="98" t="s">
        <v>458</v>
      </c>
      <c r="K95" s="47"/>
      <c r="L95" s="47" t="s">
        <v>459</v>
      </c>
      <c r="M95" s="48" t="str">
        <f ca="1">IFERROR(__xludf.DUMMYFUNCTION("googletranslate(L95,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95" s="58" t="s">
        <v>460</v>
      </c>
      <c r="O95" s="49" t="str">
        <f ca="1">IFERROR(__xludf.DUMMYFUNCTION("googletranslate(N95, ""fr"", ""nl"")"),"Met al deze palmbomen, geen twijfel over bestaan: we zijn aangekomen in de zon!
Deze witte gevormde overhemd draagt ​​op Australische stranden voor de lente / zomer verrassen!")</f>
        <v>Met al deze palmbomen, geen twijfel over bestaan: we zijn aangekomen in de zon!
Deze witte gevormde overhemd draagt ​​op Australische stranden voor de lente / zomer verrassen!</v>
      </c>
      <c r="P95" s="50" t="s">
        <v>100</v>
      </c>
      <c r="Q95" s="49" t="str">
        <f ca="1">IFERROR(__xludf.DUMMYFUNCTION("GOOGLETRANSLATE(P95, ""fr"", ""nl"")"),"Wit")</f>
        <v>Wit</v>
      </c>
      <c r="R95" s="63" t="s">
        <v>31</v>
      </c>
      <c r="S95" s="52" t="str">
        <f ca="1">IFERROR(__xludf.DUMMYFUNCTION("GOOGLETRANSLATE(R95, ""fr"", ""nl"")"),"100% katoen")</f>
        <v>100% katoen</v>
      </c>
      <c r="T95" s="53" t="s">
        <v>32</v>
      </c>
      <c r="U95" s="54" t="str">
        <f ca="1">IFERROR(__xludf.DUMMYFUNCTION("GOOGLETRANSLATE(T95, ""fr"", ""nl"")"),"Op 30 ° C max
Gebruik geen bleekmiddel
Gebruik geen van de droger
Strijken op gemiddelde temperatuur
Niet stomen")</f>
        <v>Op 30 ° C max
Gebruik geen bleekmiddel
Gebruik geen van de droger
Strijken op gemiddelde temperatuur
Niet stomen</v>
      </c>
      <c r="V95" s="62" t="s">
        <v>83</v>
      </c>
      <c r="W95" s="56"/>
    </row>
    <row r="96" spans="1:23" ht="15.75" customHeight="1">
      <c r="A96" s="57" t="s">
        <v>461</v>
      </c>
      <c r="B96" s="40">
        <v>28</v>
      </c>
      <c r="C96" s="41"/>
      <c r="D96" s="41"/>
      <c r="E96" s="96"/>
      <c r="F96" s="43" t="s">
        <v>24</v>
      </c>
      <c r="G96" s="97" t="s">
        <v>415</v>
      </c>
      <c r="H96" s="44" t="s">
        <v>462</v>
      </c>
      <c r="I96" s="45"/>
      <c r="J96" s="98" t="s">
        <v>463</v>
      </c>
      <c r="K96" s="47"/>
      <c r="L96" s="47" t="s">
        <v>459</v>
      </c>
      <c r="M96" s="48" t="str">
        <f ca="1">IFERROR(__xludf.DUMMYFUNCTION("googletranslate(L96,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96" s="58" t="s">
        <v>464</v>
      </c>
      <c r="O96" s="49" t="str">
        <f ca="1">IFERROR(__xludf.DUMMYFUNCTION("googletranslate(N96, ""fr"", ""nl"")"),"Surfplanken gedrukt en heldere kleuren ... Met dit overhemd, zijn wij van mening al klaar om te surfen in Australië!
Of twister een klassieke look of om een ​​outfit van 100% fun te vullen, is dit overhemd perfect!")</f>
        <v>Surfplanken gedrukt en heldere kleuren ... Met dit overhemd, zijn wij van mening al klaar om te surfen in Australië!
Of twister een klassieke look of om een ​​outfit van 100% fun te vullen, is dit overhemd perfect!</v>
      </c>
      <c r="P96" s="100" t="s">
        <v>30</v>
      </c>
      <c r="Q96" s="49" t="str">
        <f ca="1">IFERROR(__xludf.DUMMYFUNCTION("GOOGLETRANSLATE(P96, ""fr"", ""nl"")"),"blauw")</f>
        <v>blauw</v>
      </c>
      <c r="R96" s="63" t="s">
        <v>31</v>
      </c>
      <c r="S96" s="52" t="str">
        <f ca="1">IFERROR(__xludf.DUMMYFUNCTION("GOOGLETRANSLATE(R96, ""fr"", ""nl"")"),"100% katoen")</f>
        <v>100% katoen</v>
      </c>
      <c r="T96" s="53" t="s">
        <v>32</v>
      </c>
      <c r="U96" s="54" t="str">
        <f ca="1">IFERROR(__xludf.DUMMYFUNCTION("GOOGLETRANSLATE(T96, ""fr"", ""nl"")"),"Op 30 ° C max
Gebruik geen bleekmiddel
Gebruik geen van de droger
Strijken op gemiddelde temperatuur
Niet stomen")</f>
        <v>Op 30 ° C max
Gebruik geen bleekmiddel
Gebruik geen van de droger
Strijken op gemiddelde temperatuur
Niet stomen</v>
      </c>
      <c r="V96" s="62" t="s">
        <v>83</v>
      </c>
      <c r="W96" s="101"/>
    </row>
    <row r="97" spans="1:23" ht="15.75" customHeight="1">
      <c r="A97" s="57" t="s">
        <v>465</v>
      </c>
      <c r="B97" s="40">
        <v>26</v>
      </c>
      <c r="C97" s="41"/>
      <c r="D97" s="41"/>
      <c r="E97" s="96"/>
      <c r="F97" s="43" t="s">
        <v>24</v>
      </c>
      <c r="G97" s="97" t="s">
        <v>415</v>
      </c>
      <c r="H97" s="44" t="s">
        <v>97</v>
      </c>
      <c r="I97" s="45"/>
      <c r="J97" s="98" t="s">
        <v>466</v>
      </c>
      <c r="K97" s="99"/>
      <c r="L97" s="99" t="s">
        <v>467</v>
      </c>
      <c r="M97" s="48" t="str">
        <f ca="1">IFERROR(__xludf.DUMMYFUNCTION("googletranslate(L97, ""fr"", ""nl"")"),"
- Rechte snede
- Gedrukte patroon
- Classic kraag
- hals dichtgeknoopt Tips
- classic knoopsluiting
- Korte mouwen
- Gedrukte patroon kraag naast
- J &amp; JOY geborduurd logo op de borst")</f>
        <v xml:space="preserve">
- Rechte snede
- Gedrukte patroon
- Classic kraag
- hals dichtgeknoopt Tips
- classic knoopsluiting
- Korte mouwen
- Gedrukte patroon kraag naast
- J &amp; JOY geborduurd logo op de borst</v>
      </c>
      <c r="N97" s="58" t="s">
        <v>468</v>
      </c>
      <c r="O97" s="49" t="str">
        <f ca="1">IFERROR(__xludf.DUMMYFUNCTION("googletranslate(N97, ""fr"", ""nl"")"),"Eenvoudig en zeer origineel in een tijd, deze korte mouwen is wit en lijn met flitsen terrein en palmbomen. Het is zeker om het slaperige looks ontwaken!")</f>
        <v>Eenvoudig en zeer origineel in een tijd, deze korte mouwen is wit en lijn met flitsen terrein en palmbomen. Het is zeker om het slaperige looks ontwaken!</v>
      </c>
      <c r="P97" s="100" t="s">
        <v>100</v>
      </c>
      <c r="Q97" s="49" t="str">
        <f ca="1">IFERROR(__xludf.DUMMYFUNCTION("GOOGLETRANSLATE(P97, ""fr"", ""nl"")"),"Wit")</f>
        <v>Wit</v>
      </c>
      <c r="R97" s="63" t="s">
        <v>31</v>
      </c>
      <c r="S97" s="52" t="str">
        <f ca="1">IFERROR(__xludf.DUMMYFUNCTION("GOOGLETRANSLATE(R97, ""fr"", ""nl"")"),"100% katoen")</f>
        <v>100% katoen</v>
      </c>
      <c r="T97" s="53" t="s">
        <v>32</v>
      </c>
      <c r="U97" s="54" t="str">
        <f ca="1">IFERROR(__xludf.DUMMYFUNCTION("GOOGLETRANSLATE(T97, ""fr"", ""nl"")"),"Op 30 ° C max
Gebruik geen bleekmiddel
Gebruik geen van de droger
Strijken op gemiddelde temperatuur
Niet stomen")</f>
        <v>Op 30 ° C max
Gebruik geen bleekmiddel
Gebruik geen van de droger
Strijken op gemiddelde temperatuur
Niet stomen</v>
      </c>
      <c r="V97" s="62" t="s">
        <v>83</v>
      </c>
      <c r="W97" s="101"/>
    </row>
    <row r="98" spans="1:23" ht="15.75" customHeight="1">
      <c r="A98" s="57" t="s">
        <v>469</v>
      </c>
      <c r="B98" s="40">
        <v>26</v>
      </c>
      <c r="C98" s="41"/>
      <c r="D98" s="41"/>
      <c r="E98" s="96"/>
      <c r="F98" s="43" t="s">
        <v>24</v>
      </c>
      <c r="G98" s="97" t="s">
        <v>415</v>
      </c>
      <c r="H98" s="44" t="s">
        <v>470</v>
      </c>
      <c r="I98" s="45"/>
      <c r="J98" s="98" t="s">
        <v>471</v>
      </c>
      <c r="K98" s="99"/>
      <c r="L98" s="99" t="s">
        <v>467</v>
      </c>
      <c r="M98" s="48" t="str">
        <f ca="1">IFERROR(__xludf.DUMMYFUNCTION("googletranslate(L98, ""fr"", ""nl"")"),"
- Rechte snede
- Gedrukte patroon
- Classic kraag
- hals dichtgeknoopt Tips
- classic knoopsluiting
- Korte mouwen
- Gedrukte patroon kraag naast
- J &amp; JOY geborduurd logo op de borst")</f>
        <v xml:space="preserve">
- Rechte snede
- Gedrukte patroon
- Classic kraag
- hals dichtgeknoopt Tips
- classic knoopsluiting
- Korte mouwen
- Gedrukte patroon kraag naast
- J &amp; JOY geborduurd logo op de borst</v>
      </c>
      <c r="N98" s="58" t="s">
        <v>472</v>
      </c>
      <c r="O98" s="49" t="str">
        <f ca="1">IFERROR(__xludf.DUMMYFUNCTION("googletranslate(N98, ""fr"", ""nl"")"),"Dit shirt met korte mouwen en gedrukte rode en witte jungle is sterk stuk niet te missen!")</f>
        <v>Dit shirt met korte mouwen en gedrukte rode en witte jungle is sterk stuk niet te missen!</v>
      </c>
      <c r="P98" s="100" t="s">
        <v>155</v>
      </c>
      <c r="Q98" s="49" t="str">
        <f ca="1">IFERROR(__xludf.DUMMYFUNCTION("GOOGLETRANSLATE(P98, ""fr"", ""nl"")"),"veelkleurig")</f>
        <v>veelkleurig</v>
      </c>
      <c r="R98" s="63" t="s">
        <v>31</v>
      </c>
      <c r="S98" s="52" t="str">
        <f ca="1">IFERROR(__xludf.DUMMYFUNCTION("GOOGLETRANSLATE(R98, ""fr"", ""nl"")"),"100% katoen")</f>
        <v>100% katoen</v>
      </c>
      <c r="T98" s="53" t="s">
        <v>32</v>
      </c>
      <c r="U98" s="54" t="str">
        <f ca="1">IFERROR(__xludf.DUMMYFUNCTION("GOOGLETRANSLATE(T98, ""fr"", ""nl"")"),"Op 30 ° C max
Gebruik geen bleekmiddel
Gebruik geen van de droger
Strijken op gemiddelde temperatuur
Niet stomen")</f>
        <v>Op 30 ° C max
Gebruik geen bleekmiddel
Gebruik geen van de droger
Strijken op gemiddelde temperatuur
Niet stomen</v>
      </c>
      <c r="V98" s="62" t="s">
        <v>83</v>
      </c>
      <c r="W98" s="101"/>
    </row>
    <row r="99" spans="1:23" ht="15.75" customHeight="1">
      <c r="A99" s="57" t="s">
        <v>473</v>
      </c>
      <c r="B99" s="40">
        <v>26</v>
      </c>
      <c r="C99" s="41"/>
      <c r="D99" s="41"/>
      <c r="E99" s="96"/>
      <c r="F99" s="43" t="s">
        <v>24</v>
      </c>
      <c r="G99" s="97" t="s">
        <v>415</v>
      </c>
      <c r="H99" s="44" t="s">
        <v>474</v>
      </c>
      <c r="I99" s="45"/>
      <c r="J99" s="98" t="s">
        <v>475</v>
      </c>
      <c r="K99" s="99"/>
      <c r="L99" s="99" t="s">
        <v>467</v>
      </c>
      <c r="M99" s="48" t="str">
        <f ca="1">IFERROR(__xludf.DUMMYFUNCTION("googletranslate(L99, ""fr"", ""nl"")"),"
- Rechte snede
- Gedrukte patroon
- Classic kraag
- hals dichtgeknoopt Tips
- classic knoopsluiting
- Korte mouwen
- Gedrukte patroon kraag naast
- J &amp; JOY geborduurd logo op de borst")</f>
        <v xml:space="preserve">
- Rechte snede
- Gedrukte patroon
- Classic kraag
- hals dichtgeknoopt Tips
- classic knoopsluiting
- Korte mouwen
- Gedrukte patroon kraag naast
- J &amp; JOY geborduurd logo op de borst</v>
      </c>
      <c r="N99" s="58" t="s">
        <v>476</v>
      </c>
      <c r="O99" s="49" t="str">
        <f ca="1">IFERROR(__xludf.DUMMYFUNCTION("googletranslate(N99, ""fr"", ""nl"")"),"In deze korte mouwen, er is een gedrukt ""palm"", donkerblauw en verschillende tinten groen. Het zal zeker een beroep doen op avonturiers en liefhebbers van originaliteit!")</f>
        <v>In deze korte mouwen, er is een gedrukt "palm", donkerblauw en verschillende tinten groen. Het zal zeker een beroep doen op avonturiers en liefhebbers van originaliteit!</v>
      </c>
      <c r="P99" s="100" t="s">
        <v>30</v>
      </c>
      <c r="Q99" s="49" t="str">
        <f ca="1">IFERROR(__xludf.DUMMYFUNCTION("GOOGLETRANSLATE(P99, ""fr"", ""nl"")"),"blauw")</f>
        <v>blauw</v>
      </c>
      <c r="R99" s="63" t="s">
        <v>31</v>
      </c>
      <c r="S99" s="52" t="str">
        <f ca="1">IFERROR(__xludf.DUMMYFUNCTION("GOOGLETRANSLATE(R99, ""fr"", ""nl"")"),"100% katoen")</f>
        <v>100% katoen</v>
      </c>
      <c r="T99" s="53" t="s">
        <v>32</v>
      </c>
      <c r="U99" s="54" t="str">
        <f ca="1">IFERROR(__xludf.DUMMYFUNCTION("GOOGLETRANSLATE(T99, ""fr"", ""nl"")"),"Op 30 ° C max
Gebruik geen bleekmiddel
Gebruik geen van de droger
Strijken op gemiddelde temperatuur
Niet stomen")</f>
        <v>Op 30 ° C max
Gebruik geen bleekmiddel
Gebruik geen van de droger
Strijken op gemiddelde temperatuur
Niet stomen</v>
      </c>
      <c r="V99" s="62" t="s">
        <v>111</v>
      </c>
      <c r="W99" s="101"/>
    </row>
    <row r="100" spans="1:23" ht="15.75" customHeight="1">
      <c r="A100" s="57" t="s">
        <v>477</v>
      </c>
      <c r="B100" s="40">
        <v>28</v>
      </c>
      <c r="C100" s="41"/>
      <c r="D100" s="41"/>
      <c r="E100" s="96"/>
      <c r="F100" s="43" t="s">
        <v>24</v>
      </c>
      <c r="G100" s="97" t="s">
        <v>415</v>
      </c>
      <c r="H100" s="44" t="s">
        <v>379</v>
      </c>
      <c r="I100" s="45"/>
      <c r="J100" s="98" t="s">
        <v>478</v>
      </c>
      <c r="K100" s="47"/>
      <c r="L100" s="47" t="s">
        <v>459</v>
      </c>
      <c r="M100" s="48" t="str">
        <f ca="1">IFERROR(__xludf.DUMMYFUNCTION("googletranslate(L100,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0" s="58" t="s">
        <v>479</v>
      </c>
      <c r="O100" s="49" t="str">
        <f ca="1">IFERROR(__xludf.DUMMYFUNCTION("googletranslate(N100, ""fr"", ""nl"")"),"Deze lijn overhemd biedt een zachte groene en een patroon ""palmen"" om je te dragen op de Australische stranden, is het inspireren!
Mooi, comfortabel en licht van gewicht, wordt dit overhemd volgt u de hele zomer.")</f>
        <v>Deze lijn overhemd biedt een zachte groene en een patroon "palmen" om je te dragen op de Australische stranden, is het inspireren!
Mooi, comfortabel en licht van gewicht, wordt dit overhemd volgt u de hele zomer.</v>
      </c>
      <c r="P100" s="100" t="s">
        <v>100</v>
      </c>
      <c r="Q100" s="49" t="str">
        <f ca="1">IFERROR(__xludf.DUMMYFUNCTION("GOOGLETRANSLATE(P100, ""fr"", ""nl"")"),"Wit")</f>
        <v>Wit</v>
      </c>
      <c r="R100" s="63" t="s">
        <v>31</v>
      </c>
      <c r="S100" s="52" t="str">
        <f ca="1">IFERROR(__xludf.DUMMYFUNCTION("GOOGLETRANSLATE(R100, ""fr"", ""nl"")"),"100% katoen")</f>
        <v>100% katoen</v>
      </c>
      <c r="T100" s="53" t="s">
        <v>32</v>
      </c>
      <c r="U100" s="54" t="str">
        <f ca="1">IFERROR(__xludf.DUMMYFUNCTION("GOOGLETRANSLATE(T100, ""fr"", ""nl"")"),"Op 30 ° C max
Gebruik geen bleekmiddel
Gebruik geen van de droger
Strijken op gemiddelde temperatuur
Niet stomen")</f>
        <v>Op 30 ° C max
Gebruik geen bleekmiddel
Gebruik geen van de droger
Strijken op gemiddelde temperatuur
Niet stomen</v>
      </c>
      <c r="V100" s="62" t="s">
        <v>480</v>
      </c>
      <c r="W100" s="101"/>
    </row>
    <row r="101" spans="1:23" ht="15.75" customHeight="1">
      <c r="A101" s="57" t="s">
        <v>481</v>
      </c>
      <c r="B101" s="40">
        <v>28</v>
      </c>
      <c r="C101" s="41"/>
      <c r="D101" s="41"/>
      <c r="E101" s="96"/>
      <c r="F101" s="43" t="s">
        <v>24</v>
      </c>
      <c r="G101" s="97" t="s">
        <v>415</v>
      </c>
      <c r="H101" s="44" t="s">
        <v>482</v>
      </c>
      <c r="I101" s="45"/>
      <c r="J101" s="98" t="s">
        <v>483</v>
      </c>
      <c r="K101" s="47"/>
      <c r="L101" s="47" t="s">
        <v>459</v>
      </c>
      <c r="M101" s="48" t="str">
        <f ca="1">IFERROR(__xludf.DUMMYFUNCTION("googletranslate(L101,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1" s="58" t="s">
        <v>484</v>
      </c>
      <c r="O101" s="49" t="str">
        <f ca="1">IFERROR(__xludf.DUMMYFUNCTION("googletranslate(N101, ""fr"", ""nl"")"),"Een grafische print en kleurrijke displays op het witte shirt voor een blik klassieke en moderne ook. Je hoeft niet moe!")</f>
        <v>Een grafische print en kleurrijke displays op het witte shirt voor een blik klassieke en moderne ook. Je hoeft niet moe!</v>
      </c>
      <c r="P101" s="100" t="s">
        <v>100</v>
      </c>
      <c r="Q101" s="49" t="str">
        <f ca="1">IFERROR(__xludf.DUMMYFUNCTION("GOOGLETRANSLATE(P101, ""fr"", ""nl"")"),"Wit")</f>
        <v>Wit</v>
      </c>
      <c r="R101" s="63" t="s">
        <v>31</v>
      </c>
      <c r="S101" s="52" t="str">
        <f ca="1">IFERROR(__xludf.DUMMYFUNCTION("GOOGLETRANSLATE(R101, ""fr"", ""nl"")"),"100% katoen")</f>
        <v>100% katoen</v>
      </c>
      <c r="T101" s="53" t="s">
        <v>32</v>
      </c>
      <c r="U101" s="54" t="str">
        <f ca="1">IFERROR(__xludf.DUMMYFUNCTION("GOOGLETRANSLATE(T101, ""fr"", ""nl"")"),"Op 30 ° C max
Gebruik geen bleekmiddel
Gebruik geen van de droger
Strijken op gemiddelde temperatuur
Niet stomen")</f>
        <v>Op 30 ° C max
Gebruik geen bleekmiddel
Gebruik geen van de droger
Strijken op gemiddelde temperatuur
Niet stomen</v>
      </c>
      <c r="V101" s="62" t="s">
        <v>480</v>
      </c>
      <c r="W101" s="101"/>
    </row>
    <row r="102" spans="1:23" ht="15.75" customHeight="1">
      <c r="A102" s="57" t="s">
        <v>485</v>
      </c>
      <c r="B102" s="40">
        <v>28</v>
      </c>
      <c r="C102" s="102"/>
      <c r="D102" s="102"/>
      <c r="E102" s="96"/>
      <c r="F102" s="43" t="s">
        <v>24</v>
      </c>
      <c r="G102" s="97" t="s">
        <v>415</v>
      </c>
      <c r="H102" s="44" t="s">
        <v>486</v>
      </c>
      <c r="I102" s="45"/>
      <c r="J102" s="98" t="s">
        <v>487</v>
      </c>
      <c r="K102" s="47"/>
      <c r="L102" s="47" t="s">
        <v>440</v>
      </c>
      <c r="M102" s="48" t="str">
        <f ca="1">IFERROR(__xludf.DUMMYFUNCTION("googletranslate(L102, ""fr"", ""nl"")"),"
- Rechte snede
- Classic kraag
- hals dichtgeknoopt Tips
- classic knoopsluiting
- Lange mouwen
- manchetten met afgeronde hoeken
- Bedrukte patroon binnen kraag en manchetten
- J &amp; JOY geborduurd logo op de borst
")</f>
        <v xml:space="preserve">
- Rechte snede
- Classic kraag
- hals dichtgeknoopt Tips
- classic knoopsluiting
- Lange mouwen
- manchetten met afgeronde hoeken
- Bedrukte patroon binnen kraag en manchetten
- J &amp; JOY geborduurd logo op de borst
</v>
      </c>
      <c r="N102" s="58" t="s">
        <v>488</v>
      </c>
      <c r="O102" s="49" t="str">
        <f ca="1">IFERROR(__xludf.DUMMYFUNCTION("googletranslate(N102, ""fr"", ""nl"")"),"Eenvoudige, effectieve, gemakkelijk te dragen en tijdloze beige shirt gaat met alles, in alle omstandigheden. Een goede keuze, elke keer!")</f>
        <v>Eenvoudige, effectieve, gemakkelijk te dragen en tijdloze beige shirt gaat met alles, in alle omstandigheden. Een goede keuze, elke keer!</v>
      </c>
      <c r="P102" s="103" t="s">
        <v>72</v>
      </c>
      <c r="Q102" s="49" t="str">
        <f ca="1">IFERROR(__xludf.DUMMYFUNCTION("GOOGLETRANSLATE(P102, ""fr"", ""nl"")"),"beige")</f>
        <v>beige</v>
      </c>
      <c r="R102" s="63" t="s">
        <v>31</v>
      </c>
      <c r="S102" s="52" t="str">
        <f ca="1">IFERROR(__xludf.DUMMYFUNCTION("GOOGLETRANSLATE(R102, ""fr"", ""nl"")"),"100% katoen")</f>
        <v>100% katoen</v>
      </c>
      <c r="T102" s="53" t="s">
        <v>32</v>
      </c>
      <c r="U102" s="54" t="str">
        <f ca="1">IFERROR(__xludf.DUMMYFUNCTION("GOOGLETRANSLATE(T102, ""fr"", ""nl"")"),"Op 30 ° C max
Gebruik geen bleekmiddel
Gebruik geen van de droger
Strijken op gemiddelde temperatuur
Niet stomen")</f>
        <v>Op 30 ° C max
Gebruik geen bleekmiddel
Gebruik geen van de droger
Strijken op gemiddelde temperatuur
Niet stomen</v>
      </c>
      <c r="V102" s="62" t="s">
        <v>480</v>
      </c>
      <c r="W102" s="101"/>
    </row>
    <row r="103" spans="1:23" ht="15.75" customHeight="1">
      <c r="A103" s="57" t="s">
        <v>489</v>
      </c>
      <c r="B103" s="40">
        <v>28</v>
      </c>
      <c r="C103" s="104"/>
      <c r="D103" s="102"/>
      <c r="E103" s="96"/>
      <c r="F103" s="43" t="s">
        <v>24</v>
      </c>
      <c r="G103" s="97" t="s">
        <v>415</v>
      </c>
      <c r="H103" s="44" t="s">
        <v>490</v>
      </c>
      <c r="I103" s="45"/>
      <c r="J103" s="98" t="s">
        <v>491</v>
      </c>
      <c r="K103" s="47"/>
      <c r="L103" s="47" t="s">
        <v>440</v>
      </c>
      <c r="M103" s="48" t="str">
        <f ca="1">IFERROR(__xludf.DUMMYFUNCTION("googletranslate(L103, ""fr"", ""nl"")"),"
- Rechte snede
- Classic kraag
- hals dichtgeknoopt Tips
- classic knoopsluiting
- Lange mouwen
- manchetten met afgeronde hoeken
- Bedrukte patroon binnen kraag en manchetten
- J &amp; JOY geborduurd logo op de borst
")</f>
        <v xml:space="preserve">
- Rechte snede
- Classic kraag
- hals dichtgeknoopt Tips
- classic knoopsluiting
- Lange mouwen
- manchetten met afgeronde hoeken
- Bedrukte patroon binnen kraag en manchetten
- J &amp; JOY geborduurd logo op de borst
</v>
      </c>
      <c r="N103" s="58" t="s">
        <v>492</v>
      </c>
      <c r="O103" s="49" t="str">
        <f ca="1">IFERROR(__xludf.DUMMYFUNCTION("googletranslate(N103, ""fr"", ""nl"")"),"Zo'n comfortabele overhemd dat gemakkelijk aan te passen. In wit, bruin en blauw tinten, is dit het overhemd voor u als voor het kantoor voor het weekend.")</f>
        <v>Zo'n comfortabele overhemd dat gemakkelijk aan te passen. In wit, bruin en blauw tinten, is dit het overhemd voor u als voor het kantoor voor het weekend.</v>
      </c>
      <c r="P103" s="103" t="s">
        <v>100</v>
      </c>
      <c r="Q103" s="49" t="str">
        <f ca="1">IFERROR(__xludf.DUMMYFUNCTION("GOOGLETRANSLATE(P103, ""fr"", ""nl"")"),"Wit")</f>
        <v>Wit</v>
      </c>
      <c r="R103" s="63" t="s">
        <v>31</v>
      </c>
      <c r="S103" s="52" t="str">
        <f ca="1">IFERROR(__xludf.DUMMYFUNCTION("GOOGLETRANSLATE(R103, ""fr"", ""nl"")"),"100% katoen")</f>
        <v>100% katoen</v>
      </c>
      <c r="T103" s="53" t="s">
        <v>32</v>
      </c>
      <c r="U103" s="54" t="str">
        <f ca="1">IFERROR(__xludf.DUMMYFUNCTION("GOOGLETRANSLATE(T103, ""fr"", ""nl"")"),"Op 30 ° C max
Gebruik geen bleekmiddel
Gebruik geen van de droger
Strijken op gemiddelde temperatuur
Niet stomen")</f>
        <v>Op 30 ° C max
Gebruik geen bleekmiddel
Gebruik geen van de droger
Strijken op gemiddelde temperatuur
Niet stomen</v>
      </c>
      <c r="V103" s="62" t="s">
        <v>480</v>
      </c>
      <c r="W103" s="101"/>
    </row>
    <row r="104" spans="1:23" ht="15.75" customHeight="1">
      <c r="A104" s="57" t="s">
        <v>493</v>
      </c>
      <c r="B104" s="40">
        <v>28</v>
      </c>
      <c r="C104" s="104"/>
      <c r="D104" s="102"/>
      <c r="E104" s="96"/>
      <c r="F104" s="43" t="s">
        <v>24</v>
      </c>
      <c r="G104" s="97" t="s">
        <v>415</v>
      </c>
      <c r="H104" s="44" t="s">
        <v>494</v>
      </c>
      <c r="I104" s="45"/>
      <c r="J104" s="98" t="s">
        <v>495</v>
      </c>
      <c r="K104" s="47"/>
      <c r="L104" s="47" t="s">
        <v>459</v>
      </c>
      <c r="M104" s="48" t="str">
        <f ca="1">IFERROR(__xludf.DUMMYFUNCTION("googletranslate(L104,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4" s="58" t="s">
        <v>496</v>
      </c>
      <c r="O104" s="49" t="str">
        <f ca="1">IFERROR(__xludf.DUMMYFUNCTION("googletranslate(N104, ""fr"", ""nl"")"),"Tijdloos! De marine blauwe gevormde overhemd is een must in je garderobe.")</f>
        <v>Tijdloos! De marine blauwe gevormde overhemd is een must in je garderobe.</v>
      </c>
      <c r="P104" s="103" t="s">
        <v>30</v>
      </c>
      <c r="Q104" s="49" t="str">
        <f ca="1">IFERROR(__xludf.DUMMYFUNCTION("GOOGLETRANSLATE(P104, ""fr"", ""nl"")"),"blauw")</f>
        <v>blauw</v>
      </c>
      <c r="R104" s="63" t="s">
        <v>31</v>
      </c>
      <c r="S104" s="52" t="str">
        <f ca="1">IFERROR(__xludf.DUMMYFUNCTION("GOOGLETRANSLATE(R104, ""fr"", ""nl"")"),"100% katoen")</f>
        <v>100% katoen</v>
      </c>
      <c r="T104" s="53" t="s">
        <v>32</v>
      </c>
      <c r="U104" s="54" t="str">
        <f ca="1">IFERROR(__xludf.DUMMYFUNCTION("GOOGLETRANSLATE(T104, ""fr"", ""nl"")"),"Op 30 ° C max
Gebruik geen bleekmiddel
Gebruik geen van de droger
Strijken op gemiddelde temperatuur
Niet stomen")</f>
        <v>Op 30 ° C max
Gebruik geen bleekmiddel
Gebruik geen van de droger
Strijken op gemiddelde temperatuur
Niet stomen</v>
      </c>
      <c r="V104" s="62" t="s">
        <v>480</v>
      </c>
      <c r="W104" s="101"/>
    </row>
    <row r="105" spans="1:23" ht="15.75" customHeight="1">
      <c r="A105" s="57" t="s">
        <v>497</v>
      </c>
      <c r="B105" s="40">
        <v>28</v>
      </c>
      <c r="C105" s="104"/>
      <c r="D105" s="102"/>
      <c r="E105" s="96"/>
      <c r="F105" s="43" t="s">
        <v>24</v>
      </c>
      <c r="G105" s="97" t="s">
        <v>415</v>
      </c>
      <c r="H105" s="44" t="s">
        <v>498</v>
      </c>
      <c r="I105" s="45"/>
      <c r="J105" s="98" t="s">
        <v>499</v>
      </c>
      <c r="K105" s="47"/>
      <c r="L105" s="47" t="s">
        <v>459</v>
      </c>
      <c r="M105" s="48" t="str">
        <f ca="1">IFERROR(__xludf.DUMMYFUNCTION("googletranslate(L105,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5" s="58" t="s">
        <v>500</v>
      </c>
      <c r="O105" s="49" t="str">
        <f ca="1">IFERROR(__xludf.DUMMYFUNCTION("googletranslate(N105, ""fr"", ""nl"")"),"Australië heeft niet alleen buideldieren voor u om te ontdekken! Deze uitzonderlijke land is ook vlogen over de prachtige kleurrijke vogels. Hier is er een die landde op dat blauw shirt.
Een origineel en uniek, dat de kleuren je garderobe.")</f>
        <v>Australië heeft niet alleen buideldieren voor u om te ontdekken! Deze uitzonderlijke land is ook vlogen over de prachtige kleurrijke vogels. Hier is er een die landde op dat blauw shirt.
Een origineel en uniek, dat de kleuren je garderobe.</v>
      </c>
      <c r="P105" s="103" t="s">
        <v>30</v>
      </c>
      <c r="Q105" s="49" t="str">
        <f ca="1">IFERROR(__xludf.DUMMYFUNCTION("GOOGLETRANSLATE(P105, ""fr"", ""nl"")"),"blauw")</f>
        <v>blauw</v>
      </c>
      <c r="R105" s="63" t="s">
        <v>31</v>
      </c>
      <c r="S105" s="52" t="str">
        <f ca="1">IFERROR(__xludf.DUMMYFUNCTION("GOOGLETRANSLATE(R105, ""fr"", ""nl"")"),"100% katoen")</f>
        <v>100% katoen</v>
      </c>
      <c r="T105" s="53" t="s">
        <v>32</v>
      </c>
      <c r="U105" s="54" t="str">
        <f ca="1">IFERROR(__xludf.DUMMYFUNCTION("GOOGLETRANSLATE(T105, ""fr"", ""nl"")"),"Op 30 ° C max
Gebruik geen bleekmiddel
Gebruik geen van de droger
Strijken op gemiddelde temperatuur
Niet stomen")</f>
        <v>Op 30 ° C max
Gebruik geen bleekmiddel
Gebruik geen van de droger
Strijken op gemiddelde temperatuur
Niet stomen</v>
      </c>
      <c r="V105" s="62" t="s">
        <v>145</v>
      </c>
      <c r="W105" s="101"/>
    </row>
    <row r="106" spans="1:23" ht="15.75" customHeight="1">
      <c r="A106" s="57" t="s">
        <v>501</v>
      </c>
      <c r="B106" s="40">
        <v>28</v>
      </c>
      <c r="C106" s="104"/>
      <c r="D106" s="102"/>
      <c r="E106" s="96"/>
      <c r="F106" s="43" t="s">
        <v>24</v>
      </c>
      <c r="G106" s="97" t="s">
        <v>415</v>
      </c>
      <c r="H106" s="44" t="s">
        <v>161</v>
      </c>
      <c r="I106" s="45"/>
      <c r="J106" s="98" t="s">
        <v>502</v>
      </c>
      <c r="K106" s="47"/>
      <c r="L106" s="47" t="s">
        <v>459</v>
      </c>
      <c r="M106" s="48" t="str">
        <f ca="1">IFERROR(__xludf.DUMMYFUNCTION("googletranslate(L106,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6" s="58" t="s">
        <v>503</v>
      </c>
      <c r="O106" s="49" t="str">
        <f ca="1">IFERROR(__xludf.DUMMYFUNCTION("googletranslate(N106, ""fr"", ""nl"")"),"Vogels als degenen die zijn gevonden in Australië, kleurrijke en zo mooi, dat lijken getrokken uit een tekenfilm. Dit patroon geeft energie je shirt, voor een veronderstelde resultaat dat zeker is om jezelf te onderscheiden.")</f>
        <v>Vogels als degenen die zijn gevonden in Australië, kleurrijke en zo mooi, dat lijken getrokken uit een tekenfilm. Dit patroon geeft energie je shirt, voor een veronderstelde resultaat dat zeker is om jezelf te onderscheiden.</v>
      </c>
      <c r="P106" s="100" t="s">
        <v>100</v>
      </c>
      <c r="Q106" s="49" t="str">
        <f ca="1">IFERROR(__xludf.DUMMYFUNCTION("GOOGLETRANSLATE(P106, ""fr"", ""nl"")"),"Wit")</f>
        <v>Wit</v>
      </c>
      <c r="R106" s="63" t="s">
        <v>31</v>
      </c>
      <c r="S106" s="52" t="str">
        <f ca="1">IFERROR(__xludf.DUMMYFUNCTION("GOOGLETRANSLATE(R106, ""fr"", ""nl"")"),"100% katoen")</f>
        <v>100% katoen</v>
      </c>
      <c r="T106" s="53" t="s">
        <v>32</v>
      </c>
      <c r="U106" s="54" t="str">
        <f ca="1">IFERROR(__xludf.DUMMYFUNCTION("GOOGLETRANSLATE(T106, ""fr"", ""nl"")"),"Op 30 ° C max
Gebruik geen bleekmiddel
Gebruik geen van de droger
Strijken op gemiddelde temperatuur
Niet stomen")</f>
        <v>Op 30 ° C max
Gebruik geen bleekmiddel
Gebruik geen van de droger
Strijken op gemiddelde temperatuur
Niet stomen</v>
      </c>
      <c r="V106" s="62" t="s">
        <v>145</v>
      </c>
      <c r="W106" s="101"/>
    </row>
    <row r="107" spans="1:23" ht="15.75" customHeight="1">
      <c r="A107" s="57" t="s">
        <v>504</v>
      </c>
      <c r="B107" s="40">
        <v>28</v>
      </c>
      <c r="C107" s="104"/>
      <c r="D107" s="102"/>
      <c r="E107" s="96"/>
      <c r="F107" s="43" t="s">
        <v>24</v>
      </c>
      <c r="G107" s="97" t="s">
        <v>415</v>
      </c>
      <c r="H107" s="44" t="s">
        <v>505</v>
      </c>
      <c r="I107" s="45"/>
      <c r="J107" s="98" t="s">
        <v>506</v>
      </c>
      <c r="K107" s="47"/>
      <c r="L107" s="47" t="s">
        <v>459</v>
      </c>
      <c r="M107" s="48" t="str">
        <f ca="1">IFERROR(__xludf.DUMMYFUNCTION("googletranslate(L107,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7" s="58" t="s">
        <v>507</v>
      </c>
      <c r="O107" s="49" t="str">
        <f ca="1">IFERROR(__xludf.DUMMYFUNCTION("googletranslate(N107, ""fr"", ""nl"")"),"Welkom in de jungle! Avonturiers zullen genieten van dit patroon dat hoogtepunten de aard van de dichte Australische Rainforest.
Origineel en gemakkelijk te dragen dit overhemd verhoogt je look.")</f>
        <v>Welkom in de jungle! Avonturiers zullen genieten van dit patroon dat hoogtepunten de aard van de dichte Australische Rainforest.
Origineel en gemakkelijk te dragen dit overhemd verhoogt je look.</v>
      </c>
      <c r="P107" s="100" t="s">
        <v>100</v>
      </c>
      <c r="Q107" s="49" t="str">
        <f ca="1">IFERROR(__xludf.DUMMYFUNCTION("GOOGLETRANSLATE(P107, ""fr"", ""nl"")"),"Wit")</f>
        <v>Wit</v>
      </c>
      <c r="R107" s="63" t="s">
        <v>31</v>
      </c>
      <c r="S107" s="52" t="str">
        <f ca="1">IFERROR(__xludf.DUMMYFUNCTION("GOOGLETRANSLATE(R107, ""fr"", ""nl"")"),"100% katoen")</f>
        <v>100% katoen</v>
      </c>
      <c r="T107" s="53" t="s">
        <v>32</v>
      </c>
      <c r="U107" s="54" t="str">
        <f ca="1">IFERROR(__xludf.DUMMYFUNCTION("GOOGLETRANSLATE(T107, ""fr"", ""nl"")"),"Op 30 ° C max
Gebruik geen bleekmiddel
Gebruik geen van de droger
Strijken op gemiddelde temperatuur
Niet stomen")</f>
        <v>Op 30 ° C max
Gebruik geen bleekmiddel
Gebruik geen van de droger
Strijken op gemiddelde temperatuur
Niet stomen</v>
      </c>
      <c r="V107" s="62" t="s">
        <v>145</v>
      </c>
      <c r="W107" s="101"/>
    </row>
    <row r="108" spans="1:23" ht="15.75" customHeight="1">
      <c r="A108" s="57" t="s">
        <v>508</v>
      </c>
      <c r="B108" s="40">
        <v>28</v>
      </c>
      <c r="C108" s="104"/>
      <c r="D108" s="102"/>
      <c r="E108" s="96"/>
      <c r="F108" s="43" t="s">
        <v>24</v>
      </c>
      <c r="G108" s="97" t="s">
        <v>415</v>
      </c>
      <c r="H108" s="44" t="s">
        <v>509</v>
      </c>
      <c r="I108" s="45"/>
      <c r="J108" s="98" t="s">
        <v>510</v>
      </c>
      <c r="K108" s="47"/>
      <c r="L108" s="47" t="s">
        <v>459</v>
      </c>
      <c r="M108" s="48" t="str">
        <f ca="1">IFERROR(__xludf.DUMMYFUNCTION("googletranslate(L108,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108" s="58" t="s">
        <v>511</v>
      </c>
      <c r="O108" s="49" t="str">
        <f ca="1">IFERROR(__xludf.DUMMYFUNCTION("googletranslate(N108, ""fr"", ""nl"")"),"weelderige natuur van Australië nodigt uit op je shirt in een explosie van kleuren groen en bruin.
Perfect bij jeans of chino beige, is dit overhemd zult u zowel overdag als 's avonds.")</f>
        <v>weelderige natuur van Australië nodigt uit op je shirt in een explosie van kleuren groen en bruin.
Perfect bij jeans of chino beige, is dit overhemd zult u zowel overdag als 's avonds.</v>
      </c>
      <c r="P108" s="100" t="s">
        <v>100</v>
      </c>
      <c r="Q108" s="49" t="str">
        <f ca="1">IFERROR(__xludf.DUMMYFUNCTION("GOOGLETRANSLATE(P108, ""fr"", ""nl"")"),"Wit")</f>
        <v>Wit</v>
      </c>
      <c r="R108" s="63" t="s">
        <v>31</v>
      </c>
      <c r="S108" s="52" t="str">
        <f ca="1">IFERROR(__xludf.DUMMYFUNCTION("GOOGLETRANSLATE(R108, ""fr"", ""nl"")"),"100% katoen")</f>
        <v>100% katoen</v>
      </c>
      <c r="T108" s="53" t="s">
        <v>32</v>
      </c>
      <c r="U108" s="54" t="str">
        <f ca="1">IFERROR(__xludf.DUMMYFUNCTION("GOOGLETRANSLATE(T108, ""fr"", ""nl"")"),"Op 30 ° C max
Gebruik geen bleekmiddel
Gebruik geen van de droger
Strijken op gemiddelde temperatuur
Niet stomen")</f>
        <v>Op 30 ° C max
Gebruik geen bleekmiddel
Gebruik geen van de droger
Strijken op gemiddelde temperatuur
Niet stomen</v>
      </c>
      <c r="V108" s="62" t="s">
        <v>145</v>
      </c>
      <c r="W108" s="101"/>
    </row>
    <row r="109" spans="1:23" ht="15.75" customHeight="1">
      <c r="A109" s="57" t="s">
        <v>512</v>
      </c>
      <c r="B109" s="40">
        <v>26</v>
      </c>
      <c r="C109" s="104"/>
      <c r="D109" s="102"/>
      <c r="E109" s="96"/>
      <c r="F109" s="43" t="s">
        <v>24</v>
      </c>
      <c r="G109" s="97" t="s">
        <v>415</v>
      </c>
      <c r="H109" s="44" t="s">
        <v>513</v>
      </c>
      <c r="I109" s="45"/>
      <c r="J109" s="98" t="s">
        <v>514</v>
      </c>
      <c r="K109" s="99"/>
      <c r="L109" s="99" t="s">
        <v>467</v>
      </c>
      <c r="M109" s="48" t="str">
        <f ca="1">IFERROR(__xludf.DUMMYFUNCTION("googletranslate(L109, ""fr"", ""nl"")"),"
- Rechte snede
- Gedrukte patroon
- Classic kraag
- hals dichtgeknoopt Tips
- classic knoopsluiting
- Korte mouwen
- Gedrukte patroon kraag naast
- J &amp; JOY geborduurd logo op de borst")</f>
        <v xml:space="preserve">
- Rechte snede
- Gedrukte patroon
- Classic kraag
- hals dichtgeknoopt Tips
- classic knoopsluiting
- Korte mouwen
- Gedrukte patroon kraag naast
- J &amp; JOY geborduurd logo op de borst</v>
      </c>
      <c r="N109" s="58" t="s">
        <v>515</v>
      </c>
      <c r="O109" s="49" t="str">
        <f ca="1">IFERROR(__xludf.DUMMYFUNCTION("googletranslate(N109, ""fr"", ""nl"")"),"Voel je goed in deze korte mouwen originaliteit aanvaard! Met je groen / blauw en jungle motief, geen twijfel over bestaan, zal het beroep op vet!")</f>
        <v>Voel je goed in deze korte mouwen originaliteit aanvaard! Met je groen / blauw en jungle motief, geen twijfel over bestaan, zal het beroep op vet!</v>
      </c>
      <c r="P109" s="100" t="s">
        <v>30</v>
      </c>
      <c r="Q109" s="49" t="str">
        <f ca="1">IFERROR(__xludf.DUMMYFUNCTION("GOOGLETRANSLATE(P109, ""fr"", ""nl"")"),"blauw")</f>
        <v>blauw</v>
      </c>
      <c r="R109" s="63" t="s">
        <v>31</v>
      </c>
      <c r="S109" s="52" t="str">
        <f ca="1">IFERROR(__xludf.DUMMYFUNCTION("GOOGLETRANSLATE(R109, ""fr"", ""nl"")"),"100% katoen")</f>
        <v>100% katoen</v>
      </c>
      <c r="T109" s="53" t="s">
        <v>32</v>
      </c>
      <c r="U109" s="54" t="str">
        <f ca="1">IFERROR(__xludf.DUMMYFUNCTION("GOOGLETRANSLATE(T109, ""fr"", ""nl"")"),"Op 30 ° C max
Gebruik geen bleekmiddel
Gebruik geen van de droger
Strijken op gemiddelde temperatuur
Niet stomen")</f>
        <v>Op 30 ° C max
Gebruik geen bleekmiddel
Gebruik geen van de droger
Strijken op gemiddelde temperatuur
Niet stomen</v>
      </c>
      <c r="V109" s="62" t="s">
        <v>145</v>
      </c>
      <c r="W109" s="101"/>
    </row>
    <row r="110" spans="1:23" ht="15.75" customHeight="1">
      <c r="A110" s="84" t="s">
        <v>516</v>
      </c>
      <c r="B110" s="85"/>
      <c r="C110" s="67"/>
      <c r="D110" s="86"/>
      <c r="E110" s="67"/>
      <c r="F110" s="87"/>
      <c r="G110" s="87"/>
      <c r="H110" s="87"/>
      <c r="I110" s="26"/>
      <c r="J110" s="88"/>
      <c r="K110" s="89"/>
      <c r="L110" s="89"/>
      <c r="M110" s="48" t="str">
        <f ca="1">IFERROR(__xludf.DUMMYFUNCTION("googletranslate(L110, ""fr"", ""nl"")"),"#VALUE!")</f>
        <v>#VALUE!</v>
      </c>
      <c r="N110" s="91"/>
      <c r="O110" s="49" t="str">
        <f ca="1">IFERROR(__xludf.DUMMYFUNCTION("googletranslate(N110, ""fr"", ""nl"")"),"#VALUE!")</f>
        <v>#VALUE!</v>
      </c>
      <c r="P110" s="91"/>
      <c r="Q110" s="49" t="str">
        <f ca="1">IFERROR(__xludf.DUMMYFUNCTION("GOOGLETRANSLATE(P110, ""fr"", ""nl"")"),"#VALUE!")</f>
        <v>#VALUE!</v>
      </c>
      <c r="R110" s="92"/>
      <c r="S110" s="52" t="str">
        <f ca="1">IFERROR(__xludf.DUMMYFUNCTION("GOOGLETRANSLATE(R110, ""fr"", ""nl"")"),"#VALUE!")</f>
        <v>#VALUE!</v>
      </c>
      <c r="T110" s="89"/>
      <c r="U110" s="54" t="str">
        <f ca="1">IFERROR(__xludf.DUMMYFUNCTION("GOOGLETRANSLATE(T110, ""fr"", ""nl"")"),"#VALUE!")</f>
        <v>#VALUE!</v>
      </c>
      <c r="V110" s="89"/>
      <c r="W110" s="38"/>
    </row>
    <row r="111" spans="1:23" ht="15.75" customHeight="1">
      <c r="A111" s="105" t="s">
        <v>517</v>
      </c>
      <c r="B111" s="106">
        <v>48</v>
      </c>
      <c r="C111" s="41"/>
      <c r="D111" s="41"/>
      <c r="E111" s="42"/>
      <c r="F111" s="43" t="s">
        <v>24</v>
      </c>
      <c r="G111" s="43" t="s">
        <v>518</v>
      </c>
      <c r="H111" s="44" t="s">
        <v>68</v>
      </c>
      <c r="I111" s="45"/>
      <c r="J111" s="43" t="s">
        <v>519</v>
      </c>
      <c r="K111" s="75"/>
      <c r="L111" s="47" t="s">
        <v>520</v>
      </c>
      <c r="M111" s="48" t="str">
        <f ca="1">IFERROR(__xludf.DUMMYFUNCTION("googletranslate(L111, ""fr"", ""nl"")"),"
- Jacket winddicht Slip
- Rechte snede
- Lange mouwen
- Met rits opening
- Kap met elastiek klemmen contrast
- Side rits
- Pols Stretch
- Gedrukte logo J &amp; JOY op het hart
- J &amp; JOY Badge op schouder
- Logo fabric J &amp; JOY onderaan
")</f>
        <v xml:space="preserve">
- Jacket winddicht Slip
- Rechte snede
- Lange mouwen
- Met rits opening
- Kap met elastiek klemmen contrast
- Side rits
- Pols Stretch
- Gedrukte logo J &amp; JOY op het hart
- J &amp; JOY Badge op schouder
- Logo fabric J &amp; JOY onderaan
</v>
      </c>
      <c r="N111" s="58" t="s">
        <v>521</v>
      </c>
      <c r="O111" s="49" t="str">
        <f ca="1">IFERROR(__xludf.DUMMYFUNCTION("googletranslate(N111, ""fr"", ""nl"")"),"Niet alleen dit windjack bruin / camel beschermt u tegen de kou, maar ook de kleur gaat met alles!
Praktisch en mooi tegelijk, dit lichtgewicht jack is uw bondgenoot tegen de wind en kou, en de garantie van een onberispelijke smaak stijl.")</f>
        <v>Niet alleen dit windjack bruin / camel beschermt u tegen de kou, maar ook de kleur gaat met alles!
Praktisch en mooi tegelijk, dit lichtgewicht jack is uw bondgenoot tegen de wind en kou, en de garantie van een onberispelijke smaak stijl.</v>
      </c>
      <c r="P111" s="50" t="s">
        <v>522</v>
      </c>
      <c r="Q111" s="49" t="str">
        <f ca="1">IFERROR(__xludf.DUMMYFUNCTION("GOOGLETRANSLATE(P111, ""fr"", ""nl"")"),"bruin")</f>
        <v>bruin</v>
      </c>
      <c r="R111" s="107" t="s">
        <v>523</v>
      </c>
      <c r="S111" s="52" t="str">
        <f ca="1">IFERROR(__xludf.DUMMYFUNCTION("GOOGLETRANSLATE(R111, ""fr"", ""nl"")"),"100% Polyester")</f>
        <v>100% Polyester</v>
      </c>
      <c r="T111" s="53" t="s">
        <v>32</v>
      </c>
      <c r="U111" s="54" t="str">
        <f ca="1">IFERROR(__xludf.DUMMYFUNCTION("GOOGLETRANSLATE(T111, ""fr"", ""nl"")"),"Op 30 ° C max
Gebruik geen bleekmiddel
Gebruik geen van de droger
Strijken op gemiddelde temperatuur
Niet stomen")</f>
        <v>Op 30 ° C max
Gebruik geen bleekmiddel
Gebruik geen van de droger
Strijken op gemiddelde temperatuur
Niet stomen</v>
      </c>
      <c r="V111" s="62" t="s">
        <v>33</v>
      </c>
      <c r="W111" s="56"/>
    </row>
    <row r="112" spans="1:23" ht="15.75" customHeight="1">
      <c r="A112" s="57" t="s">
        <v>524</v>
      </c>
      <c r="B112" s="106">
        <v>44</v>
      </c>
      <c r="C112" s="41"/>
      <c r="D112" s="41"/>
      <c r="E112" s="42"/>
      <c r="F112" s="43" t="s">
        <v>24</v>
      </c>
      <c r="G112" s="43" t="s">
        <v>518</v>
      </c>
      <c r="H112" s="44" t="s">
        <v>525</v>
      </c>
      <c r="I112" s="45"/>
      <c r="J112" s="43" t="s">
        <v>526</v>
      </c>
      <c r="K112" s="75"/>
      <c r="L112" s="47" t="s">
        <v>527</v>
      </c>
      <c r="M112" s="48" t="str">
        <f ca="1">IFERROR(__xludf.DUMMYFUNCTION("googletranslate(L112, ""fr"", ""nl"")")," :
- Rechte snede
- Lange mouwen
- Binnenvoering softshellavec drukpatroon
- Met rits opening met contrasterende afwerking
- Ronde kraag en stijlvol
- randen en elastische manchetten
- Side rits
- Borstzak
- Binnen zak op het hart
- Badge J &amp; JOY op schou"&amp;"der
")</f>
        <v xml:space="preserve"> :
- Rechte snede
- Lange mouwen
- Binnenvoering softshellavec drukpatroon
- Met rits opening met contrasterende afwerking
- Ronde kraag en stijlvol
- randen en elastische manchetten
- Side rits
- Borstzak
- Binnen zak op het hart
- Badge J &amp; JOY op schouder
</v>
      </c>
      <c r="N112" s="58" t="s">
        <v>528</v>
      </c>
      <c r="O112" s="49" t="str">
        <f ca="1">IFERROR(__xludf.DUMMYFUNCTION("googletranslate(N112, ""fr"", ""nl"")"),"Kan niet mis gaan met deze blauwe licht jasje marine er enigszins ""bolle"" te gaan. Gemakkelijk om alle stijlen te combineren, het is een tijdloos model dat je nooit moe.")</f>
        <v>Kan niet mis gaan met deze blauwe licht jasje marine er enigszins "bolle" te gaan. Gemakkelijk om alle stijlen te combineren, het is een tijdloos model dat je nooit moe.</v>
      </c>
      <c r="P112" s="50" t="s">
        <v>30</v>
      </c>
      <c r="Q112" s="49" t="str">
        <f ca="1">IFERROR(__xludf.DUMMYFUNCTION("GOOGLETRANSLATE(P112, ""fr"", ""nl"")"),"blauw")</f>
        <v>blauw</v>
      </c>
      <c r="R112" s="107" t="s">
        <v>523</v>
      </c>
      <c r="S112" s="52" t="str">
        <f ca="1">IFERROR(__xludf.DUMMYFUNCTION("GOOGLETRANSLATE(R112, ""fr"", ""nl"")"),"100% Polyester")</f>
        <v>100% Polyester</v>
      </c>
      <c r="T112" s="53" t="s">
        <v>32</v>
      </c>
      <c r="U112" s="54" t="str">
        <f ca="1">IFERROR(__xludf.DUMMYFUNCTION("GOOGLETRANSLATE(T112, ""fr"", ""nl"")"),"Op 30 ° C max
Gebruik geen bleekmiddel
Gebruik geen van de droger
Strijken op gemiddelde temperatuur
Niet stomen")</f>
        <v>Op 30 ° C max
Gebruik geen bleekmiddel
Gebruik geen van de droger
Strijken op gemiddelde temperatuur
Niet stomen</v>
      </c>
      <c r="V112" s="62" t="s">
        <v>33</v>
      </c>
      <c r="W112" s="56"/>
    </row>
    <row r="113" spans="1:23" ht="15.75" customHeight="1">
      <c r="A113" s="57" t="s">
        <v>529</v>
      </c>
      <c r="B113" s="106">
        <v>48</v>
      </c>
      <c r="C113" s="41"/>
      <c r="D113" s="41"/>
      <c r="E113" s="42"/>
      <c r="F113" s="43" t="s">
        <v>24</v>
      </c>
      <c r="G113" s="43" t="s">
        <v>518</v>
      </c>
      <c r="H113" s="44" t="s">
        <v>530</v>
      </c>
      <c r="I113" s="45"/>
      <c r="J113" s="43" t="s">
        <v>531</v>
      </c>
      <c r="K113" s="75"/>
      <c r="L113" s="47" t="s">
        <v>532</v>
      </c>
      <c r="M113" s="48" t="str">
        <f ca="1">IFERROR(__xludf.DUMMYFUNCTION("googletranslate(L113, ""fr"", ""nl"")"),"
- Rechte snede
- Lange Mouwen T-shirt
- voering softshell
- Met rits opening met contrasterende afwerking
- Kap met elastiek klemmen contrast
- rits afneembare capuchon
- gestileerde rand in de nek
- Binnen zak op het hart
- Zijzakken
- Badge J &amp; JOY hal"&amp;"s
- J &amp; JOY Logo stof op de bodem
")</f>
        <v xml:space="preserve">
- Rechte snede
- Lange Mouwen T-shirt
- voering softshell
- Met rits opening met contrasterende afwerking
- Kap met elastiek klemmen contrast
- rits afneembare capuchon
- gestileerde rand in de nek
- Binnen zak op het hart
- Zijzakken
- Badge J &amp; JOY hals
- J &amp; JOY Logo stof op de bodem
</v>
      </c>
      <c r="N113" s="58" t="s">
        <v>533</v>
      </c>
      <c r="O113" s="49" t="str">
        <f ca="1">IFERROR(__xludf.DUMMYFUNCTION("googletranslate(N113, ""fr"", ""nl"")"),"Origineel met zijn armen in sweatshirt materiaal, deze jas beschermt u tegen de kou terwijl het geven van u een zeer moderne stijl.
Eenvoudig te stemmen gezien zijn marine blauwe kleur, kun je dragen de hele tijd, en je zult niet moe.")</f>
        <v>Origineel met zijn armen in sweatshirt materiaal, deze jas beschermt u tegen de kou terwijl het geven van u een zeer moderne stijl.
Eenvoudig te stemmen gezien zijn marine blauwe kleur, kun je dragen de hele tijd, en je zult niet moe.</v>
      </c>
      <c r="P113" s="50" t="s">
        <v>30</v>
      </c>
      <c r="Q113" s="49" t="str">
        <f ca="1">IFERROR(__xludf.DUMMYFUNCTION("GOOGLETRANSLATE(P113, ""fr"", ""nl"")"),"blauw")</f>
        <v>blauw</v>
      </c>
      <c r="R113" s="107" t="s">
        <v>523</v>
      </c>
      <c r="S113" s="52" t="str">
        <f ca="1">IFERROR(__xludf.DUMMYFUNCTION("GOOGLETRANSLATE(R113, ""fr"", ""nl"")"),"100% Polyester")</f>
        <v>100% Polyester</v>
      </c>
      <c r="T113" s="53" t="s">
        <v>32</v>
      </c>
      <c r="U113" s="54" t="str">
        <f ca="1">IFERROR(__xludf.DUMMYFUNCTION("GOOGLETRANSLATE(T113, ""fr"", ""nl"")"),"Op 30 ° C max
Gebruik geen bleekmiddel
Gebruik geen van de droger
Strijken op gemiddelde temperatuur
Niet stomen")</f>
        <v>Op 30 ° C max
Gebruik geen bleekmiddel
Gebruik geen van de droger
Strijken op gemiddelde temperatuur
Niet stomen</v>
      </c>
      <c r="V113" s="62" t="s">
        <v>83</v>
      </c>
      <c r="W113" s="56"/>
    </row>
    <row r="114" spans="1:23" ht="15.75" customHeight="1">
      <c r="A114" s="57" t="s">
        <v>534</v>
      </c>
      <c r="B114" s="106">
        <v>40</v>
      </c>
      <c r="C114" s="41"/>
      <c r="D114" s="41"/>
      <c r="E114" s="42"/>
      <c r="F114" s="43" t="s">
        <v>24</v>
      </c>
      <c r="G114" s="43" t="s">
        <v>518</v>
      </c>
      <c r="H114" s="44" t="s">
        <v>535</v>
      </c>
      <c r="I114" s="45"/>
      <c r="J114" s="43" t="s">
        <v>536</v>
      </c>
      <c r="K114" s="75"/>
      <c r="L114" s="47" t="s">
        <v>537</v>
      </c>
      <c r="M114" s="48" t="str">
        <f ca="1">IFERROR(__xludf.DUMMYFUNCTION("googletranslate(L114, ""fr"", ""nl"")"),"
- Jacket winddicht Slip
- Rechte snede
- Lange mouwen
- rits opening halflange
- Kap met elastiek klemmen contrast
- Side-steekzakken
- Grote buidel met ritssluiting
- stretchs manchetten
- Zip zakken aan de zijkanten
- Elastiek in de taille onderhoud
- "&amp;"Gedrukte logo J &amp; JOY op het hart
- J &amp; JOY Badge op schouder
- Logo fabric J &amp; JOY onderaan
")</f>
        <v xml:space="preserve">
- Jacket winddicht Slip
- Rechte snede
- Lange mouwen
- rits opening halflange
- Kap met elastiek klemmen contrast
- Side-steekzakken
- Grote buidel met ritssluiting
- stretchs manchetten
- Zip zakken aan de zijkanten
- Elastiek in de taille onderhoud
- Gedrukte logo J &amp; JOY op het hart
- J &amp; JOY Badge op schouder
- Logo fabric J &amp; JOY onderaan
</v>
      </c>
      <c r="N114" s="58" t="s">
        <v>538</v>
      </c>
      <c r="O114" s="49" t="str">
        <f ca="1">IFERROR(__xludf.DUMMYFUNCTION("googletranslate(N114, ""fr"", ""nl"")"),"Een windjack jas naar rechts, blauw en voorvak gezegd: dit is onze nieuwe model van lichte jas, en we vinden het geweldig.
Zo mooi als functioneel en hier in een kleur die gaat met alles, het is de jas kunt u kiezen zonder na te denken over het! Tijdloos.")</f>
        <v>Een windjack jas naar rechts, blauw en voorvak gezegd: dit is onze nieuwe model van lichte jas, en we vinden het geweldig.
Zo mooi als functioneel en hier in een kleur die gaat met alles, het is de jas kunt u kiezen zonder na te denken over het! Tijdloos.</v>
      </c>
      <c r="P114" s="50" t="s">
        <v>30</v>
      </c>
      <c r="Q114" s="49" t="str">
        <f ca="1">IFERROR(__xludf.DUMMYFUNCTION("GOOGLETRANSLATE(P114, ""fr"", ""nl"")"),"blauw")</f>
        <v>blauw</v>
      </c>
      <c r="R114" s="107" t="s">
        <v>523</v>
      </c>
      <c r="S114" s="52" t="str">
        <f ca="1">IFERROR(__xludf.DUMMYFUNCTION("GOOGLETRANSLATE(R114, ""fr"", ""nl"")"),"100% Polyester")</f>
        <v>100% Polyester</v>
      </c>
      <c r="T114" s="53" t="s">
        <v>32</v>
      </c>
      <c r="U114" s="54" t="str">
        <f ca="1">IFERROR(__xludf.DUMMYFUNCTION("GOOGLETRANSLATE(T114, ""fr"", ""nl"")"),"Op 30 ° C max
Gebruik geen bleekmiddel
Gebruik geen van de droger
Strijken op gemiddelde temperatuur
Niet stomen")</f>
        <v>Op 30 ° C max
Gebruik geen bleekmiddel
Gebruik geen van de droger
Strijken op gemiddelde temperatuur
Niet stomen</v>
      </c>
      <c r="V114" s="62" t="s">
        <v>83</v>
      </c>
      <c r="W114" s="56"/>
    </row>
    <row r="115" spans="1:23" ht="15.75" customHeight="1">
      <c r="A115" s="57" t="s">
        <v>539</v>
      </c>
      <c r="B115" s="106">
        <v>52</v>
      </c>
      <c r="C115" s="41"/>
      <c r="D115" s="41"/>
      <c r="E115" s="42"/>
      <c r="F115" s="43" t="s">
        <v>24</v>
      </c>
      <c r="G115" s="43" t="s">
        <v>518</v>
      </c>
      <c r="H115" s="44" t="s">
        <v>540</v>
      </c>
      <c r="I115" s="45"/>
      <c r="J115" s="43" t="s">
        <v>541</v>
      </c>
      <c r="K115" s="75"/>
      <c r="L115" s="47" t="s">
        <v>542</v>
      </c>
      <c r="M115" s="48" t="str">
        <f ca="1">IFERROR(__xludf.DUMMYFUNCTION("googletranslate(L115, ""fr"", ""nl"")")," :
- Rechte snede
- capuchon rits in de kraag
- Lange mouwen
- Binnenste voering soft shell met gedrukte patroon
- Met rits opening met contrasterende afwerking
- kraag en stijlvol
- randen en elastische manchetten
- Side rits
- op de borst met rits
- Bin"&amp;"nen zak op het hart
- Logo J &amp; JOY op het hart")</f>
        <v xml:space="preserve"> :
- Rechte snede
- capuchon rits in de kraag
- Lange mouwen
- Binnenste voering soft shell met gedrukte patroon
- Met rits opening met contrasterende afwerking
- kraag en stijlvol
- randen en elastische manchetten
- Side rits
- op de borst met rits
- Binnen zak op het hart
- Logo J &amp; JOY op het hart</v>
      </c>
      <c r="N115" s="58" t="s">
        <v>543</v>
      </c>
      <c r="O115" s="49" t="str">
        <f ca="1">IFERROR(__xludf.DUMMYFUNCTION("googletranslate(N115, ""fr"", ""nl"")"),"Tijdloos en solide, deze blauwe jas heeft een tijdloze, klassieke uitstraling die je alleen kan behagen.")</f>
        <v>Tijdloos en solide, deze blauwe jas heeft een tijdloze, klassieke uitstraling die je alleen kan behagen.</v>
      </c>
      <c r="P115" s="50" t="s">
        <v>30</v>
      </c>
      <c r="Q115" s="49" t="str">
        <f ca="1">IFERROR(__xludf.DUMMYFUNCTION("GOOGLETRANSLATE(P115, ""fr"", ""nl"")"),"blauw")</f>
        <v>blauw</v>
      </c>
      <c r="R115" s="107" t="s">
        <v>523</v>
      </c>
      <c r="S115" s="52" t="str">
        <f ca="1">IFERROR(__xludf.DUMMYFUNCTION("GOOGLETRANSLATE(R115, ""fr"", ""nl"")"),"100% Polyester")</f>
        <v>100% Polyester</v>
      </c>
      <c r="T115" s="53" t="s">
        <v>32</v>
      </c>
      <c r="U115" s="54" t="str">
        <f ca="1">IFERROR(__xludf.DUMMYFUNCTION("GOOGLETRANSLATE(T115, ""fr"", ""nl"")"),"Op 30 ° C max
Gebruik geen bleekmiddel
Gebruik geen van de droger
Strijken op gemiddelde temperatuur
Niet stomen")</f>
        <v>Op 30 ° C max
Gebruik geen bleekmiddel
Gebruik geen van de droger
Strijken op gemiddelde temperatuur
Niet stomen</v>
      </c>
      <c r="V115" s="62" t="s">
        <v>111</v>
      </c>
      <c r="W115" s="56"/>
    </row>
    <row r="116" spans="1:23" ht="15.75" customHeight="1">
      <c r="A116" s="57" t="s">
        <v>544</v>
      </c>
      <c r="B116" s="106">
        <v>44</v>
      </c>
      <c r="C116" s="41"/>
      <c r="D116" s="41"/>
      <c r="E116" s="42"/>
      <c r="F116" s="43" t="s">
        <v>24</v>
      </c>
      <c r="G116" s="43" t="s">
        <v>518</v>
      </c>
      <c r="H116" s="44" t="s">
        <v>123</v>
      </c>
      <c r="I116" s="45"/>
      <c r="J116" s="43" t="s">
        <v>545</v>
      </c>
      <c r="K116" s="75"/>
      <c r="L116" s="47" t="s">
        <v>546</v>
      </c>
      <c r="M116" s="48" t="str">
        <f ca="1">IFERROR(__xludf.DUMMYFUNCTION("googletranslate(L116, ""fr"", ""nl"")"),"
- Jacket winddicht Slip
- capuchon rits in de kraag
- Rechte snede
- Lange mouwen
- kraag knopen opening
- Kap met elastiek klemmen contrast
- Side-steekzakken
- Grote voorzak
- Pochessur kanten
- Elastiek in de taille onderhoud
- Gedrukte logo J &amp; JOY o"&amp;"p het hart
- Logo fabric J &amp; JOY onderaan
")</f>
        <v xml:space="preserve">
- Jacket winddicht Slip
- capuchon rits in de kraag
- Rechte snede
- Lange mouwen
- kraag knopen opening
- Kap met elastiek klemmen contrast
- Side-steekzakken
- Grote voorzak
- Pochessur kanten
- Elastiek in de taille onderhoud
- Gedrukte logo J &amp; JOY op het hart
- Logo fabric J &amp; JOY onderaan
</v>
      </c>
      <c r="N116" s="58" t="s">
        <v>547</v>
      </c>
      <c r="O116" s="49" t="str">
        <f ca="1">IFERROR(__xludf.DUMMYFUNCTION("googletranslate(N116, ""fr"", ""nl"")"),"Een windjack jas naar rechts, kaki en zette met een rits aan de voorkant: dit is onze nieuwe model van lichte jas, en we vinden het geweldig.
Zo mooi als functioneel en hier in een kleur die gaat met alles, het is de jas kunt u kiezen zonder na te denken "&amp;"over het! Tijdloos.")</f>
        <v>Een windjack jas naar rechts, kaki en zette met een rits aan de voorkant: dit is onze nieuwe model van lichte jas, en we vinden het geweldig.
Zo mooi als functioneel en hier in een kleur die gaat met alles, het is de jas kunt u kiezen zonder na te denken over het! Tijdloos.</v>
      </c>
      <c r="P116" s="50" t="s">
        <v>116</v>
      </c>
      <c r="Q116" s="49" t="str">
        <f ca="1">IFERROR(__xludf.DUMMYFUNCTION("GOOGLETRANSLATE(P116, ""fr"", ""nl"")"),"groen")</f>
        <v>groen</v>
      </c>
      <c r="R116" s="107" t="s">
        <v>523</v>
      </c>
      <c r="S116" s="52" t="str">
        <f ca="1">IFERROR(__xludf.DUMMYFUNCTION("GOOGLETRANSLATE(R116, ""fr"", ""nl"")"),"100% Polyester")</f>
        <v>100% Polyester</v>
      </c>
      <c r="T116" s="53" t="s">
        <v>32</v>
      </c>
      <c r="U116" s="54" t="str">
        <f ca="1">IFERROR(__xludf.DUMMYFUNCTION("GOOGLETRANSLATE(T116, ""fr"", ""nl"")"),"Op 30 ° C max
Gebruik geen bleekmiddel
Gebruik geen van de droger
Strijken op gemiddelde temperatuur
Niet stomen")</f>
        <v>Op 30 ° C max
Gebruik geen bleekmiddel
Gebruik geen van de droger
Strijken op gemiddelde temperatuur
Niet stomen</v>
      </c>
      <c r="V116" s="62" t="s">
        <v>111</v>
      </c>
      <c r="W116" s="56"/>
    </row>
    <row r="117" spans="1:23" ht="15.75" customHeight="1">
      <c r="A117" s="84" t="s">
        <v>548</v>
      </c>
      <c r="B117" s="85"/>
      <c r="C117" s="67"/>
      <c r="D117" s="86"/>
      <c r="E117" s="67"/>
      <c r="F117" s="87"/>
      <c r="G117" s="87"/>
      <c r="H117" s="87"/>
      <c r="I117" s="26"/>
      <c r="J117" s="88"/>
      <c r="K117" s="89"/>
      <c r="L117" s="89"/>
      <c r="M117" s="48" t="str">
        <f ca="1">IFERROR(__xludf.DUMMYFUNCTION("googletranslate(L117, ""fr"", ""nl"")"),"#VALUE!")</f>
        <v>#VALUE!</v>
      </c>
      <c r="N117" s="91"/>
      <c r="O117" s="49" t="str">
        <f ca="1">IFERROR(__xludf.DUMMYFUNCTION("googletranslate(N117, ""fr"", ""nl"")"),"#VALUE!")</f>
        <v>#VALUE!</v>
      </c>
      <c r="P117" s="91"/>
      <c r="Q117" s="49" t="str">
        <f ca="1">IFERROR(__xludf.DUMMYFUNCTION("GOOGLETRANSLATE(P117, ""fr"", ""nl"")"),"#VALUE!")</f>
        <v>#VALUE!</v>
      </c>
      <c r="R117" s="92"/>
      <c r="S117" s="52" t="str">
        <f ca="1">IFERROR(__xludf.DUMMYFUNCTION("GOOGLETRANSLATE(R117, ""fr"", ""nl"")"),"#VALUE!")</f>
        <v>#VALUE!</v>
      </c>
      <c r="T117" s="89"/>
      <c r="U117" s="54" t="str">
        <f ca="1">IFERROR(__xludf.DUMMYFUNCTION("GOOGLETRANSLATE(T117, ""fr"", ""nl"")"),"#VALUE!")</f>
        <v>#VALUE!</v>
      </c>
      <c r="V117" s="89"/>
      <c r="W117" s="38"/>
    </row>
    <row r="118" spans="1:23" ht="15.75" customHeight="1">
      <c r="A118" s="108" t="s">
        <v>549</v>
      </c>
      <c r="B118" s="40">
        <v>40</v>
      </c>
      <c r="C118" s="41"/>
      <c r="D118" s="41"/>
      <c r="E118" s="42"/>
      <c r="F118" s="43" t="s">
        <v>24</v>
      </c>
      <c r="G118" s="43" t="s">
        <v>550</v>
      </c>
      <c r="H118" s="44" t="s">
        <v>525</v>
      </c>
      <c r="I118" s="45"/>
      <c r="J118" s="109" t="s">
        <v>551</v>
      </c>
      <c r="K118" s="75"/>
      <c r="L118" s="47" t="s">
        <v>552</v>
      </c>
      <c r="M118" s="48" t="str">
        <f ca="1">IFERROR(__xludf.DUMMYFUNCTION("googletranslate(L118, ""fr"", ""nl"")")," 
- Rechte snede
- rits kraag
- geribbelde rand en modieus in de kraag
- randen en rib boord stretch
- Lange mouwen
- Gedrukte patroon
- Logo geborduurd J &amp; JOY / tape op het hart")</f>
        <v xml:space="preserve"> 
- Rechte snede
- rits kraag
- geribbelde rand en modieus in de kraag
- randen en rib boord stretch
- Lange mouwen
- Gedrukte patroon
- Logo geborduurd J &amp; JOY / tape op het hart</v>
      </c>
      <c r="N118" s="58" t="s">
        <v>553</v>
      </c>
      <c r="O118" s="49" t="str">
        <f ca="1">IFERROR(__xludf.DUMMYFUNCTION("googletranslate(N118, ""fr"", ""nl"")"),"Het is mooi en het is warm: deze thriller blauwe trui shoves en voltooi je uiterlijk het hele jaar.")</f>
        <v>Het is mooi en het is warm: deze thriller blauwe trui shoves en voltooi je uiterlijk het hele jaar.</v>
      </c>
      <c r="P118" s="50" t="s">
        <v>30</v>
      </c>
      <c r="Q118" s="49" t="str">
        <f ca="1">IFERROR(__xludf.DUMMYFUNCTION("GOOGLETRANSLATE(P118, ""fr"", ""nl"")"),"blauw")</f>
        <v>blauw</v>
      </c>
      <c r="R118" s="110"/>
      <c r="S118" s="52" t="str">
        <f ca="1">IFERROR(__xludf.DUMMYFUNCTION("GOOGLETRANSLATE(R118, ""fr"", ""nl"")"),"#VALUE!")</f>
        <v>#VALUE!</v>
      </c>
      <c r="T118" s="53" t="s">
        <v>32</v>
      </c>
      <c r="U118" s="54" t="str">
        <f ca="1">IFERROR(__xludf.DUMMYFUNCTION("GOOGLETRANSLATE(T118, ""fr"", ""nl"")"),"Op 30 ° C max
Gebruik geen bleekmiddel
Gebruik geen van de droger
Strijken op gemiddelde temperatuur
Niet stomen")</f>
        <v>Op 30 ° C max
Gebruik geen bleekmiddel
Gebruik geen van de droger
Strijken op gemiddelde temperatuur
Niet stomen</v>
      </c>
      <c r="V118" s="62" t="s">
        <v>33</v>
      </c>
      <c r="W118" s="56"/>
    </row>
    <row r="119" spans="1:23" ht="15.75" customHeight="1">
      <c r="A119" s="84" t="s">
        <v>554</v>
      </c>
      <c r="B119" s="85"/>
      <c r="C119" s="67"/>
      <c r="D119" s="86"/>
      <c r="E119" s="67"/>
      <c r="F119" s="87"/>
      <c r="G119" s="87"/>
      <c r="H119" s="87"/>
      <c r="I119" s="26"/>
      <c r="J119" s="88"/>
      <c r="K119" s="89"/>
      <c r="L119" s="89"/>
      <c r="M119" s="48" t="str">
        <f ca="1">IFERROR(__xludf.DUMMYFUNCTION("googletranslate(L119, ""fr"", ""nl"")"),"#VALUE!")</f>
        <v>#VALUE!</v>
      </c>
      <c r="N119" s="91"/>
      <c r="O119" s="49" t="str">
        <f ca="1">IFERROR(__xludf.DUMMYFUNCTION("googletranslate(N119, ""fr"", ""nl"")"),"#VALUE!")</f>
        <v>#VALUE!</v>
      </c>
      <c r="P119" s="91"/>
      <c r="Q119" s="49" t="str">
        <f ca="1">IFERROR(__xludf.DUMMYFUNCTION("GOOGLETRANSLATE(P119, ""fr"", ""nl"")"),"#VALUE!")</f>
        <v>#VALUE!</v>
      </c>
      <c r="R119" s="92"/>
      <c r="S119" s="52" t="str">
        <f ca="1">IFERROR(__xludf.DUMMYFUNCTION("GOOGLETRANSLATE(R119, ""fr"", ""nl"")"),"#VALUE!")</f>
        <v>#VALUE!</v>
      </c>
      <c r="T119" s="89"/>
      <c r="U119" s="54" t="str">
        <f ca="1">IFERROR(__xludf.DUMMYFUNCTION("GOOGLETRANSLATE(T119, ""fr"", ""nl"")"),"#VALUE!")</f>
        <v>#VALUE!</v>
      </c>
      <c r="V119" s="89"/>
      <c r="W119" s="38"/>
    </row>
    <row r="120" spans="1:23" ht="15.75" customHeight="1">
      <c r="A120" s="39" t="s">
        <v>555</v>
      </c>
      <c r="B120" s="106">
        <v>30</v>
      </c>
      <c r="C120" s="41"/>
      <c r="D120" s="41"/>
      <c r="E120" s="42"/>
      <c r="F120" s="43" t="s">
        <v>24</v>
      </c>
      <c r="G120" s="43" t="s">
        <v>556</v>
      </c>
      <c r="H120" s="44" t="s">
        <v>557</v>
      </c>
      <c r="I120" s="45"/>
      <c r="J120" s="43" t="s">
        <v>558</v>
      </c>
      <c r="K120" s="111"/>
      <c r="L120" s="111" t="s">
        <v>559</v>
      </c>
      <c r="M120" s="48" t="str">
        <f ca="1">IFERROR(__xludf.DUMMYFUNCTION("googletranslate(L120,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0" s="58" t="s">
        <v>560</v>
      </c>
      <c r="O120" s="49" t="str">
        <f ca="1">IFERROR(__xludf.DUMMYFUNCTION("googletranslate(N120, ""fr"", ""nl"")"),"Dit vrachtschip blauwe korte broek, zowel praktisch en comfortabel om te dragen, heeft veel zakken en volgt u in al uw avonturen.
Het wordt gedragen met alles van overhemd polo! Voor een leuk tintje, associëren met de collectie Basics Bright en kleurrijk"&amp;"e shirts.")</f>
        <v>Dit vrachtschip blauwe korte broek, zowel praktisch en comfortabel om te dragen, heeft veel zakken en volgt u in al uw avonturen.
Het wordt gedragen met alles van overhemd polo! Voor een leuk tintje, associëren met de collectie Basics Bright en kleurrijke shirts.</v>
      </c>
      <c r="P120" s="50" t="s">
        <v>30</v>
      </c>
      <c r="Q120" s="49" t="str">
        <f ca="1">IFERROR(__xludf.DUMMYFUNCTION("GOOGLETRANSLATE(P120, ""fr"", ""nl"")"),"blauw")</f>
        <v>blauw</v>
      </c>
      <c r="R120" s="75" t="s">
        <v>561</v>
      </c>
      <c r="S120" s="52" t="str">
        <f ca="1">IFERROR(__xludf.DUMMYFUNCTION("GOOGLETRANSLATE(R120, ""fr"", ""nl"")"),"85% katoen 15% polyester")</f>
        <v>85% katoen 15% polyester</v>
      </c>
      <c r="T120" s="53" t="s">
        <v>32</v>
      </c>
      <c r="U120" s="54" t="str">
        <f ca="1">IFERROR(__xludf.DUMMYFUNCTION("GOOGLETRANSLATE(T120, ""fr"", ""nl"")"),"Op 30 ° C max
Gebruik geen bleekmiddel
Gebruik geen van de droger
Strijken op gemiddelde temperatuur
Niet stomen")</f>
        <v>Op 30 ° C max
Gebruik geen bleekmiddel
Gebruik geen van de droger
Strijken op gemiddelde temperatuur
Niet stomen</v>
      </c>
      <c r="V120" s="62" t="s">
        <v>562</v>
      </c>
      <c r="W120" s="56"/>
    </row>
    <row r="121" spans="1:23" ht="15.75" customHeight="1">
      <c r="A121" s="57" t="s">
        <v>563</v>
      </c>
      <c r="B121" s="106">
        <v>30</v>
      </c>
      <c r="C121" s="41"/>
      <c r="D121" s="41"/>
      <c r="E121" s="42"/>
      <c r="F121" s="43" t="s">
        <v>24</v>
      </c>
      <c r="G121" s="43" t="s">
        <v>556</v>
      </c>
      <c r="H121" s="44" t="s">
        <v>564</v>
      </c>
      <c r="I121" s="45"/>
      <c r="J121" s="43" t="s">
        <v>565</v>
      </c>
      <c r="K121" s="111"/>
      <c r="L121" s="111" t="s">
        <v>559</v>
      </c>
      <c r="M121" s="48" t="str">
        <f ca="1">IFERROR(__xludf.DUMMYFUNCTION("googletranslate(L121,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1" s="58" t="s">
        <v>566</v>
      </c>
      <c r="O121" s="49" t="str">
        <f ca="1">IFERROR(__xludf.DUMMYFUNCTION("googletranslate(N121, ""fr"", ""nl"")"),"Dit vrachtschip bordeaux shorts, zowel praktisch en comfortabel om te dragen, heeft veel zakken en volgt u in al uw avonturen.
Het wordt gedragen met alles van overhemd polo! Voor een leuk tintje, associëren met de collectie Basics Bright en kleurrijke s"&amp;"hirts.")</f>
        <v>Dit vrachtschip bordeaux shorts, zowel praktisch en comfortabel om te dragen, heeft veel zakken en volgt u in al uw avonturen.
Het wordt gedragen met alles van overhemd polo! Voor een leuk tintje, associëren met de collectie Basics Bright en kleurrijke shirts.</v>
      </c>
      <c r="P121" s="50" t="s">
        <v>56</v>
      </c>
      <c r="Q121" s="49" t="str">
        <f ca="1">IFERROR(__xludf.DUMMYFUNCTION("GOOGLETRANSLATE(P121, ""fr"", ""nl"")"),"rood")</f>
        <v>rood</v>
      </c>
      <c r="R121" s="75" t="s">
        <v>561</v>
      </c>
      <c r="S121" s="52" t="str">
        <f ca="1">IFERROR(__xludf.DUMMYFUNCTION("GOOGLETRANSLATE(R121, ""fr"", ""nl"")"),"85% katoen 15% polyester")</f>
        <v>85% katoen 15% polyester</v>
      </c>
      <c r="T121" s="53" t="s">
        <v>32</v>
      </c>
      <c r="U121" s="54" t="str">
        <f ca="1">IFERROR(__xludf.DUMMYFUNCTION("GOOGLETRANSLATE(T121, ""fr"", ""nl"")"),"Op 30 ° C max
Gebruik geen bleekmiddel
Gebruik geen van de droger
Strijken op gemiddelde temperatuur
Niet stomen")</f>
        <v>Op 30 ° C max
Gebruik geen bleekmiddel
Gebruik geen van de droger
Strijken op gemiddelde temperatuur
Niet stomen</v>
      </c>
      <c r="V121" s="62" t="s">
        <v>562</v>
      </c>
      <c r="W121" s="56"/>
    </row>
    <row r="122" spans="1:23" ht="15.75" customHeight="1">
      <c r="A122" s="95" t="s">
        <v>567</v>
      </c>
      <c r="B122" s="106">
        <v>30</v>
      </c>
      <c r="C122" s="41"/>
      <c r="D122" s="41"/>
      <c r="E122" s="42"/>
      <c r="F122" s="43" t="s">
        <v>24</v>
      </c>
      <c r="G122" s="43" t="s">
        <v>556</v>
      </c>
      <c r="H122" s="44" t="s">
        <v>568</v>
      </c>
      <c r="I122" s="45"/>
      <c r="J122" s="43" t="s">
        <v>569</v>
      </c>
      <c r="K122" s="111"/>
      <c r="L122" s="111" t="s">
        <v>559</v>
      </c>
      <c r="M122" s="48" t="str">
        <f ca="1">IFERROR(__xludf.DUMMYFUNCTION("googletranslate(L122,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2" s="58" t="s">
        <v>560</v>
      </c>
      <c r="O122" s="49" t="str">
        <f ca="1">IFERROR(__xludf.DUMMYFUNCTION("googletranslate(N122, ""fr"", ""nl"")"),"Dit vrachtschip blauwe korte broek, zowel praktisch en comfortabel om te dragen, heeft veel zakken en volgt u in al uw avonturen.
Het wordt gedragen met alles van overhemd polo! Voor een leuk tintje, associëren met de collectie Basics Bright en kleurrijk"&amp;"e shirts.")</f>
        <v>Dit vrachtschip blauwe korte broek, zowel praktisch en comfortabel om te dragen, heeft veel zakken en volgt u in al uw avonturen.
Het wordt gedragen met alles van overhemd polo! Voor een leuk tintje, associëren met de collectie Basics Bright en kleurrijke shirts.</v>
      </c>
      <c r="P122" s="50" t="s">
        <v>30</v>
      </c>
      <c r="Q122" s="49" t="str">
        <f ca="1">IFERROR(__xludf.DUMMYFUNCTION("GOOGLETRANSLATE(P122, ""fr"", ""nl"")"),"blauw")</f>
        <v>blauw</v>
      </c>
      <c r="R122" s="75" t="s">
        <v>561</v>
      </c>
      <c r="S122" s="52" t="str">
        <f ca="1">IFERROR(__xludf.DUMMYFUNCTION("GOOGLETRANSLATE(R122, ""fr"", ""nl"")"),"85% katoen 15% polyester")</f>
        <v>85% katoen 15% polyester</v>
      </c>
      <c r="T122" s="53" t="s">
        <v>32</v>
      </c>
      <c r="U122" s="54" t="str">
        <f ca="1">IFERROR(__xludf.DUMMYFUNCTION("GOOGLETRANSLATE(T122, ""fr"", ""nl"")"),"Op 30 ° C max
Gebruik geen bleekmiddel
Gebruik geen van de droger
Strijken op gemiddelde temperatuur
Niet stomen")</f>
        <v>Op 30 ° C max
Gebruik geen bleekmiddel
Gebruik geen van de droger
Strijken op gemiddelde temperatuur
Niet stomen</v>
      </c>
      <c r="V122" s="62" t="s">
        <v>562</v>
      </c>
      <c r="W122" s="56"/>
    </row>
    <row r="123" spans="1:23" ht="15.75" customHeight="1">
      <c r="A123" s="95" t="s">
        <v>570</v>
      </c>
      <c r="B123" s="106">
        <v>30</v>
      </c>
      <c r="C123" s="41"/>
      <c r="D123" s="41"/>
      <c r="E123" s="42"/>
      <c r="F123" s="43" t="s">
        <v>24</v>
      </c>
      <c r="G123" s="43" t="s">
        <v>556</v>
      </c>
      <c r="H123" s="44" t="s">
        <v>571</v>
      </c>
      <c r="I123" s="45"/>
      <c r="J123" s="43" t="s">
        <v>572</v>
      </c>
      <c r="K123" s="111"/>
      <c r="L123" s="111" t="s">
        <v>559</v>
      </c>
      <c r="M123" s="48" t="str">
        <f ca="1">IFERROR(__xludf.DUMMYFUNCTION("googletranslate(L123,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3" s="58" t="s">
        <v>573</v>
      </c>
      <c r="O123" s="49" t="str">
        <f ca="1">IFERROR(__xludf.DUMMYFUNCTION("googletranslate(N123, ""fr"", ""nl"")"),"Dit vrachtschip grijze broek, zowel praktisch en comfortabel om te dragen, heeft veel zakken en volgt u in al uw avonturen.
Het wordt gedragen met alles van overhemd polo! Voor een leuk tintje, associëren met de collectie Basics Bright en kleurrijke shir"&amp;"ts.")</f>
        <v>Dit vrachtschip grijze broek, zowel praktisch en comfortabel om te dragen, heeft veel zakken en volgt u in al uw avonturen.
Het wordt gedragen met alles van overhemd polo! Voor een leuk tintje, associëren met de collectie Basics Bright en kleurrijke shirts.</v>
      </c>
      <c r="P123" s="50" t="s">
        <v>234</v>
      </c>
      <c r="Q123" s="49" t="str">
        <f ca="1">IFERROR(__xludf.DUMMYFUNCTION("GOOGLETRANSLATE(P123, ""fr"", ""nl"")"),"Grijs")</f>
        <v>Grijs</v>
      </c>
      <c r="R123" s="75" t="s">
        <v>561</v>
      </c>
      <c r="S123" s="52" t="str">
        <f ca="1">IFERROR(__xludf.DUMMYFUNCTION("GOOGLETRANSLATE(R123, ""fr"", ""nl"")"),"85% katoen 15% polyester")</f>
        <v>85% katoen 15% polyester</v>
      </c>
      <c r="T123" s="53" t="s">
        <v>32</v>
      </c>
      <c r="U123" s="54" t="str">
        <f ca="1">IFERROR(__xludf.DUMMYFUNCTION("GOOGLETRANSLATE(T123, ""fr"", ""nl"")"),"Op 30 ° C max
Gebruik geen bleekmiddel
Gebruik geen van de droger
Strijken op gemiddelde temperatuur
Niet stomen")</f>
        <v>Op 30 ° C max
Gebruik geen bleekmiddel
Gebruik geen van de droger
Strijken op gemiddelde temperatuur
Niet stomen</v>
      </c>
      <c r="V123" s="62" t="s">
        <v>562</v>
      </c>
      <c r="W123" s="56"/>
    </row>
    <row r="124" spans="1:23" ht="15.75" customHeight="1">
      <c r="A124" s="95" t="s">
        <v>574</v>
      </c>
      <c r="B124" s="106">
        <v>30</v>
      </c>
      <c r="C124" s="41"/>
      <c r="D124" s="41"/>
      <c r="E124" s="42"/>
      <c r="F124" s="43" t="s">
        <v>24</v>
      </c>
      <c r="G124" s="43" t="s">
        <v>556</v>
      </c>
      <c r="H124" s="44" t="s">
        <v>575</v>
      </c>
      <c r="I124" s="45"/>
      <c r="J124" s="43" t="s">
        <v>576</v>
      </c>
      <c r="K124" s="111"/>
      <c r="L124" s="111" t="s">
        <v>559</v>
      </c>
      <c r="M124" s="48" t="str">
        <f ca="1">IFERROR(__xludf.DUMMYFUNCTION("googletranslate(L124,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4" s="58" t="s">
        <v>577</v>
      </c>
      <c r="O124" s="49" t="str">
        <f ca="1">IFERROR(__xludf.DUMMYFUNCTION("googletranslate(N124, ""fr"", ""nl"")"),"Deze beige cargo shorts, zowel praktisch en comfortabel om te dragen, heeft veel zakken en volgt u in al uw avonturen.
Het wordt gedragen met alles van overhemd polo! Voor een leuk tintje, associëren met de collectie Basics Bright en kleurrijke shirts.")</f>
        <v>Deze beige cargo shorts, zowel praktisch en comfortabel om te dragen, heeft veel zakken en volgt u in al uw avonturen.
Het wordt gedragen met alles van overhemd polo! Voor een leuk tintje, associëren met de collectie Basics Bright en kleurrijke shirts.</v>
      </c>
      <c r="P124" s="50" t="s">
        <v>72</v>
      </c>
      <c r="Q124" s="49" t="str">
        <f ca="1">IFERROR(__xludf.DUMMYFUNCTION("GOOGLETRANSLATE(P124, ""fr"", ""nl"")"),"beige")</f>
        <v>beige</v>
      </c>
      <c r="R124" s="75" t="s">
        <v>561</v>
      </c>
      <c r="S124" s="52" t="str">
        <f ca="1">IFERROR(__xludf.DUMMYFUNCTION("GOOGLETRANSLATE(R124, ""fr"", ""nl"")"),"85% katoen 15% polyester")</f>
        <v>85% katoen 15% polyester</v>
      </c>
      <c r="T124" s="53" t="s">
        <v>32</v>
      </c>
      <c r="U124" s="54" t="str">
        <f ca="1">IFERROR(__xludf.DUMMYFUNCTION("GOOGLETRANSLATE(T124, ""fr"", ""nl"")"),"Op 30 ° C max
Gebruik geen bleekmiddel
Gebruik geen van de droger
Strijken op gemiddelde temperatuur
Niet stomen")</f>
        <v>Op 30 ° C max
Gebruik geen bleekmiddel
Gebruik geen van de droger
Strijken op gemiddelde temperatuur
Niet stomen</v>
      </c>
      <c r="V124" s="62" t="s">
        <v>562</v>
      </c>
      <c r="W124" s="56"/>
    </row>
    <row r="125" spans="1:23" ht="15.75" customHeight="1">
      <c r="A125" s="95" t="s">
        <v>578</v>
      </c>
      <c r="B125" s="106">
        <v>30</v>
      </c>
      <c r="C125" s="41"/>
      <c r="D125" s="41"/>
      <c r="E125" s="42"/>
      <c r="F125" s="43" t="s">
        <v>24</v>
      </c>
      <c r="G125" s="43" t="s">
        <v>556</v>
      </c>
      <c r="H125" s="44" t="s">
        <v>579</v>
      </c>
      <c r="I125" s="45"/>
      <c r="J125" s="43" t="s">
        <v>580</v>
      </c>
      <c r="K125" s="111"/>
      <c r="L125" s="111" t="s">
        <v>559</v>
      </c>
      <c r="M125" s="48" t="str">
        <f ca="1">IFERROR(__xludf.DUMMYFUNCTION("googletranslate(L125,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5" s="58" t="s">
        <v>581</v>
      </c>
      <c r="O125" s="49" t="str">
        <f ca="1">IFERROR(__xludf.DUMMYFUNCTION("googletranslate(N125, ""fr"", ""nl"")"),"Deze kaki cargo shorts, zowel praktisch en comfortabel om te dragen, heeft veel zakken en volgt u in al uw avonturen.
Het wordt gedragen met alles van overhemd polo! Voor een leuk tintje, associëren met de collectie Basics Bright en kleurrijke shirts.")</f>
        <v>Deze kaki cargo shorts, zowel praktisch en comfortabel om te dragen, heeft veel zakken en volgt u in al uw avonturen.
Het wordt gedragen met alles van overhemd polo! Voor een leuk tintje, associëren met de collectie Basics Bright en kleurrijke shirts.</v>
      </c>
      <c r="P125" s="50" t="s">
        <v>116</v>
      </c>
      <c r="Q125" s="49" t="str">
        <f ca="1">IFERROR(__xludf.DUMMYFUNCTION("GOOGLETRANSLATE(P125, ""fr"", ""nl"")"),"groen")</f>
        <v>groen</v>
      </c>
      <c r="R125" s="75" t="s">
        <v>561</v>
      </c>
      <c r="S125" s="52" t="str">
        <f ca="1">IFERROR(__xludf.DUMMYFUNCTION("GOOGLETRANSLATE(R125, ""fr"", ""nl"")"),"85% katoen 15% polyester")</f>
        <v>85% katoen 15% polyester</v>
      </c>
      <c r="T125" s="53" t="s">
        <v>32</v>
      </c>
      <c r="U125" s="54" t="str">
        <f ca="1">IFERROR(__xludf.DUMMYFUNCTION("GOOGLETRANSLATE(T125, ""fr"", ""nl"")"),"Op 30 ° C max
Gebruik geen bleekmiddel
Gebruik geen van de droger
Strijken op gemiddelde temperatuur
Niet stomen")</f>
        <v>Op 30 ° C max
Gebruik geen bleekmiddel
Gebruik geen van de droger
Strijken op gemiddelde temperatuur
Niet stomen</v>
      </c>
      <c r="V125" s="62" t="s">
        <v>562</v>
      </c>
      <c r="W125" s="56"/>
    </row>
    <row r="126" spans="1:23" ht="15.75" customHeight="1">
      <c r="A126" s="82" t="s">
        <v>582</v>
      </c>
      <c r="B126" s="106">
        <v>30</v>
      </c>
      <c r="C126" s="41"/>
      <c r="D126" s="41"/>
      <c r="E126" s="42"/>
      <c r="F126" s="43" t="s">
        <v>24</v>
      </c>
      <c r="G126" s="43" t="s">
        <v>556</v>
      </c>
      <c r="H126" s="44" t="s">
        <v>583</v>
      </c>
      <c r="I126" s="45"/>
      <c r="J126" s="43" t="s">
        <v>584</v>
      </c>
      <c r="K126" s="111"/>
      <c r="L126" s="111" t="s">
        <v>559</v>
      </c>
      <c r="M126" s="48" t="str">
        <f ca="1">IFERROR(__xludf.DUMMYFUNCTION("googletranslate(L126, ""fr"", ""nl"")")," :
- knoop en zipper
- Twee voorkant + twee dijbeenzakken
- Twee zakken achter
- riemlussen
- knoppen aan de zijkanten extensor
- Logo J &amp; JOY discreet stof op de rug")</f>
        <v xml:space="preserve"> :
- knoop en zipper
- Twee voorkant + twee dijbeenzakken
- Twee zakken achter
- riemlussen
- knoppen aan de zijkanten extensor
- Logo J &amp; JOY discreet stof op de rug</v>
      </c>
      <c r="N126" s="58" t="s">
        <v>566</v>
      </c>
      <c r="O126" s="49" t="str">
        <f ca="1">IFERROR(__xludf.DUMMYFUNCTION("googletranslate(N126, ""fr"", ""nl"")"),"Dit vrachtschip bordeaux shorts, zowel praktisch en comfortabel om te dragen, heeft veel zakken en volgt u in al uw avonturen.
Het wordt gedragen met alles van overhemd polo! Voor een leuk tintje, associëren met de collectie Basics Bright en kleurrijke s"&amp;"hirts.")</f>
        <v>Dit vrachtschip bordeaux shorts, zowel praktisch en comfortabel om te dragen, heeft veel zakken en volgt u in al uw avonturen.
Het wordt gedragen met alles van overhemd polo! Voor een leuk tintje, associëren met de collectie Basics Bright en kleurrijke shirts.</v>
      </c>
      <c r="P126" s="50" t="s">
        <v>585</v>
      </c>
      <c r="Q126" s="49" t="str">
        <f ca="1">IFERROR(__xludf.DUMMYFUNCTION("GOOGLETRANSLATE(P126, ""fr"", ""nl"")"),"Rood")</f>
        <v>Rood</v>
      </c>
      <c r="R126" s="75" t="s">
        <v>561</v>
      </c>
      <c r="S126" s="52" t="str">
        <f ca="1">IFERROR(__xludf.DUMMYFUNCTION("GOOGLETRANSLATE(R126, ""fr"", ""nl"")"),"85% katoen 15% polyester")</f>
        <v>85% katoen 15% polyester</v>
      </c>
      <c r="T126" s="53" t="s">
        <v>32</v>
      </c>
      <c r="U126" s="54" t="str">
        <f ca="1">IFERROR(__xludf.DUMMYFUNCTION("GOOGLETRANSLATE(T126, ""fr"", ""nl"")"),"Op 30 ° C max
Gebruik geen bleekmiddel
Gebruik geen van de droger
Strijken op gemiddelde temperatuur
Niet stomen")</f>
        <v>Op 30 ° C max
Gebruik geen bleekmiddel
Gebruik geen van de droger
Strijken op gemiddelde temperatuur
Niet stomen</v>
      </c>
      <c r="V126" s="62" t="s">
        <v>562</v>
      </c>
      <c r="W126" s="56"/>
    </row>
    <row r="127" spans="1:23" ht="15.75" customHeight="1">
      <c r="A127" s="84" t="s">
        <v>586</v>
      </c>
      <c r="B127" s="85"/>
      <c r="C127" s="67"/>
      <c r="D127" s="86"/>
      <c r="E127" s="67"/>
      <c r="F127" s="87"/>
      <c r="G127" s="87"/>
      <c r="H127" s="87"/>
      <c r="I127" s="26"/>
      <c r="J127" s="88"/>
      <c r="K127" s="89"/>
      <c r="L127" s="89"/>
      <c r="M127" s="48" t="str">
        <f ca="1">IFERROR(__xludf.DUMMYFUNCTION("googletranslate(L127, ""fr"", ""nl"")"),"#VALUE!")</f>
        <v>#VALUE!</v>
      </c>
      <c r="N127" s="91"/>
      <c r="O127" s="49" t="str">
        <f ca="1">IFERROR(__xludf.DUMMYFUNCTION("googletranslate(N127, ""fr"", ""nl"")"),"#VALUE!")</f>
        <v>#VALUE!</v>
      </c>
      <c r="P127" s="91"/>
      <c r="Q127" s="49" t="str">
        <f ca="1">IFERROR(__xludf.DUMMYFUNCTION("GOOGLETRANSLATE(P127, ""fr"", ""nl"")"),"#VALUE!")</f>
        <v>#VALUE!</v>
      </c>
      <c r="R127" s="92"/>
      <c r="S127" s="52" t="str">
        <f ca="1">IFERROR(__xludf.DUMMYFUNCTION("GOOGLETRANSLATE(R127, ""fr"", ""nl"")"),"#VALUE!")</f>
        <v>#VALUE!</v>
      </c>
      <c r="T127" s="89"/>
      <c r="U127" s="54" t="str">
        <f ca="1">IFERROR(__xludf.DUMMYFUNCTION("GOOGLETRANSLATE(T127, ""fr"", ""nl"")"),"#VALUE!")</f>
        <v>#VALUE!</v>
      </c>
      <c r="V127" s="89"/>
      <c r="W127" s="38"/>
    </row>
    <row r="128" spans="1:23" ht="15.75" customHeight="1">
      <c r="A128" s="39" t="s">
        <v>587</v>
      </c>
      <c r="B128" s="106">
        <v>26</v>
      </c>
      <c r="C128" s="41"/>
      <c r="D128" s="41"/>
      <c r="E128" s="42"/>
      <c r="F128" s="43" t="s">
        <v>24</v>
      </c>
      <c r="G128" s="43" t="s">
        <v>556</v>
      </c>
      <c r="H128" s="44" t="s">
        <v>588</v>
      </c>
      <c r="I128" s="45"/>
      <c r="J128" s="46" t="s">
        <v>589</v>
      </c>
      <c r="K128" s="47"/>
      <c r="L128" s="47" t="s">
        <v>590</v>
      </c>
      <c r="M128" s="48" t="str">
        <f ca="1">IFERROR(__xludf.DUMMYFUNCTION("googletranslate(L128, ""fr"", ""nl"")"),"
- knoop en zipper
- Twee voorzijde
- Een broekzak
- Twee zakken achter
- riemlussen
- knoppen aan de zijkanten extensor
- J &amp; JOY geborduurd logo op voorzak
- Logo J &amp; JOY discreet stof op de rug
")</f>
        <v xml:space="preserve">
- knoop en zipper
- Twee voorzijde
- Een broekzak
- Twee zakken achter
- riemlussen
- knoppen aan de zijkanten extensor
- J &amp; JOY geborduurd logo op voorzak
- Logo J &amp; JOY discreet stof op de rug
</v>
      </c>
      <c r="N128" s="58" t="s">
        <v>591</v>
      </c>
      <c r="O128" s="49" t="str">
        <f ca="1">IFERROR(__xludf.DUMMYFUNCTION("googletranslate(N128, ""fr"", ""nl"")"),"Deze chino shorts grijs is de veilige gok voor de juiste look voor elke situatie! Met zijn klassieke snit, maar nog steeds erg in de mode, deze korte broek is comfortabel om te dragen, maar ook zeer makkelijk aan te passen.
Ideaal met een t-shirt, polo s"&amp;"hirt of overhemd, is het geschikt voor zowel kantoor dagen barbecues met vrienden in het weekend.")</f>
        <v>Deze chino shorts grijs is de veilige gok voor de juiste look voor elke situatie! Met zijn klassieke snit, maar nog steeds erg in de mode, deze korte broek is comfortabel om te dragen, maar ook zeer makkelijk aan te passen.
Ideaal met een t-shirt, polo shirt of overhemd, is het geschikt voor zowel kantoor dagen barbecues met vrienden in het weekend.</v>
      </c>
      <c r="P128" s="50" t="s">
        <v>234</v>
      </c>
      <c r="Q128" s="49" t="str">
        <f ca="1">IFERROR(__xludf.DUMMYFUNCTION("GOOGLETRANSLATE(P128, ""fr"", ""nl"")"),"Grijs")</f>
        <v>Grijs</v>
      </c>
      <c r="R128" s="75" t="s">
        <v>592</v>
      </c>
      <c r="S128" s="52" t="str">
        <f ca="1">IFERROR(__xludf.DUMMYFUNCTION("GOOGLETRANSLATE(R128, ""fr"", ""nl"")"),"97% katoen
3% Elastane")</f>
        <v>97% katoen
3% Elastane</v>
      </c>
      <c r="T128" s="53" t="s">
        <v>32</v>
      </c>
      <c r="U128" s="54" t="str">
        <f ca="1">IFERROR(__xludf.DUMMYFUNCTION("GOOGLETRANSLATE(T128, ""fr"", ""nl"")"),"Op 30 ° C max
Gebruik geen bleekmiddel
Gebruik geen van de droger
Strijken op gemiddelde temperatuur
Niet stomen")</f>
        <v>Op 30 ° C max
Gebruik geen bleekmiddel
Gebruik geen van de droger
Strijken op gemiddelde temperatuur
Niet stomen</v>
      </c>
      <c r="V128" s="62" t="s">
        <v>562</v>
      </c>
      <c r="W128" s="56"/>
    </row>
    <row r="129" spans="1:23" ht="15.75" customHeight="1">
      <c r="A129" s="57" t="s">
        <v>593</v>
      </c>
      <c r="B129" s="106">
        <v>26</v>
      </c>
      <c r="C129" s="41"/>
      <c r="D129" s="41"/>
      <c r="E129" s="42"/>
      <c r="F129" s="43" t="s">
        <v>24</v>
      </c>
      <c r="G129" s="43" t="s">
        <v>556</v>
      </c>
      <c r="H129" s="44" t="s">
        <v>568</v>
      </c>
      <c r="I129" s="45"/>
      <c r="J129" s="46" t="s">
        <v>594</v>
      </c>
      <c r="K129" s="47"/>
      <c r="L129" s="47" t="s">
        <v>590</v>
      </c>
      <c r="M129" s="48" t="str">
        <f ca="1">IFERROR(__xludf.DUMMYFUNCTION("googletranslate(L129, ""fr"", ""nl"")"),"
- knoop en zipper
- Twee voorzijde
- Een broekzak
- Twee zakken achter
- riemlussen
- knoppen aan de zijkanten extensor
- J &amp; JOY geborduurd logo op voorzak
- Logo J &amp; JOY discreet stof op de rug
")</f>
        <v xml:space="preserve">
- knoop en zipper
- Twee voorzijde
- Een broekzak
- Twee zakken achter
- riemlussen
- knoppen aan de zijkanten extensor
- J &amp; JOY geborduurd logo op voorzak
- Logo J &amp; JOY discreet stof op de rug
</v>
      </c>
      <c r="N129" s="58" t="s">
        <v>595</v>
      </c>
      <c r="O129" s="49" t="str">
        <f ca="1">IFERROR(__xludf.DUMMYFUNCTION("googletranslate(N129, ""fr"", ""nl"")"),"Deze blauwe chino shorts is de veilige gok voor de juiste look voor elke situatie! Met zijn klassieke snit, maar nog steeds erg in de mode, deze korte broek is comfortabel om te dragen, maar ook zeer makkelijk aan te passen.
Ideaal met een t-shirt, polo "&amp;"shirt of overhemd, is het geschikt voor zowel kantoor dagen barbecues met vrienden in het weekend.")</f>
        <v>Deze blauwe chino shorts is de veilige gok voor de juiste look voor elke situatie! Met zijn klassieke snit, maar nog steeds erg in de mode, deze korte broek is comfortabel om te dragen, maar ook zeer makkelijk aan te passen.
Ideaal met een t-shirt, polo shirt of overhemd, is het geschikt voor zowel kantoor dagen barbecues met vrienden in het weekend.</v>
      </c>
      <c r="P129" s="50" t="s">
        <v>30</v>
      </c>
      <c r="Q129" s="49" t="str">
        <f ca="1">IFERROR(__xludf.DUMMYFUNCTION("GOOGLETRANSLATE(P129, ""fr"", ""nl"")"),"blauw")</f>
        <v>blauw</v>
      </c>
      <c r="R129" s="75" t="s">
        <v>592</v>
      </c>
      <c r="S129" s="52" t="str">
        <f ca="1">IFERROR(__xludf.DUMMYFUNCTION("GOOGLETRANSLATE(R129, ""fr"", ""nl"")"),"97% katoen
3% Elastane")</f>
        <v>97% katoen
3% Elastane</v>
      </c>
      <c r="T129" s="53" t="s">
        <v>32</v>
      </c>
      <c r="U129" s="54" t="str">
        <f ca="1">IFERROR(__xludf.DUMMYFUNCTION("GOOGLETRANSLATE(T129, ""fr"", ""nl"")"),"Op 30 ° C max
Gebruik geen bleekmiddel
Gebruik geen van de droger
Strijken op gemiddelde temperatuur
Niet stomen")</f>
        <v>Op 30 ° C max
Gebruik geen bleekmiddel
Gebruik geen van de droger
Strijken op gemiddelde temperatuur
Niet stomen</v>
      </c>
      <c r="V129" s="62" t="s">
        <v>562</v>
      </c>
      <c r="W129" s="56"/>
    </row>
    <row r="130" spans="1:23" ht="15.75" customHeight="1">
      <c r="A130" s="57" t="s">
        <v>596</v>
      </c>
      <c r="B130" s="106">
        <v>26</v>
      </c>
      <c r="C130" s="41"/>
      <c r="D130" s="41"/>
      <c r="E130" s="42"/>
      <c r="F130" s="43" t="s">
        <v>24</v>
      </c>
      <c r="G130" s="43" t="s">
        <v>556</v>
      </c>
      <c r="H130" s="44" t="s">
        <v>597</v>
      </c>
      <c r="I130" s="45"/>
      <c r="J130" s="46" t="s">
        <v>598</v>
      </c>
      <c r="K130" s="47"/>
      <c r="L130" s="47" t="s">
        <v>590</v>
      </c>
      <c r="M130" s="48" t="str">
        <f ca="1">IFERROR(__xludf.DUMMYFUNCTION("googletranslate(L130, ""fr"", ""nl"")"),"
- knoop en zipper
- Twee voorzijde
- Een broekzak
- Twee zakken achter
- riemlussen
- knoppen aan de zijkanten extensor
- J &amp; JOY geborduurd logo op voorzak
- Logo J &amp; JOY discreet stof op de rug
")</f>
        <v xml:space="preserve">
- knoop en zipper
- Twee voorzijde
- Een broekzak
- Twee zakken achter
- riemlussen
- knoppen aan de zijkanten extensor
- J &amp; JOY geborduurd logo op voorzak
- Logo J &amp; JOY discreet stof op de rug
</v>
      </c>
      <c r="N130" s="58" t="s">
        <v>599</v>
      </c>
      <c r="O130" s="49" t="str">
        <f ca="1">IFERROR(__xludf.DUMMYFUNCTION("googletranslate(N130, ""fr"", ""nl"")"),"Deze beige chino shorts is de veilige gok voor de juiste look voor elke situatie! Met zijn klassieke snit, maar nog steeds erg in de mode, deze korte broek is comfortabel om te dragen, maar ook zeer makkelijk aan te passen.
Ideaal met een t-shirt, polo s"&amp;"hirt of overhemd, is het geschikt voor zowel kantoor dagen barbecues met vrienden in het weekend.")</f>
        <v>Deze beige chino shorts is de veilige gok voor de juiste look voor elke situatie! Met zijn klassieke snit, maar nog steeds erg in de mode, deze korte broek is comfortabel om te dragen, maar ook zeer makkelijk aan te passen.
Ideaal met een t-shirt, polo shirt of overhemd, is het geschikt voor zowel kantoor dagen barbecues met vrienden in het weekend.</v>
      </c>
      <c r="P130" s="50" t="s">
        <v>72</v>
      </c>
      <c r="Q130" s="49" t="str">
        <f ca="1">IFERROR(__xludf.DUMMYFUNCTION("GOOGLETRANSLATE(P130, ""fr"", ""nl"")"),"beige")</f>
        <v>beige</v>
      </c>
      <c r="R130" s="75" t="s">
        <v>592</v>
      </c>
      <c r="S130" s="52" t="str">
        <f ca="1">IFERROR(__xludf.DUMMYFUNCTION("GOOGLETRANSLATE(R130, ""fr"", ""nl"")"),"97% katoen
3% Elastane")</f>
        <v>97% katoen
3% Elastane</v>
      </c>
      <c r="T130" s="53" t="s">
        <v>32</v>
      </c>
      <c r="U130" s="54" t="str">
        <f ca="1">IFERROR(__xludf.DUMMYFUNCTION("GOOGLETRANSLATE(T130, ""fr"", ""nl"")"),"Op 30 ° C max
Gebruik geen bleekmiddel
Gebruik geen van de droger
Strijken op gemiddelde temperatuur
Niet stomen")</f>
        <v>Op 30 ° C max
Gebruik geen bleekmiddel
Gebruik geen van de droger
Strijken op gemiddelde temperatuur
Niet stomen</v>
      </c>
      <c r="V130" s="62" t="s">
        <v>562</v>
      </c>
      <c r="W130" s="56"/>
    </row>
    <row r="131" spans="1:23" ht="15.75" customHeight="1">
      <c r="A131" s="84" t="s">
        <v>600</v>
      </c>
      <c r="B131" s="85"/>
      <c r="C131" s="67"/>
      <c r="D131" s="86"/>
      <c r="E131" s="67"/>
      <c r="F131" s="87"/>
      <c r="G131" s="87"/>
      <c r="H131" s="87"/>
      <c r="I131" s="26"/>
      <c r="J131" s="88"/>
      <c r="K131" s="89"/>
      <c r="L131" s="89"/>
      <c r="M131" s="48" t="str">
        <f ca="1">IFERROR(__xludf.DUMMYFUNCTION("googletranslate(L131, ""fr"", ""nl"")"),"#VALUE!")</f>
        <v>#VALUE!</v>
      </c>
      <c r="N131" s="91"/>
      <c r="O131" s="49" t="str">
        <f ca="1">IFERROR(__xludf.DUMMYFUNCTION("googletranslate(N131, ""fr"", ""nl"")"),"#VALUE!")</f>
        <v>#VALUE!</v>
      </c>
      <c r="P131" s="91"/>
      <c r="Q131" s="49" t="str">
        <f ca="1">IFERROR(__xludf.DUMMYFUNCTION("GOOGLETRANSLATE(P131, ""fr"", ""nl"")"),"#VALUE!")</f>
        <v>#VALUE!</v>
      </c>
      <c r="R131" s="92"/>
      <c r="S131" s="52" t="str">
        <f ca="1">IFERROR(__xludf.DUMMYFUNCTION("GOOGLETRANSLATE(R131, ""fr"", ""nl"")"),"#VALUE!")</f>
        <v>#VALUE!</v>
      </c>
      <c r="T131" s="89"/>
      <c r="U131" s="54" t="str">
        <f ca="1">IFERROR(__xludf.DUMMYFUNCTION("GOOGLETRANSLATE(T131, ""fr"", ""nl"")"),"#VALUE!")</f>
        <v>#VALUE!</v>
      </c>
      <c r="V131" s="89"/>
      <c r="W131" s="38"/>
    </row>
    <row r="132" spans="1:23" ht="15.75" customHeight="1">
      <c r="A132" s="112" t="s">
        <v>601</v>
      </c>
      <c r="B132" s="106">
        <v>32</v>
      </c>
      <c r="C132" s="41"/>
      <c r="D132" s="41"/>
      <c r="E132" s="42"/>
      <c r="F132" s="43" t="s">
        <v>24</v>
      </c>
      <c r="G132" s="43" t="s">
        <v>556</v>
      </c>
      <c r="H132" s="44" t="s">
        <v>602</v>
      </c>
      <c r="I132" s="45"/>
      <c r="J132" s="47" t="s">
        <v>603</v>
      </c>
      <c r="K132" s="47"/>
      <c r="L132" s="47" t="s">
        <v>604</v>
      </c>
      <c r="M132" s="48" t="str">
        <f ca="1">IFERROR(__xludf.DUMMYFUNCTION("googletranslate(L132,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2" s="58" t="s">
        <v>605</v>
      </c>
      <c r="O132" s="49" t="str">
        <f ca="1">IFERROR(__xludf.DUMMYFUNCTION("googletranslate(N132, ""fr"", ""nl"")"),"Dit is de perfecte blue jeans broek! Onze denim shorts model vuurtoren rendementen dit jaar, nog steeds comfortabel.")</f>
        <v>Dit is de perfecte blue jeans broek! Onze denim shorts model vuurtoren rendementen dit jaar, nog steeds comfortabel.</v>
      </c>
      <c r="P132" s="50" t="s">
        <v>30</v>
      </c>
      <c r="Q132" s="49" t="str">
        <f ca="1">IFERROR(__xludf.DUMMYFUNCTION("GOOGLETRANSLATE(P132, ""fr"", ""nl"")"),"blauw")</f>
        <v>blauw</v>
      </c>
      <c r="R132" s="75" t="s">
        <v>592</v>
      </c>
      <c r="S132" s="52" t="str">
        <f ca="1">IFERROR(__xludf.DUMMYFUNCTION("GOOGLETRANSLATE(R132, ""fr"", ""nl"")"),"97% katoen
3% Elastane")</f>
        <v>97% katoen
3% Elastane</v>
      </c>
      <c r="T132" s="53" t="s">
        <v>32</v>
      </c>
      <c r="U132" s="54" t="str">
        <f ca="1">IFERROR(__xludf.DUMMYFUNCTION("GOOGLETRANSLATE(T132, ""fr"", ""nl"")"),"Op 30 ° C max
Gebruik geen bleekmiddel
Gebruik geen van de droger
Strijken op gemiddelde temperatuur
Niet stomen")</f>
        <v>Op 30 ° C max
Gebruik geen bleekmiddel
Gebruik geen van de droger
Strijken op gemiddelde temperatuur
Niet stomen</v>
      </c>
      <c r="V132" s="62" t="s">
        <v>562</v>
      </c>
      <c r="W132" s="56"/>
    </row>
    <row r="133" spans="1:23" ht="15.75" customHeight="1">
      <c r="A133" s="113" t="s">
        <v>606</v>
      </c>
      <c r="B133" s="106">
        <v>32</v>
      </c>
      <c r="C133" s="41"/>
      <c r="D133" s="41"/>
      <c r="E133" s="42"/>
      <c r="F133" s="43" t="s">
        <v>24</v>
      </c>
      <c r="G133" s="43" t="s">
        <v>556</v>
      </c>
      <c r="H133" s="44" t="s">
        <v>602</v>
      </c>
      <c r="I133" s="45"/>
      <c r="J133" s="47" t="s">
        <v>607</v>
      </c>
      <c r="K133" s="47"/>
      <c r="L133" s="47" t="s">
        <v>604</v>
      </c>
      <c r="M133" s="48" t="str">
        <f ca="1">IFERROR(__xludf.DUMMYFUNCTION("googletranslate(L133,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3" s="58" t="s">
        <v>608</v>
      </c>
      <c r="O133" s="49" t="str">
        <f ca="1">IFERROR(__xludf.DUMMYFUNCTION("googletranslate(N133, ""fr"", ""nl"")"),"Dit is de perfecte jeans broek! Onze denim shorts model vuurtoren rendementen dit jaar, nog steeds comfortabel.")</f>
        <v>Dit is de perfecte jeans broek! Onze denim shorts model vuurtoren rendementen dit jaar, nog steeds comfortabel.</v>
      </c>
      <c r="P133" s="50" t="s">
        <v>30</v>
      </c>
      <c r="Q133" s="49" t="str">
        <f ca="1">IFERROR(__xludf.DUMMYFUNCTION("GOOGLETRANSLATE(P133, ""fr"", ""nl"")"),"blauw")</f>
        <v>blauw</v>
      </c>
      <c r="R133" s="75" t="s">
        <v>592</v>
      </c>
      <c r="S133" s="52" t="str">
        <f ca="1">IFERROR(__xludf.DUMMYFUNCTION("GOOGLETRANSLATE(R133, ""fr"", ""nl"")"),"97% katoen
3% Elastane")</f>
        <v>97% katoen
3% Elastane</v>
      </c>
      <c r="T133" s="53" t="s">
        <v>32</v>
      </c>
      <c r="U133" s="54" t="str">
        <f ca="1">IFERROR(__xludf.DUMMYFUNCTION("GOOGLETRANSLATE(T133, ""fr"", ""nl"")"),"Op 30 ° C max
Gebruik geen bleekmiddel
Gebruik geen van de droger
Strijken op gemiddelde temperatuur
Niet stomen")</f>
        <v>Op 30 ° C max
Gebruik geen bleekmiddel
Gebruik geen van de droger
Strijken op gemiddelde temperatuur
Niet stomen</v>
      </c>
      <c r="V133" s="62" t="s">
        <v>562</v>
      </c>
      <c r="W133" s="56"/>
    </row>
    <row r="134" spans="1:23" ht="15.75" customHeight="1">
      <c r="A134" s="114" t="s">
        <v>609</v>
      </c>
      <c r="B134" s="106">
        <v>32</v>
      </c>
      <c r="C134" s="41"/>
      <c r="D134" s="115"/>
      <c r="E134" s="42"/>
      <c r="F134" s="43" t="s">
        <v>24</v>
      </c>
      <c r="G134" s="43" t="s">
        <v>556</v>
      </c>
      <c r="H134" s="44"/>
      <c r="I134" s="45"/>
      <c r="J134" s="47" t="s">
        <v>610</v>
      </c>
      <c r="K134" s="47"/>
      <c r="L134" s="47" t="s">
        <v>604</v>
      </c>
      <c r="M134" s="48" t="str">
        <f ca="1">IFERROR(__xludf.DUMMYFUNCTION("googletranslate(L134,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4" s="58" t="s">
        <v>608</v>
      </c>
      <c r="O134" s="49" t="str">
        <f ca="1">IFERROR(__xludf.DUMMYFUNCTION("googletranslate(N134, ""fr"", ""nl"")"),"Dit is de perfecte jeans broek! Onze denim shorts model vuurtoren rendementen dit jaar, nog steeds comfortabel.")</f>
        <v>Dit is de perfecte jeans broek! Onze denim shorts model vuurtoren rendementen dit jaar, nog steeds comfortabel.</v>
      </c>
      <c r="P134" s="50" t="s">
        <v>30</v>
      </c>
      <c r="Q134" s="49" t="str">
        <f ca="1">IFERROR(__xludf.DUMMYFUNCTION("GOOGLETRANSLATE(P134, ""fr"", ""nl"")"),"blauw")</f>
        <v>blauw</v>
      </c>
      <c r="R134" s="75" t="s">
        <v>592</v>
      </c>
      <c r="S134" s="52" t="str">
        <f ca="1">IFERROR(__xludf.DUMMYFUNCTION("GOOGLETRANSLATE(R134, ""fr"", ""nl"")"),"97% katoen
3% Elastane")</f>
        <v>97% katoen
3% Elastane</v>
      </c>
      <c r="T134" s="53" t="s">
        <v>32</v>
      </c>
      <c r="U134" s="54" t="str">
        <f ca="1">IFERROR(__xludf.DUMMYFUNCTION("GOOGLETRANSLATE(T134, ""fr"", ""nl"")"),"Op 30 ° C max
Gebruik geen bleekmiddel
Gebruik geen van de droger
Strijken op gemiddelde temperatuur
Niet stomen")</f>
        <v>Op 30 ° C max
Gebruik geen bleekmiddel
Gebruik geen van de droger
Strijken op gemiddelde temperatuur
Niet stomen</v>
      </c>
      <c r="V134" s="62" t="s">
        <v>562</v>
      </c>
      <c r="W134" s="56"/>
    </row>
    <row r="135" spans="1:23" ht="15.75" customHeight="1">
      <c r="A135" s="84" t="s">
        <v>611</v>
      </c>
      <c r="B135" s="85"/>
      <c r="C135" s="67"/>
      <c r="D135" s="86"/>
      <c r="E135" s="67"/>
      <c r="F135" s="87"/>
      <c r="G135" s="87"/>
      <c r="H135" s="87"/>
      <c r="I135" s="26"/>
      <c r="J135" s="88"/>
      <c r="K135" s="89"/>
      <c r="L135" s="89"/>
      <c r="M135" s="48" t="str">
        <f ca="1">IFERROR(__xludf.DUMMYFUNCTION("googletranslate(L135, ""fr"", ""nl"")"),"#VALUE!")</f>
        <v>#VALUE!</v>
      </c>
      <c r="N135" s="91"/>
      <c r="O135" s="49" t="str">
        <f ca="1">IFERROR(__xludf.DUMMYFUNCTION("googletranslate(N135, ""fr"", ""nl"")"),"#VALUE!")</f>
        <v>#VALUE!</v>
      </c>
      <c r="P135" s="91"/>
      <c r="Q135" s="49" t="str">
        <f ca="1">IFERROR(__xludf.DUMMYFUNCTION("GOOGLETRANSLATE(P135, ""fr"", ""nl"")"),"#VALUE!")</f>
        <v>#VALUE!</v>
      </c>
      <c r="R135" s="92"/>
      <c r="S135" s="52" t="str">
        <f ca="1">IFERROR(__xludf.DUMMYFUNCTION("GOOGLETRANSLATE(R135, ""fr"", ""nl"")"),"#VALUE!")</f>
        <v>#VALUE!</v>
      </c>
      <c r="T135" s="89"/>
      <c r="U135" s="54" t="str">
        <f ca="1">IFERROR(__xludf.DUMMYFUNCTION("GOOGLETRANSLATE(T135, ""fr"", ""nl"")"),"#VALUE!")</f>
        <v>#VALUE!</v>
      </c>
      <c r="V135" s="89"/>
      <c r="W135" s="38"/>
    </row>
    <row r="136" spans="1:23" ht="15.75" customHeight="1">
      <c r="A136" s="112" t="s">
        <v>612</v>
      </c>
      <c r="B136" s="40">
        <v>36</v>
      </c>
      <c r="C136" s="102"/>
      <c r="D136" s="102"/>
      <c r="E136" s="96"/>
      <c r="F136" s="43" t="s">
        <v>24</v>
      </c>
      <c r="G136" s="97" t="s">
        <v>613</v>
      </c>
      <c r="H136" s="44" t="s">
        <v>602</v>
      </c>
      <c r="I136" s="45"/>
      <c r="J136" s="116" t="s">
        <v>614</v>
      </c>
      <c r="K136" s="47"/>
      <c r="L136" s="47" t="s">
        <v>604</v>
      </c>
      <c r="M136" s="48" t="str">
        <f ca="1">IFERROR(__xludf.DUMMYFUNCTION("googletranslate(L136,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6" s="58" t="s">
        <v>615</v>
      </c>
      <c r="O136" s="49" t="str">
        <f ca="1">IFERROR(__xludf.DUMMYFUNCTION("googletranslate(N136, ""fr"", ""nl"")"),"Dit is de perfecte jeans voor casual outfit ook qu'habillées. Zijn regular fit u hoogtepunten en belooft u veel comfort.")</f>
        <v>Dit is de perfecte jeans voor casual outfit ook qu'habillées. Zijn regular fit u hoogtepunten en belooft u veel comfort.</v>
      </c>
      <c r="P136" s="103" t="s">
        <v>30</v>
      </c>
      <c r="Q136" s="49" t="str">
        <f ca="1">IFERROR(__xludf.DUMMYFUNCTION("GOOGLETRANSLATE(P136, ""fr"", ""nl"")"),"blauw")</f>
        <v>blauw</v>
      </c>
      <c r="R136" s="117" t="s">
        <v>616</v>
      </c>
      <c r="S136" s="52" t="str">
        <f ca="1">IFERROR(__xludf.DUMMYFUNCTION("GOOGLETRANSLATE(R136, ""fr"", ""nl"")"),"98% katoen
2% Elastane")</f>
        <v>98% katoen
2% Elastane</v>
      </c>
      <c r="T136" s="53" t="s">
        <v>32</v>
      </c>
      <c r="U136" s="54" t="str">
        <f ca="1">IFERROR(__xludf.DUMMYFUNCTION("GOOGLETRANSLATE(T136, ""fr"", ""nl"")"),"Op 30 ° C max
Gebruik geen bleekmiddel
Gebruik geen van de droger
Strijken op gemiddelde temperatuur
Niet stomen")</f>
        <v>Op 30 ° C max
Gebruik geen bleekmiddel
Gebruik geen van de droger
Strijken op gemiddelde temperatuur
Niet stomen</v>
      </c>
      <c r="V136" s="62" t="s">
        <v>562</v>
      </c>
      <c r="W136" s="101"/>
    </row>
    <row r="137" spans="1:23" ht="15.75" customHeight="1">
      <c r="A137" s="113" t="s">
        <v>617</v>
      </c>
      <c r="B137" s="40">
        <v>36</v>
      </c>
      <c r="C137" s="102"/>
      <c r="D137" s="102"/>
      <c r="E137" s="96"/>
      <c r="F137" s="43" t="s">
        <v>24</v>
      </c>
      <c r="G137" s="97" t="s">
        <v>613</v>
      </c>
      <c r="H137" s="44" t="s">
        <v>602</v>
      </c>
      <c r="I137" s="45"/>
      <c r="J137" s="116" t="s">
        <v>618</v>
      </c>
      <c r="K137" s="47"/>
      <c r="L137" s="47" t="s">
        <v>604</v>
      </c>
      <c r="M137" s="48" t="str">
        <f ca="1">IFERROR(__xludf.DUMMYFUNCTION("googletranslate(L137,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7" s="58" t="s">
        <v>615</v>
      </c>
      <c r="O137" s="49" t="str">
        <f ca="1">IFERROR(__xludf.DUMMYFUNCTION("googletranslate(N137, ""fr"", ""nl"")"),"Dit is de perfecte jeans voor casual outfit ook qu'habillées. Zijn regular fit u hoogtepunten en belooft u veel comfort.")</f>
        <v>Dit is de perfecte jeans voor casual outfit ook qu'habillées. Zijn regular fit u hoogtepunten en belooft u veel comfort.</v>
      </c>
      <c r="P137" s="103" t="s">
        <v>30</v>
      </c>
      <c r="Q137" s="49" t="str">
        <f ca="1">IFERROR(__xludf.DUMMYFUNCTION("GOOGLETRANSLATE(P137, ""fr"", ""nl"")"),"blauw")</f>
        <v>blauw</v>
      </c>
      <c r="R137" s="117" t="s">
        <v>616</v>
      </c>
      <c r="S137" s="52" t="str">
        <f ca="1">IFERROR(__xludf.DUMMYFUNCTION("GOOGLETRANSLATE(R137, ""fr"", ""nl"")"),"98% katoen
2% Elastane")</f>
        <v>98% katoen
2% Elastane</v>
      </c>
      <c r="T137" s="53" t="s">
        <v>32</v>
      </c>
      <c r="U137" s="54" t="str">
        <f ca="1">IFERROR(__xludf.DUMMYFUNCTION("GOOGLETRANSLATE(T137, ""fr"", ""nl"")"),"Op 30 ° C max
Gebruik geen bleekmiddel
Gebruik geen van de droger
Strijken op gemiddelde temperatuur
Niet stomen")</f>
        <v>Op 30 ° C max
Gebruik geen bleekmiddel
Gebruik geen van de droger
Strijken op gemiddelde temperatuur
Niet stomen</v>
      </c>
      <c r="V137" s="62" t="s">
        <v>562</v>
      </c>
      <c r="W137" s="101"/>
    </row>
    <row r="138" spans="1:23" ht="15.75" customHeight="1">
      <c r="A138" s="112" t="s">
        <v>619</v>
      </c>
      <c r="B138" s="40">
        <v>36</v>
      </c>
      <c r="C138" s="104"/>
      <c r="D138" s="102"/>
      <c r="E138" s="96"/>
      <c r="F138" s="43" t="s">
        <v>24</v>
      </c>
      <c r="G138" s="97" t="s">
        <v>613</v>
      </c>
      <c r="H138" s="44" t="s">
        <v>602</v>
      </c>
      <c r="I138" s="45"/>
      <c r="J138" s="116" t="s">
        <v>620</v>
      </c>
      <c r="K138" s="47"/>
      <c r="L138" s="47" t="s">
        <v>604</v>
      </c>
      <c r="M138" s="48" t="str">
        <f ca="1">IFERROR(__xludf.DUMMYFUNCTION("googletranslate(L138,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8" s="58" t="s">
        <v>615</v>
      </c>
      <c r="O138" s="49" t="str">
        <f ca="1">IFERROR(__xludf.DUMMYFUNCTION("googletranslate(N138, ""fr"", ""nl"")"),"Dit is de perfecte jeans voor casual outfit ook qu'habillées. Zijn regular fit u hoogtepunten en belooft u veel comfort.")</f>
        <v>Dit is de perfecte jeans voor casual outfit ook qu'habillées. Zijn regular fit u hoogtepunten en belooft u veel comfort.</v>
      </c>
      <c r="P138" s="100" t="s">
        <v>30</v>
      </c>
      <c r="Q138" s="49" t="str">
        <f ca="1">IFERROR(__xludf.DUMMYFUNCTION("GOOGLETRANSLATE(P138, ""fr"", ""nl"")"),"blauw")</f>
        <v>blauw</v>
      </c>
      <c r="R138" s="117" t="s">
        <v>616</v>
      </c>
      <c r="S138" s="52" t="str">
        <f ca="1">IFERROR(__xludf.DUMMYFUNCTION("GOOGLETRANSLATE(R138, ""fr"", ""nl"")"),"98% katoen
2% Elastane")</f>
        <v>98% katoen
2% Elastane</v>
      </c>
      <c r="T138" s="53" t="s">
        <v>32</v>
      </c>
      <c r="U138" s="54" t="str">
        <f ca="1">IFERROR(__xludf.DUMMYFUNCTION("GOOGLETRANSLATE(T138, ""fr"", ""nl"")"),"Op 30 ° C max
Gebruik geen bleekmiddel
Gebruik geen van de droger
Strijken op gemiddelde temperatuur
Niet stomen")</f>
        <v>Op 30 ° C max
Gebruik geen bleekmiddel
Gebruik geen van de droger
Strijken op gemiddelde temperatuur
Niet stomen</v>
      </c>
      <c r="V138" s="62" t="s">
        <v>562</v>
      </c>
      <c r="W138" s="101"/>
    </row>
    <row r="139" spans="1:23" ht="15.75" customHeight="1">
      <c r="A139" s="113" t="s">
        <v>621</v>
      </c>
      <c r="B139" s="118">
        <v>36</v>
      </c>
      <c r="C139" s="104"/>
      <c r="D139" s="102"/>
      <c r="E139" s="96"/>
      <c r="F139" s="43" t="s">
        <v>24</v>
      </c>
      <c r="G139" s="97" t="s">
        <v>613</v>
      </c>
      <c r="H139" s="44" t="s">
        <v>602</v>
      </c>
      <c r="I139" s="45"/>
      <c r="J139" s="116" t="s">
        <v>622</v>
      </c>
      <c r="K139" s="47"/>
      <c r="L139" s="47" t="s">
        <v>604</v>
      </c>
      <c r="M139" s="48" t="str">
        <f ca="1">IFERROR(__xludf.DUMMYFUNCTION("googletranslate(L139,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139" s="58" t="s">
        <v>615</v>
      </c>
      <c r="O139" s="49" t="str">
        <f ca="1">IFERROR(__xludf.DUMMYFUNCTION("googletranslate(N139, ""fr"", ""nl"")"),"Dit is de perfecte jeans voor casual outfit ook qu'habillées. Zijn regular fit u hoogtepunten en belooft u veel comfort.")</f>
        <v>Dit is de perfecte jeans voor casual outfit ook qu'habillées. Zijn regular fit u hoogtepunten en belooft u veel comfort.</v>
      </c>
      <c r="P139" s="100" t="s">
        <v>30</v>
      </c>
      <c r="Q139" s="49" t="str">
        <f ca="1">IFERROR(__xludf.DUMMYFUNCTION("GOOGLETRANSLATE(P139, ""fr"", ""nl"")"),"blauw")</f>
        <v>blauw</v>
      </c>
      <c r="R139" s="117" t="s">
        <v>616</v>
      </c>
      <c r="S139" s="52" t="str">
        <f ca="1">IFERROR(__xludf.DUMMYFUNCTION("GOOGLETRANSLATE(R139, ""fr"", ""nl"")"),"98% katoen
2% Elastane")</f>
        <v>98% katoen
2% Elastane</v>
      </c>
      <c r="T139" s="53" t="s">
        <v>32</v>
      </c>
      <c r="U139" s="54" t="str">
        <f ca="1">IFERROR(__xludf.DUMMYFUNCTION("GOOGLETRANSLATE(T139, ""fr"", ""nl"")"),"Op 30 ° C max
Gebruik geen bleekmiddel
Gebruik geen van de droger
Strijken op gemiddelde temperatuur
Niet stomen")</f>
        <v>Op 30 ° C max
Gebruik geen bleekmiddel
Gebruik geen van de droger
Strijken op gemiddelde temperatuur
Niet stomen</v>
      </c>
      <c r="V139" s="62" t="s">
        <v>562</v>
      </c>
      <c r="W139" s="101"/>
    </row>
    <row r="140" spans="1:23" ht="15.75" customHeight="1">
      <c r="A140" s="84" t="s">
        <v>623</v>
      </c>
      <c r="B140" s="85"/>
      <c r="C140" s="67"/>
      <c r="D140" s="86"/>
      <c r="E140" s="67"/>
      <c r="F140" s="87"/>
      <c r="G140" s="87"/>
      <c r="H140" s="87"/>
      <c r="I140" s="26"/>
      <c r="J140" s="88"/>
      <c r="K140" s="89"/>
      <c r="L140" s="89"/>
      <c r="M140" s="48" t="str">
        <f ca="1">IFERROR(__xludf.DUMMYFUNCTION("googletranslate(L140, ""fr"", ""nl"")"),"#VALUE!")</f>
        <v>#VALUE!</v>
      </c>
      <c r="N140" s="91"/>
      <c r="O140" s="49" t="str">
        <f ca="1">IFERROR(__xludf.DUMMYFUNCTION("googletranslate(N140, ""fr"", ""nl"")"),"#VALUE!")</f>
        <v>#VALUE!</v>
      </c>
      <c r="P140" s="91"/>
      <c r="Q140" s="49" t="str">
        <f ca="1">IFERROR(__xludf.DUMMYFUNCTION("GOOGLETRANSLATE(P140, ""fr"", ""nl"")"),"#VALUE!")</f>
        <v>#VALUE!</v>
      </c>
      <c r="R140" s="92"/>
      <c r="S140" s="52" t="str">
        <f ca="1">IFERROR(__xludf.DUMMYFUNCTION("GOOGLETRANSLATE(R140, ""fr"", ""nl"")"),"#VALUE!")</f>
        <v>#VALUE!</v>
      </c>
      <c r="T140" s="89"/>
      <c r="U140" s="54" t="str">
        <f ca="1">IFERROR(__xludf.DUMMYFUNCTION("GOOGLETRANSLATE(T140, ""fr"", ""nl"")"),"#VALUE!")</f>
        <v>#VALUE!</v>
      </c>
      <c r="V140" s="89"/>
      <c r="W140" s="38"/>
    </row>
    <row r="141" spans="1:23" ht="15.75" customHeight="1">
      <c r="A141" s="39" t="s">
        <v>624</v>
      </c>
      <c r="B141" s="40">
        <v>20</v>
      </c>
      <c r="C141" s="119"/>
      <c r="D141" s="119"/>
      <c r="E141" s="42"/>
      <c r="F141" s="43" t="s">
        <v>24</v>
      </c>
      <c r="G141" s="43" t="s">
        <v>625</v>
      </c>
      <c r="H141" s="44" t="s">
        <v>626</v>
      </c>
      <c r="I141" s="45"/>
      <c r="J141" s="47" t="s">
        <v>627</v>
      </c>
      <c r="K141" s="47"/>
      <c r="L141" s="47" t="s">
        <v>628</v>
      </c>
      <c r="M141" s="48" t="str">
        <f ca="1">IFERROR(__xludf.DUMMYFUNCTION("googletranslate(L141,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1" s="58" t="s">
        <v>629</v>
      </c>
      <c r="O141" s="49" t="str">
        <f ca="1">IFERROR(__xludf.DUMMYFUNCTION("googletranslate(N141, ""fr"", ""nl"")"),"Met zijn tropische gronden, deze trui is zo mooi sterk en volgt u in uw duiken!
De grote +: het is milieuvriendelijk, omdat het is gemaakt van gerecycled polyester vezels!
1 = 20 shirt van plastic flessen gerecycleerd!")</f>
        <v>Met zijn tropische gronden, deze trui is zo mooi sterk en volgt u in uw duiken!
De grote +: het is milieuvriendelijk, omdat het is gemaakt van gerecycled polyester vezels!
1 = 20 shirt van plastic flessen gerecycleerd!</v>
      </c>
      <c r="P141" s="50" t="s">
        <v>155</v>
      </c>
      <c r="Q141" s="49" t="str">
        <f ca="1">IFERROR(__xludf.DUMMYFUNCTION("GOOGLETRANSLATE(P141, ""fr"", ""nl"")"),"veelkleurig")</f>
        <v>veelkleurig</v>
      </c>
      <c r="R141" s="107" t="s">
        <v>630</v>
      </c>
      <c r="S141" s="52" t="str">
        <f ca="1">IFERROR(__xludf.DUMMYFUNCTION("GOOGLETRANSLATE(R141, ""fr"", ""nl"")"),"100% gerecycleerd polyester ""Eco-Circle""")</f>
        <v>100% gerecycleerd polyester "Eco-Circle"</v>
      </c>
      <c r="T141" s="53" t="s">
        <v>32</v>
      </c>
      <c r="U141" s="54" t="str">
        <f ca="1">IFERROR(__xludf.DUMMYFUNCTION("GOOGLETRANSLATE(T141, ""fr"", ""nl"")"),"Op 30 ° C max
Gebruik geen bleekmiddel
Gebruik geen van de droger
Strijken op gemiddelde temperatuur
Niet stomen")</f>
        <v>Op 30 ° C max
Gebruik geen bleekmiddel
Gebruik geen van de droger
Strijken op gemiddelde temperatuur
Niet stomen</v>
      </c>
      <c r="V141" s="62" t="s">
        <v>33</v>
      </c>
      <c r="W141" s="56"/>
    </row>
    <row r="142" spans="1:23" ht="15.75" customHeight="1">
      <c r="A142" s="57" t="s">
        <v>631</v>
      </c>
      <c r="B142" s="40">
        <v>20</v>
      </c>
      <c r="C142" s="119"/>
      <c r="D142" s="119"/>
      <c r="E142" s="42"/>
      <c r="F142" s="43" t="s">
        <v>24</v>
      </c>
      <c r="G142" s="43" t="s">
        <v>625</v>
      </c>
      <c r="H142" s="44" t="s">
        <v>230</v>
      </c>
      <c r="I142" s="45"/>
      <c r="J142" s="47" t="s">
        <v>632</v>
      </c>
      <c r="K142" s="47"/>
      <c r="L142" s="47" t="s">
        <v>628</v>
      </c>
      <c r="M142" s="48" t="str">
        <f ca="1">IFERROR(__xludf.DUMMYFUNCTION("googletranslate(L142,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2" s="58" t="s">
        <v>633</v>
      </c>
      <c r="O142" s="49" t="str">
        <f ca="1">IFERROR(__xludf.DUMMYFUNCTION("googletranslate(N142, ""fr"", ""nl"")"),"Met bedrukte ""boemerangs,"" dit overhemd is origineel, sterk en klaar om u te volgen in uw duiken!
De grote +: het is milieuvriendelijk, omdat het is gemaakt van gerecycled polyester vezels!
1 = 20 shirt van plastic flessen gerecycleerd!")</f>
        <v>Met bedrukte "boemerangs," dit overhemd is origineel, sterk en klaar om u te volgen in uw duiken!
De grote +: het is milieuvriendelijk, omdat het is gemaakt van gerecycled polyester vezels!
1 = 20 shirt van plastic flessen gerecycleerd!</v>
      </c>
      <c r="P142" s="50" t="s">
        <v>56</v>
      </c>
      <c r="Q142" s="49" t="str">
        <f ca="1">IFERROR(__xludf.DUMMYFUNCTION("GOOGLETRANSLATE(P142, ""fr"", ""nl"")"),"rood")</f>
        <v>rood</v>
      </c>
      <c r="R142" s="107" t="s">
        <v>630</v>
      </c>
      <c r="S142" s="52" t="str">
        <f ca="1">IFERROR(__xludf.DUMMYFUNCTION("GOOGLETRANSLATE(R142, ""fr"", ""nl"")"),"100% gerecycleerd polyester ""Eco-Circle""")</f>
        <v>100% gerecycleerd polyester "Eco-Circle"</v>
      </c>
      <c r="T142" s="53" t="s">
        <v>32</v>
      </c>
      <c r="U142" s="54" t="str">
        <f ca="1">IFERROR(__xludf.DUMMYFUNCTION("GOOGLETRANSLATE(T142, ""fr"", ""nl"")"),"Op 30 ° C max
Gebruik geen bleekmiddel
Gebruik geen van de droger
Strijken op gemiddelde temperatuur
Niet stomen")</f>
        <v>Op 30 ° C max
Gebruik geen bleekmiddel
Gebruik geen van de droger
Strijken op gemiddelde temperatuur
Niet stomen</v>
      </c>
      <c r="V142" s="62" t="s">
        <v>33</v>
      </c>
      <c r="W142" s="56"/>
    </row>
    <row r="143" spans="1:23" ht="15.75" customHeight="1">
      <c r="A143" s="57" t="s">
        <v>634</v>
      </c>
      <c r="B143" s="40">
        <v>20</v>
      </c>
      <c r="C143" s="119"/>
      <c r="D143" s="119"/>
      <c r="E143" s="42"/>
      <c r="F143" s="43" t="s">
        <v>24</v>
      </c>
      <c r="G143" s="43" t="s">
        <v>625</v>
      </c>
      <c r="H143" s="44" t="s">
        <v>635</v>
      </c>
      <c r="I143" s="45"/>
      <c r="J143" s="47" t="s">
        <v>636</v>
      </c>
      <c r="K143" s="47"/>
      <c r="L143" s="47" t="s">
        <v>628</v>
      </c>
      <c r="M143" s="48" t="str">
        <f ca="1">IFERROR(__xludf.DUMMYFUNCTION("googletranslate(L143,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3" s="58" t="s">
        <v>637</v>
      </c>
      <c r="O143" s="49" t="str">
        <f ca="1">IFERROR(__xludf.DUMMYFUNCTION("googletranslate(N143, ""fr"", ""nl"")"),"Met al deze gedrukte letters, deze trui is origineel, sterk en klaar om u te volgen in uw duiken!
De grote +: het is milieuvriendelijk, omdat het is gemaakt van gerecycled polyester vezels!
1 = 20 shirt van plastic flessen gerecycleerd!")</f>
        <v>Met al deze gedrukte letters, deze trui is origineel, sterk en klaar om u te volgen in uw duiken!
De grote +: het is milieuvriendelijk, omdat het is gemaakt van gerecycled polyester vezels!
1 = 20 shirt van plastic flessen gerecycleerd!</v>
      </c>
      <c r="P143" s="50" t="s">
        <v>30</v>
      </c>
      <c r="Q143" s="49" t="str">
        <f ca="1">IFERROR(__xludf.DUMMYFUNCTION("GOOGLETRANSLATE(P143, ""fr"", ""nl"")"),"blauw")</f>
        <v>blauw</v>
      </c>
      <c r="R143" s="107" t="s">
        <v>630</v>
      </c>
      <c r="S143" s="52" t="str">
        <f ca="1">IFERROR(__xludf.DUMMYFUNCTION("GOOGLETRANSLATE(R143, ""fr"", ""nl"")"),"100% gerecycleerd polyester ""Eco-Circle""")</f>
        <v>100% gerecycleerd polyester "Eco-Circle"</v>
      </c>
      <c r="T143" s="53" t="s">
        <v>32</v>
      </c>
      <c r="U143" s="54" t="str">
        <f ca="1">IFERROR(__xludf.DUMMYFUNCTION("GOOGLETRANSLATE(T143, ""fr"", ""nl"")"),"Op 30 ° C max
Gebruik geen bleekmiddel
Gebruik geen van de droger
Strijken op gemiddelde temperatuur
Niet stomen")</f>
        <v>Op 30 ° C max
Gebruik geen bleekmiddel
Gebruik geen van de droger
Strijken op gemiddelde temperatuur
Niet stomen</v>
      </c>
      <c r="V143" s="62" t="s">
        <v>83</v>
      </c>
      <c r="W143" s="56"/>
    </row>
    <row r="144" spans="1:23" ht="15.75" customHeight="1">
      <c r="A144" s="57" t="s">
        <v>638</v>
      </c>
      <c r="B144" s="40">
        <v>20</v>
      </c>
      <c r="C144" s="42"/>
      <c r="D144" s="60"/>
      <c r="E144" s="42"/>
      <c r="F144" s="43" t="s">
        <v>24</v>
      </c>
      <c r="G144" s="43" t="s">
        <v>625</v>
      </c>
      <c r="H144" s="44" t="s">
        <v>639</v>
      </c>
      <c r="I144" s="45"/>
      <c r="J144" s="47" t="s">
        <v>640</v>
      </c>
      <c r="K144" s="47"/>
      <c r="L144" s="47" t="s">
        <v>628</v>
      </c>
      <c r="M144" s="48" t="str">
        <f ca="1">IFERROR(__xludf.DUMMYFUNCTION("googletranslate(L144,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4" s="58" t="s">
        <v>641</v>
      </c>
      <c r="O144" s="49" t="str">
        <f ca="1">IFERROR(__xludf.DUMMYFUNCTION("googletranslate(N144, ""fr"", ""nl"")"),"Welkom in de jungle! Deze trui is zo mooi sterk en is klaar om u te volgen in uw duiken!
De grote +: het is milieuvriendelijk, omdat het is gemaakt van gerecycled polyester vezels!
1 = 20 shirt van plastic flessen gerecycleerd!")</f>
        <v>Welkom in de jungle! Deze trui is zo mooi sterk en is klaar om u te volgen in uw duiken!
De grote +: het is milieuvriendelijk, omdat het is gemaakt van gerecycled polyester vezels!
1 = 20 shirt van plastic flessen gerecycleerd!</v>
      </c>
      <c r="P144" s="50" t="s">
        <v>155</v>
      </c>
      <c r="Q144" s="49" t="str">
        <f ca="1">IFERROR(__xludf.DUMMYFUNCTION("GOOGLETRANSLATE(P144, ""fr"", ""nl"")"),"veelkleurig")</f>
        <v>veelkleurig</v>
      </c>
      <c r="R144" s="107" t="s">
        <v>630</v>
      </c>
      <c r="S144" s="52" t="str">
        <f ca="1">IFERROR(__xludf.DUMMYFUNCTION("GOOGLETRANSLATE(R144, ""fr"", ""nl"")"),"100% gerecycleerd polyester ""Eco-Circle""")</f>
        <v>100% gerecycleerd polyester "Eco-Circle"</v>
      </c>
      <c r="T144" s="53" t="s">
        <v>32</v>
      </c>
      <c r="U144" s="54" t="str">
        <f ca="1">IFERROR(__xludf.DUMMYFUNCTION("GOOGLETRANSLATE(T144, ""fr"", ""nl"")"),"Op 30 ° C max
Gebruik geen bleekmiddel
Gebruik geen van de droger
Strijken op gemiddelde temperatuur
Niet stomen")</f>
        <v>Op 30 ° C max
Gebruik geen bleekmiddel
Gebruik geen van de droger
Strijken op gemiddelde temperatuur
Niet stomen</v>
      </c>
      <c r="V144" s="62" t="s">
        <v>83</v>
      </c>
      <c r="W144" s="56"/>
    </row>
    <row r="145" spans="1:23" ht="15.75" customHeight="1">
      <c r="A145" s="57" t="s">
        <v>642</v>
      </c>
      <c r="B145" s="40">
        <v>20</v>
      </c>
      <c r="C145" s="42"/>
      <c r="D145" s="60"/>
      <c r="E145" s="42"/>
      <c r="F145" s="43" t="s">
        <v>24</v>
      </c>
      <c r="G145" s="43" t="s">
        <v>625</v>
      </c>
      <c r="H145" s="44" t="s">
        <v>474</v>
      </c>
      <c r="I145" s="45"/>
      <c r="J145" s="47" t="s">
        <v>643</v>
      </c>
      <c r="K145" s="47"/>
      <c r="L145" s="47" t="s">
        <v>628</v>
      </c>
      <c r="M145" s="48" t="str">
        <f ca="1">IFERROR(__xludf.DUMMYFUNCTION("googletranslate(L145,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5" s="58" t="s">
        <v>644</v>
      </c>
      <c r="O145" s="49" t="str">
        <f ca="1">IFERROR(__xludf.DUMMYFUNCTION("googletranslate(N145, ""fr"", ""nl"")"),"Welkom in de jungle! Deze trui is zo mooi sterk en is klaar om u te volgen in uw duiken!
De grote +: het is milieuvriendelijk, omdat het is gemaakt van gerecycled polyester vezels!
1 = 20 shirt van plastic flessen gerecycleerd!")</f>
        <v>Welkom in de jungle! Deze trui is zo mooi sterk en is klaar om u te volgen in uw duiken!
De grote +: het is milieuvriendelijk, omdat het is gemaakt van gerecycled polyester vezels!
1 = 20 shirt van plastic flessen gerecycleerd!</v>
      </c>
      <c r="P145" s="50" t="s">
        <v>30</v>
      </c>
      <c r="Q145" s="49" t="str">
        <f ca="1">IFERROR(__xludf.DUMMYFUNCTION("GOOGLETRANSLATE(P145, ""fr"", ""nl"")"),"blauw")</f>
        <v>blauw</v>
      </c>
      <c r="R145" s="107" t="s">
        <v>630</v>
      </c>
      <c r="S145" s="52" t="str">
        <f ca="1">IFERROR(__xludf.DUMMYFUNCTION("GOOGLETRANSLATE(R145, ""fr"", ""nl"")"),"100% gerecycleerd polyester ""Eco-Circle""")</f>
        <v>100% gerecycleerd polyester "Eco-Circle"</v>
      </c>
      <c r="T145" s="53" t="s">
        <v>32</v>
      </c>
      <c r="U145" s="54" t="str">
        <f ca="1">IFERROR(__xludf.DUMMYFUNCTION("GOOGLETRANSLATE(T145, ""fr"", ""nl"")"),"Op 30 ° C max
Gebruik geen bleekmiddel
Gebruik geen van de droger
Strijken op gemiddelde temperatuur
Niet stomen")</f>
        <v>Op 30 ° C max
Gebruik geen bleekmiddel
Gebruik geen van de droger
Strijken op gemiddelde temperatuur
Niet stomen</v>
      </c>
      <c r="V145" s="62" t="s">
        <v>111</v>
      </c>
      <c r="W145" s="56"/>
    </row>
    <row r="146" spans="1:23" ht="15.75" customHeight="1">
      <c r="A146" s="57" t="s">
        <v>645</v>
      </c>
      <c r="B146" s="40">
        <v>20</v>
      </c>
      <c r="C146" s="42"/>
      <c r="D146" s="60"/>
      <c r="E146" s="42"/>
      <c r="F146" s="43" t="s">
        <v>24</v>
      </c>
      <c r="G146" s="43" t="s">
        <v>625</v>
      </c>
      <c r="H146" s="44" t="s">
        <v>646</v>
      </c>
      <c r="I146" s="45"/>
      <c r="J146" s="47" t="s">
        <v>647</v>
      </c>
      <c r="K146" s="47"/>
      <c r="L146" s="47" t="s">
        <v>628</v>
      </c>
      <c r="M146" s="48" t="str">
        <f ca="1">IFERROR(__xludf.DUMMYFUNCTION("googletranslate(L146,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6" s="58" t="s">
        <v>648</v>
      </c>
      <c r="O146" s="49" t="str">
        <f ca="1">IFERROR(__xludf.DUMMYFUNCTION("googletranslate(N146, ""fr"", ""nl"")"),"Welkom in de jungle! Deze trui is zo mooi sterk en is klaar om u te volgen in uw duiken!
De grote +: het is milieuvriendelijk, omdat het is gemaakt van gerecycled polyester vezels!
1 = 20 shirt van plastic flessen gerecycleerd!
")</f>
        <v xml:space="preserve">Welkom in de jungle! Deze trui is zo mooi sterk en is klaar om u te volgen in uw duiken!
De grote +: het is milieuvriendelijk, omdat het is gemaakt van gerecycled polyester vezels!
1 = 20 shirt van plastic flessen gerecycleerd!
</v>
      </c>
      <c r="P146" s="50" t="s">
        <v>105</v>
      </c>
      <c r="Q146" s="49" t="str">
        <f ca="1">IFERROR(__xludf.DUMMYFUNCTION("GOOGLETRANSLATE(P146, ""fr"", ""nl"")"),"geel")</f>
        <v>geel</v>
      </c>
      <c r="R146" s="107" t="s">
        <v>630</v>
      </c>
      <c r="S146" s="52" t="str">
        <f ca="1">IFERROR(__xludf.DUMMYFUNCTION("GOOGLETRANSLATE(R146, ""fr"", ""nl"")"),"100% gerecycleerd polyester ""Eco-Circle""")</f>
        <v>100% gerecycleerd polyester "Eco-Circle"</v>
      </c>
      <c r="T146" s="53" t="s">
        <v>32</v>
      </c>
      <c r="U146" s="54" t="str">
        <f ca="1">IFERROR(__xludf.DUMMYFUNCTION("GOOGLETRANSLATE(T146, ""fr"", ""nl"")"),"Op 30 ° C max
Gebruik geen bleekmiddel
Gebruik geen van de droger
Strijken op gemiddelde temperatuur
Niet stomen")</f>
        <v>Op 30 ° C max
Gebruik geen bleekmiddel
Gebruik geen van de droger
Strijken op gemiddelde temperatuur
Niet stomen</v>
      </c>
      <c r="V146" s="62" t="s">
        <v>111</v>
      </c>
      <c r="W146" s="56"/>
    </row>
    <row r="147" spans="1:23" ht="15.75" customHeight="1">
      <c r="A147" s="57" t="s">
        <v>649</v>
      </c>
      <c r="B147" s="40">
        <v>20</v>
      </c>
      <c r="C147" s="42"/>
      <c r="D147" s="60"/>
      <c r="E147" s="42"/>
      <c r="F147" s="43" t="s">
        <v>24</v>
      </c>
      <c r="G147" s="43" t="s">
        <v>625</v>
      </c>
      <c r="H147" s="44" t="s">
        <v>161</v>
      </c>
      <c r="I147" s="45"/>
      <c r="J147" s="47" t="s">
        <v>650</v>
      </c>
      <c r="K147" s="47"/>
      <c r="L147" s="47" t="s">
        <v>628</v>
      </c>
      <c r="M147" s="48" t="str">
        <f ca="1">IFERROR(__xludf.DUMMYFUNCTION("googletranslate(L147,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147" s="58" t="s">
        <v>651</v>
      </c>
      <c r="O147" s="49" t="str">
        <f ca="1">IFERROR(__xludf.DUMMYFUNCTION("googletranslate(N147, ""fr"", ""nl"")"),"Met een gedrukte zo kleurrijk en flamboyant, deze jersey brengt u naar de vergadering van veelkleurige vogels op Australische stranden!
De grote +: het is milieuvriendelijk, omdat het is gemaakt van gerecycled polyester vezels!
1 = 20 shirt van plastic"&amp;" flessen gerecycleerd!")</f>
        <v>Met een gedrukte zo kleurrijk en flamboyant, deze jersey brengt u naar de vergadering van veelkleurige vogels op Australische stranden!
De grote +: het is milieuvriendelijk, omdat het is gemaakt van gerecycled polyester vezels!
1 = 20 shirt van plastic flessen gerecycleerd!</v>
      </c>
      <c r="P147" s="50" t="s">
        <v>49</v>
      </c>
      <c r="Q147" s="49" t="str">
        <f ca="1">IFERROR(__xludf.DUMMYFUNCTION("GOOGLETRANSLATE(P147, ""fr"", ""nl"")"),"oranje")</f>
        <v>oranje</v>
      </c>
      <c r="R147" s="107" t="s">
        <v>630</v>
      </c>
      <c r="S147" s="52" t="str">
        <f ca="1">IFERROR(__xludf.DUMMYFUNCTION("GOOGLETRANSLATE(R147, ""fr"", ""nl"")"),"100% gerecycleerd polyester ""Eco-Circle""")</f>
        <v>100% gerecycleerd polyester "Eco-Circle"</v>
      </c>
      <c r="T147" s="53" t="s">
        <v>32</v>
      </c>
      <c r="U147" s="54" t="str">
        <f ca="1">IFERROR(__xludf.DUMMYFUNCTION("GOOGLETRANSLATE(T147, ""fr"", ""nl"")"),"Op 30 ° C max
Gebruik geen bleekmiddel
Gebruik geen van de droger
Strijken op gemiddelde temperatuur
Niet stomen")</f>
        <v>Op 30 ° C max
Gebruik geen bleekmiddel
Gebruik geen van de droger
Strijken op gemiddelde temperatuur
Niet stomen</v>
      </c>
      <c r="V147" s="62" t="s">
        <v>145</v>
      </c>
      <c r="W147" s="56"/>
    </row>
    <row r="148" spans="1:23" ht="15.75" customHeight="1">
      <c r="A148" s="84" t="s">
        <v>652</v>
      </c>
      <c r="B148" s="85"/>
      <c r="C148" s="67"/>
      <c r="D148" s="86"/>
      <c r="E148" s="67"/>
      <c r="F148" s="87"/>
      <c r="G148" s="87"/>
      <c r="H148" s="87"/>
      <c r="I148" s="26"/>
      <c r="J148" s="88"/>
      <c r="K148" s="89"/>
      <c r="L148" s="89"/>
      <c r="M148" s="48" t="str">
        <f ca="1">IFERROR(__xludf.DUMMYFUNCTION("googletranslate(L148, ""fr"", ""nl"")"),"#VALUE!")</f>
        <v>#VALUE!</v>
      </c>
      <c r="N148" s="90"/>
      <c r="O148" s="49" t="str">
        <f ca="1">IFERROR(__xludf.DUMMYFUNCTION("googletranslate(N148, ""fr"", ""nl"")"),"#VALUE!")</f>
        <v>#VALUE!</v>
      </c>
      <c r="P148" s="91"/>
      <c r="Q148" s="49" t="str">
        <f ca="1">IFERROR(__xludf.DUMMYFUNCTION("GOOGLETRANSLATE(P148, ""fr"", ""nl"")"),"#VALUE!")</f>
        <v>#VALUE!</v>
      </c>
      <c r="R148" s="92"/>
      <c r="S148" s="52" t="str">
        <f ca="1">IFERROR(__xludf.DUMMYFUNCTION("GOOGLETRANSLATE(R148, ""fr"", ""nl"")"),"#VALUE!")</f>
        <v>#VALUE!</v>
      </c>
      <c r="T148" s="89"/>
      <c r="U148" s="54" t="str">
        <f ca="1">IFERROR(__xludf.DUMMYFUNCTION("GOOGLETRANSLATE(T148, ""fr"", ""nl"")"),"#VALUE!")</f>
        <v>#VALUE!</v>
      </c>
      <c r="V148" s="89"/>
      <c r="W148" s="38"/>
    </row>
    <row r="149" spans="1:23" ht="15.75" customHeight="1">
      <c r="A149" s="39" t="s">
        <v>653</v>
      </c>
      <c r="B149" s="120">
        <v>12</v>
      </c>
      <c r="C149" s="119"/>
      <c r="D149" s="119"/>
      <c r="E149" s="42"/>
      <c r="F149" s="43" t="s">
        <v>24</v>
      </c>
      <c r="G149" s="43" t="s">
        <v>654</v>
      </c>
      <c r="H149" s="44" t="s">
        <v>230</v>
      </c>
      <c r="I149" s="45"/>
      <c r="J149" s="46" t="s">
        <v>655</v>
      </c>
      <c r="K149" s="47"/>
      <c r="L149" s="47" t="s">
        <v>656</v>
      </c>
      <c r="M149" s="48" t="str">
        <f ca="1">IFERROR(__xludf.DUMMYFUNCTION("googletranslate(L149, ""fr"", ""nl"")"),"
- Reeks 2 gedrukt boxers
- Klassieke pasvorm
- Zachte aanraking
- Elastiek in de taille
- langs de voorkant
")</f>
        <v xml:space="preserve">
- Reeks 2 gedrukt boxers
- Klassieke pasvorm
- Zachte aanraking
- Elastiek in de taille
- langs de voorkant
</v>
      </c>
      <c r="N149" s="76" t="s">
        <v>657</v>
      </c>
      <c r="O149" s="49" t="str">
        <f ca="1">IFERROR(__xludf.DUMMYFUNCTION("googletranslate(N149, ""fr"", ""nl"")"),"Een set van 2 boxers zo mooi als comfortabel met patronen ""boemerangs"" en ""jungle"".")</f>
        <v>Een set van 2 boxers zo mooi als comfortabel met patronen "boemerangs" en "jungle".</v>
      </c>
      <c r="P149" s="50" t="s">
        <v>155</v>
      </c>
      <c r="Q149" s="49" t="str">
        <f ca="1">IFERROR(__xludf.DUMMYFUNCTION("GOOGLETRANSLATE(P149, ""fr"", ""nl"")"),"veelkleurig")</f>
        <v>veelkleurig</v>
      </c>
      <c r="R149" s="121" t="s">
        <v>658</v>
      </c>
      <c r="S149" s="52" t="str">
        <f ca="1">IFERROR(__xludf.DUMMYFUNCTION("GOOGLETRANSLATE(R149, ""fr"", ""nl"")"),"95% katoen en 5% elastaan")</f>
        <v>95% katoen en 5% elastaan</v>
      </c>
      <c r="T149" s="53" t="s">
        <v>32</v>
      </c>
      <c r="U149" s="54" t="str">
        <f ca="1">IFERROR(__xludf.DUMMYFUNCTION("GOOGLETRANSLATE(T149, ""fr"", ""nl"")"),"Op 30 ° C max
Gebruik geen bleekmiddel
Gebruik geen van de droger
Strijken op gemiddelde temperatuur
Niet stomen")</f>
        <v>Op 30 ° C max
Gebruik geen bleekmiddel
Gebruik geen van de droger
Strijken op gemiddelde temperatuur
Niet stomen</v>
      </c>
      <c r="V149" s="62" t="s">
        <v>33</v>
      </c>
      <c r="W149" s="56"/>
    </row>
    <row r="150" spans="1:23" ht="15.75" customHeight="1">
      <c r="A150" s="57" t="s">
        <v>659</v>
      </c>
      <c r="B150" s="120">
        <v>12</v>
      </c>
      <c r="C150" s="119"/>
      <c r="D150" s="119"/>
      <c r="E150" s="42"/>
      <c r="F150" s="43" t="s">
        <v>24</v>
      </c>
      <c r="G150" s="43" t="s">
        <v>654</v>
      </c>
      <c r="H150" s="44" t="s">
        <v>434</v>
      </c>
      <c r="I150" s="45"/>
      <c r="J150" s="46" t="s">
        <v>660</v>
      </c>
      <c r="K150" s="47"/>
      <c r="L150" s="47" t="s">
        <v>656</v>
      </c>
      <c r="M150" s="48" t="str">
        <f ca="1">IFERROR(__xludf.DUMMYFUNCTION("googletranslate(L150, ""fr"", ""nl"")"),"
- Reeks 2 gedrukt boxers
- Klassieke pasvorm
- Zachte aanraking
- Elastiek in de taille
- langs de voorkant
")</f>
        <v xml:space="preserve">
- Reeks 2 gedrukt boxers
- Klassieke pasvorm
- Zachte aanraking
- Elastiek in de taille
- langs de voorkant
</v>
      </c>
      <c r="N150" s="76" t="s">
        <v>661</v>
      </c>
      <c r="O150" s="49" t="str">
        <f ca="1">IFERROR(__xludf.DUMMYFUNCTION("googletranslate(N150, ""fr"", ""nl"")"),"Een set van 2 boxers zo mooi als comfortabel met patronen ""kangoeroes"" en ""jungle"".")</f>
        <v>Een set van 2 boxers zo mooi als comfortabel met patronen "kangoeroes" en "jungle".</v>
      </c>
      <c r="P150" s="50" t="s">
        <v>155</v>
      </c>
      <c r="Q150" s="49" t="str">
        <f ca="1">IFERROR(__xludf.DUMMYFUNCTION("GOOGLETRANSLATE(P150, ""fr"", ""nl"")"),"veelkleurig")</f>
        <v>veelkleurig</v>
      </c>
      <c r="R150" s="80" t="s">
        <v>658</v>
      </c>
      <c r="S150" s="52" t="str">
        <f ca="1">IFERROR(__xludf.DUMMYFUNCTION("GOOGLETRANSLATE(R150, ""fr"", ""nl"")"),"95% katoen en 5% elastaan")</f>
        <v>95% katoen en 5% elastaan</v>
      </c>
      <c r="T150" s="53" t="s">
        <v>32</v>
      </c>
      <c r="U150" s="54" t="str">
        <f ca="1">IFERROR(__xludf.DUMMYFUNCTION("GOOGLETRANSLATE(T150, ""fr"", ""nl"")"),"Op 30 ° C max
Gebruik geen bleekmiddel
Gebruik geen van de droger
Strijken op gemiddelde temperatuur
Niet stomen")</f>
        <v>Op 30 ° C max
Gebruik geen bleekmiddel
Gebruik geen van de droger
Strijken op gemiddelde temperatuur
Niet stomen</v>
      </c>
      <c r="V150" s="62" t="s">
        <v>33</v>
      </c>
      <c r="W150" s="56"/>
    </row>
    <row r="151" spans="1:23" ht="15.75" customHeight="1">
      <c r="A151" s="57" t="s">
        <v>662</v>
      </c>
      <c r="B151" s="120">
        <v>12</v>
      </c>
      <c r="C151" s="119"/>
      <c r="D151" s="119"/>
      <c r="E151" s="42"/>
      <c r="F151" s="43" t="s">
        <v>24</v>
      </c>
      <c r="G151" s="43" t="s">
        <v>654</v>
      </c>
      <c r="H151" s="44" t="s">
        <v>663</v>
      </c>
      <c r="I151" s="45"/>
      <c r="J151" s="46" t="s">
        <v>664</v>
      </c>
      <c r="K151" s="47"/>
      <c r="L151" s="47" t="s">
        <v>656</v>
      </c>
      <c r="M151" s="48" t="str">
        <f ca="1">IFERROR(__xludf.DUMMYFUNCTION("googletranslate(L151, ""fr"", ""nl"")"),"
- Reeks 2 gedrukt boxers
- Klassieke pasvorm
- Zachte aanraking
- Elastiek in de taille
- langs de voorkant
")</f>
        <v xml:space="preserve">
- Reeks 2 gedrukt boxers
- Klassieke pasvorm
- Zachte aanraking
- Elastiek in de taille
- langs de voorkant
</v>
      </c>
      <c r="N151" s="76" t="s">
        <v>665</v>
      </c>
      <c r="O151" s="49" t="str">
        <f ca="1">IFERROR(__xludf.DUMMYFUNCTION("googletranslate(N151, ""fr"", ""nl"")"),"Een set van 2 boxers zo mooi als comfortabel met patronen ""junk food"" en ""letters"".")</f>
        <v>Een set van 2 boxers zo mooi als comfortabel met patronen "junk food" en "letters".</v>
      </c>
      <c r="P151" s="50" t="s">
        <v>155</v>
      </c>
      <c r="Q151" s="49" t="str">
        <f ca="1">IFERROR(__xludf.DUMMYFUNCTION("GOOGLETRANSLATE(P151, ""fr"", ""nl"")"),"veelkleurig")</f>
        <v>veelkleurig</v>
      </c>
      <c r="R151" s="80" t="s">
        <v>658</v>
      </c>
      <c r="S151" s="52" t="str">
        <f ca="1">IFERROR(__xludf.DUMMYFUNCTION("GOOGLETRANSLATE(R151, ""fr"", ""nl"")"),"95% katoen en 5% elastaan")</f>
        <v>95% katoen en 5% elastaan</v>
      </c>
      <c r="T151" s="53" t="s">
        <v>32</v>
      </c>
      <c r="U151" s="54" t="str">
        <f ca="1">IFERROR(__xludf.DUMMYFUNCTION("GOOGLETRANSLATE(T151, ""fr"", ""nl"")"),"Op 30 ° C max
Gebruik geen bleekmiddel
Gebruik geen van de droger
Strijken op gemiddelde temperatuur
Niet stomen")</f>
        <v>Op 30 ° C max
Gebruik geen bleekmiddel
Gebruik geen van de droger
Strijken op gemiddelde temperatuur
Niet stomen</v>
      </c>
      <c r="V151" s="62" t="s">
        <v>83</v>
      </c>
      <c r="W151" s="56"/>
    </row>
    <row r="152" spans="1:23" ht="15.75" customHeight="1">
      <c r="A152" s="57" t="s">
        <v>666</v>
      </c>
      <c r="B152" s="120">
        <v>12</v>
      </c>
      <c r="C152" s="119"/>
      <c r="D152" s="119"/>
      <c r="E152" s="42"/>
      <c r="F152" s="43" t="s">
        <v>24</v>
      </c>
      <c r="G152" s="43" t="s">
        <v>654</v>
      </c>
      <c r="H152" s="44" t="s">
        <v>667</v>
      </c>
      <c r="I152" s="45"/>
      <c r="J152" s="46" t="s">
        <v>668</v>
      </c>
      <c r="K152" s="47"/>
      <c r="L152" s="47" t="s">
        <v>656</v>
      </c>
      <c r="M152" s="48" t="str">
        <f ca="1">IFERROR(__xludf.DUMMYFUNCTION("googletranslate(L152, ""fr"", ""nl"")"),"
- Reeks 2 gedrukt boxers
- Klassieke pasvorm
- Zachte aanraking
- Elastiek in de taille
- langs de voorkant
")</f>
        <v xml:space="preserve">
- Reeks 2 gedrukt boxers
- Klassieke pasvorm
- Zachte aanraking
- Elastiek in de taille
- langs de voorkant
</v>
      </c>
      <c r="N152" s="76" t="s">
        <v>669</v>
      </c>
      <c r="O152" s="49" t="str">
        <f ca="1">IFERROR(__xludf.DUMMYFUNCTION("googletranslate(N152, ""fr"", ""nl"")"),"Een set van 2 boxers zo mooi als comfortabel met patronen ""coconut"" en ""jungle"".")</f>
        <v>Een set van 2 boxers zo mooi als comfortabel met patronen "coconut" en "jungle".</v>
      </c>
      <c r="P152" s="50" t="s">
        <v>155</v>
      </c>
      <c r="Q152" s="49" t="str">
        <f ca="1">IFERROR(__xludf.DUMMYFUNCTION("GOOGLETRANSLATE(P152, ""fr"", ""nl"")"),"veelkleurig")</f>
        <v>veelkleurig</v>
      </c>
      <c r="R152" s="80" t="s">
        <v>658</v>
      </c>
      <c r="S152" s="52" t="str">
        <f ca="1">IFERROR(__xludf.DUMMYFUNCTION("GOOGLETRANSLATE(R152, ""fr"", ""nl"")"),"95% katoen en 5% elastaan")</f>
        <v>95% katoen en 5% elastaan</v>
      </c>
      <c r="T152" s="53" t="s">
        <v>32</v>
      </c>
      <c r="U152" s="54" t="str">
        <f ca="1">IFERROR(__xludf.DUMMYFUNCTION("GOOGLETRANSLATE(T152, ""fr"", ""nl"")"),"Op 30 ° C max
Gebruik geen bleekmiddel
Gebruik geen van de droger
Strijken op gemiddelde temperatuur
Niet stomen")</f>
        <v>Op 30 ° C max
Gebruik geen bleekmiddel
Gebruik geen van de droger
Strijken op gemiddelde temperatuur
Niet stomen</v>
      </c>
      <c r="V152" s="62" t="s">
        <v>83</v>
      </c>
      <c r="W152" s="56"/>
    </row>
    <row r="153" spans="1:23" ht="15.75" customHeight="1">
      <c r="A153" s="57" t="s">
        <v>670</v>
      </c>
      <c r="B153" s="120">
        <v>12</v>
      </c>
      <c r="C153" s="41"/>
      <c r="D153" s="119"/>
      <c r="E153" s="42"/>
      <c r="F153" s="43" t="s">
        <v>24</v>
      </c>
      <c r="G153" s="43" t="s">
        <v>654</v>
      </c>
      <c r="H153" s="44" t="s">
        <v>671</v>
      </c>
      <c r="I153" s="45"/>
      <c r="J153" s="46" t="s">
        <v>672</v>
      </c>
      <c r="K153" s="47"/>
      <c r="L153" s="47" t="s">
        <v>656</v>
      </c>
      <c r="M153" s="48" t="str">
        <f ca="1">IFERROR(__xludf.DUMMYFUNCTION("googletranslate(L153, ""fr"", ""nl"")"),"
- Reeks 2 gedrukt boxers
- Klassieke pasvorm
- Zachte aanraking
- Elastiek in de taille
- langs de voorkant
")</f>
        <v xml:space="preserve">
- Reeks 2 gedrukt boxers
- Klassieke pasvorm
- Zachte aanraking
- Elastiek in de taille
- langs de voorkant
</v>
      </c>
      <c r="N153" s="76" t="s">
        <v>673</v>
      </c>
      <c r="O153" s="49" t="str">
        <f ca="1">IFERROR(__xludf.DUMMYFUNCTION("googletranslate(N153, ""fr"", ""nl"")"),"Een set van 2 boxers zo mooi als comfortabel met een gedrukt ""jungle"".")</f>
        <v>Een set van 2 boxers zo mooi als comfortabel met een gedrukt "jungle".</v>
      </c>
      <c r="P153" s="50" t="s">
        <v>155</v>
      </c>
      <c r="Q153" s="49" t="str">
        <f ca="1">IFERROR(__xludf.DUMMYFUNCTION("GOOGLETRANSLATE(P153, ""fr"", ""nl"")"),"veelkleurig")</f>
        <v>veelkleurig</v>
      </c>
      <c r="R153" s="80" t="s">
        <v>658</v>
      </c>
      <c r="S153" s="52" t="str">
        <f ca="1">IFERROR(__xludf.DUMMYFUNCTION("GOOGLETRANSLATE(R153, ""fr"", ""nl"")"),"95% katoen en 5% elastaan")</f>
        <v>95% katoen en 5% elastaan</v>
      </c>
      <c r="T153" s="53" t="s">
        <v>32</v>
      </c>
      <c r="U153" s="54" t="str">
        <f ca="1">IFERROR(__xludf.DUMMYFUNCTION("GOOGLETRANSLATE(T153, ""fr"", ""nl"")"),"Op 30 ° C max
Gebruik geen bleekmiddel
Gebruik geen van de droger
Strijken op gemiddelde temperatuur
Niet stomen")</f>
        <v>Op 30 ° C max
Gebruik geen bleekmiddel
Gebruik geen van de droger
Strijken op gemiddelde temperatuur
Niet stomen</v>
      </c>
      <c r="V153" s="62" t="s">
        <v>111</v>
      </c>
      <c r="W153" s="56"/>
    </row>
    <row r="154" spans="1:23" ht="15.75" customHeight="1">
      <c r="A154" s="57" t="s">
        <v>674</v>
      </c>
      <c r="B154" s="120">
        <v>12</v>
      </c>
      <c r="C154" s="41"/>
      <c r="D154" s="119"/>
      <c r="E154" s="42"/>
      <c r="F154" s="43" t="s">
        <v>24</v>
      </c>
      <c r="G154" s="43" t="s">
        <v>654</v>
      </c>
      <c r="H154" s="44" t="s">
        <v>169</v>
      </c>
      <c r="I154" s="45"/>
      <c r="J154" s="46" t="s">
        <v>675</v>
      </c>
      <c r="K154" s="47"/>
      <c r="L154" s="47" t="s">
        <v>656</v>
      </c>
      <c r="M154" s="48" t="str">
        <f ca="1">IFERROR(__xludf.DUMMYFUNCTION("googletranslate(L154, ""fr"", ""nl"")"),"
- Reeks 2 gedrukt boxers
- Klassieke pasvorm
- Zachte aanraking
- Elastiek in de taille
- langs de voorkant
")</f>
        <v xml:space="preserve">
- Reeks 2 gedrukt boxers
- Klassieke pasvorm
- Zachte aanraking
- Elastiek in de taille
- langs de voorkant
</v>
      </c>
      <c r="N154" s="76" t="s">
        <v>673</v>
      </c>
      <c r="O154" s="49" t="str">
        <f ca="1">IFERROR(__xludf.DUMMYFUNCTION("googletranslate(N154, ""fr"", ""nl"")"),"Een set van 2 boxers zo mooi als comfortabel met een gedrukt ""jungle"".")</f>
        <v>Een set van 2 boxers zo mooi als comfortabel met een gedrukt "jungle".</v>
      </c>
      <c r="P154" s="50" t="s">
        <v>155</v>
      </c>
      <c r="Q154" s="49" t="str">
        <f ca="1">IFERROR(__xludf.DUMMYFUNCTION("GOOGLETRANSLATE(P154, ""fr"", ""nl"")"),"veelkleurig")</f>
        <v>veelkleurig</v>
      </c>
      <c r="R154" s="80" t="s">
        <v>658</v>
      </c>
      <c r="S154" s="52" t="str">
        <f ca="1">IFERROR(__xludf.DUMMYFUNCTION("GOOGLETRANSLATE(R154, ""fr"", ""nl"")"),"95% katoen en 5% elastaan")</f>
        <v>95% katoen en 5% elastaan</v>
      </c>
      <c r="T154" s="53" t="s">
        <v>32</v>
      </c>
      <c r="U154" s="54" t="str">
        <f ca="1">IFERROR(__xludf.DUMMYFUNCTION("GOOGLETRANSLATE(T154, ""fr"", ""nl"")"),"Op 30 ° C max
Gebruik geen bleekmiddel
Gebruik geen van de droger
Strijken op gemiddelde temperatuur
Niet stomen")</f>
        <v>Op 30 ° C max
Gebruik geen bleekmiddel
Gebruik geen van de droger
Strijken op gemiddelde temperatuur
Niet stomen</v>
      </c>
      <c r="V154" s="62" t="s">
        <v>145</v>
      </c>
      <c r="W154" s="56"/>
    </row>
    <row r="155" spans="1:23" ht="15.75" customHeight="1">
      <c r="A155" s="84" t="s">
        <v>676</v>
      </c>
      <c r="B155" s="85"/>
      <c r="C155" s="67"/>
      <c r="D155" s="86"/>
      <c r="E155" s="67"/>
      <c r="F155" s="87"/>
      <c r="G155" s="87"/>
      <c r="H155" s="87"/>
      <c r="I155" s="26"/>
      <c r="J155" s="88" t="s">
        <v>677</v>
      </c>
      <c r="K155" s="89"/>
      <c r="L155" s="89"/>
      <c r="M155" s="48" t="str">
        <f ca="1">IFERROR(__xludf.DUMMYFUNCTION("googletranslate(L155, ""fr"", ""nl"")"),"#VALUE!")</f>
        <v>#VALUE!</v>
      </c>
      <c r="N155" s="90"/>
      <c r="O155" s="49" t="str">
        <f ca="1">IFERROR(__xludf.DUMMYFUNCTION("googletranslate(N155, ""fr"", ""nl"")"),"#VALUE!")</f>
        <v>#VALUE!</v>
      </c>
      <c r="P155" s="91"/>
      <c r="Q155" s="49" t="str">
        <f ca="1">IFERROR(__xludf.DUMMYFUNCTION("GOOGLETRANSLATE(P155, ""fr"", ""nl"")"),"#VALUE!")</f>
        <v>#VALUE!</v>
      </c>
      <c r="R155" s="92"/>
      <c r="S155" s="52" t="str">
        <f ca="1">IFERROR(__xludf.DUMMYFUNCTION("GOOGLETRANSLATE(R155, ""fr"", ""nl"")"),"#VALUE!")</f>
        <v>#VALUE!</v>
      </c>
      <c r="T155" s="89"/>
      <c r="U155" s="54" t="str">
        <f ca="1">IFERROR(__xludf.DUMMYFUNCTION("GOOGLETRANSLATE(T155, ""fr"", ""nl"")"),"#VALUE!")</f>
        <v>#VALUE!</v>
      </c>
      <c r="V155" s="89"/>
      <c r="W155" s="38"/>
    </row>
    <row r="156" spans="1:23" ht="15.75" customHeight="1">
      <c r="A156" s="39" t="s">
        <v>678</v>
      </c>
      <c r="B156" s="122">
        <v>12</v>
      </c>
      <c r="C156" s="102"/>
      <c r="D156" s="102"/>
      <c r="E156" s="96"/>
      <c r="F156" s="43" t="s">
        <v>24</v>
      </c>
      <c r="G156" s="97" t="s">
        <v>679</v>
      </c>
      <c r="H156" s="44" t="s">
        <v>680</v>
      </c>
      <c r="I156" s="45"/>
      <c r="J156" s="98" t="s">
        <v>681</v>
      </c>
      <c r="K156" s="99"/>
      <c r="L156" s="99" t="s">
        <v>682</v>
      </c>
      <c r="M156" s="48" t="str">
        <f ca="1">IFERROR(__xludf.DUMMYFUNCTION("googletranslate(L156,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56" s="76" t="s">
        <v>683</v>
      </c>
      <c r="O156" s="49" t="str">
        <f ca="1">IFERROR(__xludf.DUMMYFUNCTION("googletranslate(N156, ""fr"", ""nl"")"),"Dit marineblauwe pet, wit en rood is zeer draagbaar.
Zijn vizier beschermt je ogen tegen de zon, en zijn ventilatiegaten zijn handig voor u om het te dragen het hele jaar.
Het belangrijkste: het uw look met stijl voltooit!")</f>
        <v>Dit marineblauwe pet, wit en rood is zeer draagbaar.
Zijn vizier beschermt je ogen tegen de zon, en zijn ventilatiegaten zijn handig voor u om het te dragen het hele jaar.
Het belangrijkste: het uw look met stijl voltooit!</v>
      </c>
      <c r="P156" s="50" t="s">
        <v>155</v>
      </c>
      <c r="Q156" s="49" t="str">
        <f ca="1">IFERROR(__xludf.DUMMYFUNCTION("GOOGLETRANSLATE(P156, ""fr"", ""nl"")"),"veelkleurig")</f>
        <v>veelkleurig</v>
      </c>
      <c r="R156" s="123" t="s">
        <v>31</v>
      </c>
      <c r="S156" s="52" t="str">
        <f ca="1">IFERROR(__xludf.DUMMYFUNCTION("GOOGLETRANSLATE(R156, ""fr"", ""nl"")"),"100% katoen")</f>
        <v>100% katoen</v>
      </c>
      <c r="T156" s="53" t="s">
        <v>32</v>
      </c>
      <c r="U156" s="54" t="str">
        <f ca="1">IFERROR(__xludf.DUMMYFUNCTION("GOOGLETRANSLATE(T156, ""fr"", ""nl"")"),"Op 30 ° C max
Gebruik geen bleekmiddel
Gebruik geen van de droger
Strijken op gemiddelde temperatuur
Niet stomen")</f>
        <v>Op 30 ° C max
Gebruik geen bleekmiddel
Gebruik geen van de droger
Strijken op gemiddelde temperatuur
Niet stomen</v>
      </c>
      <c r="V156" s="62" t="s">
        <v>33</v>
      </c>
      <c r="W156" s="101"/>
    </row>
    <row r="157" spans="1:23" ht="15.75" customHeight="1">
      <c r="A157" s="57" t="s">
        <v>684</v>
      </c>
      <c r="B157" s="122">
        <v>12</v>
      </c>
      <c r="C157" s="102"/>
      <c r="D157" s="102"/>
      <c r="E157" s="96"/>
      <c r="F157" s="43" t="s">
        <v>24</v>
      </c>
      <c r="G157" s="97" t="s">
        <v>679</v>
      </c>
      <c r="H157" s="44" t="s">
        <v>525</v>
      </c>
      <c r="I157" s="45"/>
      <c r="J157" s="98" t="s">
        <v>685</v>
      </c>
      <c r="K157" s="99"/>
      <c r="L157" s="99" t="s">
        <v>682</v>
      </c>
      <c r="M157" s="48" t="str">
        <f ca="1">IFERROR(__xludf.DUMMYFUNCTION("googletranslate(L157,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57" s="76" t="s">
        <v>686</v>
      </c>
      <c r="O157" s="49" t="str">
        <f ca="1">IFERROR(__xludf.DUMMYFUNCTION("googletranslate(N157, ""fr"", ""nl"")"),"Deze blauwe cap en kameel is zeer draagbaar.
Zijn vizier beschermt je ogen tegen de zon, en zijn ventilatiegaten zijn handig voor u om het te dragen het hele jaar.
Het belangrijkste: het uw look met stijl voltooit!")</f>
        <v>Deze blauwe cap en kameel is zeer draagbaar.
Zijn vizier beschermt je ogen tegen de zon, en zijn ventilatiegaten zijn handig voor u om het te dragen het hele jaar.
Het belangrijkste: het uw look met stijl voltooit!</v>
      </c>
      <c r="P157" s="50" t="s">
        <v>155</v>
      </c>
      <c r="Q157" s="49" t="str">
        <f ca="1">IFERROR(__xludf.DUMMYFUNCTION("GOOGLETRANSLATE(P157, ""fr"", ""nl"")"),"veelkleurig")</f>
        <v>veelkleurig</v>
      </c>
      <c r="R157" s="123" t="s">
        <v>31</v>
      </c>
      <c r="S157" s="52" t="str">
        <f ca="1">IFERROR(__xludf.DUMMYFUNCTION("GOOGLETRANSLATE(R157, ""fr"", ""nl"")"),"100% katoen")</f>
        <v>100% katoen</v>
      </c>
      <c r="T157" s="53" t="s">
        <v>32</v>
      </c>
      <c r="U157" s="54" t="str">
        <f ca="1">IFERROR(__xludf.DUMMYFUNCTION("GOOGLETRANSLATE(T157, ""fr"", ""nl"")"),"Op 30 ° C max
Gebruik geen bleekmiddel
Gebruik geen van de droger
Strijken op gemiddelde temperatuur
Niet stomen")</f>
        <v>Op 30 ° C max
Gebruik geen bleekmiddel
Gebruik geen van de droger
Strijken op gemiddelde temperatuur
Niet stomen</v>
      </c>
      <c r="V157" s="62" t="s">
        <v>33</v>
      </c>
      <c r="W157" s="101"/>
    </row>
    <row r="158" spans="1:23" ht="15.75" customHeight="1">
      <c r="A158" s="57" t="s">
        <v>687</v>
      </c>
      <c r="B158" s="122">
        <v>12</v>
      </c>
      <c r="C158" s="102"/>
      <c r="D158" s="102"/>
      <c r="E158" s="96"/>
      <c r="F158" s="43" t="s">
        <v>24</v>
      </c>
      <c r="G158" s="97" t="s">
        <v>679</v>
      </c>
      <c r="H158" s="44" t="s">
        <v>688</v>
      </c>
      <c r="I158" s="45"/>
      <c r="J158" s="98" t="s">
        <v>689</v>
      </c>
      <c r="K158" s="99"/>
      <c r="L158" s="99" t="s">
        <v>682</v>
      </c>
      <c r="M158" s="48" t="str">
        <f ca="1">IFERROR(__xludf.DUMMYFUNCTION("googletranslate(L158,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58" s="76" t="s">
        <v>690</v>
      </c>
      <c r="O158" s="49" t="str">
        <f ca="1">IFERROR(__xludf.DUMMYFUNCTION("googletranslate(N158, ""fr"", ""nl"")"),"Deze kap en de verschillende tinten blauw is zeer comfortabel om te dragen.
Zijn afbeelding op de voorkant neemt u mee op de Australische stranden.
Het vizier beschermt je ogen tegen de zon, en ventilatie gaten zijn handig voor u om het te dragen het hele"&amp;" jaar.
Het belangrijkste: het uw look met stijl voltooit!")</f>
        <v>Deze kap en de verschillende tinten blauw is zeer comfortabel om te dragen.
Zijn afbeelding op de voorkant neemt u mee op de Australische stranden.
Het vizier beschermt je ogen tegen de zon, en ventilatie gaten zijn handig voor u om het te dragen het hele jaar.
Het belangrijkste: het uw look met stijl voltooit!</v>
      </c>
      <c r="P158" s="50" t="s">
        <v>155</v>
      </c>
      <c r="Q158" s="49" t="str">
        <f ca="1">IFERROR(__xludf.DUMMYFUNCTION("GOOGLETRANSLATE(P158, ""fr"", ""nl"")"),"veelkleurig")</f>
        <v>veelkleurig</v>
      </c>
      <c r="R158" s="123" t="s">
        <v>31</v>
      </c>
      <c r="S158" s="52" t="str">
        <f ca="1">IFERROR(__xludf.DUMMYFUNCTION("GOOGLETRANSLATE(R158, ""fr"", ""nl"")"),"100% katoen")</f>
        <v>100% katoen</v>
      </c>
      <c r="T158" s="53" t="s">
        <v>32</v>
      </c>
      <c r="U158" s="54" t="str">
        <f ca="1">IFERROR(__xludf.DUMMYFUNCTION("GOOGLETRANSLATE(T158, ""fr"", ""nl"")"),"Op 30 ° C max
Gebruik geen bleekmiddel
Gebruik geen van de droger
Strijken op gemiddelde temperatuur
Niet stomen")</f>
        <v>Op 30 ° C max
Gebruik geen bleekmiddel
Gebruik geen van de droger
Strijken op gemiddelde temperatuur
Niet stomen</v>
      </c>
      <c r="V158" s="62" t="s">
        <v>83</v>
      </c>
      <c r="W158" s="101"/>
    </row>
    <row r="159" spans="1:23" ht="15.75" customHeight="1">
      <c r="A159" s="57" t="s">
        <v>691</v>
      </c>
      <c r="B159" s="122">
        <v>12</v>
      </c>
      <c r="C159" s="102"/>
      <c r="D159" s="102"/>
      <c r="E159" s="96"/>
      <c r="F159" s="43" t="s">
        <v>24</v>
      </c>
      <c r="G159" s="97" t="s">
        <v>679</v>
      </c>
      <c r="H159" s="44" t="s">
        <v>123</v>
      </c>
      <c r="I159" s="45"/>
      <c r="J159" s="98" t="s">
        <v>692</v>
      </c>
      <c r="K159" s="99"/>
      <c r="L159" s="99" t="s">
        <v>682</v>
      </c>
      <c r="M159" s="48" t="str">
        <f ca="1">IFERROR(__xludf.DUMMYFUNCTION("googletranslate(L159,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59" s="76" t="s">
        <v>693</v>
      </c>
      <c r="O159" s="49" t="str">
        <f ca="1">IFERROR(__xludf.DUMMYFUNCTION("googletranslate(N159, ""fr"", ""nl"")"),"Dit veelkleurige cap en de grafische vormgeving is zeer comfortabel om te dragen.
Zijn vizier beschermt je ogen tegen de zon, en zijn ventilatiegaten zijn handig voor u om het te dragen het hele jaar.
Het belangrijkste: het uw look met stijl voltooit!")</f>
        <v>Dit veelkleurige cap en de grafische vormgeving is zeer comfortabel om te dragen.
Zijn vizier beschermt je ogen tegen de zon, en zijn ventilatiegaten zijn handig voor u om het te dragen het hele jaar.
Het belangrijkste: het uw look met stijl voltooit!</v>
      </c>
      <c r="P159" s="50" t="s">
        <v>155</v>
      </c>
      <c r="Q159" s="49" t="str">
        <f ca="1">IFERROR(__xludf.DUMMYFUNCTION("GOOGLETRANSLATE(P159, ""fr"", ""nl"")"),"veelkleurig")</f>
        <v>veelkleurig</v>
      </c>
      <c r="R159" s="123" t="s">
        <v>31</v>
      </c>
      <c r="S159" s="52" t="str">
        <f ca="1">IFERROR(__xludf.DUMMYFUNCTION("GOOGLETRANSLATE(R159, ""fr"", ""nl"")"),"100% katoen")</f>
        <v>100% katoen</v>
      </c>
      <c r="T159" s="53" t="s">
        <v>32</v>
      </c>
      <c r="U159" s="54" t="str">
        <f ca="1">IFERROR(__xludf.DUMMYFUNCTION("GOOGLETRANSLATE(T159, ""fr"", ""nl"")"),"Op 30 ° C max
Gebruik geen bleekmiddel
Gebruik geen van de droger
Strijken op gemiddelde temperatuur
Niet stomen")</f>
        <v>Op 30 ° C max
Gebruik geen bleekmiddel
Gebruik geen van de droger
Strijken op gemiddelde temperatuur
Niet stomen</v>
      </c>
      <c r="V159" s="62" t="s">
        <v>111</v>
      </c>
      <c r="W159" s="101"/>
    </row>
    <row r="160" spans="1:23" ht="15.75" customHeight="1">
      <c r="A160" s="57" t="s">
        <v>694</v>
      </c>
      <c r="B160" s="122">
        <v>12</v>
      </c>
      <c r="C160" s="102"/>
      <c r="D160" s="102"/>
      <c r="E160" s="96"/>
      <c r="F160" s="43" t="s">
        <v>24</v>
      </c>
      <c r="G160" s="97" t="s">
        <v>679</v>
      </c>
      <c r="H160" s="44" t="s">
        <v>695</v>
      </c>
      <c r="I160" s="45"/>
      <c r="J160" s="98" t="s">
        <v>696</v>
      </c>
      <c r="K160" s="99"/>
      <c r="L160" s="99" t="s">
        <v>682</v>
      </c>
      <c r="M160" s="48" t="str">
        <f ca="1">IFERROR(__xludf.DUMMYFUNCTION("googletranslate(L160,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60" s="76" t="s">
        <v>693</v>
      </c>
      <c r="O160" s="49" t="str">
        <f ca="1">IFERROR(__xludf.DUMMYFUNCTION("googletranslate(N160, ""fr"", ""nl"")"),"Dit veelkleurige cap en de grafische vormgeving is zeer comfortabel om te dragen.
Zijn vizier beschermt je ogen tegen de zon, en zijn ventilatiegaten zijn handig voor u om het te dragen het hele jaar.
Het belangrijkste: het uw look met stijl voltooit!")</f>
        <v>Dit veelkleurige cap en de grafische vormgeving is zeer comfortabel om te dragen.
Zijn vizier beschermt je ogen tegen de zon, en zijn ventilatiegaten zijn handig voor u om het te dragen het hele jaar.
Het belangrijkste: het uw look met stijl voltooit!</v>
      </c>
      <c r="P160" s="50" t="s">
        <v>155</v>
      </c>
      <c r="Q160" s="49" t="str">
        <f ca="1">IFERROR(__xludf.DUMMYFUNCTION("GOOGLETRANSLATE(P160, ""fr"", ""nl"")"),"veelkleurig")</f>
        <v>veelkleurig</v>
      </c>
      <c r="R160" s="123" t="s">
        <v>31</v>
      </c>
      <c r="S160" s="52" t="str">
        <f ca="1">IFERROR(__xludf.DUMMYFUNCTION("GOOGLETRANSLATE(R160, ""fr"", ""nl"")"),"100% katoen")</f>
        <v>100% katoen</v>
      </c>
      <c r="T160" s="53" t="s">
        <v>32</v>
      </c>
      <c r="U160" s="54" t="str">
        <f ca="1">IFERROR(__xludf.DUMMYFUNCTION("GOOGLETRANSLATE(T160, ""fr"", ""nl"")"),"Op 30 ° C max
Gebruik geen bleekmiddel
Gebruik geen van de droger
Strijken op gemiddelde temperatuur
Niet stomen")</f>
        <v>Op 30 ° C max
Gebruik geen bleekmiddel
Gebruik geen van de droger
Strijken op gemiddelde temperatuur
Niet stomen</v>
      </c>
      <c r="V160" s="62" t="s">
        <v>145</v>
      </c>
      <c r="W160" s="101"/>
    </row>
    <row r="161" spans="1:23" ht="15.75" customHeight="1">
      <c r="A161" s="95" t="s">
        <v>697</v>
      </c>
      <c r="B161" s="122">
        <v>12</v>
      </c>
      <c r="C161" s="102"/>
      <c r="D161" s="102"/>
      <c r="E161" s="96"/>
      <c r="F161" s="43" t="s">
        <v>24</v>
      </c>
      <c r="G161" s="97" t="s">
        <v>679</v>
      </c>
      <c r="H161" s="44" t="s">
        <v>698</v>
      </c>
      <c r="I161" s="45"/>
      <c r="J161" s="98" t="s">
        <v>699</v>
      </c>
      <c r="K161" s="99"/>
      <c r="L161" s="124" t="s">
        <v>700</v>
      </c>
      <c r="M161" s="48" t="str">
        <f ca="1">IFERROR(__xludf.DUMMYFUNCTION("googletranslate(L161,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61" s="76" t="s">
        <v>701</v>
      </c>
      <c r="O161" s="49" t="str">
        <f ca="1">IFERROR(__xludf.DUMMYFUNCTION("googletranslate(N161, ""fr"", ""nl"")"),"Deze rode cap is zeer comfortabel om te dragen.
Zijn vizier beschermt je ogen tegen de zon, en zijn ventilatiegaten zijn handig voor u om het te dragen het hele jaar.
Het belangrijkste: het uw look met stijl voltooit!")</f>
        <v>Deze rode cap is zeer comfortabel om te dragen.
Zijn vizier beschermt je ogen tegen de zon, en zijn ventilatiegaten zijn handig voor u om het te dragen het hele jaar.
Het belangrijkste: het uw look met stijl voltooit!</v>
      </c>
      <c r="P161" s="100" t="s">
        <v>323</v>
      </c>
      <c r="Q161" s="49" t="str">
        <f ca="1">IFERROR(__xludf.DUMMYFUNCTION("GOOGLETRANSLATE(P161, ""fr"", ""nl"")"),"veelkleurig")</f>
        <v>veelkleurig</v>
      </c>
      <c r="R161" s="123" t="s">
        <v>31</v>
      </c>
      <c r="S161" s="52" t="str">
        <f ca="1">IFERROR(__xludf.DUMMYFUNCTION("GOOGLETRANSLATE(R161, ""fr"", ""nl"")"),"100% katoen")</f>
        <v>100% katoen</v>
      </c>
      <c r="T161" s="53" t="s">
        <v>32</v>
      </c>
      <c r="U161" s="54" t="str">
        <f ca="1">IFERROR(__xludf.DUMMYFUNCTION("GOOGLETRANSLATE(T161, ""fr"", ""nl"")"),"Op 30 ° C max
Gebruik geen bleekmiddel
Gebruik geen van de droger
Strijken op gemiddelde temperatuur
Niet stomen")</f>
        <v>Op 30 ° C max
Gebruik geen bleekmiddel
Gebruik geen van de droger
Strijken op gemiddelde temperatuur
Niet stomen</v>
      </c>
      <c r="V161" s="62" t="s">
        <v>702</v>
      </c>
      <c r="W161" s="101"/>
    </row>
    <row r="162" spans="1:23" ht="15.75" customHeight="1">
      <c r="A162" s="95" t="s">
        <v>703</v>
      </c>
      <c r="B162" s="122">
        <v>12</v>
      </c>
      <c r="C162" s="102"/>
      <c r="D162" s="102"/>
      <c r="E162" s="96"/>
      <c r="F162" s="43" t="s">
        <v>24</v>
      </c>
      <c r="G162" s="97" t="s">
        <v>679</v>
      </c>
      <c r="H162" s="44" t="s">
        <v>704</v>
      </c>
      <c r="I162" s="45"/>
      <c r="J162" s="98" t="s">
        <v>705</v>
      </c>
      <c r="K162" s="99"/>
      <c r="L162" s="124" t="s">
        <v>700</v>
      </c>
      <c r="M162" s="48" t="str">
        <f ca="1">IFERROR(__xludf.DUMMYFUNCTION("googletranslate(L162,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62" s="76" t="s">
        <v>706</v>
      </c>
      <c r="O162" s="49" t="str">
        <f ca="1">IFERROR(__xludf.DUMMYFUNCTION("googletranslate(N162, ""fr"", ""nl"")"),"Dit turquoise cap is zeer comfortabel om te dragen.
Zijn vizier beschermt je ogen tegen de zon, en zijn ventilatiegaten zijn handig voor u om het te dragen het hele jaar.
Het belangrijkste: het uw look met stijl voltooit!")</f>
        <v>Dit turquoise cap is zeer comfortabel om te dragen.
Zijn vizier beschermt je ogen tegen de zon, en zijn ventilatiegaten zijn handig voor u om het te dragen het hele jaar.
Het belangrijkste: het uw look met stijl voltooit!</v>
      </c>
      <c r="P162" s="100" t="s">
        <v>30</v>
      </c>
      <c r="Q162" s="49" t="str">
        <f ca="1">IFERROR(__xludf.DUMMYFUNCTION("GOOGLETRANSLATE(P162, ""fr"", ""nl"")"),"blauw")</f>
        <v>blauw</v>
      </c>
      <c r="R162" s="123" t="s">
        <v>31</v>
      </c>
      <c r="S162" s="52" t="str">
        <f ca="1">IFERROR(__xludf.DUMMYFUNCTION("GOOGLETRANSLATE(R162, ""fr"", ""nl"")"),"100% katoen")</f>
        <v>100% katoen</v>
      </c>
      <c r="T162" s="53" t="s">
        <v>32</v>
      </c>
      <c r="U162" s="54" t="str">
        <f ca="1">IFERROR(__xludf.DUMMYFUNCTION("GOOGLETRANSLATE(T162, ""fr"", ""nl"")"),"Op 30 ° C max
Gebruik geen bleekmiddel
Gebruik geen van de droger
Strijken op gemiddelde temperatuur
Niet stomen")</f>
        <v>Op 30 ° C max
Gebruik geen bleekmiddel
Gebruik geen van de droger
Strijken op gemiddelde temperatuur
Niet stomen</v>
      </c>
      <c r="V162" s="62" t="s">
        <v>702</v>
      </c>
      <c r="W162" s="101"/>
    </row>
    <row r="163" spans="1:23" ht="15.75" customHeight="1">
      <c r="A163" s="95" t="s">
        <v>707</v>
      </c>
      <c r="B163" s="122">
        <v>12</v>
      </c>
      <c r="C163" s="104"/>
      <c r="D163" s="102"/>
      <c r="E163" s="96"/>
      <c r="F163" s="43" t="s">
        <v>24</v>
      </c>
      <c r="G163" s="97" t="s">
        <v>679</v>
      </c>
      <c r="H163" s="44" t="s">
        <v>708</v>
      </c>
      <c r="I163" s="45"/>
      <c r="J163" s="98" t="s">
        <v>709</v>
      </c>
      <c r="K163" s="99"/>
      <c r="L163" s="124" t="s">
        <v>700</v>
      </c>
      <c r="M163" s="48" t="str">
        <f ca="1">IFERROR(__xludf.DUMMYFUNCTION("googletranslate(L163,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63" s="76" t="s">
        <v>683</v>
      </c>
      <c r="O163" s="49" t="str">
        <f ca="1">IFERROR(__xludf.DUMMYFUNCTION("googletranslate(N163, ""fr"", ""nl"")"),"Dit marineblauwe pet, wit en rood is zeer draagbaar.
Zijn vizier beschermt je ogen tegen de zon, en zijn ventilatiegaten zijn handig voor u om het te dragen het hele jaar.
Het belangrijkste: het uw look met stijl voltooit!")</f>
        <v>Dit marineblauwe pet, wit en rood is zeer draagbaar.
Zijn vizier beschermt je ogen tegen de zon, en zijn ventilatiegaten zijn handig voor u om het te dragen het hele jaar.
Het belangrijkste: het uw look met stijl voltooit!</v>
      </c>
      <c r="P163" s="100" t="s">
        <v>105</v>
      </c>
      <c r="Q163" s="49" t="str">
        <f ca="1">IFERROR(__xludf.DUMMYFUNCTION("GOOGLETRANSLATE(P163, ""fr"", ""nl"")"),"geel")</f>
        <v>geel</v>
      </c>
      <c r="R163" s="123" t="s">
        <v>31</v>
      </c>
      <c r="S163" s="52" t="str">
        <f ca="1">IFERROR(__xludf.DUMMYFUNCTION("GOOGLETRANSLATE(R163, ""fr"", ""nl"")"),"100% katoen")</f>
        <v>100% katoen</v>
      </c>
      <c r="T163" s="53" t="s">
        <v>32</v>
      </c>
      <c r="U163" s="54" t="str">
        <f ca="1">IFERROR(__xludf.DUMMYFUNCTION("GOOGLETRANSLATE(T163, ""fr"", ""nl"")"),"Op 30 ° C max
Gebruik geen bleekmiddel
Gebruik geen van de droger
Strijken op gemiddelde temperatuur
Niet stomen")</f>
        <v>Op 30 ° C max
Gebruik geen bleekmiddel
Gebruik geen van de droger
Strijken op gemiddelde temperatuur
Niet stomen</v>
      </c>
      <c r="V163" s="62" t="s">
        <v>702</v>
      </c>
      <c r="W163" s="101"/>
    </row>
    <row r="164" spans="1:23" ht="15.75" customHeight="1">
      <c r="A164" s="95" t="s">
        <v>710</v>
      </c>
      <c r="B164" s="122">
        <v>12</v>
      </c>
      <c r="C164" s="104"/>
      <c r="D164" s="102"/>
      <c r="E164" s="96"/>
      <c r="F164" s="43" t="s">
        <v>24</v>
      </c>
      <c r="G164" s="97" t="s">
        <v>679</v>
      </c>
      <c r="H164" s="44" t="s">
        <v>711</v>
      </c>
      <c r="I164" s="45"/>
      <c r="J164" s="98" t="s">
        <v>712</v>
      </c>
      <c r="K164" s="99"/>
      <c r="L164" s="124" t="s">
        <v>700</v>
      </c>
      <c r="M164" s="48" t="str">
        <f ca="1">IFERROR(__xludf.DUMMYFUNCTION("googletranslate(L164,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64" s="76" t="s">
        <v>713</v>
      </c>
      <c r="O164" s="49" t="str">
        <f ca="1">IFERROR(__xludf.DUMMYFUNCTION("googletranslate(N164, ""fr"", ""nl"")"),"Deze blauwe cap, rood en grijs is zeer draagbaar.
Zijn vizier beschermt je ogen tegen de zon, en zijn ventilatiegaten zijn handig voor u om het te dragen het hele jaar.
Het belangrijkste: het uw look met stijl voltooit!")</f>
        <v>Deze blauwe cap, rood en grijs is zeer draagbaar.
Zijn vizier beschermt je ogen tegen de zon, en zijn ventilatiegaten zijn handig voor u om het te dragen het hele jaar.
Het belangrijkste: het uw look met stijl voltooit!</v>
      </c>
      <c r="P164" s="100" t="s">
        <v>323</v>
      </c>
      <c r="Q164" s="49" t="str">
        <f ca="1">IFERROR(__xludf.DUMMYFUNCTION("GOOGLETRANSLATE(P164, ""fr"", ""nl"")"),"veelkleurig")</f>
        <v>veelkleurig</v>
      </c>
      <c r="R164" s="123" t="s">
        <v>31</v>
      </c>
      <c r="S164" s="52" t="str">
        <f ca="1">IFERROR(__xludf.DUMMYFUNCTION("GOOGLETRANSLATE(R164, ""fr"", ""nl"")"),"100% katoen")</f>
        <v>100% katoen</v>
      </c>
      <c r="T164" s="53" t="s">
        <v>32</v>
      </c>
      <c r="U164" s="54" t="str">
        <f ca="1">IFERROR(__xludf.DUMMYFUNCTION("GOOGLETRANSLATE(T164, ""fr"", ""nl"")"),"Op 30 ° C max
Gebruik geen bleekmiddel
Gebruik geen van de droger
Strijken op gemiddelde temperatuur
Niet stomen")</f>
        <v>Op 30 ° C max
Gebruik geen bleekmiddel
Gebruik geen van de droger
Strijken op gemiddelde temperatuur
Niet stomen</v>
      </c>
      <c r="V164" s="62" t="s">
        <v>702</v>
      </c>
      <c r="W164" s="101"/>
    </row>
    <row r="165" spans="1:23" ht="15.75" customHeight="1">
      <c r="A165" s="82" t="s">
        <v>714</v>
      </c>
      <c r="B165" s="122">
        <v>12</v>
      </c>
      <c r="C165" s="104"/>
      <c r="D165" s="102"/>
      <c r="E165" s="96"/>
      <c r="F165" s="43" t="s">
        <v>24</v>
      </c>
      <c r="G165" s="97" t="s">
        <v>679</v>
      </c>
      <c r="H165" s="44" t="s">
        <v>715</v>
      </c>
      <c r="I165" s="45"/>
      <c r="J165" s="98" t="s">
        <v>716</v>
      </c>
      <c r="K165" s="99"/>
      <c r="L165" s="124" t="s">
        <v>700</v>
      </c>
      <c r="M165" s="48" t="str">
        <f ca="1">IFERROR(__xludf.DUMMYFUNCTION("googletranslate(L165,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165" s="76" t="s">
        <v>717</v>
      </c>
      <c r="O165" s="49" t="str">
        <f ca="1">IFERROR(__xludf.DUMMYFUNCTION("googletranslate(N165, ""fr"", ""nl"")"),"Deze donkerblauwe muts en kaki patroon palm is zeer draagbaar.
Zijn vizier beschermt je ogen tegen de zon, en zijn ventilatiegaten zijn handig voor u om het te dragen het hele jaar.
Het belangrijkste: het uw look met stijl voltooit!")</f>
        <v>Deze donkerblauwe muts en kaki patroon palm is zeer draagbaar.
Zijn vizier beschermt je ogen tegen de zon, en zijn ventilatiegaten zijn handig voor u om het te dragen het hele jaar.
Het belangrijkste: het uw look met stijl voltooit!</v>
      </c>
      <c r="P165" s="100" t="s">
        <v>323</v>
      </c>
      <c r="Q165" s="49" t="str">
        <f ca="1">IFERROR(__xludf.DUMMYFUNCTION("GOOGLETRANSLATE(P165, ""fr"", ""nl"")"),"veelkleurig")</f>
        <v>veelkleurig</v>
      </c>
      <c r="R165" s="123" t="s">
        <v>31</v>
      </c>
      <c r="S165" s="52" t="str">
        <f ca="1">IFERROR(__xludf.DUMMYFUNCTION("GOOGLETRANSLATE(R165, ""fr"", ""nl"")"),"100% katoen")</f>
        <v>100% katoen</v>
      </c>
      <c r="T165" s="53" t="s">
        <v>32</v>
      </c>
      <c r="U165" s="54" t="str">
        <f ca="1">IFERROR(__xludf.DUMMYFUNCTION("GOOGLETRANSLATE(T165, ""fr"", ""nl"")"),"Op 30 ° C max
Gebruik geen bleekmiddel
Gebruik geen van de droger
Strijken op gemiddelde temperatuur
Niet stomen")</f>
        <v>Op 30 ° C max
Gebruik geen bleekmiddel
Gebruik geen van de droger
Strijken op gemiddelde temperatuur
Niet stomen</v>
      </c>
      <c r="V165" s="62" t="s">
        <v>702</v>
      </c>
      <c r="W165" s="101"/>
    </row>
    <row r="166" spans="1:23" ht="15.75" customHeight="1">
      <c r="A166" s="84" t="s">
        <v>718</v>
      </c>
      <c r="B166" s="85"/>
      <c r="C166" s="67"/>
      <c r="D166" s="86"/>
      <c r="E166" s="67"/>
      <c r="F166" s="87"/>
      <c r="G166" s="87"/>
      <c r="H166" s="87"/>
      <c r="I166" s="26"/>
      <c r="J166" s="88" t="s">
        <v>677</v>
      </c>
      <c r="K166" s="89"/>
      <c r="L166" s="89"/>
      <c r="M166" s="48" t="str">
        <f ca="1">IFERROR(__xludf.DUMMYFUNCTION("googletranslate(L166, ""fr"", ""nl"")"),"#VALUE!")</f>
        <v>#VALUE!</v>
      </c>
      <c r="N166" s="125"/>
      <c r="O166" s="49" t="str">
        <f ca="1">IFERROR(__xludf.DUMMYFUNCTION("googletranslate(N166, ""fr"", ""nl"")"),"#VALUE!")</f>
        <v>#VALUE!</v>
      </c>
      <c r="P166" s="91"/>
      <c r="Q166" s="49" t="str">
        <f ca="1">IFERROR(__xludf.DUMMYFUNCTION("GOOGLETRANSLATE(P166, ""fr"", ""nl"")"),"#VALUE!")</f>
        <v>#VALUE!</v>
      </c>
      <c r="R166" s="92"/>
      <c r="S166" s="52" t="str">
        <f ca="1">IFERROR(__xludf.DUMMYFUNCTION("GOOGLETRANSLATE(R166, ""fr"", ""nl"")"),"#VALUE!")</f>
        <v>#VALUE!</v>
      </c>
      <c r="T166" s="89"/>
      <c r="U166" s="54" t="str">
        <f ca="1">IFERROR(__xludf.DUMMYFUNCTION("GOOGLETRANSLATE(T166, ""fr"", ""nl"")"),"#VALUE!")</f>
        <v>#VALUE!</v>
      </c>
      <c r="V166" s="89"/>
      <c r="W166" s="38"/>
    </row>
    <row r="167" spans="1:23" ht="15.75" customHeight="1">
      <c r="A167" s="39" t="s">
        <v>719</v>
      </c>
      <c r="B167" s="40">
        <v>32</v>
      </c>
      <c r="C167" s="104"/>
      <c r="D167" s="104"/>
      <c r="E167" s="96"/>
      <c r="F167" s="43" t="s">
        <v>24</v>
      </c>
      <c r="G167" s="97" t="s">
        <v>720</v>
      </c>
      <c r="H167" s="44" t="s">
        <v>721</v>
      </c>
      <c r="I167" s="45"/>
      <c r="J167" s="98" t="s">
        <v>722</v>
      </c>
      <c r="K167" s="99"/>
      <c r="L167" s="99" t="s">
        <v>723</v>
      </c>
      <c r="M167" s="48" t="str">
        <f ca="1">IFERROR(__xludf.DUMMYFUNCTION("googletranslate(L167, ""fr"", ""nl"")"),"
- Talon flat
- Lace Sluiting
- voering van textiel
- kunstleer White Top
- Rubberen loopzool
- binnenzool textiel
- Gedrukt J &amp; JOY op de tong en op de zijkant
- Patch J &amp; JOY hiel zwarte achtergrond
- Label J &amp; JOY")</f>
        <v xml:space="preserve">
- Talon flat
- Lace Sluiting
- voering van textiel
- kunstleer White Top
- Rubberen loopzool
- binnenzool textiel
- Gedrukt J &amp; JOY op de tong en op de zijkant
- Patch J &amp; JOY hiel zwarte achtergrond
- Label J &amp; JOY</v>
      </c>
      <c r="N167" s="76" t="s">
        <v>724</v>
      </c>
      <c r="O167" s="49" t="str">
        <f ca="1">IFERROR(__xludf.DUMMYFUNCTION("googletranslate(N167, ""fr"", ""nl"")"),"Het is de sneakers model dat u zo graag, en hij is terug in nieuwe kleuren!
Rubberen zolen plat klinknagels en rode details: Deze sneakers zijn zo mooi plezier om te dragen, en ervoor zorgen dat u comfort gedurende de dag.
")</f>
        <v xml:space="preserve">Het is de sneakers model dat u zo graag, en hij is terug in nieuwe kleuren!
Rubberen zolen plat klinknagels en rode details: Deze sneakers zijn zo mooi plezier om te dragen, en ervoor zorgen dat u comfort gedurende de dag.
</v>
      </c>
      <c r="P167" s="100" t="s">
        <v>100</v>
      </c>
      <c r="Q167" s="49" t="str">
        <f ca="1">IFERROR(__xludf.DUMMYFUNCTION("GOOGLETRANSLATE(P167, ""fr"", ""nl"")"),"Wit")</f>
        <v>Wit</v>
      </c>
      <c r="R167" s="123" t="s">
        <v>725</v>
      </c>
      <c r="S167" s="52" t="str">
        <f ca="1">IFERROR(__xludf.DUMMYFUNCTION("GOOGLETRANSLATE(R167, ""fr"", ""nl"")"),"textiel
rubber")</f>
        <v>textiel
rubber</v>
      </c>
      <c r="T167" s="53" t="s">
        <v>32</v>
      </c>
      <c r="U167" s="54" t="str">
        <f ca="1">IFERROR(__xludf.DUMMYFUNCTION("GOOGLETRANSLATE(T167, ""fr"", ""nl"")"),"Op 30 ° C max
Gebruik geen bleekmiddel
Gebruik geen van de droger
Strijken op gemiddelde temperatuur
Niet stomen")</f>
        <v>Op 30 ° C max
Gebruik geen bleekmiddel
Gebruik geen van de droger
Strijken op gemiddelde temperatuur
Niet stomen</v>
      </c>
      <c r="V167" s="62" t="s">
        <v>33</v>
      </c>
      <c r="W167" s="101"/>
    </row>
    <row r="168" spans="1:23" ht="15.75" customHeight="1">
      <c r="A168" s="57" t="s">
        <v>726</v>
      </c>
      <c r="B168" s="40">
        <v>36</v>
      </c>
      <c r="C168" s="104"/>
      <c r="D168" s="104"/>
      <c r="E168" s="96"/>
      <c r="F168" s="43" t="s">
        <v>24</v>
      </c>
      <c r="G168" s="97" t="s">
        <v>720</v>
      </c>
      <c r="H168" s="44" t="s">
        <v>727</v>
      </c>
      <c r="I168" s="45"/>
      <c r="J168" s="98" t="s">
        <v>728</v>
      </c>
      <c r="K168" s="99"/>
      <c r="L168" s="124" t="s">
        <v>729</v>
      </c>
      <c r="M168" s="48" t="str">
        <f ca="1">IFERROR(__xludf.DUMMYFUNCTION("googletranslate(L168, ""fr"", ""nl"")"),"
- Talon flat
- Sluiting veters / 10 oogjes
- voering van textiel
- Top met knoppen en synthetische
- Rubberen loopzool
- binnenzool textiel
- Stripes op de zijkant
- Gedrukt J &amp; JOY op de tong en op de zijkant
- Patch J &amp; JOY hiel")</f>
        <v xml:space="preserve">
- Talon flat
- Sluiting veters / 10 oogjes
- voering van textiel
- Top met knoppen en synthetische
- Rubberen loopzool
- binnenzool textiel
- Stripes op de zijkant
- Gedrukt J &amp; JOY op de tong en op de zijkant
- Patch J &amp; JOY hiel</v>
      </c>
      <c r="N168" s="76" t="s">
        <v>730</v>
      </c>
      <c r="O168" s="49" t="str">
        <f ca="1">IFERROR(__xludf.DUMMYFUNCTION("googletranslate(N168, ""fr"", ""nl"")"),"Het is de sneakers model dat u zo graag, en hij is terug in nieuwe kleuren!
Rubberen zolen en een flatscreen afwerkingen draait: Deze sneakers zijn zo mooi plezier om te dragen, en ervoor zorgen dat u comfort gedurende de dag.
")</f>
        <v xml:space="preserve">Het is de sneakers model dat u zo graag, en hij is terug in nieuwe kleuren!
Rubberen zolen en een flatscreen afwerkingen draait: Deze sneakers zijn zo mooi plezier om te dragen, en ervoor zorgen dat u comfort gedurende de dag.
</v>
      </c>
      <c r="P168" s="100" t="s">
        <v>100</v>
      </c>
      <c r="Q168" s="49" t="str">
        <f ca="1">IFERROR(__xludf.DUMMYFUNCTION("GOOGLETRANSLATE(P168, ""fr"", ""nl"")"),"Wit")</f>
        <v>Wit</v>
      </c>
      <c r="R168" s="123" t="s">
        <v>725</v>
      </c>
      <c r="S168" s="52" t="str">
        <f ca="1">IFERROR(__xludf.DUMMYFUNCTION("GOOGLETRANSLATE(R168, ""fr"", ""nl"")"),"textiel
rubber")</f>
        <v>textiel
rubber</v>
      </c>
      <c r="T168" s="53" t="s">
        <v>32</v>
      </c>
      <c r="U168" s="54" t="str">
        <f ca="1">IFERROR(__xludf.DUMMYFUNCTION("GOOGLETRANSLATE(T168, ""fr"", ""nl"")"),"Op 30 ° C max
Gebruik geen bleekmiddel
Gebruik geen van de droger
Strijken op gemiddelde temperatuur
Niet stomen")</f>
        <v>Op 30 ° C max
Gebruik geen bleekmiddel
Gebruik geen van de droger
Strijken op gemiddelde temperatuur
Niet stomen</v>
      </c>
      <c r="V168" s="62" t="s">
        <v>83</v>
      </c>
      <c r="W168" s="101"/>
    </row>
    <row r="169" spans="1:23" ht="15.75" customHeight="1">
      <c r="A169" s="57" t="s">
        <v>731</v>
      </c>
      <c r="B169" s="40">
        <v>36</v>
      </c>
      <c r="C169" s="104"/>
      <c r="D169" s="104"/>
      <c r="E169" s="96"/>
      <c r="F169" s="43" t="s">
        <v>24</v>
      </c>
      <c r="G169" s="97" t="s">
        <v>720</v>
      </c>
      <c r="H169" s="44" t="s">
        <v>123</v>
      </c>
      <c r="I169" s="45"/>
      <c r="J169" s="98" t="s">
        <v>732</v>
      </c>
      <c r="K169" s="99"/>
      <c r="L169" s="124" t="s">
        <v>733</v>
      </c>
      <c r="M169" s="48" t="str">
        <f ca="1">IFERROR(__xludf.DUMMYFUNCTION("googletranslate(L169, ""fr"", ""nl"")"),"
- Talon flat
- Sluiting veters / 10 oogjes
- voering van textiel
- Top met knoppen imitatie suède en synthetische
- Rubberen loopzool
- binnenzool textiel
- Stripes op de zijkant
- Gedrukt J &amp; JOY op de tong en op de zijkant
- Patch J &amp; JOY hiel")</f>
        <v xml:space="preserve">
- Talon flat
- Sluiting veters / 10 oogjes
- voering van textiel
- Top met knoppen imitatie suède en synthetische
- Rubberen loopzool
- binnenzool textiel
- Stripes op de zijkant
- Gedrukt J &amp; JOY op de tong en op de zijkant
- Patch J &amp; JOY hiel</v>
      </c>
      <c r="N169" s="76" t="s">
        <v>734</v>
      </c>
      <c r="O169" s="49" t="str">
        <f ca="1">IFERROR(__xludf.DUMMYFUNCTION("googletranslate(N169, ""fr"", ""nl"")"),"Het is de sneakers model dat u zo graag, en hij is terug in nieuwe kleuren!
Rubberen zolen en een flatscreen afwerkingen hardlopen: blauw en khaki, deze sneakers zijn zo mooi plezier om te dragen, en ervoor zorgen dat u comfort gedurende de dag.
")</f>
        <v xml:space="preserve">Het is de sneakers model dat u zo graag, en hij is terug in nieuwe kleuren!
Rubberen zolen en een flatscreen afwerkingen hardlopen: blauw en khaki, deze sneakers zijn zo mooi plezier om te dragen, en ervoor zorgen dat u comfort gedurende de dag.
</v>
      </c>
      <c r="P169" s="100" t="s">
        <v>116</v>
      </c>
      <c r="Q169" s="49" t="str">
        <f ca="1">IFERROR(__xludf.DUMMYFUNCTION("GOOGLETRANSLATE(P169, ""fr"", ""nl"")"),"groen")</f>
        <v>groen</v>
      </c>
      <c r="R169" s="123" t="s">
        <v>725</v>
      </c>
      <c r="S169" s="52" t="str">
        <f ca="1">IFERROR(__xludf.DUMMYFUNCTION("GOOGLETRANSLATE(R169, ""fr"", ""nl"")"),"textiel
rubber")</f>
        <v>textiel
rubber</v>
      </c>
      <c r="T169" s="53" t="s">
        <v>32</v>
      </c>
      <c r="U169" s="54" t="str">
        <f ca="1">IFERROR(__xludf.DUMMYFUNCTION("GOOGLETRANSLATE(T169, ""fr"", ""nl"")"),"Op 30 ° C max
Gebruik geen bleekmiddel
Gebruik geen van de droger
Strijken op gemiddelde temperatuur
Niet stomen")</f>
        <v>Op 30 ° C max
Gebruik geen bleekmiddel
Gebruik geen van de droger
Strijken op gemiddelde temperatuur
Niet stomen</v>
      </c>
      <c r="V169" s="62" t="s">
        <v>111</v>
      </c>
      <c r="W169" s="101"/>
    </row>
    <row r="170" spans="1:23" ht="15.75" customHeight="1">
      <c r="A170" s="57" t="s">
        <v>735</v>
      </c>
      <c r="B170" s="40">
        <v>36</v>
      </c>
      <c r="C170" s="104"/>
      <c r="D170" s="104"/>
      <c r="E170" s="96"/>
      <c r="F170" s="43" t="s">
        <v>24</v>
      </c>
      <c r="G170" s="97" t="s">
        <v>720</v>
      </c>
      <c r="H170" s="44" t="s">
        <v>147</v>
      </c>
      <c r="I170" s="45"/>
      <c r="J170" s="98" t="s">
        <v>736</v>
      </c>
      <c r="K170" s="99"/>
      <c r="L170" s="99" t="s">
        <v>733</v>
      </c>
      <c r="M170" s="48" t="str">
        <f ca="1">IFERROR(__xludf.DUMMYFUNCTION("googletranslate(L170, ""fr"", ""nl"")"),"
- Talon flat
- Sluiting veters / 10 oogjes
- voering van textiel
- Top met knoppen imitatie suède en synthetische
- Rubberen loopzool
- binnenzool textiel
- Stripes op de zijkant
- Gedrukt J &amp; JOY op de tong en op de zijkant
- Patch J &amp; JOY hiel")</f>
        <v xml:space="preserve">
- Talon flat
- Sluiting veters / 10 oogjes
- voering van textiel
- Top met knoppen imitatie suède en synthetische
- Rubberen loopzool
- binnenzool textiel
- Stripes op de zijkant
- Gedrukt J &amp; JOY op de tong en op de zijkant
- Patch J &amp; JOY hiel</v>
      </c>
      <c r="N170" s="76" t="s">
        <v>737</v>
      </c>
      <c r="O170" s="49" t="str">
        <f ca="1">IFERROR(__xludf.DUMMYFUNCTION("googletranslate(N170, ""fr"", ""nl"")"),"Het is de sneakers model dat u zo graag, en hij is terug in nieuwe kleuren!
Rubberen zolen en een flatscreen afwerkingen hardlopen: blauw, rood en wit, deze sneakers zijn zo mooi plezier om te dragen, en ervoor zorgen dat u comfort gedurende de dag.
")</f>
        <v xml:space="preserve">Het is de sneakers model dat u zo graag, en hij is terug in nieuwe kleuren!
Rubberen zolen en een flatscreen afwerkingen hardlopen: blauw, rood en wit, deze sneakers zijn zo mooi plezier om te dragen, en ervoor zorgen dat u comfort gedurende de dag.
</v>
      </c>
      <c r="P170" s="100" t="s">
        <v>30</v>
      </c>
      <c r="Q170" s="49" t="str">
        <f ca="1">IFERROR(__xludf.DUMMYFUNCTION("GOOGLETRANSLATE(P170, ""fr"", ""nl"")"),"blauw")</f>
        <v>blauw</v>
      </c>
      <c r="R170" s="123" t="s">
        <v>725</v>
      </c>
      <c r="S170" s="52" t="str">
        <f ca="1">IFERROR(__xludf.DUMMYFUNCTION("GOOGLETRANSLATE(R170, ""fr"", ""nl"")"),"textiel
rubber")</f>
        <v>textiel
rubber</v>
      </c>
      <c r="T170" s="53" t="s">
        <v>32</v>
      </c>
      <c r="U170" s="54" t="str">
        <f ca="1">IFERROR(__xludf.DUMMYFUNCTION("GOOGLETRANSLATE(T170, ""fr"", ""nl"")"),"Op 30 ° C max
Gebruik geen bleekmiddel
Gebruik geen van de droger
Strijken op gemiddelde temperatuur
Niet stomen")</f>
        <v>Op 30 ° C max
Gebruik geen bleekmiddel
Gebruik geen van de droger
Strijken op gemiddelde temperatuur
Niet stomen</v>
      </c>
      <c r="V170" s="62" t="s">
        <v>145</v>
      </c>
      <c r="W170" s="101"/>
    </row>
    <row r="171" spans="1:23" ht="15.75" customHeight="1">
      <c r="A171" s="95" t="s">
        <v>738</v>
      </c>
      <c r="B171" s="40">
        <v>36</v>
      </c>
      <c r="C171" s="104"/>
      <c r="D171" s="104"/>
      <c r="E171" s="96"/>
      <c r="F171" s="43" t="s">
        <v>24</v>
      </c>
      <c r="G171" s="97" t="s">
        <v>720</v>
      </c>
      <c r="H171" s="44" t="s">
        <v>739</v>
      </c>
      <c r="I171" s="45"/>
      <c r="J171" s="98" t="s">
        <v>740</v>
      </c>
      <c r="K171" s="99"/>
      <c r="L171" s="124" t="s">
        <v>733</v>
      </c>
      <c r="M171" s="48" t="str">
        <f ca="1">IFERROR(__xludf.DUMMYFUNCTION("googletranslate(L171, ""fr"", ""nl"")"),"
- Talon flat
- Sluiting veters / 10 oogjes
- voering van textiel
- Top met knoppen imitatie suède en synthetische
- Rubberen loopzool
- binnenzool textiel
- Stripes op de zijkant
- Gedrukt J &amp; JOY op de tong en op de zijkant
- Patch J &amp; JOY hiel")</f>
        <v xml:space="preserve">
- Talon flat
- Sluiting veters / 10 oogjes
- voering van textiel
- Top met knoppen imitatie suède en synthetische
- Rubberen loopzool
- binnenzool textiel
- Stripes op de zijkant
- Gedrukt J &amp; JOY op de tong en op de zijkant
- Patch J &amp; JOY hiel</v>
      </c>
      <c r="N171" s="76" t="s">
        <v>734</v>
      </c>
      <c r="O171" s="49" t="str">
        <f ca="1">IFERROR(__xludf.DUMMYFUNCTION("googletranslate(N171, ""fr"", ""nl"")"),"Het is de sneakers model dat u zo graag, en hij is terug in nieuwe kleuren!
Rubberen zolen en een flatscreen afwerkingen hardlopen: blauw en khaki, deze sneakers zijn zo mooi plezier om te dragen, en ervoor zorgen dat u comfort gedurende de dag.
")</f>
        <v xml:space="preserve">Het is de sneakers model dat u zo graag, en hij is terug in nieuwe kleuren!
Rubberen zolen en een flatscreen afwerkingen hardlopen: blauw en khaki, deze sneakers zijn zo mooi plezier om te dragen, en ervoor zorgen dat u comfort gedurende de dag.
</v>
      </c>
      <c r="P171" s="100" t="s">
        <v>116</v>
      </c>
      <c r="Q171" s="49" t="str">
        <f ca="1">IFERROR(__xludf.DUMMYFUNCTION("GOOGLETRANSLATE(P171, ""fr"", ""nl"")"),"groen")</f>
        <v>groen</v>
      </c>
      <c r="R171" s="123" t="s">
        <v>725</v>
      </c>
      <c r="S171" s="52" t="str">
        <f ca="1">IFERROR(__xludf.DUMMYFUNCTION("GOOGLETRANSLATE(R171, ""fr"", ""nl"")"),"textiel
rubber")</f>
        <v>textiel
rubber</v>
      </c>
      <c r="T171" s="53" t="s">
        <v>32</v>
      </c>
      <c r="U171" s="54" t="str">
        <f ca="1">IFERROR(__xludf.DUMMYFUNCTION("GOOGLETRANSLATE(T171, ""fr"", ""nl"")"),"Op 30 ° C max
Gebruik geen bleekmiddel
Gebruik geen van de droger
Strijken op gemiddelde temperatuur
Niet stomen")</f>
        <v>Op 30 ° C max
Gebruik geen bleekmiddel
Gebruik geen van de droger
Strijken op gemiddelde temperatuur
Niet stomen</v>
      </c>
      <c r="V171" s="62" t="s">
        <v>702</v>
      </c>
      <c r="W171" s="101"/>
    </row>
    <row r="172" spans="1:23" ht="15.75" customHeight="1">
      <c r="A172" s="95" t="s">
        <v>741</v>
      </c>
      <c r="B172" s="40">
        <v>36</v>
      </c>
      <c r="C172" s="104"/>
      <c r="D172" s="104"/>
      <c r="E172" s="96"/>
      <c r="F172" s="43" t="s">
        <v>24</v>
      </c>
      <c r="G172" s="97" t="s">
        <v>720</v>
      </c>
      <c r="H172" s="44" t="s">
        <v>698</v>
      </c>
      <c r="I172" s="45"/>
      <c r="J172" s="98" t="s">
        <v>742</v>
      </c>
      <c r="K172" s="99"/>
      <c r="L172" s="124" t="s">
        <v>733</v>
      </c>
      <c r="M172" s="48" t="str">
        <f ca="1">IFERROR(__xludf.DUMMYFUNCTION("googletranslate(L172, ""fr"", ""nl"")"),"
- Talon flat
- Sluiting veters / 10 oogjes
- voering van textiel
- Top met knoppen imitatie suède en synthetische
- Rubberen loopzool
- binnenzool textiel
- Stripes op de zijkant
- Gedrukt J &amp; JOY op de tong en op de zijkant
- Patch J &amp; JOY hiel")</f>
        <v xml:space="preserve">
- Talon flat
- Sluiting veters / 10 oogjes
- voering van textiel
- Top met knoppen imitatie suède en synthetische
- Rubberen loopzool
- binnenzool textiel
- Stripes op de zijkant
- Gedrukt J &amp; JOY op de tong en op de zijkant
- Patch J &amp; JOY hiel</v>
      </c>
      <c r="N172" s="76" t="s">
        <v>743</v>
      </c>
      <c r="O172" s="49" t="str">
        <f ca="1">IFERROR(__xludf.DUMMYFUNCTION("googletranslate(N172, ""fr"", ""nl"")"),"Het is de sneakers model dat u zo graag, en hij is terug in nieuwe kleuren!
Rubberen zolen en een flatscreen afwerkingen hardlopen: blauw, rood en wit, deze sneakers zijn zo mooi plezier om te dragen, en ervoor zorgen dat u comfort gedurende de dag.
")</f>
        <v xml:space="preserve">Het is de sneakers model dat u zo graag, en hij is terug in nieuwe kleuren!
Rubberen zolen en een flatscreen afwerkingen hardlopen: blauw, rood en wit, deze sneakers zijn zo mooi plezier om te dragen, en ervoor zorgen dat u comfort gedurende de dag.
</v>
      </c>
      <c r="P172" s="100" t="s">
        <v>323</v>
      </c>
      <c r="Q172" s="49" t="str">
        <f ca="1">IFERROR(__xludf.DUMMYFUNCTION("GOOGLETRANSLATE(P172, ""fr"", ""nl"")"),"veelkleurig")</f>
        <v>veelkleurig</v>
      </c>
      <c r="R172" s="123" t="s">
        <v>744</v>
      </c>
      <c r="S172" s="52" t="str">
        <f ca="1">IFERROR(__xludf.DUMMYFUNCTION("GOOGLETRANSLATE(R172, ""fr"", ""nl"")"),"textiel
rubber")</f>
        <v>textiel
rubber</v>
      </c>
      <c r="T172" s="53" t="s">
        <v>32</v>
      </c>
      <c r="U172" s="54" t="str">
        <f ca="1">IFERROR(__xludf.DUMMYFUNCTION("GOOGLETRANSLATE(T172, ""fr"", ""nl"")"),"Op 30 ° C max
Gebruik geen bleekmiddel
Gebruik geen van de droger
Strijken op gemiddelde temperatuur
Niet stomen")</f>
        <v>Op 30 ° C max
Gebruik geen bleekmiddel
Gebruik geen van de droger
Strijken op gemiddelde temperatuur
Niet stomen</v>
      </c>
      <c r="V172" s="62" t="s">
        <v>702</v>
      </c>
      <c r="W172" s="101"/>
    </row>
    <row r="173" spans="1:23" ht="15.75" customHeight="1">
      <c r="A173" s="95" t="s">
        <v>745</v>
      </c>
      <c r="B173" s="40">
        <v>36</v>
      </c>
      <c r="C173" s="104"/>
      <c r="D173" s="104"/>
      <c r="E173" s="96"/>
      <c r="F173" s="43" t="s">
        <v>24</v>
      </c>
      <c r="G173" s="97" t="s">
        <v>720</v>
      </c>
      <c r="H173" s="44" t="s">
        <v>711</v>
      </c>
      <c r="I173" s="45"/>
      <c r="J173" s="98" t="s">
        <v>746</v>
      </c>
      <c r="K173" s="99"/>
      <c r="L173" s="124" t="s">
        <v>729</v>
      </c>
      <c r="M173" s="48" t="str">
        <f ca="1">IFERROR(__xludf.DUMMYFUNCTION("googletranslate(L173, ""fr"", ""nl"")"),"
- Talon flat
- Sluiting veters / 10 oogjes
- voering van textiel
- Top met knoppen en synthetische
- Rubberen loopzool
- binnenzool textiel
- Stripes op de zijkant
- Gedrukt J &amp; JOY op de tong en op de zijkant
- Patch J &amp; JOY hiel")</f>
        <v xml:space="preserve">
- Talon flat
- Sluiting veters / 10 oogjes
- voering van textiel
- Top met knoppen en synthetische
- Rubberen loopzool
- binnenzool textiel
- Stripes op de zijkant
- Gedrukt J &amp; JOY op de tong en op de zijkant
- Patch J &amp; JOY hiel</v>
      </c>
      <c r="N173" s="76" t="s">
        <v>737</v>
      </c>
      <c r="O173" s="49" t="str">
        <f ca="1">IFERROR(__xludf.DUMMYFUNCTION("googletranslate(N173, ""fr"", ""nl"")"),"Het is de sneakers model dat u zo graag, en hij is terug in nieuwe kleuren!
Rubberen zolen en een flatscreen afwerkingen hardlopen: blauw, rood en wit, deze sneakers zijn zo mooi plezier om te dragen, en ervoor zorgen dat u comfort gedurende de dag.
")</f>
        <v xml:space="preserve">Het is de sneakers model dat u zo graag, en hij is terug in nieuwe kleuren!
Rubberen zolen en een flatscreen afwerkingen hardlopen: blauw, rood en wit, deze sneakers zijn zo mooi plezier om te dragen, en ervoor zorgen dat u comfort gedurende de dag.
</v>
      </c>
      <c r="P173" s="100" t="s">
        <v>323</v>
      </c>
      <c r="Q173" s="49" t="str">
        <f ca="1">IFERROR(__xludf.DUMMYFUNCTION("GOOGLETRANSLATE(P173, ""fr"", ""nl"")"),"veelkleurig")</f>
        <v>veelkleurig</v>
      </c>
      <c r="R173" s="123" t="s">
        <v>744</v>
      </c>
      <c r="S173" s="52" t="str">
        <f ca="1">IFERROR(__xludf.DUMMYFUNCTION("GOOGLETRANSLATE(R173, ""fr"", ""nl"")"),"textiel
rubber")</f>
        <v>textiel
rubber</v>
      </c>
      <c r="T173" s="53" t="s">
        <v>32</v>
      </c>
      <c r="U173" s="54" t="str">
        <f ca="1">IFERROR(__xludf.DUMMYFUNCTION("GOOGLETRANSLATE(T173, ""fr"", ""nl"")"),"Op 30 ° C max
Gebruik geen bleekmiddel
Gebruik geen van de droger
Strijken op gemiddelde temperatuur
Niet stomen")</f>
        <v>Op 30 ° C max
Gebruik geen bleekmiddel
Gebruik geen van de droger
Strijken op gemiddelde temperatuur
Niet stomen</v>
      </c>
      <c r="V173" s="62" t="s">
        <v>702</v>
      </c>
      <c r="W173" s="101"/>
    </row>
    <row r="174" spans="1:23" ht="15.75" customHeight="1">
      <c r="A174" s="82" t="s">
        <v>747</v>
      </c>
      <c r="B174" s="40">
        <v>32</v>
      </c>
      <c r="C174" s="104"/>
      <c r="D174" s="104"/>
      <c r="E174" s="96"/>
      <c r="F174" s="43" t="s">
        <v>24</v>
      </c>
      <c r="G174" s="97" t="s">
        <v>720</v>
      </c>
      <c r="H174" s="44" t="s">
        <v>748</v>
      </c>
      <c r="I174" s="45"/>
      <c r="J174" s="98" t="s">
        <v>749</v>
      </c>
      <c r="K174" s="99"/>
      <c r="L174" s="124" t="s">
        <v>750</v>
      </c>
      <c r="M174" s="48" t="str">
        <f ca="1">IFERROR(__xludf.DUMMYFUNCTION("googletranslate(L174, ""fr"", ""nl"")"),"
- Talon flat
- Sluiting veters / oogjes driekleur op de top (zwart, geel, rood)
- voering van textiel
- kunstleer White Top
- Rubberen loopzool
- binnenzool zwarte textiel
- Gedrukt J &amp; JOY op de tong en op de zijkant
- Patch J &amp; JOY hiel zwarte achtergr"&amp;"ond
- Label Belgische vlag weefsel")</f>
        <v xml:space="preserve">
- Talon flat
- Sluiting veters / oogjes driekleur op de top (zwart, geel, rood)
- voering van textiel
- kunstleer White Top
- Rubberen loopzool
- binnenzool zwarte textiel
- Gedrukt J &amp; JOY op de tong en op de zijkant
- Patch J &amp; JOY hiel zwarte achtergrond
- Label Belgische vlag weefsel</v>
      </c>
      <c r="N174" s="76" t="s">
        <v>751</v>
      </c>
      <c r="O174" s="49" t="str">
        <f ca="1">IFERROR(__xludf.DUMMYFUNCTION("googletranslate(N174, ""fr"", ""nl"")"),"Het is de sneakers model dat u zo graag, en hij is terug in nieuwe kleuren!
Wit met een zwarte vlag, rood en geel, deze sneakers zijn zo mooi plezier om te dragen, en ervoor zorgen dat u comfort gedurende de dag. Dit is de tijdloze model uitstekend, gema"&amp;"kkelijk te dragen met alles.
")</f>
        <v xml:space="preserve">Het is de sneakers model dat u zo graag, en hij is terug in nieuwe kleuren!
Wit met een zwarte vlag, rood en geel, deze sneakers zijn zo mooi plezier om te dragen, en ervoor zorgen dat u comfort gedurende de dag. Dit is de tijdloze model uitstekend, gemakkelijk te dragen met alles.
</v>
      </c>
      <c r="P174" s="100" t="s">
        <v>752</v>
      </c>
      <c r="Q174" s="49" t="str">
        <f ca="1">IFERROR(__xludf.DUMMYFUNCTION("GOOGLETRANSLATE(P174, ""fr"", ""nl"")"),"Wit")</f>
        <v>Wit</v>
      </c>
      <c r="R174" s="123" t="s">
        <v>753</v>
      </c>
      <c r="S174" s="52" t="str">
        <f ca="1">IFERROR(__xludf.DUMMYFUNCTION("GOOGLETRANSLATE(R174, ""fr"", ""nl"")"),"textiel rubber Artificial")</f>
        <v>textiel rubber Artificial</v>
      </c>
      <c r="T174" s="53" t="s">
        <v>32</v>
      </c>
      <c r="U174" s="54" t="str">
        <f ca="1">IFERROR(__xludf.DUMMYFUNCTION("GOOGLETRANSLATE(T174, ""fr"", ""nl"")"),"Op 30 ° C max
Gebruik geen bleekmiddel
Gebruik geen van de droger
Strijken op gemiddelde temperatuur
Niet stomen")</f>
        <v>Op 30 ° C max
Gebruik geen bleekmiddel
Gebruik geen van de droger
Strijken op gemiddelde temperatuur
Niet stomen</v>
      </c>
      <c r="V174" s="62" t="s">
        <v>702</v>
      </c>
      <c r="W174" s="101"/>
    </row>
    <row r="175" spans="1:23" ht="15.75" customHeight="1">
      <c r="A175" s="126" t="s">
        <v>754</v>
      </c>
      <c r="B175" s="126"/>
      <c r="C175" s="126"/>
      <c r="D175" s="127"/>
      <c r="E175" s="16"/>
      <c r="F175" s="128"/>
      <c r="G175" s="128"/>
      <c r="H175" s="128"/>
      <c r="I175" s="128"/>
      <c r="J175" s="129"/>
      <c r="K175" s="129"/>
      <c r="L175" s="129"/>
      <c r="M175" s="48" t="str">
        <f ca="1">IFERROR(__xludf.DUMMYFUNCTION("googletranslate(L175, ""fr"", ""nl"")"),"#VALUE!")</f>
        <v>#VALUE!</v>
      </c>
      <c r="N175" s="130"/>
      <c r="O175" s="49" t="str">
        <f ca="1">IFERROR(__xludf.DUMMYFUNCTION("googletranslate(N175, ""fr"", ""nl"")"),"#VALUE!")</f>
        <v>#VALUE!</v>
      </c>
      <c r="P175" s="131"/>
      <c r="Q175" s="49" t="str">
        <f ca="1">IFERROR(__xludf.DUMMYFUNCTION("GOOGLETRANSLATE(P175, ""fr"", ""nl"")"),"#VALUE!")</f>
        <v>#VALUE!</v>
      </c>
      <c r="R175" s="132"/>
      <c r="S175" s="52" t="str">
        <f ca="1">IFERROR(__xludf.DUMMYFUNCTION("GOOGLETRANSLATE(R175, ""fr"", ""nl"")"),"#VALUE!")</f>
        <v>#VALUE!</v>
      </c>
      <c r="T175" s="133"/>
      <c r="U175" s="54" t="str">
        <f ca="1">IFERROR(__xludf.DUMMYFUNCTION("GOOGLETRANSLATE(T175, ""fr"", ""nl"")"),"#VALUE!")</f>
        <v>#VALUE!</v>
      </c>
      <c r="V175" s="18"/>
      <c r="W175" s="134"/>
    </row>
    <row r="176" spans="1:23" ht="15.75" customHeight="1">
      <c r="A176" s="21" t="s">
        <v>755</v>
      </c>
      <c r="B176" s="64"/>
      <c r="C176" s="65"/>
      <c r="D176" s="66"/>
      <c r="E176" s="67"/>
      <c r="F176" s="26"/>
      <c r="G176" s="26"/>
      <c r="H176" s="26"/>
      <c r="I176" s="26"/>
      <c r="J176" s="68"/>
      <c r="K176" s="69"/>
      <c r="L176" s="69"/>
      <c r="M176" s="48" t="str">
        <f ca="1">IFERROR(__xludf.DUMMYFUNCTION("googletranslate(L176, ""fr"", ""nl"")"),"#VALUE!")</f>
        <v>#VALUE!</v>
      </c>
      <c r="N176" s="135"/>
      <c r="O176" s="49" t="str">
        <f ca="1">IFERROR(__xludf.DUMMYFUNCTION("googletranslate(N176, ""fr"", ""nl"")"),"#VALUE!")</f>
        <v>#VALUE!</v>
      </c>
      <c r="P176" s="71"/>
      <c r="Q176" s="49" t="str">
        <f ca="1">IFERROR(__xludf.DUMMYFUNCTION("GOOGLETRANSLATE(P176, ""fr"", ""nl"")"),"#VALUE!")</f>
        <v>#VALUE!</v>
      </c>
      <c r="R176" s="72"/>
      <c r="S176" s="52" t="str">
        <f ca="1">IFERROR(__xludf.DUMMYFUNCTION("GOOGLETRANSLATE(R176, ""fr"", ""nl"")"),"#VALUE!")</f>
        <v>#VALUE!</v>
      </c>
      <c r="T176" s="89"/>
      <c r="U176" s="54" t="str">
        <f ca="1">IFERROR(__xludf.DUMMYFUNCTION("GOOGLETRANSLATE(T176, ""fr"", ""nl"")"),"#VALUE!")</f>
        <v>#VALUE!</v>
      </c>
      <c r="V176" s="37"/>
      <c r="W176" s="38"/>
    </row>
    <row r="177" spans="1:23" ht="15.75" customHeight="1">
      <c r="A177" s="39" t="s">
        <v>756</v>
      </c>
      <c r="B177" s="93">
        <v>16</v>
      </c>
      <c r="C177" s="136"/>
      <c r="D177" s="136"/>
      <c r="E177" s="42"/>
      <c r="F177" s="43" t="s">
        <v>757</v>
      </c>
      <c r="G177" s="43" t="s">
        <v>758</v>
      </c>
      <c r="H177" s="44" t="s">
        <v>26</v>
      </c>
      <c r="I177" s="45"/>
      <c r="J177" s="137" t="s">
        <v>759</v>
      </c>
      <c r="K177" s="138"/>
      <c r="L177" s="138" t="s">
        <v>37</v>
      </c>
      <c r="M177" s="48" t="str">
        <f ca="1">IFERROR(__xludf.DUMMYFUNCTION("googletranslate(L177, ""fr"", ""nl"")"),"
- Rechte snede
- geribbelde kraag met contrasterende biezen
- gestileerde Rib in de kraag
- knoopsluiting met twee knoppen
- Korte mouwen
- Bottom geribde mouwen met contrasterende biezen
- Zijsplitten
- J &amp; JOY geborduurd logo op de borst
- Emb"&amp;"roidery gestileerd in de rug
")</f>
        <v xml:space="preserve">
- Rechte snede
- geribbelde kraag met contrasterende biezen
- gestileerde Rib in de kraag
- knoopsluiting met twee knoppen
- Korte mouwen
- Bottom geribde mouwen met contrasterende biezen
- Zijsplitten
- J &amp; JOY geborduurd logo op de borst
- Embroidery gestileerd in de rug
</v>
      </c>
      <c r="N177" s="48" t="s">
        <v>760</v>
      </c>
      <c r="O177" s="49" t="str">
        <f ca="1">IFERROR(__xludf.DUMMYFUNCTION("googletranslate(N177, ""fr"", ""nl"")"),"Met gestippelde motieven geïnspireerd door de Australische Aboriginal kunst, deze blauwe polo shirt met rode details is de perfecte polo voor de zomer. Draag het met jeans of korte broek, het geeft de jongens een stijl tegelijk klassieke en origineel.")</f>
        <v>Met gestippelde motieven geïnspireerd door de Australische Aboriginal kunst, deze blauwe polo shirt met rode details is de perfecte polo voor de zomer. Draag het met jeans of korte broek, het geeft de jongens een stijl tegelijk klassieke en origineel.</v>
      </c>
      <c r="P177" s="50" t="s">
        <v>30</v>
      </c>
      <c r="Q177" s="49" t="str">
        <f ca="1">IFERROR(__xludf.DUMMYFUNCTION("GOOGLETRANSLATE(P177, ""fr"", ""nl"")"),"blauw")</f>
        <v>blauw</v>
      </c>
      <c r="R177" s="79" t="s">
        <v>31</v>
      </c>
      <c r="S177" s="52" t="str">
        <f ca="1">IFERROR(__xludf.DUMMYFUNCTION("GOOGLETRANSLATE(R177, ""fr"", ""nl"")"),"100% katoen")</f>
        <v>100% katoen</v>
      </c>
      <c r="T177" s="53" t="s">
        <v>32</v>
      </c>
      <c r="U177" s="54" t="str">
        <f ca="1">IFERROR(__xludf.DUMMYFUNCTION("GOOGLETRANSLATE(T177, ""fr"", ""nl"")"),"Op 30 ° C max
Gebruik geen bleekmiddel
Gebruik geen van de droger
Strijken op gemiddelde temperatuur
Niet stomen")</f>
        <v>Op 30 ° C max
Gebruik geen bleekmiddel
Gebruik geen van de droger
Strijken op gemiddelde temperatuur
Niet stomen</v>
      </c>
      <c r="V177" s="62" t="s">
        <v>761</v>
      </c>
      <c r="W177" s="56"/>
    </row>
    <row r="178" spans="1:23" ht="15.75" customHeight="1">
      <c r="A178" s="57" t="s">
        <v>762</v>
      </c>
      <c r="B178" s="93">
        <v>14</v>
      </c>
      <c r="C178" s="136"/>
      <c r="D178" s="136"/>
      <c r="E178" s="42"/>
      <c r="F178" s="43" t="s">
        <v>757</v>
      </c>
      <c r="G178" s="43" t="s">
        <v>758</v>
      </c>
      <c r="H178" s="44" t="s">
        <v>35</v>
      </c>
      <c r="I178" s="45"/>
      <c r="J178" s="137" t="s">
        <v>763</v>
      </c>
      <c r="K178" s="139"/>
      <c r="L178" s="139" t="s">
        <v>42</v>
      </c>
      <c r="M178" s="48" t="str">
        <f ca="1">IFERROR(__xludf.DUMMYFUNCTION("googletranslate(L178, ""fr"", ""nl"")"),"
- Rechte snede
- geribbelde kraag met contrasterende biezen
- gestileerde Rib in de kraag
- knoopsluiting met twee knoppen
- Korte mouwen
- Bottom geribde mouwen met contrasterende biezen
- Zijsplitten
- kangoeroe motief druk
- J &amp; JOY geborduurd logo op"&amp;" de borst
")</f>
        <v xml:space="preserve">
- Rechte snede
- geribbelde kraag met contrasterende biezen
- gestileerde Rib in de kraag
- knoopsluiting met twee knoppen
- Korte mouwen
- Bottom geribde mouwen met contrasterende biezen
- Zijsplitten
- kangoeroe motief druk
- J &amp; JOY geborduurd logo op de borst
</v>
      </c>
      <c r="N178" s="58" t="s">
        <v>764</v>
      </c>
      <c r="O178" s="49" t="str">
        <f ca="1">IFERROR(__xludf.DUMMYFUNCTION("googletranslate(N178, ""fr"", ""nl"")"),"Met pep blauw, rood details en een tekening in de rug nodigt uit om te ontdekken Australië, deze polo is allemaal goed!")</f>
        <v>Met pep blauw, rood details en een tekening in de rug nodigt uit om te ontdekken Australië, deze polo is allemaal goed!</v>
      </c>
      <c r="P178" s="50" t="s">
        <v>30</v>
      </c>
      <c r="Q178" s="49" t="str">
        <f ca="1">IFERROR(__xludf.DUMMYFUNCTION("GOOGLETRANSLATE(P178, ""fr"", ""nl"")"),"blauw")</f>
        <v>blauw</v>
      </c>
      <c r="R178" s="61" t="s">
        <v>31</v>
      </c>
      <c r="S178" s="52" t="str">
        <f ca="1">IFERROR(__xludf.DUMMYFUNCTION("GOOGLETRANSLATE(R178, ""fr"", ""nl"")"),"100% katoen")</f>
        <v>100% katoen</v>
      </c>
      <c r="T178" s="53" t="s">
        <v>32</v>
      </c>
      <c r="U178" s="54" t="str">
        <f ca="1">IFERROR(__xludf.DUMMYFUNCTION("GOOGLETRANSLATE(T178, ""fr"", ""nl"")"),"Op 30 ° C max
Gebruik geen bleekmiddel
Gebruik geen van de droger
Strijken op gemiddelde temperatuur
Niet stomen")</f>
        <v>Op 30 ° C max
Gebruik geen bleekmiddel
Gebruik geen van de droger
Strijken op gemiddelde temperatuur
Niet stomen</v>
      </c>
      <c r="V178" s="62" t="s">
        <v>761</v>
      </c>
      <c r="W178" s="56"/>
    </row>
    <row r="179" spans="1:23" ht="15.75" customHeight="1">
      <c r="A179" s="57" t="s">
        <v>765</v>
      </c>
      <c r="B179" s="93">
        <v>16</v>
      </c>
      <c r="C179" s="136"/>
      <c r="D179" s="136"/>
      <c r="E179" s="42"/>
      <c r="F179" s="43" t="s">
        <v>757</v>
      </c>
      <c r="G179" s="43" t="s">
        <v>758</v>
      </c>
      <c r="H179" s="44" t="s">
        <v>40</v>
      </c>
      <c r="I179" s="45"/>
      <c r="J179" s="137" t="s">
        <v>766</v>
      </c>
      <c r="K179" s="139"/>
      <c r="L179" s="139" t="s">
        <v>47</v>
      </c>
      <c r="M179" s="48" t="str">
        <f ca="1">IFERROR(__xludf.DUMMYFUNCTION("googletranslate(L179, ""fr"", ""nl"")"),"
- Rechte snede
- geribbelde kraag met contrasterende biezen
- gestileerde Rib in de kraag
- knoopsluiting met twee knoppen
- Korte mouwen
- Bottom geribde mouwen met contrasterende biezen
- Zijsplitten
- Logo J &amp; JOY gegomd op de borst")</f>
        <v xml:space="preserve">
- Rechte snede
- geribbelde kraag met contrasterende biezen
- gestileerde Rib in de kraag
- knoopsluiting met twee knoppen
- Korte mouwen
- Bottom geribde mouwen met contrasterende biezen
- Zijsplitten
- Logo J &amp; JOY gegomd op de borst</v>
      </c>
      <c r="N179" s="58" t="s">
        <v>767</v>
      </c>
      <c r="O179" s="49" t="str">
        <f ca="1">IFERROR(__xludf.DUMMYFUNCTION("googletranslate(N179, ""fr"", ""nl"")"),"Welkom in Australië! Met deze driehoekig patroon dat verkeersborden vertegenwoordigt als we oversteken het land van de kangoeroes, een imagines al in de Australische road trip! Doe je polo en gesp up, een voor de rit!")</f>
        <v>Welkom in Australië! Met deze driehoekig patroon dat verkeersborden vertegenwoordigt als we oversteken het land van de kangoeroes, een imagines al in de Australische road trip! Doe je polo en gesp up, een voor de rit!</v>
      </c>
      <c r="P179" s="50" t="s">
        <v>30</v>
      </c>
      <c r="Q179" s="49" t="str">
        <f ca="1">IFERROR(__xludf.DUMMYFUNCTION("GOOGLETRANSLATE(P179, ""fr"", ""nl"")"),"blauw")</f>
        <v>blauw</v>
      </c>
      <c r="R179" s="61" t="s">
        <v>31</v>
      </c>
      <c r="S179" s="52" t="str">
        <f ca="1">IFERROR(__xludf.DUMMYFUNCTION("GOOGLETRANSLATE(R179, ""fr"", ""nl"")"),"100% katoen")</f>
        <v>100% katoen</v>
      </c>
      <c r="T179" s="53" t="s">
        <v>32</v>
      </c>
      <c r="U179" s="54" t="str">
        <f ca="1">IFERROR(__xludf.DUMMYFUNCTION("GOOGLETRANSLATE(T179, ""fr"", ""nl"")"),"Op 30 ° C max
Gebruik geen bleekmiddel
Gebruik geen van de droger
Strijken op gemiddelde temperatuur
Niet stomen")</f>
        <v>Op 30 ° C max
Gebruik geen bleekmiddel
Gebruik geen van de droger
Strijken op gemiddelde temperatuur
Niet stomen</v>
      </c>
      <c r="V179" s="62" t="s">
        <v>761</v>
      </c>
      <c r="W179" s="56"/>
    </row>
    <row r="180" spans="1:23" ht="15.75" customHeight="1">
      <c r="A180" s="57" t="s">
        <v>768</v>
      </c>
      <c r="B180" s="93">
        <v>16</v>
      </c>
      <c r="C180" s="136"/>
      <c r="D180" s="136"/>
      <c r="E180" s="42"/>
      <c r="F180" s="43" t="s">
        <v>757</v>
      </c>
      <c r="G180" s="43" t="s">
        <v>758</v>
      </c>
      <c r="H180" s="44" t="s">
        <v>45</v>
      </c>
      <c r="I180" s="45"/>
      <c r="J180" s="137" t="s">
        <v>769</v>
      </c>
      <c r="K180" s="139"/>
      <c r="L180" s="139" t="s">
        <v>54</v>
      </c>
      <c r="M180" s="48" t="str">
        <f ca="1">IFERROR(__xludf.DUMMYFUNCTION("googletranslate(L180, ""fr"", ""nl"")"),"
- Rechte snede
- geribbelde kraag met contrasterende biezen
- gestileerde Rib in de kraag
- knoopsluiting met twee knoppen
- Korte mouwen
- Bottom geribde mouwen met contrasterende biezen
- Zijsplitten
- J &amp; JOY geborduurd logo op de borst
")</f>
        <v xml:space="preserve">
- Rechte snede
- geribbelde kraag met contrasterende biezen
- gestileerde Rib in de kraag
- knoopsluiting met twee knoppen
- Korte mouwen
- Bottom geribde mouwen met contrasterende biezen
- Zijsplitten
- J &amp; JOY geborduurd logo op de borst
</v>
      </c>
      <c r="N180" s="58" t="s">
        <v>770</v>
      </c>
      <c r="O180" s="49" t="str">
        <f ca="1">IFERROR(__xludf.DUMMYFUNCTION("googletranslate(N180, ""fr"", ""nl"")"),"Deze intense koraalrood herinnert ons aan de enorme vol van de Outback, de Australische outback. Gedragen met jeans met een blauw sweatshirt, polo shirt geeft een dynamische look in alle omstandigheden.")</f>
        <v>Deze intense koraalrood herinnert ons aan de enorme vol van de Outback, de Australische outback. Gedragen met jeans met een blauw sweatshirt, polo shirt geeft een dynamische look in alle omstandigheden.</v>
      </c>
      <c r="P180" s="50" t="s">
        <v>771</v>
      </c>
      <c r="Q180" s="49" t="str">
        <f ca="1">IFERROR(__xludf.DUMMYFUNCTION("GOOGLETRANSLATE(P180, ""fr"", ""nl"")"),"Ruge")</f>
        <v>Ruge</v>
      </c>
      <c r="R180" s="51" t="s">
        <v>50</v>
      </c>
      <c r="S180" s="52" t="str">
        <f ca="1">IFERROR(__xludf.DUMMYFUNCTION("GOOGLETRANSLATE(R180, ""fr"", ""nl"")"),"65% polyester 35% katoen")</f>
        <v>65% polyester 35% katoen</v>
      </c>
      <c r="T180" s="53" t="s">
        <v>32</v>
      </c>
      <c r="U180" s="54" t="str">
        <f ca="1">IFERROR(__xludf.DUMMYFUNCTION("GOOGLETRANSLATE(T180, ""fr"", ""nl"")"),"Op 30 ° C max
Gebruik geen bleekmiddel
Gebruik geen van de droger
Strijken op gemiddelde temperatuur
Niet stomen")</f>
        <v>Op 30 ° C max
Gebruik geen bleekmiddel
Gebruik geen van de droger
Strijken op gemiddelde temperatuur
Niet stomen</v>
      </c>
      <c r="V180" s="62" t="s">
        <v>761</v>
      </c>
      <c r="W180" s="56"/>
    </row>
    <row r="181" spans="1:23" ht="15.75" customHeight="1">
      <c r="A181" s="57" t="s">
        <v>772</v>
      </c>
      <c r="B181" s="93">
        <v>16</v>
      </c>
      <c r="C181" s="136"/>
      <c r="D181" s="136"/>
      <c r="E181" s="42"/>
      <c r="F181" s="43" t="s">
        <v>757</v>
      </c>
      <c r="G181" s="43" t="s">
        <v>758</v>
      </c>
      <c r="H181" s="44" t="s">
        <v>52</v>
      </c>
      <c r="I181" s="45"/>
      <c r="J181" s="137" t="s">
        <v>773</v>
      </c>
      <c r="K181" s="47"/>
      <c r="L181" s="47" t="s">
        <v>37</v>
      </c>
      <c r="M181" s="48" t="str">
        <f ca="1">IFERROR(__xludf.DUMMYFUNCTION("googletranslate(L181, ""fr"", ""nl"")"),"
- Rechte snede
- geribbelde kraag met contrasterende biezen
- gestileerde Rib in de kraag
- knoopsluiting met twee knoppen
- Korte mouwen
- Bottom geribde mouwen met contrasterende biezen
- Zijsplitten
- J &amp; JOY geborduurd logo op de borst
- Emb"&amp;"roidery gestileerd in de rug
")</f>
        <v xml:space="preserve">
- Rechte snede
- geribbelde kraag met contrasterende biezen
- gestileerde Rib in de kraag
- knoopsluiting met twee knoppen
- Korte mouwen
- Bottom geribde mouwen met contrasterende biezen
- Zijsplitten
- J &amp; JOY geborduurd logo op de borst
- Embroidery gestileerd in de rug
</v>
      </c>
      <c r="N181" s="58" t="s">
        <v>774</v>
      </c>
      <c r="O181" s="49" t="str">
        <f ca="1">IFERROR(__xludf.DUMMYFUNCTION("googletranslate(N181, ""fr"", ""nl"")"),"Een sterke kleur die de teint helderder! Deze dieprode tribute to rock rode monoliet Uluru, in de Australische outback, en verhoogt de uitstraling van de jongens!")</f>
        <v>Een sterke kleur die de teint helderder! Deze dieprode tribute to rock rode monoliet Uluru, in de Australische outback, en verhoogt de uitstraling van de jongens!</v>
      </c>
      <c r="P181" s="50" t="s">
        <v>56</v>
      </c>
      <c r="Q181" s="49" t="str">
        <f ca="1">IFERROR(__xludf.DUMMYFUNCTION("GOOGLETRANSLATE(P181, ""fr"", ""nl"")"),"rood")</f>
        <v>rood</v>
      </c>
      <c r="R181" s="59" t="s">
        <v>31</v>
      </c>
      <c r="S181" s="52" t="str">
        <f ca="1">IFERROR(__xludf.DUMMYFUNCTION("GOOGLETRANSLATE(R181, ""fr"", ""nl"")"),"100% katoen")</f>
        <v>100% katoen</v>
      </c>
      <c r="T181" s="53" t="s">
        <v>32</v>
      </c>
      <c r="U181" s="54" t="str">
        <f ca="1">IFERROR(__xludf.DUMMYFUNCTION("GOOGLETRANSLATE(T181, ""fr"", ""nl"")"),"Op 30 ° C max
Gebruik geen bleekmiddel
Gebruik geen van de droger
Strijken op gemiddelde temperatuur
Niet stomen")</f>
        <v>Op 30 ° C max
Gebruik geen bleekmiddel
Gebruik geen van de droger
Strijken op gemiddelde temperatuur
Niet stomen</v>
      </c>
      <c r="V181" s="62" t="s">
        <v>761</v>
      </c>
      <c r="W181" s="56"/>
    </row>
    <row r="182" spans="1:23" ht="15.75" customHeight="1">
      <c r="A182" s="57" t="s">
        <v>775</v>
      </c>
      <c r="B182" s="93">
        <v>16</v>
      </c>
      <c r="C182" s="136"/>
      <c r="D182" s="136"/>
      <c r="E182" s="42"/>
      <c r="F182" s="43" t="s">
        <v>757</v>
      </c>
      <c r="G182" s="43" t="s">
        <v>758</v>
      </c>
      <c r="H182" s="44" t="s">
        <v>74</v>
      </c>
      <c r="I182" s="45"/>
      <c r="J182" s="137" t="s">
        <v>776</v>
      </c>
      <c r="K182" s="47"/>
      <c r="L182" s="47" t="s">
        <v>76</v>
      </c>
      <c r="M182" s="48" t="str">
        <f ca="1">IFERROR(__xludf.DUMMYFUNCTION("googletranslate(L182,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82" s="58" t="s">
        <v>777</v>
      </c>
      <c r="O182" s="49" t="str">
        <f ca="1">IFERROR(__xludf.DUMMYFUNCTION("googletranslate(N182, ""fr"", ""nl"")"),"Deze print ""bladeren"" en de mix van rode en blauwe kleuren nemen u mee in het wild Australian! Met deze polo, kijk je dat opvalt!
Bonus: het is gemakkelijk te match! Blauw, rood, bruin, beige of bordeaux ... Alles is hem!")</f>
        <v>Deze print "bladeren" en de mix van rode en blauwe kleuren nemen u mee in het wild Australian! Met deze polo, kijk je dat opvalt!
Bonus: het is gemakkelijk te match! Blauw, rood, bruin, beige of bordeaux ... Alles is hem!</v>
      </c>
      <c r="P182" s="50" t="s">
        <v>30</v>
      </c>
      <c r="Q182" s="49" t="str">
        <f ca="1">IFERROR(__xludf.DUMMYFUNCTION("GOOGLETRANSLATE(P182, ""fr"", ""nl"")"),"blauw")</f>
        <v>blauw</v>
      </c>
      <c r="R182" s="59" t="s">
        <v>31</v>
      </c>
      <c r="S182" s="52" t="str">
        <f ca="1">IFERROR(__xludf.DUMMYFUNCTION("GOOGLETRANSLATE(R182, ""fr"", ""nl"")"),"100% katoen")</f>
        <v>100% katoen</v>
      </c>
      <c r="T182" s="53" t="s">
        <v>32</v>
      </c>
      <c r="U182" s="54" t="str">
        <f ca="1">IFERROR(__xludf.DUMMYFUNCTION("GOOGLETRANSLATE(T182, ""fr"", ""nl"")"),"Op 30 ° C max
Gebruik geen bleekmiddel
Gebruik geen van de droger
Strijken op gemiddelde temperatuur
Niet stomen")</f>
        <v>Op 30 ° C max
Gebruik geen bleekmiddel
Gebruik geen van de droger
Strijken op gemiddelde temperatuur
Niet stomen</v>
      </c>
      <c r="V182" s="62" t="s">
        <v>761</v>
      </c>
      <c r="W182" s="56"/>
    </row>
    <row r="183" spans="1:23" ht="15.75" customHeight="1">
      <c r="A183" s="57" t="s">
        <v>778</v>
      </c>
      <c r="B183" s="93">
        <v>18</v>
      </c>
      <c r="C183" s="136"/>
      <c r="D183" s="136"/>
      <c r="E183" s="42"/>
      <c r="F183" s="43" t="s">
        <v>757</v>
      </c>
      <c r="G183" s="43" t="s">
        <v>758</v>
      </c>
      <c r="H183" s="44" t="s">
        <v>79</v>
      </c>
      <c r="I183" s="45"/>
      <c r="J183" s="137" t="s">
        <v>779</v>
      </c>
      <c r="K183" s="47"/>
      <c r="L183" s="47" t="s">
        <v>780</v>
      </c>
      <c r="M183" s="48" t="str">
        <f ca="1">IFERROR(__xludf.DUMMYFUNCTION("googletranslate(L183, ""fr"", ""nl"")"),"
- Rechte snede
- geribbelde kraag met contrasterende biezen
- gestileerde Rib in de kraag
- knoopsluiting met twee knoppen
- Korte mouwen
- Bottom geribde mouwen met contrasterende biezen
- Zijsplitten
- Logo J &amp; JOY borst
- Embroidery gestileer"&amp;"d in de rug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83" s="58" t="s">
        <v>781</v>
      </c>
      <c r="O183" s="49" t="str">
        <f ca="1">IFERROR(__xludf.DUMMYFUNCTION("googletranslate(N183, ""fr"", ""nl"")"),"Hij heeft de ziel van een surfer? Dan is voor hem dit overhemd! Met zijn pastel blauw en roze details deze polo is perfect voor een dagje aan het strand in Byron Bay, Australië. Vergeet niet uw surfplank en je zonnebril!")</f>
        <v>Hij heeft de ziel van een surfer? Dan is voor hem dit overhemd! Met zijn pastel blauw en roze details deze polo is perfect voor een dagje aan het strand in Byron Bay, Australië. Vergeet niet uw surfplank en je zonnebril!</v>
      </c>
      <c r="P183" s="50" t="s">
        <v>30</v>
      </c>
      <c r="Q183" s="49" t="str">
        <f ca="1">IFERROR(__xludf.DUMMYFUNCTION("GOOGLETRANSLATE(P183, ""fr"", ""nl"")"),"blauw")</f>
        <v>blauw</v>
      </c>
      <c r="R183" s="59" t="s">
        <v>31</v>
      </c>
      <c r="S183" s="52" t="str">
        <f ca="1">IFERROR(__xludf.DUMMYFUNCTION("GOOGLETRANSLATE(R183, ""fr"", ""nl"")"),"100% katoen")</f>
        <v>100% katoen</v>
      </c>
      <c r="T183" s="53" t="s">
        <v>32</v>
      </c>
      <c r="U183" s="54" t="str">
        <f ca="1">IFERROR(__xludf.DUMMYFUNCTION("GOOGLETRANSLATE(T183, ""fr"", ""nl"")"),"Op 30 ° C max
Gebruik geen bleekmiddel
Gebruik geen van de droger
Strijken op gemiddelde temperatuur
Niet stomen")</f>
        <v>Op 30 ° C max
Gebruik geen bleekmiddel
Gebruik geen van de droger
Strijken op gemiddelde temperatuur
Niet stomen</v>
      </c>
      <c r="V183" s="62" t="s">
        <v>782</v>
      </c>
      <c r="W183" s="56"/>
    </row>
    <row r="184" spans="1:23" ht="15.75" customHeight="1">
      <c r="A184" s="57" t="s">
        <v>783</v>
      </c>
      <c r="B184" s="93">
        <v>16</v>
      </c>
      <c r="C184" s="136"/>
      <c r="D184" s="136"/>
      <c r="E184" s="42"/>
      <c r="F184" s="43" t="s">
        <v>757</v>
      </c>
      <c r="G184" s="43" t="s">
        <v>758</v>
      </c>
      <c r="H184" s="44" t="s">
        <v>85</v>
      </c>
      <c r="I184" s="45"/>
      <c r="J184" s="137" t="s">
        <v>784</v>
      </c>
      <c r="K184" s="47"/>
      <c r="L184" s="47" t="s">
        <v>129</v>
      </c>
      <c r="M184" s="48" t="str">
        <f ca="1">IFERROR(__xludf.DUMMYFUNCTION("googletranslate(L184,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84" s="58" t="s">
        <v>785</v>
      </c>
      <c r="O184" s="49" t="str">
        <f ca="1">IFERROR(__xludf.DUMMYFUNCTION("googletranslate(N184, ""fr"", ""nl"")"),"surfplanken afdrukken en heldere kleuren ... Met deze polo, zijn wij van mening al klaar om te surfen in Australië!
Of twister een klassieke look of om een ​​outfit van 100% fun te vullen, deze kleurrijke polo is perfect!")</f>
        <v>surfplanken afdrukken en heldere kleuren ... Met deze polo, zijn wij van mening al klaar om te surfen in Australië!
Of twister een klassieke look of om een ​​outfit van 100% fun te vullen, deze kleurrijke polo is perfect!</v>
      </c>
      <c r="P184" s="50" t="s">
        <v>30</v>
      </c>
      <c r="Q184" s="49" t="str">
        <f ca="1">IFERROR(__xludf.DUMMYFUNCTION("GOOGLETRANSLATE(P184, ""fr"", ""nl"")"),"blauw")</f>
        <v>blauw</v>
      </c>
      <c r="R184" s="59" t="s">
        <v>31</v>
      </c>
      <c r="S184" s="52" t="str">
        <f ca="1">IFERROR(__xludf.DUMMYFUNCTION("GOOGLETRANSLATE(R184, ""fr"", ""nl"")"),"100% katoen")</f>
        <v>100% katoen</v>
      </c>
      <c r="T184" s="53" t="s">
        <v>32</v>
      </c>
      <c r="U184" s="54" t="str">
        <f ca="1">IFERROR(__xludf.DUMMYFUNCTION("GOOGLETRANSLATE(T184, ""fr"", ""nl"")"),"Op 30 ° C max
Gebruik geen bleekmiddel
Gebruik geen van de droger
Strijken op gemiddelde temperatuur
Niet stomen")</f>
        <v>Op 30 ° C max
Gebruik geen bleekmiddel
Gebruik geen van de droger
Strijken op gemiddelde temperatuur
Niet stomen</v>
      </c>
      <c r="V184" s="62" t="s">
        <v>782</v>
      </c>
      <c r="W184" s="56"/>
    </row>
    <row r="185" spans="1:23" ht="15.75" customHeight="1">
      <c r="A185" s="57" t="s">
        <v>786</v>
      </c>
      <c r="B185" s="93">
        <v>16</v>
      </c>
      <c r="C185" s="136"/>
      <c r="D185" s="136"/>
      <c r="E185" s="42"/>
      <c r="F185" s="43" t="s">
        <v>757</v>
      </c>
      <c r="G185" s="43" t="s">
        <v>758</v>
      </c>
      <c r="H185" s="44" t="s">
        <v>93</v>
      </c>
      <c r="I185" s="45"/>
      <c r="J185" s="137" t="s">
        <v>787</v>
      </c>
      <c r="K185" s="47"/>
      <c r="L185" s="47" t="s">
        <v>780</v>
      </c>
      <c r="M185" s="48" t="str">
        <f ca="1">IFERROR(__xludf.DUMMYFUNCTION("googletranslate(L185, ""fr"", ""nl"")"),"
- Rechte snede
- geribbelde kraag met contrasterende biezen
- gestileerde Rib in de kraag
- knoopsluiting met twee knoppen
- Korte mouwen
- Bottom geribde mouwen met contrasterende biezen
- Zijsplitten
- Logo J &amp; JOY borst
- Embroidery gestileer"&amp;"d in de rug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85" s="58" t="s">
        <v>95</v>
      </c>
      <c r="O185" s="49" t="str">
        <f ca="1">IFERROR(__xludf.DUMMYFUNCTION("googletranslate(N185, ""fr"", ""nl"")"),"Een echte rode en nam, perfect voor de zomer dagen! Met deze polo en tekening in de rug, in de richting van Byron Bay, Australië, voor een middag ""surf &amp; chill 'op het strand!")</f>
        <v>Een echte rode en nam, perfect voor de zomer dagen! Met deze polo en tekening in de rug, in de richting van Byron Bay, Australië, voor een middag "surf &amp; chill 'op het strand!</v>
      </c>
      <c r="P185" s="50" t="s">
        <v>61</v>
      </c>
      <c r="Q185" s="49" t="str">
        <f ca="1">IFERROR(__xludf.DUMMYFUNCTION("GOOGLETRANSLATE(P185, ""fr"", ""nl"")"),"roze")</f>
        <v>roze</v>
      </c>
      <c r="R185" s="59" t="s">
        <v>31</v>
      </c>
      <c r="S185" s="52" t="str">
        <f ca="1">IFERROR(__xludf.DUMMYFUNCTION("GOOGLETRANSLATE(R185, ""fr"", ""nl"")"),"100% katoen")</f>
        <v>100% katoen</v>
      </c>
      <c r="T185" s="53" t="s">
        <v>32</v>
      </c>
      <c r="U185" s="54" t="str">
        <f ca="1">IFERROR(__xludf.DUMMYFUNCTION("GOOGLETRANSLATE(T185, ""fr"", ""nl"")"),"Op 30 ° C max
Gebruik geen bleekmiddel
Gebruik geen van de droger
Strijken op gemiddelde temperatuur
Niet stomen")</f>
        <v>Op 30 ° C max
Gebruik geen bleekmiddel
Gebruik geen van de droger
Strijken op gemiddelde temperatuur
Niet stomen</v>
      </c>
      <c r="V185" s="62" t="s">
        <v>782</v>
      </c>
      <c r="W185" s="56"/>
    </row>
    <row r="186" spans="1:23" ht="15.75" customHeight="1">
      <c r="A186" s="57" t="s">
        <v>788</v>
      </c>
      <c r="B186" s="93">
        <v>16</v>
      </c>
      <c r="C186" s="136"/>
      <c r="D186" s="136"/>
      <c r="E186" s="42"/>
      <c r="F186" s="43" t="s">
        <v>757</v>
      </c>
      <c r="G186" s="43" t="s">
        <v>758</v>
      </c>
      <c r="H186" s="44" t="s">
        <v>102</v>
      </c>
      <c r="I186" s="45"/>
      <c r="J186" s="137" t="s">
        <v>789</v>
      </c>
      <c r="K186" s="47"/>
      <c r="L186" s="47" t="s">
        <v>780</v>
      </c>
      <c r="M186" s="48" t="str">
        <f ca="1">IFERROR(__xludf.DUMMYFUNCTION("googletranslate(L186, ""fr"", ""nl"")"),"
- Rechte snede
- geribbelde kraag met contrasterende biezen
- gestileerde Rib in de kraag
- knoopsluiting met twee knoppen
- Korte mouwen
- Bottom geribde mouwen met contrasterende biezen
- Zijsplitten
- Logo J &amp; JOY borst
- Embroidery gestileer"&amp;"d in de rug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86" s="58" t="s">
        <v>790</v>
      </c>
      <c r="O186" s="49" t="str">
        <f ca="1">IFERROR(__xludf.DUMMYFUNCTION("googletranslate(N186, ""fr"", ""nl"")"),"Met zijn pastel geel en tekening in de rug, deze polo is het essentieel stuk in de kast van de Australische surfer! Vergeet niet uw raad!")</f>
        <v>Met zijn pastel geel en tekening in de rug, deze polo is het essentieel stuk in de kast van de Australische surfer! Vergeet niet uw raad!</v>
      </c>
      <c r="P186" s="50" t="s">
        <v>105</v>
      </c>
      <c r="Q186" s="49" t="str">
        <f ca="1">IFERROR(__xludf.DUMMYFUNCTION("GOOGLETRANSLATE(P186, ""fr"", ""nl"")"),"geel")</f>
        <v>geel</v>
      </c>
      <c r="R186" s="59" t="s">
        <v>31</v>
      </c>
      <c r="S186" s="52" t="str">
        <f ca="1">IFERROR(__xludf.DUMMYFUNCTION("GOOGLETRANSLATE(R186, ""fr"", ""nl"")"),"100% katoen")</f>
        <v>100% katoen</v>
      </c>
      <c r="T186" s="53" t="s">
        <v>32</v>
      </c>
      <c r="U186" s="54" t="str">
        <f ca="1">IFERROR(__xludf.DUMMYFUNCTION("GOOGLETRANSLATE(T186, ""fr"", ""nl"")"),"Op 30 ° C max
Gebruik geen bleekmiddel
Gebruik geen van de droger
Strijken op gemiddelde temperatuur
Niet stomen")</f>
        <v>Op 30 ° C max
Gebruik geen bleekmiddel
Gebruik geen van de droger
Strijken op gemiddelde temperatuur
Niet stomen</v>
      </c>
      <c r="V186" s="62" t="s">
        <v>782</v>
      </c>
      <c r="W186" s="56"/>
    </row>
    <row r="187" spans="1:23" ht="15.75" customHeight="1">
      <c r="A187" s="57" t="s">
        <v>791</v>
      </c>
      <c r="B187" s="93">
        <v>16</v>
      </c>
      <c r="C187" s="136"/>
      <c r="D187" s="136"/>
      <c r="E187" s="42"/>
      <c r="F187" s="43" t="s">
        <v>757</v>
      </c>
      <c r="G187" s="43" t="s">
        <v>758</v>
      </c>
      <c r="H187" s="44" t="s">
        <v>792</v>
      </c>
      <c r="I187" s="45"/>
      <c r="J187" s="137" t="s">
        <v>793</v>
      </c>
      <c r="K187" s="47"/>
      <c r="L187" s="47" t="s">
        <v>780</v>
      </c>
      <c r="M187" s="48" t="str">
        <f ca="1">IFERROR(__xludf.DUMMYFUNCTION("googletranslate(L187, ""fr"", ""nl"")"),"
- Rechte snede
- geribbelde kraag met contrasterende biezen
- gestileerde Rib in de kraag
- knoopsluiting met twee knoppen
- Korte mouwen
- Bottom geribde mouwen met contrasterende biezen
- Zijsplitten
- Logo J &amp; JOY borst
- Embroidery gestileer"&amp;"d in de rug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87" s="58" t="s">
        <v>794</v>
      </c>
      <c r="O187" s="49" t="str">
        <f ca="1">IFERROR(__xludf.DUMMYFUNCTION("googletranslate(N187, ""fr"", ""nl"")"),"Deze pastel blauw en acidilué gaat goed met alle huidtinten! Een kleur zo mooi als gemakkelijk te dragen in alle omstandigheden de schoolbanken in een middag met vrienden!")</f>
        <v>Deze pastel blauw en acidilué gaat goed met alle huidtinten! Een kleur zo mooi als gemakkelijk te dragen in alle omstandigheden de schoolbanken in een middag met vrienden!</v>
      </c>
      <c r="P187" s="50" t="s">
        <v>30</v>
      </c>
      <c r="Q187" s="49" t="str">
        <f ca="1">IFERROR(__xludf.DUMMYFUNCTION("GOOGLETRANSLATE(P187, ""fr"", ""nl"")"),"blauw")</f>
        <v>blauw</v>
      </c>
      <c r="R187" s="59" t="s">
        <v>31</v>
      </c>
      <c r="S187" s="52" t="str">
        <f ca="1">IFERROR(__xludf.DUMMYFUNCTION("GOOGLETRANSLATE(R187, ""fr"", ""nl"")"),"100% katoen")</f>
        <v>100% katoen</v>
      </c>
      <c r="T187" s="53" t="s">
        <v>32</v>
      </c>
      <c r="U187" s="54" t="str">
        <f ca="1">IFERROR(__xludf.DUMMYFUNCTION("GOOGLETRANSLATE(T187, ""fr"", ""nl"")"),"Op 30 ° C max
Gebruik geen bleekmiddel
Gebruik geen van de droger
Strijken op gemiddelde temperatuur
Niet stomen")</f>
        <v>Op 30 ° C max
Gebruik geen bleekmiddel
Gebruik geen van de droger
Strijken op gemiddelde temperatuur
Niet stomen</v>
      </c>
      <c r="V187" s="62" t="s">
        <v>782</v>
      </c>
      <c r="W187" s="56"/>
    </row>
    <row r="188" spans="1:23" ht="15.75" customHeight="1">
      <c r="A188" s="57" t="s">
        <v>795</v>
      </c>
      <c r="B188" s="93">
        <v>16</v>
      </c>
      <c r="C188" s="136"/>
      <c r="D188" s="136"/>
      <c r="E188" s="42"/>
      <c r="F188" s="43" t="s">
        <v>757</v>
      </c>
      <c r="G188" s="43" t="s">
        <v>758</v>
      </c>
      <c r="H188" s="44" t="s">
        <v>107</v>
      </c>
      <c r="I188" s="45"/>
      <c r="J188" s="137" t="s">
        <v>796</v>
      </c>
      <c r="K188" s="47"/>
      <c r="L188" s="47" t="s">
        <v>797</v>
      </c>
      <c r="M188" s="48" t="str">
        <f ca="1">IFERROR(__xludf.DUMMYFUNCTION("googletranslate(L188, ""fr"", ""nl"")"),"
- Rechte snede
- geribbelde kraag met contrasterende biezen
- gestileerde Rib in de kraag
- knoopsluiting met twee knoppen
- Korte mouwen
- Bottom geribde mouwen met contrasterende biezen
- Zijsplitten
- Logo J &amp; JOY sleeve")</f>
        <v xml:space="preserve">
- Rechte snede
- geribbelde kraag met contrasterende biezen
- gestileerde Rib in de kraag
- knoopsluiting met twee knoppen
- Korte mouwen
- Bottom geribde mouwen met contrasterende biezen
- Zijsplitten
- Logo J &amp; JOY sleeve</v>
      </c>
      <c r="N188" s="58" t="s">
        <v>798</v>
      </c>
      <c r="O188" s="49" t="str">
        <f ca="1">IFERROR(__xludf.DUMMYFUNCTION("googletranslate(N188, ""fr"", ""nl"")"),"Een patroon ""jungle"", schaduwen van groen op een deep blue: welkom in het regenwoud in Australië!
Deze polo pak al diegenen die een geest van avontuur te hebben!
De +: hetzelfde overhemd is beschikbaar voor backpackers vaders, je ziet vader / zoon asso"&amp;"rtiment!")</f>
        <v>Een patroon "jungle", schaduwen van groen op een deep blue: welkom in het regenwoud in Australië!
Deze polo pak al diegenen die een geest van avontuur te hebben!
De +: hetzelfde overhemd is beschikbaar voor backpackers vaders, je ziet vader / zoon assortiment!</v>
      </c>
      <c r="P188" s="50" t="s">
        <v>30</v>
      </c>
      <c r="Q188" s="49" t="str">
        <f ca="1">IFERROR(__xludf.DUMMYFUNCTION("GOOGLETRANSLATE(P188, ""fr"", ""nl"")"),"blauw")</f>
        <v>blauw</v>
      </c>
      <c r="R188" s="59" t="s">
        <v>31</v>
      </c>
      <c r="S188" s="52" t="str">
        <f ca="1">IFERROR(__xludf.DUMMYFUNCTION("GOOGLETRANSLATE(R188, ""fr"", ""nl"")"),"100% katoen")</f>
        <v>100% katoen</v>
      </c>
      <c r="T188" s="53" t="s">
        <v>32</v>
      </c>
      <c r="U188" s="54" t="str">
        <f ca="1">IFERROR(__xludf.DUMMYFUNCTION("GOOGLETRANSLATE(T188, ""fr"", ""nl"")"),"Op 30 ° C max
Gebruik geen bleekmiddel
Gebruik geen van de droger
Strijken op gemiddelde temperatuur
Niet stomen")</f>
        <v>Op 30 ° C max
Gebruik geen bleekmiddel
Gebruik geen van de droger
Strijken op gemiddelde temperatuur
Niet stomen</v>
      </c>
      <c r="V188" s="62" t="s">
        <v>799</v>
      </c>
      <c r="W188" s="56"/>
    </row>
    <row r="189" spans="1:23" ht="15.75" customHeight="1">
      <c r="A189" s="57" t="s">
        <v>800</v>
      </c>
      <c r="B189" s="93">
        <v>18</v>
      </c>
      <c r="C189" s="136"/>
      <c r="D189" s="136"/>
      <c r="E189" s="42"/>
      <c r="F189" s="43" t="s">
        <v>757</v>
      </c>
      <c r="G189" s="43" t="s">
        <v>758</v>
      </c>
      <c r="H189" s="44" t="s">
        <v>113</v>
      </c>
      <c r="I189" s="45"/>
      <c r="J189" s="137" t="s">
        <v>801</v>
      </c>
      <c r="K189" s="47"/>
      <c r="L189" s="47" t="s">
        <v>780</v>
      </c>
      <c r="M189" s="48" t="str">
        <f ca="1">IFERROR(__xludf.DUMMYFUNCTION("googletranslate(L189, ""fr"", ""nl"")"),"
- Rechte snede
- geribbelde kraag met contrasterende biezen
- gestileerde Rib in de kraag
- knoopsluiting met twee knoppen
- Korte mouwen
- Bottom geribde mouwen met contrasterende biezen
- Zijsplitten
- Logo J &amp; JOY borst
- Embroidery gestileer"&amp;"d in de rug
")</f>
        <v xml:space="preserve">
- Rechte snede
- geribbelde kraag met contrasterende biezen
- gestileerde Rib in de kraag
- knoopsluiting met twee knoppen
- Korte mouwen
- Bottom geribde mouwen met contrasterende biezen
- Zijsplitten
- Logo J &amp; JOY borst
- Embroidery gestileerd in de rug
</v>
      </c>
      <c r="N189" s="58" t="s">
        <v>802</v>
      </c>
      <c r="O189" s="49" t="str">
        <f ca="1">IFERROR(__xludf.DUMMYFUNCTION("googletranslate(N189, ""fr"", ""nl"")"),"Deze lime groene polo bekrachtigt alle looks! Een originele kleur en die men nooit moe!")</f>
        <v>Deze lime groene polo bekrachtigt alle looks! Een originele kleur en die men nooit moe!</v>
      </c>
      <c r="P189" s="50" t="s">
        <v>116</v>
      </c>
      <c r="Q189" s="49" t="str">
        <f ca="1">IFERROR(__xludf.DUMMYFUNCTION("GOOGLETRANSLATE(P189, ""fr"", ""nl"")"),"groen")</f>
        <v>groen</v>
      </c>
      <c r="R189" s="59" t="s">
        <v>31</v>
      </c>
      <c r="S189" s="52" t="str">
        <f ca="1">IFERROR(__xludf.DUMMYFUNCTION("GOOGLETRANSLATE(R189, ""fr"", ""nl"")"),"100% katoen")</f>
        <v>100% katoen</v>
      </c>
      <c r="T189" s="53" t="s">
        <v>32</v>
      </c>
      <c r="U189" s="54" t="str">
        <f ca="1">IFERROR(__xludf.DUMMYFUNCTION("GOOGLETRANSLATE(T189, ""fr"", ""nl"")"),"Op 30 ° C max
Gebruik geen bleekmiddel
Gebruik geen van de droger
Strijken op gemiddelde temperatuur
Niet stomen")</f>
        <v>Op 30 ° C max
Gebruik geen bleekmiddel
Gebruik geen van de droger
Strijken op gemiddelde temperatuur
Niet stomen</v>
      </c>
      <c r="V189" s="62" t="s">
        <v>799</v>
      </c>
      <c r="W189" s="56"/>
    </row>
    <row r="190" spans="1:23" ht="15.75" customHeight="1">
      <c r="A190" s="57" t="s">
        <v>803</v>
      </c>
      <c r="B190" s="93">
        <v>16</v>
      </c>
      <c r="C190" s="136"/>
      <c r="D190" s="136"/>
      <c r="E190" s="42"/>
      <c r="F190" s="43" t="s">
        <v>757</v>
      </c>
      <c r="G190" s="43" t="s">
        <v>758</v>
      </c>
      <c r="H190" s="44" t="s">
        <v>804</v>
      </c>
      <c r="I190" s="45"/>
      <c r="J190" s="137" t="s">
        <v>805</v>
      </c>
      <c r="K190" s="47"/>
      <c r="L190" s="47" t="s">
        <v>129</v>
      </c>
      <c r="M190" s="48" t="str">
        <f ca="1">IFERROR(__xludf.DUMMYFUNCTION("googletranslate(L190,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90" s="58" t="s">
        <v>806</v>
      </c>
      <c r="O190" s="49" t="str">
        <f ca="1">IFERROR(__xludf.DUMMYFUNCTION("googletranslate(N190, ""fr"", ""nl"")"),"Turtles, palmbomen en rotsen ... Doe je koffers, deze polo neemt je mee op een Australisch eiland!")</f>
        <v>Turtles, palmbomen en rotsen ... Doe je koffers, deze polo neemt je mee op een Australisch eiland!</v>
      </c>
      <c r="P190" s="50" t="s">
        <v>116</v>
      </c>
      <c r="Q190" s="49" t="str">
        <f ca="1">IFERROR(__xludf.DUMMYFUNCTION("GOOGLETRANSLATE(P190, ""fr"", ""nl"")"),"groen")</f>
        <v>groen</v>
      </c>
      <c r="R190" s="59" t="s">
        <v>31</v>
      </c>
      <c r="S190" s="52" t="str">
        <f ca="1">IFERROR(__xludf.DUMMYFUNCTION("GOOGLETRANSLATE(R190, ""fr"", ""nl"")"),"100% katoen")</f>
        <v>100% katoen</v>
      </c>
      <c r="T190" s="53" t="s">
        <v>32</v>
      </c>
      <c r="U190" s="54" t="str">
        <f ca="1">IFERROR(__xludf.DUMMYFUNCTION("GOOGLETRANSLATE(T190, ""fr"", ""nl"")"),"Op 30 ° C max
Gebruik geen bleekmiddel
Gebruik geen van de droger
Strijken op gemiddelde temperatuur
Niet stomen")</f>
        <v>Op 30 ° C max
Gebruik geen bleekmiddel
Gebruik geen van de droger
Strijken op gemiddelde temperatuur
Niet stomen</v>
      </c>
      <c r="V190" s="62" t="s">
        <v>799</v>
      </c>
      <c r="W190" s="56"/>
    </row>
    <row r="191" spans="1:23" ht="15.75" customHeight="1">
      <c r="A191" s="57" t="s">
        <v>807</v>
      </c>
      <c r="B191" s="93">
        <v>16</v>
      </c>
      <c r="C191" s="136"/>
      <c r="D191" s="136"/>
      <c r="E191" s="42"/>
      <c r="F191" s="43" t="s">
        <v>757</v>
      </c>
      <c r="G191" s="43" t="s">
        <v>758</v>
      </c>
      <c r="H191" s="44" t="s">
        <v>123</v>
      </c>
      <c r="I191" s="45"/>
      <c r="J191" s="137" t="s">
        <v>808</v>
      </c>
      <c r="K191" s="47"/>
      <c r="L191" s="47" t="s">
        <v>76</v>
      </c>
      <c r="M191" s="48" t="str">
        <f ca="1">IFERROR(__xludf.DUMMYFUNCTION("googletranslate(L191,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91" s="58" t="s">
        <v>809</v>
      </c>
      <c r="O191" s="49" t="str">
        <f ca="1">IFERROR(__xludf.DUMMYFUNCTION("googletranslate(N191, ""fr"", ""nl"")"),"Dit motief dat de palm oproept neemt ons mee in de Australische regenwoud! Grijs en kaki polo die worden opgefleurd met een lime groen, naar een origineel resultaat en pep!")</f>
        <v>Dit motief dat de palm oproept neemt ons mee in de Australische regenwoud! Grijs en kaki polo die worden opgefleurd met een lime groen, naar een origineel resultaat en pep!</v>
      </c>
      <c r="P191" s="50" t="s">
        <v>234</v>
      </c>
      <c r="Q191" s="49" t="str">
        <f ca="1">IFERROR(__xludf.DUMMYFUNCTION("GOOGLETRANSLATE(P191, ""fr"", ""nl"")"),"Grijs")</f>
        <v>Grijs</v>
      </c>
      <c r="R191" s="51" t="s">
        <v>31</v>
      </c>
      <c r="S191" s="52" t="str">
        <f ca="1">IFERROR(__xludf.DUMMYFUNCTION("GOOGLETRANSLATE(R191, ""fr"", ""nl"")"),"100% katoen")</f>
        <v>100% katoen</v>
      </c>
      <c r="T191" s="53" t="s">
        <v>32</v>
      </c>
      <c r="U191" s="54" t="str">
        <f ca="1">IFERROR(__xludf.DUMMYFUNCTION("GOOGLETRANSLATE(T191, ""fr"", ""nl"")"),"Op 30 ° C max
Gebruik geen bleekmiddel
Gebruik geen van de droger
Strijken op gemiddelde temperatuur
Niet stomen")</f>
        <v>Op 30 ° C max
Gebruik geen bleekmiddel
Gebruik geen van de droger
Strijken op gemiddelde temperatuur
Niet stomen</v>
      </c>
      <c r="V191" s="62" t="s">
        <v>799</v>
      </c>
      <c r="W191" s="56"/>
    </row>
    <row r="192" spans="1:23" ht="15.75" customHeight="1">
      <c r="A192" s="57" t="s">
        <v>810</v>
      </c>
      <c r="B192" s="93">
        <v>16</v>
      </c>
      <c r="C192" s="136"/>
      <c r="D192" s="136"/>
      <c r="E192" s="42"/>
      <c r="F192" s="43" t="s">
        <v>757</v>
      </c>
      <c r="G192" s="43" t="s">
        <v>758</v>
      </c>
      <c r="H192" s="44" t="s">
        <v>127</v>
      </c>
      <c r="I192" s="45"/>
      <c r="J192" s="137" t="s">
        <v>811</v>
      </c>
      <c r="K192" s="47"/>
      <c r="L192" s="47" t="s">
        <v>129</v>
      </c>
      <c r="M192" s="48" t="str">
        <f ca="1">IFERROR(__xludf.DUMMYFUNCTION("googletranslate(L192,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92" s="58" t="s">
        <v>130</v>
      </c>
      <c r="O192" s="49" t="str">
        <f ca="1">IFERROR(__xludf.DUMMYFUNCTION("googletranslate(N192, ""fr"", ""nl"")"),"Deze gedrukte 100% jungle wekt de zintuigen van alle avonturiers?
Ziet u buideldieren verborgen in het gebladerte van het regenwoud?")</f>
        <v>Deze gedrukte 100% jungle wekt de zintuigen van alle avonturiers?
Ziet u buideldieren verborgen in het gebladerte van het regenwoud?</v>
      </c>
      <c r="P192" s="50" t="s">
        <v>100</v>
      </c>
      <c r="Q192" s="49" t="str">
        <f ca="1">IFERROR(__xludf.DUMMYFUNCTION("GOOGLETRANSLATE(P192, ""fr"", ""nl"")"),"Wit")</f>
        <v>Wit</v>
      </c>
      <c r="R192" s="59" t="s">
        <v>117</v>
      </c>
      <c r="S192" s="52" t="str">
        <f ca="1">IFERROR(__xludf.DUMMYFUNCTION("GOOGLETRANSLATE(R192, ""fr"", ""nl"")"),"60% katoen 40% polyester")</f>
        <v>60% katoen 40% polyester</v>
      </c>
      <c r="T192" s="53" t="s">
        <v>32</v>
      </c>
      <c r="U192" s="54" t="str">
        <f ca="1">IFERROR(__xludf.DUMMYFUNCTION("GOOGLETRANSLATE(T192, ""fr"", ""nl"")"),"Op 30 ° C max
Gebruik geen bleekmiddel
Gebruik geen van de droger
Strijken op gemiddelde temperatuur
Niet stomen")</f>
        <v>Op 30 ° C max
Gebruik geen bleekmiddel
Gebruik geen van de droger
Strijken op gemiddelde temperatuur
Niet stomen</v>
      </c>
      <c r="V192" s="62" t="s">
        <v>799</v>
      </c>
      <c r="W192" s="56"/>
    </row>
    <row r="193" spans="1:23" ht="15.75" customHeight="1">
      <c r="A193" s="57" t="s">
        <v>812</v>
      </c>
      <c r="B193" s="93">
        <v>18</v>
      </c>
      <c r="C193" s="136"/>
      <c r="D193" s="136"/>
      <c r="E193" s="42"/>
      <c r="F193" s="43" t="s">
        <v>757</v>
      </c>
      <c r="G193" s="43" t="s">
        <v>758</v>
      </c>
      <c r="H193" s="44" t="s">
        <v>141</v>
      </c>
      <c r="I193" s="45"/>
      <c r="J193" s="137" t="s">
        <v>813</v>
      </c>
      <c r="K193" s="47"/>
      <c r="L193" s="47" t="s">
        <v>143</v>
      </c>
      <c r="M193" s="48" t="str">
        <f ca="1">IFERROR(__xludf.DUMMYFUNCTION("googletranslate(L193, ""fr"", ""nl"")"),"
- Rechte snede
- geribbelde kraag met contrasterende biezen
- gestileerde Rib in de kraag
- knoopsluiting met twee knoppen
- Korte mouwen met contrasterende biezen
- Bottom geribde mouwen met contrasterende biezen
- Zijsplitten
- Logo J &amp; JOY borst
")</f>
        <v xml:space="preserve">
- Rechte snede
- geribbelde kraag met contrasterende biezen
- gestileerde Rib in de kraag
- knoopsluiting met twee knoppen
- Korte mouwen met contrasterende biezen
- Bottom geribde mouwen met contrasterende biezen
- Zijsplitten
- Logo J &amp; JOY borst
</v>
      </c>
      <c r="N193" s="58" t="s">
        <v>814</v>
      </c>
      <c r="O193" s="49" t="str">
        <f ca="1">IFERROR(__xludf.DUMMYFUNCTION("googletranslate(N193, ""fr"", ""nl"")"),"Een fel oranje, schouders en kraag werkte in elk detail en tekening in de rug die uitzonderlijke vogels we elkaar in Cape Tribulation oproept ... Welkom in Australië met een polo die uw stijl trilt!")</f>
        <v>Een fel oranje, schouders en kraag werkte in elk detail en tekening in de rug die uitzonderlijke vogels we elkaar in Cape Tribulation oproept ... Welkom in Australië met een polo die uw stijl trilt!</v>
      </c>
      <c r="P193" s="50" t="s">
        <v>49</v>
      </c>
      <c r="Q193" s="49" t="str">
        <f ca="1">IFERROR(__xludf.DUMMYFUNCTION("GOOGLETRANSLATE(P193, ""fr"", ""nl"")"),"oranje")</f>
        <v>oranje</v>
      </c>
      <c r="R193" s="61" t="s">
        <v>31</v>
      </c>
      <c r="S193" s="52" t="str">
        <f ca="1">IFERROR(__xludf.DUMMYFUNCTION("GOOGLETRANSLATE(R193, ""fr"", ""nl"")"),"100% katoen")</f>
        <v>100% katoen</v>
      </c>
      <c r="T193" s="53" t="s">
        <v>32</v>
      </c>
      <c r="U193" s="54" t="str">
        <f ca="1">IFERROR(__xludf.DUMMYFUNCTION("GOOGLETRANSLATE(T193, ""fr"", ""nl"")"),"Op 30 ° C max
Gebruik geen bleekmiddel
Gebruik geen van de droger
Strijken op gemiddelde temperatuur
Niet stomen")</f>
        <v>Op 30 ° C max
Gebruik geen bleekmiddel
Gebruik geen van de droger
Strijken op gemiddelde temperatuur
Niet stomen</v>
      </c>
      <c r="V193" s="62" t="s">
        <v>815</v>
      </c>
      <c r="W193" s="56"/>
    </row>
    <row r="194" spans="1:23" ht="15.75" customHeight="1">
      <c r="A194" s="57" t="s">
        <v>816</v>
      </c>
      <c r="B194" s="93">
        <v>16</v>
      </c>
      <c r="C194" s="136"/>
      <c r="D194" s="136"/>
      <c r="E194" s="42"/>
      <c r="F194" s="43" t="s">
        <v>757</v>
      </c>
      <c r="G194" s="43" t="s">
        <v>758</v>
      </c>
      <c r="H194" s="44" t="s">
        <v>157</v>
      </c>
      <c r="I194" s="45"/>
      <c r="J194" s="137" t="s">
        <v>817</v>
      </c>
      <c r="K194" s="47"/>
      <c r="L194" s="47" t="s">
        <v>129</v>
      </c>
      <c r="M194" s="48" t="str">
        <f ca="1">IFERROR(__xludf.DUMMYFUNCTION("googletranslate(L194,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94" s="58" t="s">
        <v>818</v>
      </c>
      <c r="O194" s="49" t="str">
        <f ca="1">IFERROR(__xludf.DUMMYFUNCTION("googletranslate(N194, ""fr"", ""nl"")"),"De leukste Australische dieren wordt geïnstalleerd op uw polo.
Met dit ontwerp koala, wordt u gewaarschuwd: het is mogelijk dat uw familie zal willen u een knuffel te geven!")</f>
        <v>De leukste Australische dieren wordt geïnstalleerd op uw polo.
Met dit ontwerp koala, wordt u gewaarschuwd: het is mogelijk dat uw familie zal willen u een knuffel te geven!</v>
      </c>
      <c r="P194" s="50" t="s">
        <v>30</v>
      </c>
      <c r="Q194" s="49" t="str">
        <f ca="1">IFERROR(__xludf.DUMMYFUNCTION("GOOGLETRANSLATE(P194, ""fr"", ""nl"")"),"blauw")</f>
        <v>blauw</v>
      </c>
      <c r="R194" s="61" t="s">
        <v>31</v>
      </c>
      <c r="S194" s="52" t="str">
        <f ca="1">IFERROR(__xludf.DUMMYFUNCTION("GOOGLETRANSLATE(R194, ""fr"", ""nl"")"),"100% katoen")</f>
        <v>100% katoen</v>
      </c>
      <c r="T194" s="53" t="s">
        <v>32</v>
      </c>
      <c r="U194" s="54" t="str">
        <f ca="1">IFERROR(__xludf.DUMMYFUNCTION("GOOGLETRANSLATE(T194, ""fr"", ""nl"")"),"Op 30 ° C max
Gebruik geen bleekmiddel
Gebruik geen van de droger
Strijken op gemiddelde temperatuur
Niet stomen")</f>
        <v>Op 30 ° C max
Gebruik geen bleekmiddel
Gebruik geen van de droger
Strijken op gemiddelde temperatuur
Niet stomen</v>
      </c>
      <c r="V194" s="62" t="s">
        <v>815</v>
      </c>
      <c r="W194" s="56"/>
    </row>
    <row r="195" spans="1:23" ht="15.75" customHeight="1">
      <c r="A195" s="57" t="s">
        <v>819</v>
      </c>
      <c r="B195" s="93">
        <v>16</v>
      </c>
      <c r="C195" s="136"/>
      <c r="D195" s="136"/>
      <c r="E195" s="42"/>
      <c r="F195" s="43" t="s">
        <v>757</v>
      </c>
      <c r="G195" s="43" t="s">
        <v>758</v>
      </c>
      <c r="H195" s="44" t="s">
        <v>152</v>
      </c>
      <c r="I195" s="45"/>
      <c r="J195" s="137" t="s">
        <v>820</v>
      </c>
      <c r="K195" s="47"/>
      <c r="L195" s="47" t="s">
        <v>134</v>
      </c>
      <c r="M195" s="48" t="str">
        <f ca="1">IFERROR(__xludf.DUMMYFUNCTION("googletranslate(L195, ""fr"", ""nl"")"),"
- Rechte snede
- geribbelde kraag met contrasterende biezen
- gestileerde Rib in de kraag
- knoopsluiting met twee knoppen
- Korte mouwen
- Bottom geribde mouwen met contrasterende biezen
- Zijsplitten
- Logo J &amp; JOY borst")</f>
        <v xml:space="preserve">
- Rechte snede
- geribbelde kraag met contrasterende biezen
- gestileerde Rib in de kraag
- knoopsluiting met twee knoppen
- Korte mouwen
- Bottom geribde mouwen met contrasterende biezen
- Zijsplitten
- Logo J &amp; JOY borst</v>
      </c>
      <c r="N195" s="58" t="s">
        <v>821</v>
      </c>
      <c r="O195" s="49" t="str">
        <f ca="1">IFERROR(__xludf.DUMMYFUNCTION("googletranslate(N195, ""fr"", ""nl"")"),"De aard dichte gebloeid Cape Tribulation, Australië, wordt uitgenodigd op deze originele polo trekt een cool, trendy en verondersteld.")</f>
        <v>De aard dichte gebloeid Cape Tribulation, Australië, wordt uitgenodigd op deze originele polo trekt een cool, trendy en verondersteld.</v>
      </c>
      <c r="P195" s="50" t="s">
        <v>155</v>
      </c>
      <c r="Q195" s="49" t="str">
        <f ca="1">IFERROR(__xludf.DUMMYFUNCTION("GOOGLETRANSLATE(P195, ""fr"", ""nl"")"),"veelkleurig")</f>
        <v>veelkleurig</v>
      </c>
      <c r="R195" s="79" t="s">
        <v>31</v>
      </c>
      <c r="S195" s="52" t="str">
        <f ca="1">IFERROR(__xludf.DUMMYFUNCTION("GOOGLETRANSLATE(R195, ""fr"", ""nl"")"),"100% katoen")</f>
        <v>100% katoen</v>
      </c>
      <c r="T195" s="53" t="s">
        <v>32</v>
      </c>
      <c r="U195" s="54" t="str">
        <f ca="1">IFERROR(__xludf.DUMMYFUNCTION("GOOGLETRANSLATE(T195, ""fr"", ""nl"")"),"Op 30 ° C max
Gebruik geen bleekmiddel
Gebruik geen van de droger
Strijken op gemiddelde temperatuur
Niet stomen")</f>
        <v>Op 30 ° C max
Gebruik geen bleekmiddel
Gebruik geen van de droger
Strijken op gemiddelde temperatuur
Niet stomen</v>
      </c>
      <c r="V195" s="62" t="s">
        <v>815</v>
      </c>
      <c r="W195" s="56"/>
    </row>
    <row r="196" spans="1:23" ht="15.75" customHeight="1">
      <c r="A196" s="57" t="s">
        <v>822</v>
      </c>
      <c r="B196" s="93">
        <v>18</v>
      </c>
      <c r="C196" s="136"/>
      <c r="D196" s="136"/>
      <c r="E196" s="42"/>
      <c r="F196" s="43" t="s">
        <v>757</v>
      </c>
      <c r="G196" s="43" t="s">
        <v>758</v>
      </c>
      <c r="H196" s="44" t="s">
        <v>498</v>
      </c>
      <c r="I196" s="45"/>
      <c r="J196" s="137" t="s">
        <v>823</v>
      </c>
      <c r="K196" s="47"/>
      <c r="L196" s="47" t="s">
        <v>129</v>
      </c>
      <c r="M196" s="48" t="str">
        <f ca="1">IFERROR(__xludf.DUMMYFUNCTION("googletranslate(L196, ""fr"", ""nl"")"),"
- Rechte snede
- geribbelde kraag met contrasterende biezen
- gestileerde Rib in de kraag
- knoopsluiting met twee knoppen
- Korte mouwen
- Bottom geribde mouwen met contrasterende biezen
- Zijsplitten
- Logo J &amp; JOY borst
")</f>
        <v xml:space="preserve">
- Rechte snede
- geribbelde kraag met contrasterende biezen
- gestileerde Rib in de kraag
- knoopsluiting met twee knoppen
- Korte mouwen
- Bottom geribde mouwen met contrasterende biezen
- Zijsplitten
- Logo J &amp; JOY borst
</v>
      </c>
      <c r="N196" s="58" t="s">
        <v>824</v>
      </c>
      <c r="O196" s="49" t="str">
        <f ca="1">IFERROR(__xludf.DUMMYFUNCTION("googletranslate(N196, ""fr"", ""nl"")"),"Australië heeft niet alleen buideldieren voor u om te ontdekken! Deze uitzonderlijke land is ook vlogen over de prachtige kleurrijke vogels. Hier is er een die landde op een donkerblauwe polo shirt.
Een origineel en uniek, dat de kleuren je garderobe.")</f>
        <v>Australië heeft niet alleen buideldieren voor u om te ontdekken! Deze uitzonderlijke land is ook vlogen over de prachtige kleurrijke vogels. Hier is er een die landde op een donkerblauwe polo shirt.
Een origineel en uniek, dat de kleuren je garderobe.</v>
      </c>
      <c r="P196" s="50" t="s">
        <v>30</v>
      </c>
      <c r="Q196" s="49" t="str">
        <f ca="1">IFERROR(__xludf.DUMMYFUNCTION("GOOGLETRANSLATE(P196, ""fr"", ""nl"")"),"blauw")</f>
        <v>blauw</v>
      </c>
      <c r="R196" s="61" t="s">
        <v>31</v>
      </c>
      <c r="S196" s="52" t="str">
        <f ca="1">IFERROR(__xludf.DUMMYFUNCTION("GOOGLETRANSLATE(R196, ""fr"", ""nl"")"),"100% katoen")</f>
        <v>100% katoen</v>
      </c>
      <c r="T196" s="53" t="s">
        <v>32</v>
      </c>
      <c r="U196" s="54" t="str">
        <f ca="1">IFERROR(__xludf.DUMMYFUNCTION("GOOGLETRANSLATE(T196, ""fr"", ""nl"")"),"Op 30 ° C max
Gebruik geen bleekmiddel
Gebruik geen van de droger
Strijken op gemiddelde temperatuur
Niet stomen")</f>
        <v>Op 30 ° C max
Gebruik geen bleekmiddel
Gebruik geen van de droger
Strijken op gemiddelde temperatuur
Niet stomen</v>
      </c>
      <c r="V196" s="62" t="s">
        <v>815</v>
      </c>
      <c r="W196" s="56"/>
    </row>
    <row r="197" spans="1:23" ht="15.75" customHeight="1">
      <c r="A197" s="95" t="s">
        <v>825</v>
      </c>
      <c r="B197" s="93">
        <v>16</v>
      </c>
      <c r="C197" s="136"/>
      <c r="D197" s="136"/>
      <c r="E197" s="42"/>
      <c r="F197" s="43" t="s">
        <v>757</v>
      </c>
      <c r="G197" s="43" t="s">
        <v>758</v>
      </c>
      <c r="H197" s="44" t="s">
        <v>173</v>
      </c>
      <c r="I197" s="45"/>
      <c r="J197" s="137" t="s">
        <v>826</v>
      </c>
      <c r="K197" s="47"/>
      <c r="L197" s="83" t="s">
        <v>827</v>
      </c>
      <c r="M197" s="48" t="str">
        <f ca="1">IFERROR(__xludf.DUMMYFUNCTION("googletranslate(L197,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197" s="58" t="s">
        <v>828</v>
      </c>
      <c r="O197" s="49" t="str">
        <f ca="1">IFERROR(__xludf.DUMMYFUNCTION("googletranslate(N197, ""fr"", ""nl"")"),"Geen redenen of kunstgrepen, deze polo ""Essential"" geel behoeften niets anders dan zijn sprankelende en heldere kleuren, weergegeven zonder complex. In een palet van neon tonen, deze collectie biedt de essentiële basis voor de zomer lijkt succesvol.")</f>
        <v>Geen redenen of kunstgrepen, deze polo "Essential" geel behoeften niets anders dan zijn sprankelende en heldere kleuren, weergegeven zonder complex. In een palet van neon tonen, deze collectie biedt de essentiële basis voor de zomer lijkt succesvol.</v>
      </c>
      <c r="P197" s="50" t="s">
        <v>105</v>
      </c>
      <c r="Q197" s="49" t="str">
        <f ca="1">IFERROR(__xludf.DUMMYFUNCTION("GOOGLETRANSLATE(P197, ""fr"", ""nl"")"),"geel")</f>
        <v>geel</v>
      </c>
      <c r="R197" s="50" t="s">
        <v>829</v>
      </c>
      <c r="S197" s="52" t="str">
        <f ca="1">IFERROR(__xludf.DUMMYFUNCTION("GOOGLETRANSLATE(R197, ""fr"", ""nl"")"),"35% katoen
65% polyester")</f>
        <v>35% katoen
65% polyester</v>
      </c>
      <c r="T197" s="53" t="s">
        <v>32</v>
      </c>
      <c r="U197" s="54" t="str">
        <f ca="1">IFERROR(__xludf.DUMMYFUNCTION("GOOGLETRANSLATE(T197, ""fr"", ""nl"")"),"Op 30 ° C max
Gebruik geen bleekmiddel
Gebruik geen van de droger
Strijken op gemiddelde temperatuur
Niet stomen")</f>
        <v>Op 30 ° C max
Gebruik geen bleekmiddel
Gebruik geen van de droger
Strijken op gemiddelde temperatuur
Niet stomen</v>
      </c>
      <c r="V197" s="62" t="s">
        <v>830</v>
      </c>
      <c r="W197" s="56"/>
    </row>
    <row r="198" spans="1:23" ht="15.75" customHeight="1">
      <c r="A198" s="95" t="s">
        <v>831</v>
      </c>
      <c r="B198" s="93">
        <v>14</v>
      </c>
      <c r="C198" s="136"/>
      <c r="D198" s="136"/>
      <c r="E198" s="42"/>
      <c r="F198" s="43" t="s">
        <v>757</v>
      </c>
      <c r="G198" s="43" t="s">
        <v>758</v>
      </c>
      <c r="H198" s="44" t="s">
        <v>180</v>
      </c>
      <c r="I198" s="45"/>
      <c r="J198" s="137" t="s">
        <v>832</v>
      </c>
      <c r="K198" s="47"/>
      <c r="L198" s="83" t="s">
        <v>827</v>
      </c>
      <c r="M198" s="48" t="str">
        <f ca="1">IFERROR(__xludf.DUMMYFUNCTION("googletranslate(L198,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198" s="58" t="s">
        <v>833</v>
      </c>
      <c r="O198" s="49" t="str">
        <f ca="1">IFERROR(__xludf.DUMMYFUNCTION("googletranslate(N198, ""fr"", ""nl"")"),"Geen redenen of kunstgrepen, deze polo ""Essential"" Blue heeft niets anders dan zijn sprankelende en heldere kleuren, weergegeven zonder complex. In een palet van neon tonen, deze collectie biedt de essentiële basis voor de zomer lijkt succesvol.")</f>
        <v>Geen redenen of kunstgrepen, deze polo "Essential" Blue heeft niets anders dan zijn sprankelende en heldere kleuren, weergegeven zonder complex. In een palet van neon tonen, deze collectie biedt de essentiële basis voor de zomer lijkt succesvol.</v>
      </c>
      <c r="P198" s="50" t="s">
        <v>30</v>
      </c>
      <c r="Q198" s="49" t="str">
        <f ca="1">IFERROR(__xludf.DUMMYFUNCTION("GOOGLETRANSLATE(P198, ""fr"", ""nl"")"),"blauw")</f>
        <v>blauw</v>
      </c>
      <c r="R198" s="63" t="s">
        <v>31</v>
      </c>
      <c r="S198" s="52" t="str">
        <f ca="1">IFERROR(__xludf.DUMMYFUNCTION("GOOGLETRANSLATE(R198, ""fr"", ""nl"")"),"100% katoen")</f>
        <v>100% katoen</v>
      </c>
      <c r="T198" s="53" t="s">
        <v>32</v>
      </c>
      <c r="U198" s="54" t="str">
        <f ca="1">IFERROR(__xludf.DUMMYFUNCTION("GOOGLETRANSLATE(T198, ""fr"", ""nl"")"),"Op 30 ° C max
Gebruik geen bleekmiddel
Gebruik geen van de droger
Strijken op gemiddelde temperatuur
Niet stomen")</f>
        <v>Op 30 ° C max
Gebruik geen bleekmiddel
Gebruik geen van de droger
Strijken op gemiddelde temperatuur
Niet stomen</v>
      </c>
      <c r="V198" s="62" t="s">
        <v>830</v>
      </c>
      <c r="W198" s="56"/>
    </row>
    <row r="199" spans="1:23" ht="15.75" customHeight="1">
      <c r="A199" s="95" t="s">
        <v>834</v>
      </c>
      <c r="B199" s="93">
        <v>14</v>
      </c>
      <c r="C199" s="136"/>
      <c r="D199" s="136"/>
      <c r="E199" s="42"/>
      <c r="F199" s="43" t="s">
        <v>757</v>
      </c>
      <c r="G199" s="43" t="s">
        <v>758</v>
      </c>
      <c r="H199" s="44" t="s">
        <v>185</v>
      </c>
      <c r="I199" s="45"/>
      <c r="J199" s="137" t="s">
        <v>835</v>
      </c>
      <c r="K199" s="47"/>
      <c r="L199" s="83" t="s">
        <v>827</v>
      </c>
      <c r="M199" s="48" t="str">
        <f ca="1">IFERROR(__xludf.DUMMYFUNCTION("googletranslate(L199,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199" s="58" t="s">
        <v>836</v>
      </c>
      <c r="O199" s="49" t="str">
        <f ca="1">IFERROR(__xludf.DUMMYFUNCTION("googletranslate(N199, ""fr"", ""nl"")"),"Geen redenen of kunstgrepen, deze polo ""Essential"" orange heeft niets anders dan zijn sprankelende en heldere kleuren, weergegeven zonder complex. In een palet van neon tonen, deze collectie biedt de essentiële basis voor de zomer lijkt succesvol.")</f>
        <v>Geen redenen of kunstgrepen, deze polo "Essential" orange heeft niets anders dan zijn sprankelende en heldere kleuren, weergegeven zonder complex. In een palet van neon tonen, deze collectie biedt de essentiële basis voor de zomer lijkt succesvol.</v>
      </c>
      <c r="P199" s="50" t="s">
        <v>49</v>
      </c>
      <c r="Q199" s="49" t="str">
        <f ca="1">IFERROR(__xludf.DUMMYFUNCTION("GOOGLETRANSLATE(P199, ""fr"", ""nl"")"),"oranje")</f>
        <v>oranje</v>
      </c>
      <c r="R199" s="50" t="s">
        <v>829</v>
      </c>
      <c r="S199" s="52" t="str">
        <f ca="1">IFERROR(__xludf.DUMMYFUNCTION("GOOGLETRANSLATE(R199, ""fr"", ""nl"")"),"35% katoen
65% polyester")</f>
        <v>35% katoen
65% polyester</v>
      </c>
      <c r="T199" s="53" t="s">
        <v>32</v>
      </c>
      <c r="U199" s="54" t="str">
        <f ca="1">IFERROR(__xludf.DUMMYFUNCTION("GOOGLETRANSLATE(T199, ""fr"", ""nl"")"),"Op 30 ° C max
Gebruik geen bleekmiddel
Gebruik geen van de droger
Strijken op gemiddelde temperatuur
Niet stomen")</f>
        <v>Op 30 ° C max
Gebruik geen bleekmiddel
Gebruik geen van de droger
Strijken op gemiddelde temperatuur
Niet stomen</v>
      </c>
      <c r="V199" s="62" t="s">
        <v>830</v>
      </c>
      <c r="W199" s="56"/>
    </row>
    <row r="200" spans="1:23" ht="15.75" customHeight="1">
      <c r="A200" s="95" t="s">
        <v>837</v>
      </c>
      <c r="B200" s="93">
        <v>14</v>
      </c>
      <c r="C200" s="136"/>
      <c r="D200" s="136"/>
      <c r="E200" s="42"/>
      <c r="F200" s="43" t="s">
        <v>757</v>
      </c>
      <c r="G200" s="43" t="s">
        <v>758</v>
      </c>
      <c r="H200" s="44" t="s">
        <v>190</v>
      </c>
      <c r="I200" s="45"/>
      <c r="J200" s="137" t="s">
        <v>838</v>
      </c>
      <c r="K200" s="47"/>
      <c r="L200" s="83" t="s">
        <v>827</v>
      </c>
      <c r="M200" s="48" t="str">
        <f ca="1">IFERROR(__xludf.DUMMYFUNCTION("googletranslate(L200,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200" s="58" t="s">
        <v>839</v>
      </c>
      <c r="O200" s="49" t="str">
        <f ca="1">IFERROR(__xludf.DUMMYFUNCTION("googletranslate(N200, ""fr"", ""nl"")"),"Geen redenen of kunstgrepen, deze polo ""Essential"" Red heeft niets anders dan zijn sprankelende en heldere kleuren, weergegeven zonder complex. In een palet van neon tonen, deze collectie biedt de essentiële basis voor de zomer lijkt succesvol.")</f>
        <v>Geen redenen of kunstgrepen, deze polo "Essential" Red heeft niets anders dan zijn sprankelende en heldere kleuren, weergegeven zonder complex. In een palet van neon tonen, deze collectie biedt de essentiële basis voor de zomer lijkt succesvol.</v>
      </c>
      <c r="P200" s="50" t="s">
        <v>56</v>
      </c>
      <c r="Q200" s="49" t="str">
        <f ca="1">IFERROR(__xludf.DUMMYFUNCTION("GOOGLETRANSLATE(P200, ""fr"", ""nl"")"),"rood")</f>
        <v>rood</v>
      </c>
      <c r="R200" s="50" t="s">
        <v>829</v>
      </c>
      <c r="S200" s="52" t="str">
        <f ca="1">IFERROR(__xludf.DUMMYFUNCTION("GOOGLETRANSLATE(R200, ""fr"", ""nl"")"),"35% katoen
65% polyester")</f>
        <v>35% katoen
65% polyester</v>
      </c>
      <c r="T200" s="53" t="s">
        <v>32</v>
      </c>
      <c r="U200" s="54" t="str">
        <f ca="1">IFERROR(__xludf.DUMMYFUNCTION("GOOGLETRANSLATE(T200, ""fr"", ""nl"")"),"Op 30 ° C max
Gebruik geen bleekmiddel
Gebruik geen van de droger
Strijken op gemiddelde temperatuur
Niet stomen")</f>
        <v>Op 30 ° C max
Gebruik geen bleekmiddel
Gebruik geen van de droger
Strijken op gemiddelde temperatuur
Niet stomen</v>
      </c>
      <c r="V200" s="62" t="s">
        <v>830</v>
      </c>
      <c r="W200" s="56"/>
    </row>
    <row r="201" spans="1:23" ht="15.75" customHeight="1">
      <c r="A201" s="82" t="s">
        <v>840</v>
      </c>
      <c r="B201" s="93">
        <v>14</v>
      </c>
      <c r="C201" s="136"/>
      <c r="D201" s="136"/>
      <c r="E201" s="42"/>
      <c r="F201" s="43" t="s">
        <v>757</v>
      </c>
      <c r="G201" s="43" t="s">
        <v>758</v>
      </c>
      <c r="H201" s="44" t="s">
        <v>196</v>
      </c>
      <c r="I201" s="45"/>
      <c r="J201" s="137" t="s">
        <v>841</v>
      </c>
      <c r="K201" s="47"/>
      <c r="L201" s="83" t="s">
        <v>827</v>
      </c>
      <c r="M201" s="48" t="str">
        <f ca="1">IFERROR(__xludf.DUMMYFUNCTION("googletranslate(L201, ""fr"", ""nl"")"),"
- Rechte snede
- geribbelde polo nek, gescherpt grijs
- gestileerde Rib in de kraag
- knoopsluiting met twee knoppen
- Korte mouwen
- Bottom geribde mouwen, gescherpt grijs
- Zijsplitten
- J &amp; JOY geborduurd logo op de borst")</f>
        <v xml:space="preserve">
- Rechte snede
- geribbelde polo nek, gescherpt grijs
- gestileerde Rib in de kraag
- knoopsluiting met twee knoppen
- Korte mouwen
- Bottom geribde mouwen, gescherpt grijs
- Zijsplitten
- J &amp; JOY geborduurd logo op de borst</v>
      </c>
      <c r="N201" s="58" t="s">
        <v>833</v>
      </c>
      <c r="O201" s="49" t="str">
        <f ca="1">IFERROR(__xludf.DUMMYFUNCTION("googletranslate(N201, ""fr"", ""nl"")"),"Geen redenen of kunstgrepen, deze polo ""Essential"" Blue heeft niets anders dan zijn sprankelende en heldere kleuren, weergegeven zonder complex. In een palet van neon tonen, deze collectie biedt de essentiële basis voor de zomer lijkt succesvol.")</f>
        <v>Geen redenen of kunstgrepen, deze polo "Essential" Blue heeft niets anders dan zijn sprankelende en heldere kleuren, weergegeven zonder complex. In een palet van neon tonen, deze collectie biedt de essentiële basis voor de zomer lijkt succesvol.</v>
      </c>
      <c r="P201" s="50" t="s">
        <v>30</v>
      </c>
      <c r="Q201" s="49" t="str">
        <f ca="1">IFERROR(__xludf.DUMMYFUNCTION("GOOGLETRANSLATE(P201, ""fr"", ""nl"")"),"blauw")</f>
        <v>blauw</v>
      </c>
      <c r="R201" s="50" t="s">
        <v>31</v>
      </c>
      <c r="S201" s="52" t="str">
        <f ca="1">IFERROR(__xludf.DUMMYFUNCTION("GOOGLETRANSLATE(R201, ""fr"", ""nl"")"),"100% katoen")</f>
        <v>100% katoen</v>
      </c>
      <c r="T201" s="53" t="s">
        <v>32</v>
      </c>
      <c r="U201" s="54" t="str">
        <f ca="1">IFERROR(__xludf.DUMMYFUNCTION("GOOGLETRANSLATE(T201, ""fr"", ""nl"")"),"Op 30 ° C max
Gebruik geen bleekmiddel
Gebruik geen van de droger
Strijken op gemiddelde temperatuur
Niet stomen")</f>
        <v>Op 30 ° C max
Gebruik geen bleekmiddel
Gebruik geen van de droger
Strijken op gemiddelde temperatuur
Niet stomen</v>
      </c>
      <c r="V201" s="62" t="s">
        <v>830</v>
      </c>
      <c r="W201" s="56"/>
    </row>
    <row r="202" spans="1:23" ht="15.75" customHeight="1">
      <c r="A202" s="84" t="s">
        <v>199</v>
      </c>
      <c r="B202" s="85"/>
      <c r="C202" s="67"/>
      <c r="D202" s="86"/>
      <c r="E202" s="67"/>
      <c r="F202" s="87"/>
      <c r="G202" s="87"/>
      <c r="H202" s="26"/>
      <c r="I202" s="26"/>
      <c r="J202" s="88" t="s">
        <v>677</v>
      </c>
      <c r="K202" s="89"/>
      <c r="L202" s="89"/>
      <c r="M202" s="48" t="str">
        <f ca="1">IFERROR(__xludf.DUMMYFUNCTION("googletranslate(L202, ""fr"", ""nl"")"),"#VALUE!")</f>
        <v>#VALUE!</v>
      </c>
      <c r="N202" s="125"/>
      <c r="O202" s="49" t="str">
        <f ca="1">IFERROR(__xludf.DUMMYFUNCTION("googletranslate(N202, ""fr"", ""nl"")"),"#VALUE!")</f>
        <v>#VALUE!</v>
      </c>
      <c r="P202" s="91"/>
      <c r="Q202" s="49" t="str">
        <f ca="1">IFERROR(__xludf.DUMMYFUNCTION("GOOGLETRANSLATE(P202, ""fr"", ""nl"")"),"#VALUE!")</f>
        <v>#VALUE!</v>
      </c>
      <c r="R202" s="92"/>
      <c r="S202" s="52" t="str">
        <f ca="1">IFERROR(__xludf.DUMMYFUNCTION("GOOGLETRANSLATE(R202, ""fr"", ""nl"")"),"#VALUE!")</f>
        <v>#VALUE!</v>
      </c>
      <c r="T202" s="89"/>
      <c r="U202" s="54" t="str">
        <f ca="1">IFERROR(__xludf.DUMMYFUNCTION("GOOGLETRANSLATE(T202, ""fr"", ""nl"")"),"#VALUE!")</f>
        <v>#VALUE!</v>
      </c>
      <c r="V202" s="89"/>
      <c r="W202" s="38"/>
    </row>
    <row r="203" spans="1:23" ht="15.75" customHeight="1">
      <c r="A203" s="39" t="s">
        <v>842</v>
      </c>
      <c r="B203" s="93">
        <v>14</v>
      </c>
      <c r="C203" s="136"/>
      <c r="D203" s="136"/>
      <c r="E203" s="96"/>
      <c r="F203" s="43" t="s">
        <v>757</v>
      </c>
      <c r="G203" s="97" t="s">
        <v>843</v>
      </c>
      <c r="H203" s="44" t="s">
        <v>844</v>
      </c>
      <c r="I203" s="45"/>
      <c r="J203" s="116" t="s">
        <v>845</v>
      </c>
      <c r="K203" s="47"/>
      <c r="L203" s="47" t="s">
        <v>262</v>
      </c>
      <c r="M203" s="48" t="str">
        <f ca="1">IFERROR(__xludf.DUMMYFUNCTION("googletranslate(L203,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203" s="76" t="s">
        <v>846</v>
      </c>
      <c r="O203" s="49" t="str">
        <f ca="1">IFERROR(__xludf.DUMMYFUNCTION("googletranslate(N203, ""fr"", ""nl"")"),"Directie dorre gebieden van het noorden van Australië voor zo origineel collectie is intens! Dit rode overhemd en zijn kaart van de Australische Outback maakt u een reis naar nieuwe plaatsen.")</f>
        <v>Directie dorre gebieden van het noorden van Australië voor zo origineel collectie is intens! Dit rode overhemd en zijn kaart van de Australische Outback maakt u een reis naar nieuwe plaatsen.</v>
      </c>
      <c r="P203" s="100" t="s">
        <v>56</v>
      </c>
      <c r="Q203" s="49" t="str">
        <f ca="1">IFERROR(__xludf.DUMMYFUNCTION("GOOGLETRANSLATE(P203, ""fr"", ""nl"")"),"rood")</f>
        <v>rood</v>
      </c>
      <c r="R203" s="121" t="s">
        <v>283</v>
      </c>
      <c r="S203" s="52" t="str">
        <f ca="1">IFERROR(__xludf.DUMMYFUNCTION("GOOGLETRANSLATE(R203, ""fr"", ""nl"")"),"65% katoen 35% polyester")</f>
        <v>65% katoen 35% polyester</v>
      </c>
      <c r="T203" s="53" t="s">
        <v>32</v>
      </c>
      <c r="U203" s="54" t="str">
        <f ca="1">IFERROR(__xludf.DUMMYFUNCTION("GOOGLETRANSLATE(T203, ""fr"", ""nl"")"),"Op 30 ° C max
Gebruik geen bleekmiddel
Gebruik geen van de droger
Strijken op gemiddelde temperatuur
Niet stomen")</f>
        <v>Op 30 ° C max
Gebruik geen bleekmiddel
Gebruik geen van de droger
Strijken op gemiddelde temperatuur
Niet stomen</v>
      </c>
      <c r="V203" s="62" t="s">
        <v>761</v>
      </c>
      <c r="W203" s="101"/>
    </row>
    <row r="204" spans="1:23" ht="15.75" customHeight="1">
      <c r="A204" s="57" t="s">
        <v>847</v>
      </c>
      <c r="B204" s="93">
        <v>15</v>
      </c>
      <c r="C204" s="136"/>
      <c r="D204" s="136"/>
      <c r="E204" s="96"/>
      <c r="F204" s="43" t="s">
        <v>757</v>
      </c>
      <c r="G204" s="97" t="s">
        <v>843</v>
      </c>
      <c r="H204" s="44" t="s">
        <v>211</v>
      </c>
      <c r="I204" s="45"/>
      <c r="J204" s="116" t="s">
        <v>848</v>
      </c>
      <c r="K204" s="47"/>
      <c r="L204" s="47" t="s">
        <v>213</v>
      </c>
      <c r="M204" s="48" t="str">
        <f ca="1">IFERROR(__xludf.DUMMYFUNCTION("googletranslate(L204, ""fr"", ""nl"")"),"
- Rechte snede
- Quadricolore
- Ronde hals vlakte ronde hals
- geribbelde rand en modieus in de kraag
- hem and gestikte randen
- Korte mouwen
- Logo J &amp; JOY sleeve
")</f>
        <v xml:space="preserve">
- Rechte snede
- Quadricolore
- Ronde hals vlakte ronde hals
- geribbelde rand en modieus in de kraag
- hem and gestikte randen
- Korte mouwen
- Logo J &amp; JOY sleeve
</v>
      </c>
      <c r="N204" s="76" t="s">
        <v>849</v>
      </c>
      <c r="O204" s="49" t="str">
        <f ca="1">IFERROR(__xludf.DUMMYFUNCTION("googletranslate(N204, ""fr"", ""nl"")"),"Een t-shirt origineel, kleurrijk en makkelijk mee te nemen zo veel in het voorjaar en de zomer. Met zijn strepen met kleuren en afbeelding van de Australische Outback, heb je de sterke element van je outfit gevonden.")</f>
        <v>Een t-shirt origineel, kleurrijk en makkelijk mee te nemen zo veel in het voorjaar en de zomer. Met zijn strepen met kleuren en afbeelding van de Australische Outback, heb je de sterke element van je outfit gevonden.</v>
      </c>
      <c r="P204" s="100" t="s">
        <v>155</v>
      </c>
      <c r="Q204" s="49" t="str">
        <f ca="1">IFERROR(__xludf.DUMMYFUNCTION("GOOGLETRANSLATE(P204, ""fr"", ""nl"")"),"veelkleurig")</f>
        <v>veelkleurig</v>
      </c>
      <c r="R204" s="61" t="s">
        <v>31</v>
      </c>
      <c r="S204" s="52" t="str">
        <f ca="1">IFERROR(__xludf.DUMMYFUNCTION("GOOGLETRANSLATE(R204, ""fr"", ""nl"")"),"100% katoen")</f>
        <v>100% katoen</v>
      </c>
      <c r="T204" s="53" t="s">
        <v>32</v>
      </c>
      <c r="U204" s="54" t="str">
        <f ca="1">IFERROR(__xludf.DUMMYFUNCTION("GOOGLETRANSLATE(T204, ""fr"", ""nl"")"),"Op 30 ° C max
Gebruik geen bleekmiddel
Gebruik geen van de droger
Strijken op gemiddelde temperatuur
Niet stomen")</f>
        <v>Op 30 ° C max
Gebruik geen bleekmiddel
Gebruik geen van de droger
Strijken op gemiddelde temperatuur
Niet stomen</v>
      </c>
      <c r="V204" s="62" t="s">
        <v>761</v>
      </c>
      <c r="W204" s="101"/>
    </row>
    <row r="205" spans="1:23" ht="15.75" customHeight="1">
      <c r="A205" s="57" t="s">
        <v>850</v>
      </c>
      <c r="B205" s="93">
        <v>14</v>
      </c>
      <c r="C205" s="136"/>
      <c r="D205" s="136"/>
      <c r="E205" s="96"/>
      <c r="F205" s="43" t="s">
        <v>757</v>
      </c>
      <c r="G205" s="97" t="s">
        <v>843</v>
      </c>
      <c r="H205" s="44" t="s">
        <v>221</v>
      </c>
      <c r="I205" s="45"/>
      <c r="J205" s="116" t="s">
        <v>851</v>
      </c>
      <c r="K205" s="47"/>
      <c r="L205" s="47" t="s">
        <v>223</v>
      </c>
      <c r="M205" s="48" t="str">
        <f ca="1">IFERROR(__xludf.DUMMYFUNCTION("googletranslate(L205, ""fr"", ""nl"")"),"
- Rechte snede
- Gedrukte patroon
- Ronde hals vlakte ronde hals
- geribbelde rand en modieus in de kraag
- hem and gestikte randen
- Korte mouwen
- getextureerde patroon op de rug
- Logo J &amp; JOY sleeve")</f>
        <v xml:space="preserve">
- Rechte snede
- Gedrukte patroon
- Ronde hals vlakte ronde hals
- geribbelde rand en modieus in de kraag
- hem and gestikte randen
- Korte mouwen
- getextureerde patroon op de rug
- Logo J &amp; JOY sleeve</v>
      </c>
      <c r="N205" s="76" t="s">
        <v>852</v>
      </c>
      <c r="O205" s="49" t="str">
        <f ca="1">IFERROR(__xludf.DUMMYFUNCTION("googletranslate(N205, ""fr"", ""nl"")"),"Het is niet een mooi rood shirt, het is ook een eerbetoon aan de ""pointillisme"", deze specifieke aboriginal voorouderlijke kunst in Australië. We houden van dit een stippel patroon, Red Hot en de vele details van deze hoog!")</f>
        <v>Het is niet een mooi rood shirt, het is ook een eerbetoon aan de "pointillisme", deze specifieke aboriginal voorouderlijke kunst in Australië. We houden van dit een stippel patroon, Red Hot en de vele details van deze hoog!</v>
      </c>
      <c r="P205" s="100" t="s">
        <v>56</v>
      </c>
      <c r="Q205" s="49" t="str">
        <f ca="1">IFERROR(__xludf.DUMMYFUNCTION("GOOGLETRANSLATE(P205, ""fr"", ""nl"")"),"rood")</f>
        <v>rood</v>
      </c>
      <c r="R205" s="61" t="s">
        <v>31</v>
      </c>
      <c r="S205" s="52" t="str">
        <f ca="1">IFERROR(__xludf.DUMMYFUNCTION("GOOGLETRANSLATE(R205, ""fr"", ""nl"")"),"100% katoen")</f>
        <v>100% katoen</v>
      </c>
      <c r="T205" s="53" t="s">
        <v>32</v>
      </c>
      <c r="U205" s="54" t="str">
        <f ca="1">IFERROR(__xludf.DUMMYFUNCTION("GOOGLETRANSLATE(T205, ""fr"", ""nl"")"),"Op 30 ° C max
Gebruik geen bleekmiddel
Gebruik geen van de droger
Strijken op gemiddelde temperatuur
Niet stomen")</f>
        <v>Op 30 ° C max
Gebruik geen bleekmiddel
Gebruik geen van de droger
Strijken op gemiddelde temperatuur
Niet stomen</v>
      </c>
      <c r="V205" s="62" t="s">
        <v>761</v>
      </c>
      <c r="W205" s="101"/>
    </row>
    <row r="206" spans="1:23" ht="15.75" customHeight="1">
      <c r="A206" s="57" t="s">
        <v>853</v>
      </c>
      <c r="B206" s="93">
        <v>15</v>
      </c>
      <c r="C206" s="136"/>
      <c r="D206" s="136"/>
      <c r="E206" s="96"/>
      <c r="F206" s="43" t="s">
        <v>757</v>
      </c>
      <c r="G206" s="97" t="s">
        <v>843</v>
      </c>
      <c r="H206" s="44" t="s">
        <v>74</v>
      </c>
      <c r="I206" s="45"/>
      <c r="J206" s="116" t="s">
        <v>854</v>
      </c>
      <c r="K206" s="47"/>
      <c r="L206" s="47" t="s">
        <v>227</v>
      </c>
      <c r="M206" s="48" t="str">
        <f ca="1">IFERROR(__xludf.DUMMYFUNCTION("googletranslate(L206, ""fr"", ""nl"")"),"
- Rechte snede
- Gedrukte patroon
- Ronde hals vlakte ronde hals
- geribbelde rand en modieus in de kraag
- hem and gestikte randen
- Korte mouwen
- J &amp; JOY geborduurd logo op de borst
")</f>
        <v xml:space="preserve">
- Rechte snede
- Gedrukte patroon
- Ronde hals vlakte ronde hals
- geribbelde rand en modieus in de kraag
- hem and gestikte randen
- Korte mouwen
- J &amp; JOY geborduurd logo op de borst
</v>
      </c>
      <c r="N206" s="76" t="s">
        <v>855</v>
      </c>
      <c r="O206" s="49" t="str">
        <f ca="1">IFERROR(__xludf.DUMMYFUNCTION("googletranslate(N206, ""fr"", ""nl"")"),"Steenkunst? jungle motief? Een mix van dit alles!
Dit overhemd heeft geen gebrek aan originaliteit, en verhoogt uw zomerse look!")</f>
        <v>Steenkunst? jungle motief? Een mix van dit alles!
Dit overhemd heeft geen gebrek aan originaliteit, en verhoogt uw zomerse look!</v>
      </c>
      <c r="P206" s="100" t="s">
        <v>30</v>
      </c>
      <c r="Q206" s="49" t="str">
        <f ca="1">IFERROR(__xludf.DUMMYFUNCTION("GOOGLETRANSLATE(P206, ""fr"", ""nl"")"),"blauw")</f>
        <v>blauw</v>
      </c>
      <c r="R206" s="79" t="s">
        <v>31</v>
      </c>
      <c r="S206" s="52" t="str">
        <f ca="1">IFERROR(__xludf.DUMMYFUNCTION("GOOGLETRANSLATE(R206, ""fr"", ""nl"")"),"100% katoen")</f>
        <v>100% katoen</v>
      </c>
      <c r="T206" s="53" t="s">
        <v>32</v>
      </c>
      <c r="U206" s="54" t="str">
        <f ca="1">IFERROR(__xludf.DUMMYFUNCTION("GOOGLETRANSLATE(T206, ""fr"", ""nl"")"),"Op 30 ° C max
Gebruik geen bleekmiddel
Gebruik geen van de droger
Strijken op gemiddelde temperatuur
Niet stomen")</f>
        <v>Op 30 ° C max
Gebruik geen bleekmiddel
Gebruik geen van de droger
Strijken op gemiddelde temperatuur
Niet stomen</v>
      </c>
      <c r="V206" s="62" t="s">
        <v>761</v>
      </c>
      <c r="W206" s="101"/>
    </row>
    <row r="207" spans="1:23" ht="15.75" customHeight="1">
      <c r="A207" s="57" t="s">
        <v>856</v>
      </c>
      <c r="B207" s="93">
        <v>15</v>
      </c>
      <c r="C207" s="136"/>
      <c r="D207" s="136"/>
      <c r="E207" s="96"/>
      <c r="F207" s="43" t="s">
        <v>757</v>
      </c>
      <c r="G207" s="97" t="s">
        <v>843</v>
      </c>
      <c r="H207" s="44" t="s">
        <v>230</v>
      </c>
      <c r="I207" s="45"/>
      <c r="J207" s="116" t="s">
        <v>857</v>
      </c>
      <c r="K207" s="47"/>
      <c r="L207" s="47" t="s">
        <v>232</v>
      </c>
      <c r="M207" s="48" t="str">
        <f ca="1">IFERROR(__xludf.DUMMYFUNCTION("googletranslate(L207, ""fr"", ""nl"")"),"
- Rechte snede
- Gedrukte patroon boemerang
- ronde kraag bordje langs de ronde hals
- geribbelde rand en modieus in de kraag
- hem and gestikte randen
- Korte mouwen
- Logo J &amp; JOY borst
")</f>
        <v xml:space="preserve">
- Rechte snede
- Gedrukte patroon boemerang
- ronde kraag bordje langs de ronde hals
- geribbelde rand en modieus in de kraag
- hem and gestikte randen
- Korte mouwen
- Logo J &amp; JOY borst
</v>
      </c>
      <c r="N207" s="76" t="s">
        <v>858</v>
      </c>
      <c r="O207" s="49" t="str">
        <f ca="1">IFERROR(__xludf.DUMMYFUNCTION("googletranslate(N207, ""fr"", ""nl"")"),"De boemerang is een van de grote symbolen van Australië. Oorspronkelijk gebruikt door Aboriginals om te jagen of graven, dit object is nu een populaire decoratief element en een sport speelde rond de wereld.
Hij illustreert dit overhemd bekleed wit, mooi "&amp;"en een beetje eigenzinnig.")</f>
        <v>De boemerang is een van de grote symbolen van Australië. Oorspronkelijk gebruikt door Aboriginals om te jagen of graven, dit object is nu een populaire decoratief element en een sport speelde rond de wereld.
Hij illustreert dit overhemd bekleed wit, mooi en een beetje eigenzinnig.</v>
      </c>
      <c r="P207" s="100" t="s">
        <v>234</v>
      </c>
      <c r="Q207" s="49" t="str">
        <f ca="1">IFERROR(__xludf.DUMMYFUNCTION("GOOGLETRANSLATE(P207, ""fr"", ""nl"")"),"Grijs")</f>
        <v>Grijs</v>
      </c>
      <c r="R207" s="80" t="s">
        <v>235</v>
      </c>
      <c r="S207" s="52" t="str">
        <f ca="1">IFERROR(__xludf.DUMMYFUNCTION("GOOGLETRANSLATE(R207, ""fr"", ""nl"")"),"98% cotton 2% polyester")</f>
        <v>98% cotton 2% polyester</v>
      </c>
      <c r="T207" s="53" t="s">
        <v>32</v>
      </c>
      <c r="U207" s="54" t="str">
        <f ca="1">IFERROR(__xludf.DUMMYFUNCTION("GOOGLETRANSLATE(T207, ""fr"", ""nl"")"),"Op 30 ° C max
Gebruik geen bleekmiddel
Gebruik geen van de droger
Strijken op gemiddelde temperatuur
Niet stomen")</f>
        <v>Op 30 ° C max
Gebruik geen bleekmiddel
Gebruik geen van de droger
Strijken op gemiddelde temperatuur
Niet stomen</v>
      </c>
      <c r="V207" s="62" t="s">
        <v>761</v>
      </c>
      <c r="W207" s="101"/>
    </row>
    <row r="208" spans="1:23" ht="15.75" customHeight="1">
      <c r="A208" s="57" t="s">
        <v>859</v>
      </c>
      <c r="B208" s="93">
        <v>14</v>
      </c>
      <c r="C208" s="136"/>
      <c r="D208" s="136"/>
      <c r="E208" s="96"/>
      <c r="F208" s="43" t="s">
        <v>757</v>
      </c>
      <c r="G208" s="97" t="s">
        <v>843</v>
      </c>
      <c r="H208" s="44" t="s">
        <v>79</v>
      </c>
      <c r="I208" s="45"/>
      <c r="J208" s="116" t="s">
        <v>860</v>
      </c>
      <c r="K208" s="47"/>
      <c r="L208" s="47" t="s">
        <v>238</v>
      </c>
      <c r="M208" s="48" t="str">
        <f ca="1">IFERROR(__xludf.DUMMYFUNCTION("googletranslate(L208, ""fr"", ""nl"")"),"
- Rechte snede
- Patroon gedrukt op de rug
- Ronde hals vlakte ronde hals
- geribbelde rand en modieus in de kraag
- hem and gestikte randen
- Korte mouwen
- J &amp; JOY geborduurd logo op de borst
")</f>
        <v xml:space="preserve">
- Rechte snede
- Patroon gedrukt op de rug
- Ronde hals vlakte ronde hals
- geribbelde rand en modieus in de kraag
- hem and gestikte randen
- Korte mouwen
- J &amp; JOY geborduurd logo op de borst
</v>
      </c>
      <c r="N208" s="76" t="s">
        <v>861</v>
      </c>
      <c r="O208" s="49" t="str">
        <f ca="1">IFERROR(__xludf.DUMMYFUNCTION("googletranslate(N208, ""fr"", ""nl"")"),"Een pastel blauw shirt met trillende tonen van roos, het is wat we nodig hebben om een ​​vrolijke en kleurrijke zomer te genieten!")</f>
        <v>Een pastel blauw shirt met trillende tonen van roos, het is wat we nodig hebben om een ​​vrolijke en kleurrijke zomer te genieten!</v>
      </c>
      <c r="P208" s="100" t="s">
        <v>30</v>
      </c>
      <c r="Q208" s="49" t="str">
        <f ca="1">IFERROR(__xludf.DUMMYFUNCTION("GOOGLETRANSLATE(P208, ""fr"", ""nl"")"),"blauw")</f>
        <v>blauw</v>
      </c>
      <c r="R208" s="61" t="s">
        <v>31</v>
      </c>
      <c r="S208" s="52" t="str">
        <f ca="1">IFERROR(__xludf.DUMMYFUNCTION("GOOGLETRANSLATE(R208, ""fr"", ""nl"")"),"100% katoen")</f>
        <v>100% katoen</v>
      </c>
      <c r="T208" s="53" t="s">
        <v>32</v>
      </c>
      <c r="U208" s="54" t="str">
        <f ca="1">IFERROR(__xludf.DUMMYFUNCTION("GOOGLETRANSLATE(T208, ""fr"", ""nl"")"),"Op 30 ° C max
Gebruik geen bleekmiddel
Gebruik geen van de droger
Strijken op gemiddelde temperatuur
Niet stomen")</f>
        <v>Op 30 ° C max
Gebruik geen bleekmiddel
Gebruik geen van de droger
Strijken op gemiddelde temperatuur
Niet stomen</v>
      </c>
      <c r="V208" s="62" t="s">
        <v>862</v>
      </c>
      <c r="W208" s="101"/>
    </row>
    <row r="209" spans="1:23" ht="15.75" customHeight="1">
      <c r="A209" s="57" t="s">
        <v>863</v>
      </c>
      <c r="B209" s="93">
        <v>14</v>
      </c>
      <c r="C209" s="136"/>
      <c r="D209" s="136"/>
      <c r="E209" s="96"/>
      <c r="F209" s="43" t="s">
        <v>757</v>
      </c>
      <c r="G209" s="97" t="s">
        <v>843</v>
      </c>
      <c r="H209" s="44" t="s">
        <v>353</v>
      </c>
      <c r="I209" s="45"/>
      <c r="J209" s="116" t="s">
        <v>864</v>
      </c>
      <c r="K209" s="47"/>
      <c r="L209" s="47" t="s">
        <v>243</v>
      </c>
      <c r="M209" s="48" t="str">
        <f ca="1">IFERROR(__xludf.DUMMYFUNCTION("googletranslate(L209, ""fr"", ""nl"")"),"
- Rechte snede
- Patroon gedrukt op de rug
- Ronde hals vlakte ronde hals
- geribbelde rand en modieus in de kraag
- hem and gestikte randen
- Korte mouwen
- Logo J &amp; JOY borst
")</f>
        <v xml:space="preserve">
- Rechte snede
- Patroon gedrukt op de rug
- Ronde hals vlakte ronde hals
- geribbelde rand en modieus in de kraag
- hem and gestikte randen
- Korte mouwen
- Logo J &amp; JOY borst
</v>
      </c>
      <c r="N209" s="76" t="s">
        <v>244</v>
      </c>
      <c r="O209" s="49" t="str">
        <f ca="1">IFERROR(__xludf.DUMMYFUNCTION("googletranslate(N209, ""fr"", ""nl"")"),"Kan niet mis gaan weg: met dit overhemd, we gaan naar het strand om te surfen!
kleuren pop en een leuke patroon in de rug twistent deze donkere blauw shirt voor een resultaat dat u zal verbazen.")</f>
        <v>Kan niet mis gaan weg: met dit overhemd, we gaan naar het strand om te surfen!
kleuren pop en een leuke patroon in de rug twistent deze donkere blauw shirt voor een resultaat dat u zal verbazen.</v>
      </c>
      <c r="P209" s="100" t="s">
        <v>30</v>
      </c>
      <c r="Q209" s="49" t="str">
        <f ca="1">IFERROR(__xludf.DUMMYFUNCTION("GOOGLETRANSLATE(P209, ""fr"", ""nl"")"),"blauw")</f>
        <v>blauw</v>
      </c>
      <c r="R209" s="61" t="s">
        <v>31</v>
      </c>
      <c r="S209" s="52" t="str">
        <f ca="1">IFERROR(__xludf.DUMMYFUNCTION("GOOGLETRANSLATE(R209, ""fr"", ""nl"")"),"100% katoen")</f>
        <v>100% katoen</v>
      </c>
      <c r="T209" s="53" t="s">
        <v>32</v>
      </c>
      <c r="U209" s="54" t="str">
        <f ca="1">IFERROR(__xludf.DUMMYFUNCTION("GOOGLETRANSLATE(T209, ""fr"", ""nl"")"),"Op 30 ° C max
Gebruik geen bleekmiddel
Gebruik geen van de droger
Strijken op gemiddelde temperatuur
Niet stomen")</f>
        <v>Op 30 ° C max
Gebruik geen bleekmiddel
Gebruik geen van de droger
Strijken op gemiddelde temperatuur
Niet stomen</v>
      </c>
      <c r="V209" s="62" t="s">
        <v>782</v>
      </c>
      <c r="W209" s="101"/>
    </row>
    <row r="210" spans="1:23" ht="15.75" customHeight="1">
      <c r="A210" s="57" t="s">
        <v>865</v>
      </c>
      <c r="B210" s="93">
        <v>14</v>
      </c>
      <c r="C210" s="136"/>
      <c r="D210" s="136"/>
      <c r="E210" s="96"/>
      <c r="F210" s="43" t="s">
        <v>757</v>
      </c>
      <c r="G210" s="97" t="s">
        <v>843</v>
      </c>
      <c r="H210" s="44" t="s">
        <v>93</v>
      </c>
      <c r="I210" s="45"/>
      <c r="J210" s="116" t="s">
        <v>866</v>
      </c>
      <c r="K210" s="47"/>
      <c r="L210" s="47" t="s">
        <v>262</v>
      </c>
      <c r="M210" s="48" t="str">
        <f ca="1">IFERROR(__xludf.DUMMYFUNCTION("googletranslate(L210,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210" s="76" t="s">
        <v>867</v>
      </c>
      <c r="O210" s="49" t="str">
        <f ca="1">IFERROR(__xludf.DUMMYFUNCTION("googletranslate(N210, ""fr"", ""nl"")"),"Deze zomer, nemen we de golf en we genieten van lange zonnige dagen!")</f>
        <v>Deze zomer, nemen we de golf en we genieten van lange zonnige dagen!</v>
      </c>
      <c r="P210" s="100" t="s">
        <v>61</v>
      </c>
      <c r="Q210" s="49" t="str">
        <f ca="1">IFERROR(__xludf.DUMMYFUNCTION("GOOGLETRANSLATE(P210, ""fr"", ""nl"")"),"roze")</f>
        <v>roze</v>
      </c>
      <c r="R210" s="61" t="s">
        <v>31</v>
      </c>
      <c r="S210" s="52" t="str">
        <f ca="1">IFERROR(__xludf.DUMMYFUNCTION("GOOGLETRANSLATE(R210, ""fr"", ""nl"")"),"100% katoen")</f>
        <v>100% katoen</v>
      </c>
      <c r="T210" s="53" t="s">
        <v>32</v>
      </c>
      <c r="U210" s="54" t="str">
        <f ca="1">IFERROR(__xludf.DUMMYFUNCTION("GOOGLETRANSLATE(T210, ""fr"", ""nl"")"),"Op 30 ° C max
Gebruik geen bleekmiddel
Gebruik geen van de droger
Strijken op gemiddelde temperatuur
Niet stomen")</f>
        <v>Op 30 ° C max
Gebruik geen bleekmiddel
Gebruik geen van de droger
Strijken op gemiddelde temperatuur
Niet stomen</v>
      </c>
      <c r="V210" s="62" t="s">
        <v>782</v>
      </c>
      <c r="W210" s="101"/>
    </row>
    <row r="211" spans="1:23" ht="15.75" customHeight="1">
      <c r="A211" s="57" t="s">
        <v>868</v>
      </c>
      <c r="B211" s="93">
        <v>14</v>
      </c>
      <c r="C211" s="136"/>
      <c r="D211" s="136"/>
      <c r="E211" s="96"/>
      <c r="F211" s="43" t="s">
        <v>757</v>
      </c>
      <c r="G211" s="97" t="s">
        <v>843</v>
      </c>
      <c r="H211" s="44" t="s">
        <v>255</v>
      </c>
      <c r="I211" s="45"/>
      <c r="J211" s="116" t="s">
        <v>869</v>
      </c>
      <c r="K211" s="47"/>
      <c r="L211" s="47" t="s">
        <v>257</v>
      </c>
      <c r="M211" s="48" t="str">
        <f ca="1">IFERROR(__xludf.DUMMYFUNCTION("googletranslate(L211, ""fr"", ""nl"")"),"
- Rechte snede
- Gedrukte patroon hamburger
- Ronde hals vlakte ronde hals
- geribbelde rand en modieus in de kraag
- hem and gestikte randen
- Korte mouwen
- Logo J &amp; JOY borst
")</f>
        <v xml:space="preserve">
- Rechte snede
- Gedrukte patroon hamburger
- Ronde hals vlakte ronde hals
- geribbelde rand en modieus in de kraag
- hem and gestikte randen
- Korte mouwen
- Logo J &amp; JOY borst
</v>
      </c>
      <c r="N211" s="76" t="s">
        <v>870</v>
      </c>
      <c r="O211" s="49" t="str">
        <f ca="1">IFERROR(__xludf.DUMMYFUNCTION("googletranslate(N211, ""fr"", ""nl"")"),"Na een geweldige dag om te genieten van de zon met vrienden, een hamburger, iedereen die we vrij goed!
Dit shirt met kleurrijke tekeningen gaat met alles en staat garant voor een leuke look en voorzichtig verschoven.")</f>
        <v>Na een geweldige dag om te genieten van de zon met vrienden, een hamburger, iedereen die we vrij goed!
Dit shirt met kleurrijke tekeningen gaat met alles en staat garant voor een leuke look en voorzichtig verschoven.</v>
      </c>
      <c r="P211" s="100" t="s">
        <v>30</v>
      </c>
      <c r="Q211" s="49" t="str">
        <f ca="1">IFERROR(__xludf.DUMMYFUNCTION("GOOGLETRANSLATE(P211, ""fr"", ""nl"")"),"blauw")</f>
        <v>blauw</v>
      </c>
      <c r="R211" s="61" t="s">
        <v>31</v>
      </c>
      <c r="S211" s="52" t="str">
        <f ca="1">IFERROR(__xludf.DUMMYFUNCTION("GOOGLETRANSLATE(R211, ""fr"", ""nl"")"),"100% katoen")</f>
        <v>100% katoen</v>
      </c>
      <c r="T211" s="53" t="s">
        <v>32</v>
      </c>
      <c r="U211" s="54" t="str">
        <f ca="1">IFERROR(__xludf.DUMMYFUNCTION("GOOGLETRANSLATE(T211, ""fr"", ""nl"")"),"Op 30 ° C max
Gebruik geen bleekmiddel
Gebruik geen van de droger
Strijken op gemiddelde temperatuur
Niet stomen")</f>
        <v>Op 30 ° C max
Gebruik geen bleekmiddel
Gebruik geen van de droger
Strijken op gemiddelde temperatuur
Niet stomen</v>
      </c>
      <c r="V211" s="62" t="s">
        <v>782</v>
      </c>
      <c r="W211" s="101"/>
    </row>
    <row r="212" spans="1:23" ht="15.75" customHeight="1">
      <c r="A212" s="57" t="s">
        <v>871</v>
      </c>
      <c r="B212" s="93">
        <v>12</v>
      </c>
      <c r="C212" s="136"/>
      <c r="D212" s="136"/>
      <c r="E212" s="96"/>
      <c r="F212" s="43" t="s">
        <v>757</v>
      </c>
      <c r="G212" s="97" t="s">
        <v>843</v>
      </c>
      <c r="H212" s="44" t="s">
        <v>260</v>
      </c>
      <c r="I212" s="45"/>
      <c r="J212" s="116" t="s">
        <v>872</v>
      </c>
      <c r="K212" s="47"/>
      <c r="L212" s="47" t="s">
        <v>262</v>
      </c>
      <c r="M212" s="48" t="str">
        <f ca="1">IFERROR(__xludf.DUMMYFUNCTION("googletranslate(L212,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212" s="76" t="s">
        <v>873</v>
      </c>
      <c r="O212" s="49" t="str">
        <f ca="1">IFERROR(__xludf.DUMMYFUNCTION("googletranslate(N212, ""fr"", ""nl"")"),"Geen twijfel, met dit overhemd u laat uw ziel surfer!")</f>
        <v>Geen twijfel, met dit overhemd u laat uw ziel surfer!</v>
      </c>
      <c r="P212" s="100" t="s">
        <v>100</v>
      </c>
      <c r="Q212" s="49" t="str">
        <f ca="1">IFERROR(__xludf.DUMMYFUNCTION("GOOGLETRANSLATE(P212, ""fr"", ""nl"")"),"Wit")</f>
        <v>Wit</v>
      </c>
      <c r="R212" s="61" t="s">
        <v>31</v>
      </c>
      <c r="S212" s="52" t="str">
        <f ca="1">IFERROR(__xludf.DUMMYFUNCTION("GOOGLETRANSLATE(R212, ""fr"", ""nl"")"),"100% katoen")</f>
        <v>100% katoen</v>
      </c>
      <c r="T212" s="53" t="s">
        <v>32</v>
      </c>
      <c r="U212" s="54" t="str">
        <f ca="1">IFERROR(__xludf.DUMMYFUNCTION("GOOGLETRANSLATE(T212, ""fr"", ""nl"")"),"Op 30 ° C max
Gebruik geen bleekmiddel
Gebruik geen van de droger
Strijken op gemiddelde temperatuur
Niet stomen")</f>
        <v>Op 30 ° C max
Gebruik geen bleekmiddel
Gebruik geen van de droger
Strijken op gemiddelde temperatuur
Niet stomen</v>
      </c>
      <c r="V212" s="62" t="s">
        <v>782</v>
      </c>
      <c r="W212" s="101"/>
    </row>
    <row r="213" spans="1:23" ht="15.75" customHeight="1">
      <c r="A213" s="57" t="s">
        <v>874</v>
      </c>
      <c r="B213" s="93">
        <v>12</v>
      </c>
      <c r="C213" s="136"/>
      <c r="D213" s="136"/>
      <c r="E213" s="96"/>
      <c r="F213" s="43" t="s">
        <v>757</v>
      </c>
      <c r="G213" s="97" t="s">
        <v>843</v>
      </c>
      <c r="H213" s="44" t="s">
        <v>265</v>
      </c>
      <c r="I213" s="45"/>
      <c r="J213" s="116" t="s">
        <v>875</v>
      </c>
      <c r="K213" s="47"/>
      <c r="L213" s="47" t="s">
        <v>262</v>
      </c>
      <c r="M213" s="48" t="str">
        <f ca="1">IFERROR(__xludf.DUMMYFUNCTION("googletranslate(L213,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213" s="76" t="s">
        <v>267</v>
      </c>
      <c r="O213" s="49" t="str">
        <f ca="1">IFERROR(__xludf.DUMMYFUNCTION("googletranslate(N213, ""fr"", ""nl"")"),"Welkom bij Bondi Beach! Op deze Australisch strand, neem de zon, we surfen, en bovenal ... we genieten!")</f>
        <v>Welkom bij Bondi Beach! Op deze Australisch strand, neem de zon, we surfen, en bovenal ... we genieten!</v>
      </c>
      <c r="P213" s="100" t="s">
        <v>105</v>
      </c>
      <c r="Q213" s="49" t="str">
        <f ca="1">IFERROR(__xludf.DUMMYFUNCTION("GOOGLETRANSLATE(P213, ""fr"", ""nl"")"),"geel")</f>
        <v>geel</v>
      </c>
      <c r="R213" s="61" t="s">
        <v>31</v>
      </c>
      <c r="S213" s="52" t="str">
        <f ca="1">IFERROR(__xludf.DUMMYFUNCTION("GOOGLETRANSLATE(R213, ""fr"", ""nl"")"),"100% katoen")</f>
        <v>100% katoen</v>
      </c>
      <c r="T213" s="53" t="s">
        <v>32</v>
      </c>
      <c r="U213" s="54" t="str">
        <f ca="1">IFERROR(__xludf.DUMMYFUNCTION("GOOGLETRANSLATE(T213, ""fr"", ""nl"")"),"Op 30 ° C max
Gebruik geen bleekmiddel
Gebruik geen van de droger
Strijken op gemiddelde temperatuur
Niet stomen")</f>
        <v>Op 30 ° C max
Gebruik geen bleekmiddel
Gebruik geen van de droger
Strijken op gemiddelde temperatuur
Niet stomen</v>
      </c>
      <c r="V213" s="62" t="s">
        <v>782</v>
      </c>
      <c r="W213" s="101"/>
    </row>
    <row r="214" spans="1:23" ht="15.75" customHeight="1">
      <c r="A214" s="57" t="s">
        <v>876</v>
      </c>
      <c r="B214" s="93">
        <v>14</v>
      </c>
      <c r="C214" s="136"/>
      <c r="D214" s="136"/>
      <c r="E214" s="96"/>
      <c r="F214" s="43" t="s">
        <v>757</v>
      </c>
      <c r="G214" s="97" t="s">
        <v>843</v>
      </c>
      <c r="H214" s="44" t="s">
        <v>274</v>
      </c>
      <c r="I214" s="45"/>
      <c r="J214" s="116" t="s">
        <v>877</v>
      </c>
      <c r="K214" s="47"/>
      <c r="L214" s="47" t="s">
        <v>276</v>
      </c>
      <c r="M214" s="48" t="str">
        <f ca="1">IFERROR(__xludf.DUMMYFUNCTION("googletranslate(L214, ""fr"", ""nl"")"),"
- Rechte snede
- Gedrukte patroon
- ronde kraag bordje langs de ronde hals
- geribbelde rand en modieus in de kraag
- hem and gestikte randen
- Korte mouwen
- Logo J &amp; JOY sleeve
")</f>
        <v xml:space="preserve">
- Rechte snede
- Gedrukte patroon
- ronde kraag bordje langs de ronde hals
- geribbelde rand en modieus in de kraag
- hem and gestikte randen
- Korte mouwen
- Logo J &amp; JOY sleeve
</v>
      </c>
      <c r="N214" s="58" t="s">
        <v>878</v>
      </c>
      <c r="O214" s="49" t="str">
        <f ca="1">IFERROR(__xludf.DUMMYFUNCTION("googletranslate(N214, ""fr"", ""nl"")"),"Een patroon ""jungle"", schaduwen van groen op een deep blue: welkom in het regenwoud in Australië!
Dit overhemd zal iedereen die een geest van avontuur verrukken!
De +: hetzelfde shirt is ook beschikbaar voor backpackers dads!")</f>
        <v>Een patroon "jungle", schaduwen van groen op een deep blue: welkom in het regenwoud in Australië!
Dit overhemd zal iedereen die een geest van avontuur verrukken!
De +: hetzelfde shirt is ook beschikbaar voor backpackers dads!</v>
      </c>
      <c r="P214" s="100" t="s">
        <v>30</v>
      </c>
      <c r="Q214" s="49" t="str">
        <f ca="1">IFERROR(__xludf.DUMMYFUNCTION("GOOGLETRANSLATE(P214, ""fr"", ""nl"")"),"blauw")</f>
        <v>blauw</v>
      </c>
      <c r="R214" s="61" t="s">
        <v>31</v>
      </c>
      <c r="S214" s="52" t="str">
        <f ca="1">IFERROR(__xludf.DUMMYFUNCTION("GOOGLETRANSLATE(R214, ""fr"", ""nl"")"),"100% katoen")</f>
        <v>100% katoen</v>
      </c>
      <c r="T214" s="53" t="s">
        <v>32</v>
      </c>
      <c r="U214" s="54" t="str">
        <f ca="1">IFERROR(__xludf.DUMMYFUNCTION("GOOGLETRANSLATE(T214, ""fr"", ""nl"")"),"Op 30 ° C max
Gebruik geen bleekmiddel
Gebruik geen van de droger
Strijken op gemiddelde temperatuur
Niet stomen")</f>
        <v>Op 30 ° C max
Gebruik geen bleekmiddel
Gebruik geen van de droger
Strijken op gemiddelde temperatuur
Niet stomen</v>
      </c>
      <c r="V214" s="62" t="s">
        <v>799</v>
      </c>
      <c r="W214" s="101"/>
    </row>
    <row r="215" spans="1:23" ht="15.75" customHeight="1">
      <c r="A215" s="57" t="s">
        <v>879</v>
      </c>
      <c r="B215" s="93">
        <v>14</v>
      </c>
      <c r="C215" s="136"/>
      <c r="D215" s="136"/>
      <c r="E215" s="96"/>
      <c r="F215" s="43" t="s">
        <v>757</v>
      </c>
      <c r="G215" s="97" t="s">
        <v>843</v>
      </c>
      <c r="H215" s="44" t="s">
        <v>280</v>
      </c>
      <c r="I215" s="45"/>
      <c r="J215" s="116" t="s">
        <v>880</v>
      </c>
      <c r="K215" s="138"/>
      <c r="L215" s="138" t="s">
        <v>262</v>
      </c>
      <c r="M215" s="48" t="str">
        <f ca="1">IFERROR(__xludf.DUMMYFUNCTION("googletranslate(L215, ""fr"", ""nl"")"),"
- Rechte snede
- Gedrukte patroon
- Ronde hals vlakte ronde hals
- geribbelde rand en modieus in de kraag
- hem and gestikte randen
- Korte mouwen
")</f>
        <v xml:space="preserve">
- Rechte snede
- Gedrukte patroon
- Ronde hals vlakte ronde hals
- geribbelde rand en modieus in de kraag
- hem and gestikte randen
- Korte mouwen
</v>
      </c>
      <c r="N215" s="76" t="s">
        <v>282</v>
      </c>
      <c r="O215" s="49" t="str">
        <f ca="1">IFERROR(__xludf.DUMMYFUNCTION("googletranslate(N215, ""fr"", ""nl"")"),"Dit overhemd lime geel verfrist de zomeravonden! En met zijn kunstwerk dat het regenwoud oproept, bieden wij een beetje ontsnappen!")</f>
        <v>Dit overhemd lime geel verfrist de zomeravonden! En met zijn kunstwerk dat het regenwoud oproept, bieden wij een beetje ontsnappen!</v>
      </c>
      <c r="P215" s="100" t="s">
        <v>105</v>
      </c>
      <c r="Q215" s="49" t="str">
        <f ca="1">IFERROR(__xludf.DUMMYFUNCTION("GOOGLETRANSLATE(P215, ""fr"", ""nl"")"),"geel")</f>
        <v>geel</v>
      </c>
      <c r="R215" s="61" t="s">
        <v>31</v>
      </c>
      <c r="S215" s="52" t="str">
        <f ca="1">IFERROR(__xludf.DUMMYFUNCTION("GOOGLETRANSLATE(R215, ""fr"", ""nl"")"),"100% katoen")</f>
        <v>100% katoen</v>
      </c>
      <c r="T215" s="53" t="s">
        <v>32</v>
      </c>
      <c r="U215" s="54" t="str">
        <f ca="1">IFERROR(__xludf.DUMMYFUNCTION("GOOGLETRANSLATE(T215, ""fr"", ""nl"")"),"Op 30 ° C max
Gebruik geen bleekmiddel
Gebruik geen van de droger
Strijken op gemiddelde temperatuur
Niet stomen")</f>
        <v>Op 30 ° C max
Gebruik geen bleekmiddel
Gebruik geen van de droger
Strijken op gemiddelde temperatuur
Niet stomen</v>
      </c>
      <c r="V215" s="62" t="s">
        <v>799</v>
      </c>
      <c r="W215" s="101"/>
    </row>
    <row r="216" spans="1:23" ht="15.75" customHeight="1">
      <c r="A216" s="57" t="s">
        <v>881</v>
      </c>
      <c r="B216" s="93">
        <v>14</v>
      </c>
      <c r="C216" s="136"/>
      <c r="D216" s="136"/>
      <c r="E216" s="96"/>
      <c r="F216" s="43" t="s">
        <v>757</v>
      </c>
      <c r="G216" s="97" t="s">
        <v>843</v>
      </c>
      <c r="H216" s="44" t="s">
        <v>882</v>
      </c>
      <c r="I216" s="45"/>
      <c r="J216" s="116" t="s">
        <v>883</v>
      </c>
      <c r="K216" s="139"/>
      <c r="L216" s="139" t="s">
        <v>287</v>
      </c>
      <c r="M216" s="48" t="str">
        <f ca="1">IFERROR(__xludf.DUMMYFUNCTION("googletranslate(L216,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216" s="76" t="s">
        <v>884</v>
      </c>
      <c r="O216" s="49" t="str">
        <f ca="1">IFERROR(__xludf.DUMMYFUNCTION("googletranslate(N216, ""fr"", ""nl"")"),"In de Daintree Forest, Australië, oppassen niet te stap op de staart van een krokodil!")</f>
        <v>In de Daintree Forest, Australië, oppassen niet te stap op de staart van een krokodil!</v>
      </c>
      <c r="P216" s="100" t="s">
        <v>30</v>
      </c>
      <c r="Q216" s="49" t="str">
        <f ca="1">IFERROR(__xludf.DUMMYFUNCTION("GOOGLETRANSLATE(P216, ""fr"", ""nl"")"),"blauw")</f>
        <v>blauw</v>
      </c>
      <c r="R216" s="61" t="s">
        <v>31</v>
      </c>
      <c r="S216" s="52" t="str">
        <f ca="1">IFERROR(__xludf.DUMMYFUNCTION("GOOGLETRANSLATE(R216, ""fr"", ""nl"")"),"100% katoen")</f>
        <v>100% katoen</v>
      </c>
      <c r="T216" s="53" t="s">
        <v>32</v>
      </c>
      <c r="U216" s="54" t="str">
        <f ca="1">IFERROR(__xludf.DUMMYFUNCTION("GOOGLETRANSLATE(T216, ""fr"", ""nl"")"),"Op 30 ° C max
Gebruik geen bleekmiddel
Gebruik geen van de droger
Strijken op gemiddelde temperatuur
Niet stomen")</f>
        <v>Op 30 ° C max
Gebruik geen bleekmiddel
Gebruik geen van de droger
Strijken op gemiddelde temperatuur
Niet stomen</v>
      </c>
      <c r="V216" s="62" t="s">
        <v>799</v>
      </c>
      <c r="W216" s="101"/>
    </row>
    <row r="217" spans="1:23" ht="15.75" customHeight="1">
      <c r="A217" s="57" t="s">
        <v>885</v>
      </c>
      <c r="B217" s="93">
        <v>14</v>
      </c>
      <c r="C217" s="136"/>
      <c r="D217" s="136"/>
      <c r="E217" s="96"/>
      <c r="F217" s="43" t="s">
        <v>757</v>
      </c>
      <c r="G217" s="97" t="s">
        <v>843</v>
      </c>
      <c r="H217" s="44" t="s">
        <v>295</v>
      </c>
      <c r="I217" s="45"/>
      <c r="J217" s="116" t="s">
        <v>886</v>
      </c>
      <c r="K217" s="47"/>
      <c r="L217" s="47" t="s">
        <v>287</v>
      </c>
      <c r="M217" s="48" t="str">
        <f ca="1">IFERROR(__xludf.DUMMYFUNCTION("googletranslate(L217,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217" s="81" t="s">
        <v>887</v>
      </c>
      <c r="O217" s="49" t="str">
        <f ca="1">IFERROR(__xludf.DUMMYFUNCTION("googletranslate(N217, ""fr"", ""nl"")"),"Beach, schildpadden en kokospalmen ... Een perfect overhemd om het uiterlijk van deze zomer te verhogen!")</f>
        <v>Beach, schildpadden en kokospalmen ... Een perfect overhemd om het uiterlijk van deze zomer te verhogen!</v>
      </c>
      <c r="P217" s="100" t="s">
        <v>234</v>
      </c>
      <c r="Q217" s="49" t="str">
        <f ca="1">IFERROR(__xludf.DUMMYFUNCTION("GOOGLETRANSLATE(P217, ""fr"", ""nl"")"),"Grijs")</f>
        <v>Grijs</v>
      </c>
      <c r="R217" s="61" t="s">
        <v>117</v>
      </c>
      <c r="S217" s="52" t="str">
        <f ca="1">IFERROR(__xludf.DUMMYFUNCTION("GOOGLETRANSLATE(R217, ""fr"", ""nl"")"),"60% katoen 40% polyester")</f>
        <v>60% katoen 40% polyester</v>
      </c>
      <c r="T217" s="53" t="s">
        <v>32</v>
      </c>
      <c r="U217" s="54" t="str">
        <f ca="1">IFERROR(__xludf.DUMMYFUNCTION("GOOGLETRANSLATE(T217, ""fr"", ""nl"")"),"Op 30 ° C max
Gebruik geen bleekmiddel
Gebruik geen van de droger
Strijken op gemiddelde temperatuur
Niet stomen")</f>
        <v>Op 30 ° C max
Gebruik geen bleekmiddel
Gebruik geen van de droger
Strijken op gemiddelde temperatuur
Niet stomen</v>
      </c>
      <c r="V217" s="62" t="s">
        <v>799</v>
      </c>
      <c r="W217" s="101"/>
    </row>
    <row r="218" spans="1:23" ht="15.75" customHeight="1">
      <c r="A218" s="57" t="s">
        <v>888</v>
      </c>
      <c r="B218" s="93">
        <v>14</v>
      </c>
      <c r="C218" s="136"/>
      <c r="D218" s="136"/>
      <c r="E218" s="96"/>
      <c r="F218" s="43" t="s">
        <v>757</v>
      </c>
      <c r="G218" s="97" t="s">
        <v>843</v>
      </c>
      <c r="H218" s="44" t="s">
        <v>299</v>
      </c>
      <c r="I218" s="45"/>
      <c r="J218" s="116" t="s">
        <v>889</v>
      </c>
      <c r="K218" s="138"/>
      <c r="L218" s="138" t="s">
        <v>301</v>
      </c>
      <c r="M218" s="48" t="str">
        <f ca="1">IFERROR(__xludf.DUMMYFUNCTION("googletranslate(L218, ""fr"", ""nl"")"),"
- Rechte snede
- Patroon gedrukt op de rug
- Ronde hals vlakte ronde hals
- geribbelde rand en modieus in de kraag
- hem and gestikte randen
- Korte mouwen
- Logo J &amp; JOY borst
")</f>
        <v xml:space="preserve">
- Rechte snede
- Patroon gedrukt op de rug
- Ronde hals vlakte ronde hals
- geribbelde rand en modieus in de kraag
- hem and gestikte randen
- Korte mouwen
- Logo J &amp; JOY borst
</v>
      </c>
      <c r="N218" s="76" t="s">
        <v>890</v>
      </c>
      <c r="O218" s="49" t="str">
        <f ca="1">IFERROR(__xludf.DUMMYFUNCTION("googletranslate(N218, ""fr"", ""nl"")"),"Met deze diepe groen shirt, je loopt incognito in het Daintree Rainforest om krokodillen en buideldier in acht nemen!")</f>
        <v>Met deze diepe groen shirt, je loopt incognito in het Daintree Rainforest om krokodillen en buideldier in acht nemen!</v>
      </c>
      <c r="P218" s="100" t="s">
        <v>116</v>
      </c>
      <c r="Q218" s="49" t="str">
        <f ca="1">IFERROR(__xludf.DUMMYFUNCTION("GOOGLETRANSLATE(P218, ""fr"", ""nl"")"),"groen")</f>
        <v>groen</v>
      </c>
      <c r="R218" s="61" t="s">
        <v>31</v>
      </c>
      <c r="S218" s="52" t="str">
        <f ca="1">IFERROR(__xludf.DUMMYFUNCTION("GOOGLETRANSLATE(R218, ""fr"", ""nl"")"),"100% katoen")</f>
        <v>100% katoen</v>
      </c>
      <c r="T218" s="53" t="s">
        <v>32</v>
      </c>
      <c r="U218" s="54" t="str">
        <f ca="1">IFERROR(__xludf.DUMMYFUNCTION("GOOGLETRANSLATE(T218, ""fr"", ""nl"")"),"Op 30 ° C max
Gebruik geen bleekmiddel
Gebruik geen van de droger
Strijken op gemiddelde temperatuur
Niet stomen")</f>
        <v>Op 30 ° C max
Gebruik geen bleekmiddel
Gebruik geen van de droger
Strijken op gemiddelde temperatuur
Niet stomen</v>
      </c>
      <c r="V218" s="62" t="s">
        <v>799</v>
      </c>
      <c r="W218" s="101"/>
    </row>
    <row r="219" spans="1:23" ht="15.75" customHeight="1">
      <c r="A219" s="57" t="s">
        <v>891</v>
      </c>
      <c r="B219" s="93">
        <v>12</v>
      </c>
      <c r="C219" s="136"/>
      <c r="D219" s="136"/>
      <c r="E219" s="96"/>
      <c r="F219" s="43" t="s">
        <v>757</v>
      </c>
      <c r="G219" s="97" t="s">
        <v>843</v>
      </c>
      <c r="H219" s="44" t="s">
        <v>304</v>
      </c>
      <c r="I219" s="45"/>
      <c r="J219" s="116" t="s">
        <v>892</v>
      </c>
      <c r="K219" s="139"/>
      <c r="L219" s="139" t="s">
        <v>306</v>
      </c>
      <c r="M219" s="48" t="str">
        <f ca="1">IFERROR(__xludf.DUMMYFUNCTION("googletranslate(L219,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219" s="76" t="s">
        <v>893</v>
      </c>
      <c r="O219" s="49" t="str">
        <f ca="1">IFERROR(__xludf.DUMMYFUNCTION("googletranslate(N219, ""fr"", ""nl"")"),"Welkom bij Cape Tribulation, een bijzondere plek waar men een rauwe natuur en kleurrijke kunt ontdekken.
Deze blauw / groen gemengd met zeer moderne oranje fut sleutels, het is de perfecte combinatie voor een t-shirt die oplicht uw garderobe!")</f>
        <v>Welkom bij Cape Tribulation, een bijzondere plek waar men een rauwe natuur en kleurrijke kunt ontdekken.
Deze blauw / groen gemengd met zeer moderne oranje fut sleutels, het is de perfecte combinatie voor een t-shirt die oplicht uw garderobe!</v>
      </c>
      <c r="P219" s="100" t="s">
        <v>30</v>
      </c>
      <c r="Q219" s="49" t="str">
        <f ca="1">IFERROR(__xludf.DUMMYFUNCTION("GOOGLETRANSLATE(P219, ""fr"", ""nl"")"),"blauw")</f>
        <v>blauw</v>
      </c>
      <c r="R219" s="61" t="s">
        <v>31</v>
      </c>
      <c r="S219" s="52" t="str">
        <f ca="1">IFERROR(__xludf.DUMMYFUNCTION("GOOGLETRANSLATE(R219, ""fr"", ""nl"")"),"100% katoen")</f>
        <v>100% katoen</v>
      </c>
      <c r="T219" s="53" t="s">
        <v>32</v>
      </c>
      <c r="U219" s="54" t="str">
        <f ca="1">IFERROR(__xludf.DUMMYFUNCTION("GOOGLETRANSLATE(T219, ""fr"", ""nl"")"),"Op 30 ° C max
Gebruik geen bleekmiddel
Gebruik geen van de droger
Strijken op gemiddelde temperatuur
Niet stomen")</f>
        <v>Op 30 ° C max
Gebruik geen bleekmiddel
Gebruik geen van de droger
Strijken op gemiddelde temperatuur
Niet stomen</v>
      </c>
      <c r="V219" s="62" t="s">
        <v>815</v>
      </c>
      <c r="W219" s="101"/>
    </row>
    <row r="220" spans="1:23" ht="15.75" customHeight="1">
      <c r="A220" s="57" t="s">
        <v>894</v>
      </c>
      <c r="B220" s="93">
        <v>12</v>
      </c>
      <c r="C220" s="136"/>
      <c r="D220" s="136"/>
      <c r="E220" s="96"/>
      <c r="F220" s="43" t="s">
        <v>757</v>
      </c>
      <c r="G220" s="97" t="s">
        <v>843</v>
      </c>
      <c r="H220" s="44" t="s">
        <v>141</v>
      </c>
      <c r="I220" s="45"/>
      <c r="J220" s="116" t="s">
        <v>895</v>
      </c>
      <c r="K220" s="139"/>
      <c r="L220" s="139" t="s">
        <v>306</v>
      </c>
      <c r="M220" s="48" t="str">
        <f ca="1">IFERROR(__xludf.DUMMYFUNCTION("googletranslate(L220,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220" s="81" t="s">
        <v>310</v>
      </c>
      <c r="O220" s="49" t="str">
        <f ca="1">IFERROR(__xludf.DUMMYFUNCTION("googletranslate(N220, ""fr"", ""nl"")"),"Een mangrove Queensland regenwoud is geïnstalleerd op deze heldere oranje achtergrond. Resultaat: een verrassende overhemd!")</f>
        <v>Een mangrove Queensland regenwoud is geïnstalleerd op deze heldere oranje achtergrond. Resultaat: een verrassende overhemd!</v>
      </c>
      <c r="P220" s="100" t="s">
        <v>49</v>
      </c>
      <c r="Q220" s="49" t="str">
        <f ca="1">IFERROR(__xludf.DUMMYFUNCTION("GOOGLETRANSLATE(P220, ""fr"", ""nl"")"),"oranje")</f>
        <v>oranje</v>
      </c>
      <c r="R220" s="61" t="s">
        <v>31</v>
      </c>
      <c r="S220" s="52" t="str">
        <f ca="1">IFERROR(__xludf.DUMMYFUNCTION("GOOGLETRANSLATE(R220, ""fr"", ""nl"")"),"100% katoen")</f>
        <v>100% katoen</v>
      </c>
      <c r="T220" s="53" t="s">
        <v>32</v>
      </c>
      <c r="U220" s="54" t="str">
        <f ca="1">IFERROR(__xludf.DUMMYFUNCTION("GOOGLETRANSLATE(T220, ""fr"", ""nl"")"),"Op 30 ° C max
Gebruik geen bleekmiddel
Gebruik geen van de droger
Strijken op gemiddelde temperatuur
Niet stomen")</f>
        <v>Op 30 ° C max
Gebruik geen bleekmiddel
Gebruik geen van de droger
Strijken op gemiddelde temperatuur
Niet stomen</v>
      </c>
      <c r="V220" s="62" t="s">
        <v>815</v>
      </c>
      <c r="W220" s="101"/>
    </row>
    <row r="221" spans="1:23" ht="15.75" customHeight="1">
      <c r="A221" s="57" t="s">
        <v>896</v>
      </c>
      <c r="B221" s="93">
        <v>14</v>
      </c>
      <c r="C221" s="136"/>
      <c r="D221" s="136"/>
      <c r="E221" s="96"/>
      <c r="F221" s="43" t="s">
        <v>757</v>
      </c>
      <c r="G221" s="97" t="s">
        <v>843</v>
      </c>
      <c r="H221" s="44" t="s">
        <v>316</v>
      </c>
      <c r="I221" s="45"/>
      <c r="J221" s="116" t="s">
        <v>897</v>
      </c>
      <c r="K221" s="47"/>
      <c r="L221" s="47" t="s">
        <v>306</v>
      </c>
      <c r="M221" s="48" t="str">
        <f ca="1">IFERROR(__xludf.DUMMYFUNCTION("googletranslate(L221, ""fr"", ""nl"")"),"
- Rechte snede
- Gedrukte patroon
- Ronde hals vlakte ronde hals
- geribbelde rand en modieus in de kraag
- hem and gestikte randen
- Korte mouwen
- Logo J &amp; JOY sleeve
")</f>
        <v xml:space="preserve">
- Rechte snede
- Gedrukte patroon
- Ronde hals vlakte ronde hals
- geribbelde rand en modieus in de kraag
- hem and gestikte randen
- Korte mouwen
- Logo J &amp; JOY sleeve
</v>
      </c>
      <c r="N221" s="81" t="s">
        <v>318</v>
      </c>
      <c r="O221" s="49" t="str">
        <f ca="1">IFERROR(__xludf.DUMMYFUNCTION("googletranslate(N221, ""fr"", ""nl"")"),"Op Cape Tribulation, zie je vogels zo kleurrijk ze lijken te komen van een cartoon!
Een tot twee verzoeken op dit overhemd, en we houden van deze mix van donker blauw, levendige oranje en groene ""jungle"".")</f>
        <v>Op Cape Tribulation, zie je vogels zo kleurrijk ze lijken te komen van een cartoon!
Een tot twee verzoeken op dit overhemd, en we houden van deze mix van donker blauw, levendige oranje en groene "jungle".</v>
      </c>
      <c r="P221" s="100" t="s">
        <v>30</v>
      </c>
      <c r="Q221" s="49" t="str">
        <f ca="1">IFERROR(__xludf.DUMMYFUNCTION("GOOGLETRANSLATE(P221, ""fr"", ""nl"")"),"blauw")</f>
        <v>blauw</v>
      </c>
      <c r="R221" s="61" t="s">
        <v>31</v>
      </c>
      <c r="S221" s="52" t="str">
        <f ca="1">IFERROR(__xludf.DUMMYFUNCTION("GOOGLETRANSLATE(R221, ""fr"", ""nl"")"),"100% katoen")</f>
        <v>100% katoen</v>
      </c>
      <c r="T221" s="53" t="s">
        <v>32</v>
      </c>
      <c r="U221" s="54" t="str">
        <f ca="1">IFERROR(__xludf.DUMMYFUNCTION("GOOGLETRANSLATE(T221, ""fr"", ""nl"")"),"Op 30 ° C max
Gebruik geen bleekmiddel
Gebruik geen van de droger
Strijken op gemiddelde temperatuur
Niet stomen")</f>
        <v>Op 30 ° C max
Gebruik geen bleekmiddel
Gebruik geen van de droger
Strijken op gemiddelde temperatuur
Niet stomen</v>
      </c>
      <c r="V221" s="62" t="s">
        <v>815</v>
      </c>
      <c r="W221" s="101"/>
    </row>
    <row r="222" spans="1:23" ht="15.75" customHeight="1">
      <c r="A222" s="84" t="s">
        <v>325</v>
      </c>
      <c r="B222" s="85"/>
      <c r="C222" s="67"/>
      <c r="D222" s="86"/>
      <c r="E222" s="67"/>
      <c r="F222" s="87"/>
      <c r="G222" s="87"/>
      <c r="H222" s="26"/>
      <c r="I222" s="26"/>
      <c r="J222" s="88" t="s">
        <v>677</v>
      </c>
      <c r="K222" s="89"/>
      <c r="L222" s="89"/>
      <c r="M222" s="48" t="str">
        <f ca="1">IFERROR(__xludf.DUMMYFUNCTION("googletranslate(L222, ""fr"", ""nl"")"),"#VALUE!")</f>
        <v>#VALUE!</v>
      </c>
      <c r="N222" s="125"/>
      <c r="O222" s="49" t="str">
        <f ca="1">IFERROR(__xludf.DUMMYFUNCTION("googletranslate(N222, ""fr"", ""nl"")"),"#VALUE!")</f>
        <v>#VALUE!</v>
      </c>
      <c r="P222" s="91"/>
      <c r="Q222" s="49" t="str">
        <f ca="1">IFERROR(__xludf.DUMMYFUNCTION("GOOGLETRANSLATE(P222, ""fr"", ""nl"")"),"#VALUE!")</f>
        <v>#VALUE!</v>
      </c>
      <c r="R222" s="92"/>
      <c r="S222" s="52" t="str">
        <f ca="1">IFERROR(__xludf.DUMMYFUNCTION("GOOGLETRANSLATE(R222, ""fr"", ""nl"")"),"#VALUE!")</f>
        <v>#VALUE!</v>
      </c>
      <c r="T222" s="89"/>
      <c r="U222" s="54" t="str">
        <f ca="1">IFERROR(__xludf.DUMMYFUNCTION("GOOGLETRANSLATE(T222, ""fr"", ""nl"")"),"#VALUE!")</f>
        <v>#VALUE!</v>
      </c>
      <c r="V222" s="140"/>
      <c r="W222" s="38"/>
    </row>
    <row r="223" spans="1:23" ht="15.75" customHeight="1">
      <c r="A223" s="39" t="s">
        <v>898</v>
      </c>
      <c r="B223" s="93">
        <v>26</v>
      </c>
      <c r="C223" s="136"/>
      <c r="D223" s="136"/>
      <c r="E223" s="96"/>
      <c r="F223" s="43" t="s">
        <v>757</v>
      </c>
      <c r="G223" s="97" t="s">
        <v>899</v>
      </c>
      <c r="H223" s="44" t="s">
        <v>844</v>
      </c>
      <c r="I223" s="45"/>
      <c r="J223" s="141" t="s">
        <v>900</v>
      </c>
      <c r="K223" s="47"/>
      <c r="L223" s="47" t="s">
        <v>901</v>
      </c>
      <c r="M223" s="48" t="str">
        <f ca="1">IFERROR(__xludf.DUMMYFUNCTION("googletranslate(L223, ""fr"", ""nl"")"),"
- Rechte snede
- Capuchon met contrast koord
- geribbelde rand en modieus in de kraag
- randen en rib boord stretch
- Lange mouwen
- Kangaroo pocket
- Gedrukte patroon
- Logo J &amp; JOY op het hart
- J &amp; JOY Patch op schouder")</f>
        <v xml:space="preserve">
- Rechte snede
- Capuchon met contrast koord
- geribbelde rand en modieus in de kraag
- randen en rib boord stretch
- Lange mouwen
- Kangaroo pocket
- Gedrukte patroon
- Logo J &amp; JOY op het hart
- J &amp; JOY Patch op schouder</v>
      </c>
      <c r="N223" s="76" t="s">
        <v>902</v>
      </c>
      <c r="O223" s="49" t="str">
        <f ca="1">IFERROR(__xludf.DUMMYFUNCTION("googletranslate(N223, ""fr"", ""nl"")"),"Dit hoodie is zo mooi als het is comfortabel. Met zijn intense rode en kunstwerk dat maakt ons reizen in Australië is opgewarmd teint uitgegaan van een coole look!")</f>
        <v>Dit hoodie is zo mooi als het is comfortabel. Met zijn intense rode en kunstwerk dat maakt ons reizen in Australië is opgewarmd teint uitgegaan van een coole look!</v>
      </c>
      <c r="P223" s="100" t="s">
        <v>56</v>
      </c>
      <c r="Q223" s="49" t="str">
        <f ca="1">IFERROR(__xludf.DUMMYFUNCTION("GOOGLETRANSLATE(P223, ""fr"", ""nl"")"),"rood")</f>
        <v>rood</v>
      </c>
      <c r="R223" s="51" t="s">
        <v>372</v>
      </c>
      <c r="S223" s="52" t="str">
        <f ca="1">IFERROR(__xludf.DUMMYFUNCTION("GOOGLETRANSLATE(R223, ""fr"", ""nl"")"),"50% katoen 50% polyester")</f>
        <v>50% katoen 50% polyester</v>
      </c>
      <c r="T223" s="53" t="s">
        <v>32</v>
      </c>
      <c r="U223" s="54" t="str">
        <f ca="1">IFERROR(__xludf.DUMMYFUNCTION("GOOGLETRANSLATE(T223, ""fr"", ""nl"")"),"Op 30 ° C max
Gebruik geen bleekmiddel
Gebruik geen van de droger
Strijken op gemiddelde temperatuur
Niet stomen")</f>
        <v>Op 30 ° C max
Gebruik geen bleekmiddel
Gebruik geen van de droger
Strijken op gemiddelde temperatuur
Niet stomen</v>
      </c>
      <c r="V223" s="62" t="s">
        <v>761</v>
      </c>
      <c r="W223" s="101"/>
    </row>
    <row r="224" spans="1:23" ht="15.75" customHeight="1">
      <c r="A224" s="57" t="s">
        <v>903</v>
      </c>
      <c r="B224" s="93">
        <v>28</v>
      </c>
      <c r="C224" s="136"/>
      <c r="D224" s="136"/>
      <c r="E224" s="96"/>
      <c r="F224" s="43" t="s">
        <v>757</v>
      </c>
      <c r="G224" s="97" t="s">
        <v>899</v>
      </c>
      <c r="H224" s="44" t="s">
        <v>904</v>
      </c>
      <c r="I224" s="45"/>
      <c r="J224" s="141" t="s">
        <v>905</v>
      </c>
      <c r="K224" s="47"/>
      <c r="L224" s="47" t="s">
        <v>906</v>
      </c>
      <c r="M224" s="48" t="str">
        <f ca="1">IFERROR(__xludf.DUMMYFUNCTION("googletranslate(L224, ""fr"", ""nl"")"),"
- Rechte snede
- Met rits
- Capuchon met contrast koord
- geribbelde rand en modieus in de kraag
- randen en rib boord stretch
- Lange mouwen
- Kangaroo pocket
- Quadricolore
- Logo J &amp; JOY op het hart")</f>
        <v xml:space="preserve">
- Rechte snede
- Met rits
- Capuchon met contrast koord
- geribbelde rand en modieus in de kraag
- randen en rib boord stretch
- Lange mouwen
- Kangaroo pocket
- Quadricolore
- Logo J &amp; JOY op het hart</v>
      </c>
      <c r="N224" s="76" t="s">
        <v>907</v>
      </c>
      <c r="O224" s="49" t="str">
        <f ca="1">IFERROR(__xludf.DUMMYFUNCTION("googletranslate(N224, ""fr"", ""nl"")"),"Dit sweatshirt is degene die verhoogt de Easy looks! Gedragen met jeans met sneakers en een rood shirt, wit of blauw, het maakt elke effect!")</f>
        <v>Dit sweatshirt is degene die verhoogt de Easy looks! Gedragen met jeans met sneakers en een rood shirt, wit of blauw, het maakt elke effect!</v>
      </c>
      <c r="P224" s="100" t="s">
        <v>155</v>
      </c>
      <c r="Q224" s="49" t="str">
        <f ca="1">IFERROR(__xludf.DUMMYFUNCTION("GOOGLETRANSLATE(P224, ""fr"", ""nl"")"),"veelkleurig")</f>
        <v>veelkleurig</v>
      </c>
      <c r="R224" s="59" t="s">
        <v>337</v>
      </c>
      <c r="S224" s="52" t="str">
        <f ca="1">IFERROR(__xludf.DUMMYFUNCTION("GOOGLETRANSLATE(R224, ""fr"", ""nl"")"),"75% katoen en 25% polyester")</f>
        <v>75% katoen en 25% polyester</v>
      </c>
      <c r="T224" s="53" t="s">
        <v>32</v>
      </c>
      <c r="U224" s="54" t="str">
        <f ca="1">IFERROR(__xludf.DUMMYFUNCTION("GOOGLETRANSLATE(T224, ""fr"", ""nl"")"),"Op 30 ° C max
Gebruik geen bleekmiddel
Gebruik geen van de droger
Strijken op gemiddelde temperatuur
Niet stomen")</f>
        <v>Op 30 ° C max
Gebruik geen bleekmiddel
Gebruik geen van de droger
Strijken op gemiddelde temperatuur
Niet stomen</v>
      </c>
      <c r="V224" s="62" t="s">
        <v>761</v>
      </c>
      <c r="W224" s="101"/>
    </row>
    <row r="225" spans="1:23" ht="15.75" customHeight="1">
      <c r="A225" s="57" t="s">
        <v>908</v>
      </c>
      <c r="B225" s="93">
        <v>26</v>
      </c>
      <c r="C225" s="136"/>
      <c r="D225" s="136"/>
      <c r="E225" s="96"/>
      <c r="F225" s="43" t="s">
        <v>757</v>
      </c>
      <c r="G225" s="97" t="s">
        <v>899</v>
      </c>
      <c r="H225" s="44" t="s">
        <v>339</v>
      </c>
      <c r="I225" s="45"/>
      <c r="J225" s="141" t="s">
        <v>909</v>
      </c>
      <c r="K225" s="47"/>
      <c r="L225" s="47" t="s">
        <v>341</v>
      </c>
      <c r="M225" s="48" t="str">
        <f ca="1">IFERROR(__xludf.DUMMYFUNCTION("googletranslate(L225, ""fr"", ""nl"")")," 
- Rechte snede
- Ronde kraag
- geribbelde rand en modieus in de kraag
- randen en rib boord stretch
- Lange mouwen
- Logo J &amp; JOY op het hart
- Schrijven textuur in de rug
")</f>
        <v xml:space="preserve"> 
- Rechte snede
- Ronde kraag
- geribbelde rand en modieus in de kraag
- randen en rib boord stretch
- Lange mouwen
- Logo J &amp; JOY op het hart
- Schrijven textuur in de rug
</v>
      </c>
      <c r="N225" s="76" t="s">
        <v>910</v>
      </c>
      <c r="O225" s="49" t="str">
        <f ca="1">IFERROR(__xludf.DUMMYFUNCTION("googletranslate(N225, ""fr"", ""nl"")"),"De ronde hals trui, is het van belang het moment! In zijn comfortabel en met zijn vlammend rood materiaal, dit sweatshirt verhoogt de allure en warme zomeravonden.")</f>
        <v>De ronde hals trui, is het van belang het moment! In zijn comfortabel en met zijn vlammend rood materiaal, dit sweatshirt verhoogt de allure en warme zomeravonden.</v>
      </c>
      <c r="P225" s="100" t="s">
        <v>56</v>
      </c>
      <c r="Q225" s="49" t="str">
        <f ca="1">IFERROR(__xludf.DUMMYFUNCTION("GOOGLETRANSLATE(P225, ""fr"", ""nl"")"),"rood")</f>
        <v>rood</v>
      </c>
      <c r="R225" s="59" t="s">
        <v>337</v>
      </c>
      <c r="S225" s="52" t="str">
        <f ca="1">IFERROR(__xludf.DUMMYFUNCTION("GOOGLETRANSLATE(R225, ""fr"", ""nl"")"),"75% katoen en 25% polyester")</f>
        <v>75% katoen en 25% polyester</v>
      </c>
      <c r="T225" s="53" t="s">
        <v>32</v>
      </c>
      <c r="U225" s="54" t="str">
        <f ca="1">IFERROR(__xludf.DUMMYFUNCTION("GOOGLETRANSLATE(T225, ""fr"", ""nl"")"),"Op 30 ° C max
Gebruik geen bleekmiddel
Gebruik geen van de droger
Strijken op gemiddelde temperatuur
Niet stomen")</f>
        <v>Op 30 ° C max
Gebruik geen bleekmiddel
Gebruik geen van de droger
Strijken op gemiddelde temperatuur
Niet stomen</v>
      </c>
      <c r="V225" s="62" t="s">
        <v>761</v>
      </c>
      <c r="W225" s="101"/>
    </row>
    <row r="226" spans="1:23" ht="15.75" customHeight="1">
      <c r="A226" s="57" t="s">
        <v>911</v>
      </c>
      <c r="B226" s="93">
        <v>26</v>
      </c>
      <c r="C226" s="136"/>
      <c r="D226" s="136"/>
      <c r="E226" s="96"/>
      <c r="F226" s="43" t="s">
        <v>757</v>
      </c>
      <c r="G226" s="97" t="s">
        <v>899</v>
      </c>
      <c r="H226" s="44" t="s">
        <v>344</v>
      </c>
      <c r="I226" s="45"/>
      <c r="J226" s="141" t="s">
        <v>912</v>
      </c>
      <c r="K226" s="47"/>
      <c r="L226" s="47" t="s">
        <v>346</v>
      </c>
      <c r="M226" s="48" t="str">
        <f ca="1">IFERROR(__xludf.DUMMYFUNCTION("googletranslate(L226, ""fr"", ""nl"")"),"
- Rechte snede
- Met rits opening met contrasterende afwerking
- Halsband
- geribbelde rand en modieus in de kraag
- randen en rib boord stretch
- Lange mouwen
- Double pouch kangoeroe weg
- Logo J &amp; JOY op het hart")</f>
        <v xml:space="preserve">
- Rechte snede
- Met rits opening met contrasterende afwerking
- Halsband
- geribbelde rand en modieus in de kraag
- randen en rib boord stretch
- Lange mouwen
- Double pouch kangoeroe weg
- Logo J &amp; JOY op het hart</v>
      </c>
      <c r="N226" s="76" t="s">
        <v>347</v>
      </c>
      <c r="O226" s="49" t="str">
        <f ca="1">IFERROR(__xludf.DUMMYFUNCTION("googletranslate(N226, ""fr"", ""nl"")"),"Klassiek maar met mooie details Attent, warm en toch licht, het is de definitieve trui!
De bonus: het gaat met alles!")</f>
        <v>Klassiek maar met mooie details Attent, warm en toch licht, het is de definitieve trui!
De bonus: het gaat met alles!</v>
      </c>
      <c r="P226" s="100" t="s">
        <v>30</v>
      </c>
      <c r="Q226" s="49" t="str">
        <f ca="1">IFERROR(__xludf.DUMMYFUNCTION("GOOGLETRANSLATE(P226, ""fr"", ""nl"")"),"blauw")</f>
        <v>blauw</v>
      </c>
      <c r="R226" s="51" t="s">
        <v>31</v>
      </c>
      <c r="S226" s="52" t="str">
        <f ca="1">IFERROR(__xludf.DUMMYFUNCTION("GOOGLETRANSLATE(R226, ""fr"", ""nl"")"),"100% katoen")</f>
        <v>100% katoen</v>
      </c>
      <c r="T226" s="53" t="s">
        <v>32</v>
      </c>
      <c r="U226" s="54" t="str">
        <f ca="1">IFERROR(__xludf.DUMMYFUNCTION("GOOGLETRANSLATE(T226, ""fr"", ""nl"")"),"Op 30 ° C max
Gebruik geen bleekmiddel
Gebruik geen van de droger
Strijken op gemiddelde temperatuur
Niet stomen")</f>
        <v>Op 30 ° C max
Gebruik geen bleekmiddel
Gebruik geen van de droger
Strijken op gemiddelde temperatuur
Niet stomen</v>
      </c>
      <c r="V226" s="62" t="s">
        <v>761</v>
      </c>
      <c r="W226" s="101"/>
    </row>
    <row r="227" spans="1:23" ht="15.75" customHeight="1">
      <c r="A227" s="57" t="s">
        <v>913</v>
      </c>
      <c r="B227" s="93">
        <v>28</v>
      </c>
      <c r="C227" s="136"/>
      <c r="D227" s="136"/>
      <c r="E227" s="96"/>
      <c r="F227" s="43" t="s">
        <v>757</v>
      </c>
      <c r="G227" s="97" t="s">
        <v>899</v>
      </c>
      <c r="H227" s="44" t="s">
        <v>79</v>
      </c>
      <c r="I227" s="45"/>
      <c r="J227" s="141" t="s">
        <v>914</v>
      </c>
      <c r="K227" s="47"/>
      <c r="L227" s="47" t="s">
        <v>355</v>
      </c>
      <c r="M227" s="48" t="str">
        <f ca="1">IFERROR(__xludf.DUMMYFUNCTION("googletranslate(L227, ""fr"", ""nl"")"),"
- Rechte snede
- Met rits opening met contrasterende afwerking
- Halsband
- geribbelde rand en modieus in de kraag
- randen en rib boord stretch
- Lange mouwen
- Double pouch kangoeroe weg
- Logo J &amp; JOY op het hart
- J &amp; JOY Patch op schouder")</f>
        <v xml:space="preserve">
- Rechte snede
- Met rits opening met contrasterende afwerking
- Halsband
- geribbelde rand en modieus in de kraag
- randen en rib boord stretch
- Lange mouwen
- Double pouch kangoeroe weg
- Logo J &amp; JOY op het hart
- J &amp; JOY Patch op schouder</v>
      </c>
      <c r="N227" s="76" t="s">
        <v>915</v>
      </c>
      <c r="O227" s="49" t="str">
        <f ca="1">IFERROR(__xludf.DUMMYFUNCTION("googletranslate(N227, ""fr"", ""nl"")"),"Een mooie blauwe, een klassieke snit en eenvoudig model te dragen in alle omstandigheden, allemaal ingericht met vele kleurrijke details herinnerend aan het strand in Byron Bay ... Een essentieel stuk toe te voegen aan zijn kleedkamer!")</f>
        <v>Een mooie blauwe, een klassieke snit en eenvoudig model te dragen in alle omstandigheden, allemaal ingericht met vele kleurrijke details herinnerend aan het strand in Byron Bay ... Een essentieel stuk toe te voegen aan zijn kleedkamer!</v>
      </c>
      <c r="P227" s="100" t="s">
        <v>30</v>
      </c>
      <c r="Q227" s="49" t="str">
        <f ca="1">IFERROR(__xludf.DUMMYFUNCTION("GOOGLETRANSLATE(P227, ""fr"", ""nl"")"),"blauw")</f>
        <v>blauw</v>
      </c>
      <c r="R227" s="59" t="s">
        <v>337</v>
      </c>
      <c r="S227" s="52" t="str">
        <f ca="1">IFERROR(__xludf.DUMMYFUNCTION("GOOGLETRANSLATE(R227, ""fr"", ""nl"")"),"75% katoen en 25% polyester")</f>
        <v>75% katoen en 25% polyester</v>
      </c>
      <c r="T227" s="53" t="s">
        <v>32</v>
      </c>
      <c r="U227" s="54" t="str">
        <f ca="1">IFERROR(__xludf.DUMMYFUNCTION("GOOGLETRANSLATE(T227, ""fr"", ""nl"")"),"Op 30 ° C max
Gebruik geen bleekmiddel
Gebruik geen van de droger
Strijken op gemiddelde temperatuur
Niet stomen")</f>
        <v>Op 30 ° C max
Gebruik geen bleekmiddel
Gebruik geen van de droger
Strijken op gemiddelde temperatuur
Niet stomen</v>
      </c>
      <c r="V227" s="62" t="s">
        <v>782</v>
      </c>
      <c r="W227" s="101"/>
    </row>
    <row r="228" spans="1:23" ht="15.75" customHeight="1">
      <c r="A228" s="57" t="s">
        <v>916</v>
      </c>
      <c r="B228" s="93">
        <v>28</v>
      </c>
      <c r="C228" s="136"/>
      <c r="D228" s="136"/>
      <c r="E228" s="96"/>
      <c r="F228" s="43" t="s">
        <v>757</v>
      </c>
      <c r="G228" s="97" t="s">
        <v>899</v>
      </c>
      <c r="H228" s="44" t="s">
        <v>917</v>
      </c>
      <c r="I228" s="45"/>
      <c r="J228" s="116" t="s">
        <v>918</v>
      </c>
      <c r="K228" s="47"/>
      <c r="L228" s="47" t="s">
        <v>360</v>
      </c>
      <c r="M228" s="48" t="str">
        <f ca="1">IFERROR(__xludf.DUMMYFUNCTION("googletranslate(L228, ""fr"", ""nl"")"),"
- Rechte snede
- Met rits opening met contrasterende afwerking
- Kap met koord klemming contrast / éénkleurige
- geribbelde rand en modieus in de kraag
- randen en rib boord stretch
- Lange mouwen
- Double pouch kangoeroe weg
- Logo J &amp; JOY op he"&amp;"t hart
- Patch J &amp; JOY gegomd schouder")</f>
        <v xml:space="preserve">
- Rechte snede
- Met rits opening met contrasterende afwerking
- Kap met koord klemming contrast / éénkleurige
- geribbelde rand en modieus in de kraag
- randen en rib boord stretch
- Lange mouwen
- Double pouch kangoeroe weg
- Logo J &amp; JOY op het hart
- Patch J &amp; JOY gegomd schouder</v>
      </c>
      <c r="N228" s="76" t="s">
        <v>919</v>
      </c>
      <c r="O228" s="49" t="str">
        <f ca="1">IFERROR(__xludf.DUMMYFUNCTION("googletranslate(N228, ""fr"", ""nl"")"),"Surfplanken en palmbomen sieren dit hoodie zo comfortabel als mooi.
De +: met deze redenen, dit stuk brengt een weinig vreugde aan alle looks!")</f>
        <v>Surfplanken en palmbomen sieren dit hoodie zo comfortabel als mooi.
De +: met deze redenen, dit stuk brengt een weinig vreugde aan alle looks!</v>
      </c>
      <c r="P228" s="100" t="s">
        <v>234</v>
      </c>
      <c r="Q228" s="49" t="str">
        <f ca="1">IFERROR(__xludf.DUMMYFUNCTION("GOOGLETRANSLATE(P228, ""fr"", ""nl"")"),"Grijs")</f>
        <v>Grijs</v>
      </c>
      <c r="R228" s="59" t="s">
        <v>337</v>
      </c>
      <c r="S228" s="52" t="str">
        <f ca="1">IFERROR(__xludf.DUMMYFUNCTION("GOOGLETRANSLATE(R228, ""fr"", ""nl"")"),"75% katoen en 25% polyester")</f>
        <v>75% katoen en 25% polyester</v>
      </c>
      <c r="T228" s="53" t="s">
        <v>32</v>
      </c>
      <c r="U228" s="54" t="str">
        <f ca="1">IFERROR(__xludf.DUMMYFUNCTION("GOOGLETRANSLATE(T228, ""fr"", ""nl"")"),"Op 30 ° C max
Gebruik geen bleekmiddel
Gebruik geen van de droger
Strijken op gemiddelde temperatuur
Niet stomen")</f>
        <v>Op 30 ° C max
Gebruik geen bleekmiddel
Gebruik geen van de droger
Strijken op gemiddelde temperatuur
Niet stomen</v>
      </c>
      <c r="V228" s="62" t="s">
        <v>782</v>
      </c>
      <c r="W228" s="101"/>
    </row>
    <row r="229" spans="1:23" ht="15.75" customHeight="1">
      <c r="A229" s="57" t="s">
        <v>920</v>
      </c>
      <c r="B229" s="93">
        <v>26</v>
      </c>
      <c r="C229" s="136"/>
      <c r="D229" s="136"/>
      <c r="E229" s="96"/>
      <c r="F229" s="43" t="s">
        <v>757</v>
      </c>
      <c r="G229" s="97" t="s">
        <v>899</v>
      </c>
      <c r="H229" s="44" t="s">
        <v>363</v>
      </c>
      <c r="I229" s="45"/>
      <c r="J229" s="141" t="s">
        <v>921</v>
      </c>
      <c r="K229" s="47"/>
      <c r="L229" s="47" t="s">
        <v>365</v>
      </c>
      <c r="M229" s="48" t="str">
        <f ca="1">IFERROR(__xludf.DUMMYFUNCTION("googletranslate(L229, ""fr"", ""nl"")"),"
- Rechte snede
- Capuchon met contrast koord
- geribbelde rand en modieus in de kraag
- randen en rib boord stretch
- Lange mouwen
- Kangaroo pocket
- gekleurde strepen op de mouwen
- Logo J &amp; JOY op het hart
- J &amp; JOY Patch op schouder")</f>
        <v xml:space="preserve">
- Rechte snede
- Capuchon met contrast koord
- geribbelde rand en modieus in de kraag
- randen en rib boord stretch
- Lange mouwen
- Kangaroo pocket
- gekleurde strepen op de mouwen
- Logo J &amp; JOY op het hart
- J &amp; JOY Patch op schouder</v>
      </c>
      <c r="N229" s="76" t="s">
        <v>922</v>
      </c>
      <c r="O229" s="49" t="str">
        <f ca="1">IFERROR(__xludf.DUMMYFUNCTION("googletranslate(N229, ""fr"", ""nl"")"),"Kleur, lijnen, comfortabel en aangenaam materiaal cut: met dit sweatshirt, het heeft alle ingrediënten te zijn zo cool als de Australische surfers van Byron Bay!")</f>
        <v>Kleur, lijnen, comfortabel en aangenaam materiaal cut: met dit sweatshirt, het heeft alle ingrediënten te zijn zo cool als de Australische surfers van Byron Bay!</v>
      </c>
      <c r="P229" s="100" t="s">
        <v>100</v>
      </c>
      <c r="Q229" s="49" t="str">
        <f ca="1">IFERROR(__xludf.DUMMYFUNCTION("GOOGLETRANSLATE(P229, ""fr"", ""nl"")"),"Wit")</f>
        <v>Wit</v>
      </c>
      <c r="R229" s="59" t="s">
        <v>337</v>
      </c>
      <c r="S229" s="52" t="str">
        <f ca="1">IFERROR(__xludf.DUMMYFUNCTION("GOOGLETRANSLATE(R229, ""fr"", ""nl"")"),"75% katoen en 25% polyester")</f>
        <v>75% katoen en 25% polyester</v>
      </c>
      <c r="T229" s="53" t="s">
        <v>32</v>
      </c>
      <c r="U229" s="54" t="str">
        <f ca="1">IFERROR(__xludf.DUMMYFUNCTION("GOOGLETRANSLATE(T229, ""fr"", ""nl"")"),"Op 30 ° C max
Gebruik geen bleekmiddel
Gebruik geen van de droger
Strijken op gemiddelde temperatuur
Niet stomen")</f>
        <v>Op 30 ° C max
Gebruik geen bleekmiddel
Gebruik geen van de droger
Strijken op gemiddelde temperatuur
Niet stomen</v>
      </c>
      <c r="V229" s="62" t="s">
        <v>782</v>
      </c>
      <c r="W229" s="101"/>
    </row>
    <row r="230" spans="1:23" ht="15.75" customHeight="1">
      <c r="A230" s="57" t="s">
        <v>923</v>
      </c>
      <c r="B230" s="93">
        <v>26</v>
      </c>
      <c r="C230" s="136"/>
      <c r="D230" s="136"/>
      <c r="E230" s="96"/>
      <c r="F230" s="43" t="s">
        <v>757</v>
      </c>
      <c r="G230" s="97" t="s">
        <v>899</v>
      </c>
      <c r="H230" s="44" t="s">
        <v>368</v>
      </c>
      <c r="I230" s="45"/>
      <c r="J230" s="141" t="s">
        <v>924</v>
      </c>
      <c r="K230" s="47"/>
      <c r="L230" s="47" t="s">
        <v>370</v>
      </c>
      <c r="M230" s="48" t="str">
        <f ca="1">IFERROR(__xludf.DUMMYFUNCTION("googletranslate(L230, ""fr"", ""nl"")")," 
- Rechte snede
- Ronde kraag
- geribbelde rand en modieus in de kraag
- randen en rib boord stretch
- Lange mouwen
- Gedrukte patroon
- Logo J &amp; JOY op het hart")</f>
        <v xml:space="preserve"> 
- Rechte snede
- Ronde kraag
- geribbelde rand en modieus in de kraag
- randen en rib boord stretch
- Lange mouwen
- Gedrukte patroon
- Logo J &amp; JOY op het hart</v>
      </c>
      <c r="N230" s="76" t="s">
        <v>925</v>
      </c>
      <c r="O230" s="49" t="str">
        <f ca="1">IFERROR(__xludf.DUMMYFUNCTION("googletranslate(N230, ""fr"", ""nl"")"),"Een jungle print, een ronde hals en een super mooi materiaal: het geeft een 10/10 om dit sweatshirt!")</f>
        <v>Een jungle print, een ronde hals en een super mooi materiaal: het geeft een 10/10 om dit sweatshirt!</v>
      </c>
      <c r="P230" s="100" t="s">
        <v>100</v>
      </c>
      <c r="Q230" s="49" t="str">
        <f ca="1">IFERROR(__xludf.DUMMYFUNCTION("GOOGLETRANSLATE(P230, ""fr"", ""nl"")"),"Wit")</f>
        <v>Wit</v>
      </c>
      <c r="R230" s="59" t="s">
        <v>372</v>
      </c>
      <c r="S230" s="52" t="str">
        <f ca="1">IFERROR(__xludf.DUMMYFUNCTION("GOOGLETRANSLATE(R230, ""fr"", ""nl"")"),"50% katoen 50% polyester")</f>
        <v>50% katoen 50% polyester</v>
      </c>
      <c r="T230" s="53" t="s">
        <v>32</v>
      </c>
      <c r="U230" s="54" t="str">
        <f ca="1">IFERROR(__xludf.DUMMYFUNCTION("GOOGLETRANSLATE(T230, ""fr"", ""nl"")"),"Op 30 ° C max
Gebruik geen bleekmiddel
Gebruik geen van de droger
Strijken op gemiddelde temperatuur
Niet stomen")</f>
        <v>Op 30 ° C max
Gebruik geen bleekmiddel
Gebruik geen van de droger
Strijken op gemiddelde temperatuur
Niet stomen</v>
      </c>
      <c r="V230" s="62" t="s">
        <v>799</v>
      </c>
      <c r="W230" s="101"/>
    </row>
    <row r="231" spans="1:23" ht="15.75" customHeight="1">
      <c r="A231" s="57" t="s">
        <v>926</v>
      </c>
      <c r="B231" s="93">
        <v>26</v>
      </c>
      <c r="C231" s="136"/>
      <c r="D231" s="136"/>
      <c r="E231" s="96"/>
      <c r="F231" s="43" t="s">
        <v>757</v>
      </c>
      <c r="G231" s="97" t="s">
        <v>899</v>
      </c>
      <c r="H231" s="44" t="s">
        <v>374</v>
      </c>
      <c r="I231" s="45"/>
      <c r="J231" s="141" t="s">
        <v>927</v>
      </c>
      <c r="K231" s="47"/>
      <c r="L231" s="47" t="s">
        <v>376</v>
      </c>
      <c r="M231" s="48" t="str">
        <f ca="1">IFERROR(__xludf.DUMMYFUNCTION("googletranslate(L231, ""fr"", ""nl"")"),"
- Rechte snede
- Capuchon met contrast koord
- geribbelde rand en modieus in de kraag
- randen en rib boord stretch
- Lange mouwen
- Kangaroo pocket
- Logo J &amp; JOY op het hart")</f>
        <v xml:space="preserve">
- Rechte snede
- Capuchon met contrast koord
- geribbelde rand en modieus in de kraag
- randen en rib boord stretch
- Lange mouwen
- Kangaroo pocket
- Logo J &amp; JOY op het hart</v>
      </c>
      <c r="N231" s="76" t="s">
        <v>928</v>
      </c>
      <c r="O231" s="49" t="str">
        <f ca="1">IFERROR(__xludf.DUMMYFUNCTION("googletranslate(N231, ""fr"", ""nl"")"),"Dit lime geel is de dosis vitaminen raden wij u aan om een ​​goede dag te beginnen!")</f>
        <v>Dit lime geel is de dosis vitaminen raden wij u aan om een ​​goede dag te beginnen!</v>
      </c>
      <c r="P231" s="100" t="s">
        <v>105</v>
      </c>
      <c r="Q231" s="49" t="str">
        <f ca="1">IFERROR(__xludf.DUMMYFUNCTION("GOOGLETRANSLATE(P231, ""fr"", ""nl"")"),"geel")</f>
        <v>geel</v>
      </c>
      <c r="R231" s="59" t="s">
        <v>337</v>
      </c>
      <c r="S231" s="52" t="str">
        <f ca="1">IFERROR(__xludf.DUMMYFUNCTION("GOOGLETRANSLATE(R231, ""fr"", ""nl"")"),"75% katoen en 25% polyester")</f>
        <v>75% katoen en 25% polyester</v>
      </c>
      <c r="T231" s="53" t="s">
        <v>32</v>
      </c>
      <c r="U231" s="54" t="str">
        <f ca="1">IFERROR(__xludf.DUMMYFUNCTION("GOOGLETRANSLATE(T231, ""fr"", ""nl"")"),"Op 30 ° C max
Gebruik geen bleekmiddel
Gebruik geen van de droger
Strijken op gemiddelde temperatuur
Niet stomen")</f>
        <v>Op 30 ° C max
Gebruik geen bleekmiddel
Gebruik geen van de droger
Strijken op gemiddelde temperatuur
Niet stomen</v>
      </c>
      <c r="V231" s="62" t="s">
        <v>799</v>
      </c>
      <c r="W231" s="101"/>
    </row>
    <row r="232" spans="1:23" ht="15.75" customHeight="1">
      <c r="A232" s="57" t="s">
        <v>929</v>
      </c>
      <c r="B232" s="93">
        <v>24</v>
      </c>
      <c r="C232" s="136"/>
      <c r="D232" s="136"/>
      <c r="E232" s="96"/>
      <c r="F232" s="43" t="s">
        <v>757</v>
      </c>
      <c r="G232" s="97" t="s">
        <v>899</v>
      </c>
      <c r="H232" s="44" t="s">
        <v>379</v>
      </c>
      <c r="I232" s="45"/>
      <c r="J232" s="141" t="s">
        <v>930</v>
      </c>
      <c r="K232" s="138"/>
      <c r="L232" s="138" t="s">
        <v>381</v>
      </c>
      <c r="M232" s="48" t="str">
        <f ca="1">IFERROR(__xludf.DUMMYFUNCTION("googletranslate(L232, ""fr"", ""nl"")")," 
- Rechte snede
- Ronde kraag
- geribbelde rand en modieus in de kraag
- randen en rib boord stretch
- Lange mouwen
- Geleid Pattern
- Logo J &amp; JOY op het hart")</f>
        <v xml:space="preserve"> 
- Rechte snede
- Ronde kraag
- geribbelde rand en modieus in de kraag
- randen en rib boord stretch
- Lange mouwen
- Geleid Pattern
- Logo J &amp; JOY op het hart</v>
      </c>
      <c r="N232" s="76" t="s">
        <v>931</v>
      </c>
      <c r="O232" s="49" t="str">
        <f ca="1">IFERROR(__xludf.DUMMYFUNCTION("googletranslate(N232, ""fr"", ""nl"")"),"Eenvoudig, effectief en super leuke: dit sweatshirt trend ""sailor"" wordt geaccentueerd met lime groene details. Ideaal om te dragen met jeans en witte sneakers!
Onze favoriet: de zoon en de vader assortiment! Deze trui is beschikbaar voor zowel grote a"&amp;"ls kleine.")</f>
        <v>Eenvoudig, effectief en super leuke: dit sweatshirt trend "sailor" wordt geaccentueerd met lime groene details. Ideaal om te dragen met jeans en witte sneakers!
Onze favoriet: de zoon en de vader assortiment! Deze trui is beschikbaar voor zowel grote als kleine.</v>
      </c>
      <c r="P232" s="100" t="s">
        <v>155</v>
      </c>
      <c r="Q232" s="49" t="str">
        <f ca="1">IFERROR(__xludf.DUMMYFUNCTION("GOOGLETRANSLATE(P232, ""fr"", ""nl"")"),"veelkleurig")</f>
        <v>veelkleurig</v>
      </c>
      <c r="R232" s="59" t="s">
        <v>337</v>
      </c>
      <c r="S232" s="52" t="str">
        <f ca="1">IFERROR(__xludf.DUMMYFUNCTION("GOOGLETRANSLATE(R232, ""fr"", ""nl"")"),"75% katoen en 25% polyester")</f>
        <v>75% katoen en 25% polyester</v>
      </c>
      <c r="T232" s="53" t="s">
        <v>32</v>
      </c>
      <c r="U232" s="54" t="str">
        <f ca="1">IFERROR(__xludf.DUMMYFUNCTION("GOOGLETRANSLATE(T232, ""fr"", ""nl"")"),"Op 30 ° C max
Gebruik geen bleekmiddel
Gebruik geen van de droger
Strijken op gemiddelde temperatuur
Niet stomen")</f>
        <v>Op 30 ° C max
Gebruik geen bleekmiddel
Gebruik geen van de droger
Strijken op gemiddelde temperatuur
Niet stomen</v>
      </c>
      <c r="V232" s="62" t="s">
        <v>799</v>
      </c>
      <c r="W232" s="101"/>
    </row>
    <row r="233" spans="1:23" ht="15.75" customHeight="1">
      <c r="A233" s="57" t="s">
        <v>932</v>
      </c>
      <c r="B233" s="93">
        <v>26</v>
      </c>
      <c r="C233" s="136"/>
      <c r="D233" s="136"/>
      <c r="E233" s="96"/>
      <c r="F233" s="43" t="s">
        <v>757</v>
      </c>
      <c r="G233" s="97" t="s">
        <v>899</v>
      </c>
      <c r="H233" s="44" t="s">
        <v>384</v>
      </c>
      <c r="I233" s="45"/>
      <c r="J233" s="141" t="s">
        <v>933</v>
      </c>
      <c r="K233" s="139"/>
      <c r="L233" s="139" t="s">
        <v>346</v>
      </c>
      <c r="M233" s="48" t="str">
        <f ca="1">IFERROR(__xludf.DUMMYFUNCTION("googletranslate(L233, ""fr"", ""nl"")"),"
- Rechte snede
- Met rits opening met contrasterende afwerking
- Halsband
- geribbelde rand en modieus in de kraag
- randen en rib boord stretch
- Lange mouwen
- Double pouch kangoeroe weg
- Logo J &amp; JOY op het hart")</f>
        <v xml:space="preserve">
- Rechte snede
- Met rits opening met contrasterende afwerking
- Halsband
- geribbelde rand en modieus in de kraag
- randen en rib boord stretch
- Lange mouwen
- Double pouch kangoeroe weg
- Logo J &amp; JOY op het hart</v>
      </c>
      <c r="N233" s="76" t="s">
        <v>386</v>
      </c>
      <c r="O233" s="49" t="str">
        <f ca="1">IFERROR(__xludf.DUMMYFUNCTION("googletranslate(N233, ""fr"", ""nl"")"),"Navy blauw, wit en groen: een combinatie die goed werkt!
Een koudegolf? Deze trui, met zijn eenvoudig en aantrekkelijk design, is de beste keuze van kleding mee te nemen! En trouwens, het past bij alle stijlen!")</f>
        <v>Navy blauw, wit en groen: een combinatie die goed werkt!
Een koudegolf? Deze trui, met zijn eenvoudig en aantrekkelijk design, is de beste keuze van kleding mee te nemen! En trouwens, het past bij alle stijlen!</v>
      </c>
      <c r="P233" s="100" t="s">
        <v>30</v>
      </c>
      <c r="Q233" s="49" t="str">
        <f ca="1">IFERROR(__xludf.DUMMYFUNCTION("GOOGLETRANSLATE(P233, ""fr"", ""nl"")"),"blauw")</f>
        <v>blauw</v>
      </c>
      <c r="R233" s="51" t="s">
        <v>337</v>
      </c>
      <c r="S233" s="52" t="str">
        <f ca="1">IFERROR(__xludf.DUMMYFUNCTION("GOOGLETRANSLATE(R233, ""fr"", ""nl"")"),"75% katoen en 25% polyester")</f>
        <v>75% katoen en 25% polyester</v>
      </c>
      <c r="T233" s="53" t="s">
        <v>32</v>
      </c>
      <c r="U233" s="54" t="str">
        <f ca="1">IFERROR(__xludf.DUMMYFUNCTION("GOOGLETRANSLATE(T233, ""fr"", ""nl"")"),"Op 30 ° C max
Gebruik geen bleekmiddel
Gebruik geen van de droger
Strijken op gemiddelde temperatuur
Niet stomen")</f>
        <v>Op 30 ° C max
Gebruik geen bleekmiddel
Gebruik geen van de droger
Strijken op gemiddelde temperatuur
Niet stomen</v>
      </c>
      <c r="V233" s="62" t="s">
        <v>799</v>
      </c>
      <c r="W233" s="101"/>
    </row>
    <row r="234" spans="1:23" ht="15.75" customHeight="1">
      <c r="A234" s="57" t="s">
        <v>934</v>
      </c>
      <c r="B234" s="93">
        <v>26</v>
      </c>
      <c r="C234" s="136"/>
      <c r="D234" s="136"/>
      <c r="E234" s="96"/>
      <c r="F234" s="43" t="s">
        <v>757</v>
      </c>
      <c r="G234" s="97" t="s">
        <v>899</v>
      </c>
      <c r="H234" s="44" t="s">
        <v>141</v>
      </c>
      <c r="I234" s="45"/>
      <c r="J234" s="141" t="s">
        <v>935</v>
      </c>
      <c r="K234" s="139"/>
      <c r="L234" s="139" t="s">
        <v>389</v>
      </c>
      <c r="M234" s="48" t="str">
        <f ca="1">IFERROR(__xludf.DUMMYFUNCTION("googletranslate(L234, ""fr"", ""nl"")"),"
- Rechte snede
- Capuchon met contrast koord
- geribbelde rand en modieus in de kraag
- randen en rib boord stretch
- Lange mouwen
- Zijzakken
- Logo J &amp; JOY op het hart
")</f>
        <v xml:space="preserve">
- Rechte snede
- Capuchon met contrast koord
- geribbelde rand en modieus in de kraag
- randen en rib boord stretch
- Lange mouwen
- Zijzakken
- Logo J &amp; JOY op het hart
</v>
      </c>
      <c r="N234" s="76" t="s">
        <v>390</v>
      </c>
      <c r="O234" s="49" t="str">
        <f ca="1">IFERROR(__xludf.DUMMYFUNCTION("googletranslate(N234, ""fr"", ""nl"")"),"Met zijn levendige oranje en drie gekleurde lijnen die leiden tot alle nog meer moderniteit, vonden we het sweatshirt voor ons!
Mooi, warm en comfortabel om te dragen.")</f>
        <v>Met zijn levendige oranje en drie gekleurde lijnen die leiden tot alle nog meer moderniteit, vonden we het sweatshirt voor ons!
Mooi, warm en comfortabel om te dragen.</v>
      </c>
      <c r="P234" s="100" t="s">
        <v>936</v>
      </c>
      <c r="Q234" s="49" t="str">
        <f ca="1">IFERROR(__xludf.DUMMYFUNCTION("GOOGLETRANSLATE(P234, ""fr"", ""nl"")"),"Oranje")</f>
        <v>Oranje</v>
      </c>
      <c r="R234" s="59" t="s">
        <v>337</v>
      </c>
      <c r="S234" s="52" t="str">
        <f ca="1">IFERROR(__xludf.DUMMYFUNCTION("GOOGLETRANSLATE(R234, ""fr"", ""nl"")"),"75% katoen en 25% polyester")</f>
        <v>75% katoen en 25% polyester</v>
      </c>
      <c r="T234" s="53" t="s">
        <v>32</v>
      </c>
      <c r="U234" s="54" t="str">
        <f ca="1">IFERROR(__xludf.DUMMYFUNCTION("GOOGLETRANSLATE(T234, ""fr"", ""nl"")"),"Op 30 ° C max
Gebruik geen bleekmiddel
Gebruik geen van de droger
Strijken op gemiddelde temperatuur
Niet stomen")</f>
        <v>Op 30 ° C max
Gebruik geen bleekmiddel
Gebruik geen van de droger
Strijken op gemiddelde temperatuur
Niet stomen</v>
      </c>
      <c r="V234" s="62" t="s">
        <v>815</v>
      </c>
      <c r="W234" s="101"/>
    </row>
    <row r="235" spans="1:23" ht="15.75" customHeight="1">
      <c r="A235" s="95" t="s">
        <v>937</v>
      </c>
      <c r="B235" s="93">
        <v>22</v>
      </c>
      <c r="C235" s="136"/>
      <c r="D235" s="136"/>
      <c r="E235" s="96"/>
      <c r="F235" s="43" t="s">
        <v>757</v>
      </c>
      <c r="G235" s="97" t="s">
        <v>899</v>
      </c>
      <c r="H235" s="44" t="s">
        <v>173</v>
      </c>
      <c r="I235" s="45"/>
      <c r="J235" s="141" t="s">
        <v>938</v>
      </c>
      <c r="K235" s="99"/>
      <c r="L235" s="124" t="s">
        <v>398</v>
      </c>
      <c r="M235" s="48" t="str">
        <f ca="1">IFERROR(__xludf.DUMMYFUNCTION("googletranslate(L235,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235" s="76" t="s">
        <v>399</v>
      </c>
      <c r="O235" s="49" t="str">
        <f ca="1">IFERROR(__xludf.DUMMYFUNCTION("googletranslate(N235, ""fr"", ""nl"")"),"Deze gele trui is deel van onze collectie Bright Basics, gekenmerkt door een sterke kamers, licht en unisex.
Geen redenen of kunstgrepen, zullen deze hoodies niets anders dan hun heldere en felle kleuren nodig. Beschikbaar voor volwassenen en kinderen in"&amp;" een palet van neonschaduwen, deze grondbeginselen zijn de basis voor een succesvolle look en waarbij je je goed voelt.
Wat meer is: de hele familie is gekoppeld aan deze stukken unisex voor kinderen en volwassenen!")</f>
        <v>Deze gele trui is 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235" s="100" t="s">
        <v>939</v>
      </c>
      <c r="Q235" s="49" t="str">
        <f ca="1">IFERROR(__xludf.DUMMYFUNCTION("GOOGLETRANSLATE(P235, ""fr"", ""nl"")"),"Geel")</f>
        <v>Geel</v>
      </c>
      <c r="R235" s="59" t="s">
        <v>372</v>
      </c>
      <c r="S235" s="52" t="str">
        <f ca="1">IFERROR(__xludf.DUMMYFUNCTION("GOOGLETRANSLATE(R235, ""fr"", ""nl"")"),"50% katoen 50% polyester")</f>
        <v>50% katoen 50% polyester</v>
      </c>
      <c r="T235" s="53" t="s">
        <v>32</v>
      </c>
      <c r="U235" s="54" t="str">
        <f ca="1">IFERROR(__xludf.DUMMYFUNCTION("GOOGLETRANSLATE(T235, ""fr"", ""nl"")"),"Op 30 ° C max
Gebruik geen bleekmiddel
Gebruik geen van de droger
Strijken op gemiddelde temperatuur
Niet stomen")</f>
        <v>Op 30 ° C max
Gebruik geen bleekmiddel
Gebruik geen van de droger
Strijken op gemiddelde temperatuur
Niet stomen</v>
      </c>
      <c r="V235" s="62" t="s">
        <v>830</v>
      </c>
      <c r="W235" s="101"/>
    </row>
    <row r="236" spans="1:23" ht="15.75" customHeight="1">
      <c r="A236" s="95" t="s">
        <v>940</v>
      </c>
      <c r="B236" s="93">
        <v>22</v>
      </c>
      <c r="C236" s="136"/>
      <c r="D236" s="136"/>
      <c r="E236" s="96"/>
      <c r="F236" s="43" t="s">
        <v>757</v>
      </c>
      <c r="G236" s="97" t="s">
        <v>899</v>
      </c>
      <c r="H236" s="44" t="s">
        <v>180</v>
      </c>
      <c r="I236" s="45"/>
      <c r="J236" s="141" t="s">
        <v>941</v>
      </c>
      <c r="K236" s="99"/>
      <c r="L236" s="124" t="s">
        <v>398</v>
      </c>
      <c r="M236" s="48" t="str">
        <f ca="1">IFERROR(__xludf.DUMMYFUNCTION("googletranslate(L236,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236" s="76" t="s">
        <v>402</v>
      </c>
      <c r="O236" s="49" t="str">
        <f ca="1">IFERROR(__xludf.DUMMYFUNCTION("googletranslate(N236, ""fr"", ""nl"")"),"Dit turquoise trui is deel van onze collectie Bright Basics, gekenmerkt door een sterke kamers, licht en unisex.
Geen redenen of kunstgrepen, zullen deze hoodies niets anders dan hun heldere en felle kleuren nodig. Beschikbaar voor volwassenen en kindere"&amp;"n in een palet van neonschaduwen, deze grondbeginselen zijn de basis voor een succesvolle look en waarbij je je goed voelt.
Wat meer is: de hele familie is gekoppeld aan deze stukken unisex voor kinderen en volwassenen!")</f>
        <v>Dit turquoise trui is 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236" s="100" t="s">
        <v>942</v>
      </c>
      <c r="Q236" s="49" t="str">
        <f ca="1">IFERROR(__xludf.DUMMYFUNCTION("GOOGLETRANSLATE(P236, ""fr"", ""nl"")"),"Turkoois")</f>
        <v>Turkoois</v>
      </c>
      <c r="R236" s="63" t="s">
        <v>943</v>
      </c>
      <c r="S236" s="52" t="str">
        <f ca="1">IFERROR(__xludf.DUMMYFUNCTION("GOOGLETRANSLATE(R236, ""fr"", ""nl"")"),"75% katoen
25% polyester")</f>
        <v>75% katoen
25% polyester</v>
      </c>
      <c r="T236" s="53" t="s">
        <v>32</v>
      </c>
      <c r="U236" s="54" t="str">
        <f ca="1">IFERROR(__xludf.DUMMYFUNCTION("GOOGLETRANSLATE(T236, ""fr"", ""nl"")"),"Op 30 ° C max
Gebruik geen bleekmiddel
Gebruik geen van de droger
Strijken op gemiddelde temperatuur
Niet stomen")</f>
        <v>Op 30 ° C max
Gebruik geen bleekmiddel
Gebruik geen van de droger
Strijken op gemiddelde temperatuur
Niet stomen</v>
      </c>
      <c r="V236" s="62" t="s">
        <v>830</v>
      </c>
      <c r="W236" s="101"/>
    </row>
    <row r="237" spans="1:23" ht="15.75" customHeight="1">
      <c r="A237" s="95" t="s">
        <v>944</v>
      </c>
      <c r="B237" s="93">
        <v>22</v>
      </c>
      <c r="C237" s="136"/>
      <c r="D237" s="136"/>
      <c r="E237" s="96"/>
      <c r="F237" s="43" t="s">
        <v>757</v>
      </c>
      <c r="G237" s="97" t="s">
        <v>899</v>
      </c>
      <c r="H237" s="44" t="s">
        <v>185</v>
      </c>
      <c r="I237" s="45"/>
      <c r="J237" s="141" t="s">
        <v>945</v>
      </c>
      <c r="K237" s="99"/>
      <c r="L237" s="124" t="s">
        <v>398</v>
      </c>
      <c r="M237" s="48" t="str">
        <f ca="1">IFERROR(__xludf.DUMMYFUNCTION("googletranslate(L237,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237" s="76" t="s">
        <v>406</v>
      </c>
      <c r="O237" s="49" t="str">
        <f ca="1">IFERROR(__xludf.DUMMYFUNCTION("googletranslate(N237, ""fr"", ""nl"")"),"Deze oranje sweatshirt is deel van onze collectie Bright Basics, gekenmerkt door een sterke kamers, licht en unisex.
Geen redenen of kunstgrepen, zullen deze hoodies niets anders dan hun heldere en felle kleuren nodig. Beschikbaar voor volwassenen en kin"&amp;"deren in een palet van neonschaduwen, deze grondbeginselen zijn de basis voor een succesvolle look en waarbij je je goed voelt.
Wat meer is: de hele familie is gekoppeld aan deze stukken unisex voor kinderen en volwassenen!")</f>
        <v>Deze oranje sweatshirt is 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237" s="100" t="s">
        <v>936</v>
      </c>
      <c r="Q237" s="49" t="str">
        <f ca="1">IFERROR(__xludf.DUMMYFUNCTION("GOOGLETRANSLATE(P237, ""fr"", ""nl"")"),"Oranje")</f>
        <v>Oranje</v>
      </c>
      <c r="R237" s="51" t="s">
        <v>372</v>
      </c>
      <c r="S237" s="52" t="str">
        <f ca="1">IFERROR(__xludf.DUMMYFUNCTION("GOOGLETRANSLATE(R237, ""fr"", ""nl"")"),"50% katoen 50% polyester")</f>
        <v>50% katoen 50% polyester</v>
      </c>
      <c r="T237" s="53" t="s">
        <v>32</v>
      </c>
      <c r="U237" s="54" t="str">
        <f ca="1">IFERROR(__xludf.DUMMYFUNCTION("GOOGLETRANSLATE(T237, ""fr"", ""nl"")"),"Op 30 ° C max
Gebruik geen bleekmiddel
Gebruik geen van de droger
Strijken op gemiddelde temperatuur
Niet stomen")</f>
        <v>Op 30 ° C max
Gebruik geen bleekmiddel
Gebruik geen van de droger
Strijken op gemiddelde temperatuur
Niet stomen</v>
      </c>
      <c r="V237" s="62" t="s">
        <v>830</v>
      </c>
      <c r="W237" s="101"/>
    </row>
    <row r="238" spans="1:23" ht="15.75" customHeight="1">
      <c r="A238" s="95" t="s">
        <v>946</v>
      </c>
      <c r="B238" s="93">
        <v>22</v>
      </c>
      <c r="C238" s="136"/>
      <c r="D238" s="136"/>
      <c r="E238" s="96"/>
      <c r="F238" s="43" t="s">
        <v>757</v>
      </c>
      <c r="G238" s="97" t="s">
        <v>899</v>
      </c>
      <c r="H238" s="44" t="s">
        <v>190</v>
      </c>
      <c r="I238" s="45"/>
      <c r="J238" s="141" t="s">
        <v>947</v>
      </c>
      <c r="K238" s="99"/>
      <c r="L238" s="124" t="s">
        <v>398</v>
      </c>
      <c r="M238" s="48" t="str">
        <f ca="1">IFERROR(__xludf.DUMMYFUNCTION("googletranslate(L238,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238" s="76" t="s">
        <v>409</v>
      </c>
      <c r="O238" s="49" t="str">
        <f ca="1">IFERROR(__xludf.DUMMYFUNCTION("googletranslate(N238, ""fr"", ""nl"")"),"Dit sweatshirt koraal is onderdeel van onze collectie Bright Basics, gekenmerkt door een sterke kamers, licht en unisex.
Geen redenen of kunstgrepen, zullen deze hoodies niets anders dan hun heldere en felle kleuren nodig. Beschikbaar voor volwassenen en"&amp;" kinderen in een palet van neonschaduwen, deze grondbeginselen zijn de basis voor een succesvolle look en waarbij je je goed voelt.
Wat meer is: de hele familie is gekoppeld aan deze stukken unisex voor kinderen en volwassenen!")</f>
        <v>Dit sweatshirt koraal is onderdeel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238" s="100" t="s">
        <v>948</v>
      </c>
      <c r="Q238" s="49" t="str">
        <f ca="1">IFERROR(__xludf.DUMMYFUNCTION("GOOGLETRANSLATE(P238, ""fr"", ""nl"")"),"Koraal")</f>
        <v>Koraal</v>
      </c>
      <c r="R238" s="59" t="s">
        <v>372</v>
      </c>
      <c r="S238" s="52" t="str">
        <f ca="1">IFERROR(__xludf.DUMMYFUNCTION("GOOGLETRANSLATE(R238, ""fr"", ""nl"")"),"50% katoen 50% polyester")</f>
        <v>50% katoen 50% polyester</v>
      </c>
      <c r="T238" s="53" t="s">
        <v>32</v>
      </c>
      <c r="U238" s="54" t="str">
        <f ca="1">IFERROR(__xludf.DUMMYFUNCTION("GOOGLETRANSLATE(T238, ""fr"", ""nl"")"),"Op 30 ° C max
Gebruik geen bleekmiddel
Gebruik geen van de droger
Strijken op gemiddelde temperatuur
Niet stomen")</f>
        <v>Op 30 ° C max
Gebruik geen bleekmiddel
Gebruik geen van de droger
Strijken op gemiddelde temperatuur
Niet stomen</v>
      </c>
      <c r="V238" s="62" t="s">
        <v>830</v>
      </c>
      <c r="W238" s="101"/>
    </row>
    <row r="239" spans="1:23" ht="15.75" customHeight="1">
      <c r="A239" s="82" t="s">
        <v>949</v>
      </c>
      <c r="B239" s="93">
        <v>22</v>
      </c>
      <c r="C239" s="136"/>
      <c r="D239" s="136"/>
      <c r="E239" s="96"/>
      <c r="F239" s="43" t="s">
        <v>757</v>
      </c>
      <c r="G239" s="97" t="s">
        <v>899</v>
      </c>
      <c r="H239" s="44" t="s">
        <v>196</v>
      </c>
      <c r="I239" s="45"/>
      <c r="J239" s="141" t="s">
        <v>950</v>
      </c>
      <c r="K239" s="99"/>
      <c r="L239" s="124" t="s">
        <v>398</v>
      </c>
      <c r="M239" s="48" t="str">
        <f ca="1">IFERROR(__xludf.DUMMYFUNCTION("googletranslate(L239, ""fr"", ""nl"")"),"
- Rechte snede
- Capuchon met contrast koord
- geribbelde rand en modieus in de kraag
- randen en rib boord stretch
- Lange mouwen
- Kangaroo pocket
- J &amp; JOY geborduurd logo op het hart
- Patch J &amp; JOY gegomd schouder")</f>
        <v xml:space="preserve">
- Rechte snede
- Capuchon met contrast koord
- geribbelde rand en modieus in de kraag
- randen en rib boord stretch
- Lange mouwen
- Kangaroo pocket
- J &amp; JOY geborduurd logo op het hart
- Patch J &amp; JOY gegomd schouder</v>
      </c>
      <c r="N239" s="76" t="s">
        <v>412</v>
      </c>
      <c r="O239" s="49" t="str">
        <f ca="1">IFERROR(__xludf.DUMMYFUNCTION("googletranslate(N239, ""fr"", ""nl"")"),"Deze blauwe sweater maakt deel uit van onze collectie Bright Basics, gekenmerkt door een sterke kamers, licht en unisex.
Geen redenen of kunstgrepen, zullen deze hoodies niets anders dan hun heldere en felle kleuren nodig. Beschikbaar voor volwassenen en"&amp;" kinderen in een palet van neonschaduwen, deze grondbeginselen zijn de basis voor een succesvolle look en waarbij je je goed voelt.
Wat meer is: de hele familie is gekoppeld aan deze stukken unisex voor kinderen en volwassenen!")</f>
        <v>Deze blauwe sweater maakt deel uit van onze collectie Bright Basics, gekenmerkt door een sterke kamers, licht en unisex.
Geen redenen of kunstgrepen, zullen deze hoodies niets anders dan hun heldere en felle kleuren nodig. Beschikbaar voor volwassenen en kinderen in een palet van neonschaduwen, deze grondbeginselen zijn de basis voor een succesvolle look en waarbij je je goed voelt.
Wat meer is: de hele familie is gekoppeld aan deze stukken unisex voor kinderen en volwassenen!</v>
      </c>
      <c r="P239" s="100" t="s">
        <v>30</v>
      </c>
      <c r="Q239" s="49" t="str">
        <f ca="1">IFERROR(__xludf.DUMMYFUNCTION("GOOGLETRANSLATE(P239, ""fr"", ""nl"")"),"blauw")</f>
        <v>blauw</v>
      </c>
      <c r="R239" s="59" t="s">
        <v>337</v>
      </c>
      <c r="S239" s="52" t="str">
        <f ca="1">IFERROR(__xludf.DUMMYFUNCTION("GOOGLETRANSLATE(R239, ""fr"", ""nl"")"),"75% katoen en 25% polyester")</f>
        <v>75% katoen en 25% polyester</v>
      </c>
      <c r="T239" s="53" t="s">
        <v>32</v>
      </c>
      <c r="U239" s="54" t="str">
        <f ca="1">IFERROR(__xludf.DUMMYFUNCTION("GOOGLETRANSLATE(T239, ""fr"", ""nl"")"),"Op 30 ° C max
Gebruik geen bleekmiddel
Gebruik geen van de droger
Strijken op gemiddelde temperatuur
Niet stomen")</f>
        <v>Op 30 ° C max
Gebruik geen bleekmiddel
Gebruik geen van de droger
Strijken op gemiddelde temperatuur
Niet stomen</v>
      </c>
      <c r="V239" s="62" t="s">
        <v>830</v>
      </c>
      <c r="W239" s="101"/>
    </row>
    <row r="240" spans="1:23" ht="15.75" customHeight="1">
      <c r="A240" s="84" t="s">
        <v>413</v>
      </c>
      <c r="B240" s="85"/>
      <c r="C240" s="67"/>
      <c r="D240" s="86"/>
      <c r="E240" s="67"/>
      <c r="F240" s="87"/>
      <c r="G240" s="87"/>
      <c r="H240" s="26"/>
      <c r="I240" s="26"/>
      <c r="J240" s="88" t="s">
        <v>677</v>
      </c>
      <c r="K240" s="89"/>
      <c r="L240" s="89"/>
      <c r="M240" s="48" t="str">
        <f ca="1">IFERROR(__xludf.DUMMYFUNCTION("googletranslate(L240, ""fr"", ""nl"")"),"#VALUE!")</f>
        <v>#VALUE!</v>
      </c>
      <c r="N240" s="125"/>
      <c r="O240" s="49" t="str">
        <f ca="1">IFERROR(__xludf.DUMMYFUNCTION("googletranslate(N240, ""fr"", ""nl"")"),"#VALUE!")</f>
        <v>#VALUE!</v>
      </c>
      <c r="P240" s="91"/>
      <c r="Q240" s="49" t="str">
        <f ca="1">IFERROR(__xludf.DUMMYFUNCTION("GOOGLETRANSLATE(P240, ""fr"", ""nl"")"),"#VALUE!")</f>
        <v>#VALUE!</v>
      </c>
      <c r="R240" s="92"/>
      <c r="S240" s="52" t="str">
        <f ca="1">IFERROR(__xludf.DUMMYFUNCTION("GOOGLETRANSLATE(R240, ""fr"", ""nl"")"),"#VALUE!")</f>
        <v>#VALUE!</v>
      </c>
      <c r="T240" s="89"/>
      <c r="U240" s="54" t="str">
        <f ca="1">IFERROR(__xludf.DUMMYFUNCTION("GOOGLETRANSLATE(T240, ""fr"", ""nl"")"),"#VALUE!")</f>
        <v>#VALUE!</v>
      </c>
      <c r="V240" s="140"/>
      <c r="W240" s="38"/>
    </row>
    <row r="241" spans="1:23" ht="15.75" customHeight="1">
      <c r="A241" s="39" t="s">
        <v>951</v>
      </c>
      <c r="B241" s="93">
        <v>20</v>
      </c>
      <c r="C241" s="136"/>
      <c r="D241" s="136"/>
      <c r="E241" s="96"/>
      <c r="F241" s="97" t="s">
        <v>757</v>
      </c>
      <c r="G241" s="97" t="s">
        <v>952</v>
      </c>
      <c r="H241" s="44" t="s">
        <v>434</v>
      </c>
      <c r="I241" s="45"/>
      <c r="J241" s="141" t="s">
        <v>953</v>
      </c>
      <c r="K241" s="99"/>
      <c r="L241" s="99" t="s">
        <v>423</v>
      </c>
      <c r="M241" s="48" t="str">
        <f ca="1">IFERROR(__xludf.DUMMYFUNCTION("googletranslate(L241,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241" s="81" t="s">
        <v>954</v>
      </c>
      <c r="O241" s="49" t="str">
        <f ca="1">IFERROR(__xludf.DUMMYFUNCTION("googletranslate(N241, ""fr"", ""nl"")"),"Kangoeroes in zicht! Met dit patroon overhemd, hoef je niet onopgemerkt.")</f>
        <v>Kangoeroes in zicht! Met dit patroon overhemd, hoef je niet onopgemerkt.</v>
      </c>
      <c r="P241" s="100" t="s">
        <v>30</v>
      </c>
      <c r="Q241" s="49" t="str">
        <f ca="1">IFERROR(__xludf.DUMMYFUNCTION("GOOGLETRANSLATE(P241, ""fr"", ""nl"")"),"blauw")</f>
        <v>blauw</v>
      </c>
      <c r="R241" s="123" t="s">
        <v>31</v>
      </c>
      <c r="S241" s="52" t="str">
        <f ca="1">IFERROR(__xludf.DUMMYFUNCTION("GOOGLETRANSLATE(R241, ""fr"", ""nl"")"),"100% katoen")</f>
        <v>100% katoen</v>
      </c>
      <c r="T241" s="53" t="s">
        <v>32</v>
      </c>
      <c r="U241" s="54" t="str">
        <f ca="1">IFERROR(__xludf.DUMMYFUNCTION("GOOGLETRANSLATE(T241, ""fr"", ""nl"")"),"Op 30 ° C max
Gebruik geen bleekmiddel
Gebruik geen van de droger
Strijken op gemiddelde temperatuur
Niet stomen")</f>
        <v>Op 30 ° C max
Gebruik geen bleekmiddel
Gebruik geen van de droger
Strijken op gemiddelde temperatuur
Niet stomen</v>
      </c>
      <c r="V241" s="62" t="s">
        <v>761</v>
      </c>
      <c r="W241" s="101"/>
    </row>
    <row r="242" spans="1:23" ht="15.75" customHeight="1">
      <c r="A242" s="57" t="s">
        <v>955</v>
      </c>
      <c r="B242" s="93">
        <v>18</v>
      </c>
      <c r="C242" s="136"/>
      <c r="D242" s="136"/>
      <c r="E242" s="96"/>
      <c r="F242" s="97" t="s">
        <v>757</v>
      </c>
      <c r="G242" s="97" t="s">
        <v>952</v>
      </c>
      <c r="H242" s="44" t="s">
        <v>639</v>
      </c>
      <c r="I242" s="45"/>
      <c r="J242" s="141" t="s">
        <v>956</v>
      </c>
      <c r="K242" s="99"/>
      <c r="L242" s="99" t="s">
        <v>440</v>
      </c>
      <c r="M242" s="48" t="str">
        <f ca="1">IFERROR(__xludf.DUMMYFUNCTION("googletranslate(L242, ""fr"", ""nl"")"),"
- Rechte snede
- Classic kraag
- hals dichtgeknoopt Tips
- classic knoopsluiting
- Lange mouwen
- manchetten met afgeronde hoeken
- Bedrukte patroon binnen kraag en manchetten
- J &amp; JOY geborduurd logo op de borst
")</f>
        <v xml:space="preserve">
- Rechte snede
- Classic kraag
- hals dichtgeknoopt Tips
- classic knoopsluiting
- Lange mouwen
- manchetten met afgeronde hoeken
- Bedrukte patroon binnen kraag en manchetten
- J &amp; JOY geborduurd logo op de borst
</v>
      </c>
      <c r="N242" s="81" t="s">
        <v>957</v>
      </c>
      <c r="O242" s="49" t="str">
        <f ca="1">IFERROR(__xludf.DUMMYFUNCTION("googletranslate(N242, ""fr"", ""nl"")"),"Deze gedrukte overhemd jungle en acid kleuren is de perfecte stuk voor een kijkje Aussie zomer!
Slijtage met jeans, chino's of shorts voor een kleurrijke outfit chic en casual.")</f>
        <v>Deze gedrukte overhemd jungle en acid kleuren is de perfecte stuk voor een kijkje Aussie zomer!
Slijtage met jeans, chino's of shorts voor een kleurrijke outfit chic en casual.</v>
      </c>
      <c r="P242" s="100" t="s">
        <v>30</v>
      </c>
      <c r="Q242" s="49" t="str">
        <f ca="1">IFERROR(__xludf.DUMMYFUNCTION("GOOGLETRANSLATE(P242, ""fr"", ""nl"")"),"blauw")</f>
        <v>blauw</v>
      </c>
      <c r="R242" s="123" t="s">
        <v>31</v>
      </c>
      <c r="S242" s="52" t="str">
        <f ca="1">IFERROR(__xludf.DUMMYFUNCTION("GOOGLETRANSLATE(R242, ""fr"", ""nl"")"),"100% katoen")</f>
        <v>100% katoen</v>
      </c>
      <c r="T242" s="53" t="s">
        <v>32</v>
      </c>
      <c r="U242" s="54" t="str">
        <f ca="1">IFERROR(__xludf.DUMMYFUNCTION("GOOGLETRANSLATE(T242, ""fr"", ""nl"")"),"Op 30 ° C max
Gebruik geen bleekmiddel
Gebruik geen van de droger
Strijken op gemiddelde temperatuur
Niet stomen")</f>
        <v>Op 30 ° C max
Gebruik geen bleekmiddel
Gebruik geen van de droger
Strijken op gemiddelde temperatuur
Niet stomen</v>
      </c>
      <c r="V242" s="62" t="s">
        <v>782</v>
      </c>
      <c r="W242" s="101"/>
    </row>
    <row r="243" spans="1:23" ht="15.75" customHeight="1">
      <c r="A243" s="57" t="s">
        <v>958</v>
      </c>
      <c r="B243" s="93">
        <v>20</v>
      </c>
      <c r="C243" s="136"/>
      <c r="D243" s="136"/>
      <c r="E243" s="96"/>
      <c r="F243" s="97" t="s">
        <v>757</v>
      </c>
      <c r="G243" s="97" t="s">
        <v>952</v>
      </c>
      <c r="H243" s="44" t="s">
        <v>959</v>
      </c>
      <c r="I243" s="45"/>
      <c r="J243" s="141" t="s">
        <v>960</v>
      </c>
      <c r="K243" s="99"/>
      <c r="L243" s="99" t="s">
        <v>467</v>
      </c>
      <c r="M243" s="48" t="str">
        <f ca="1">IFERROR(__xludf.DUMMYFUNCTION("googletranslate(L243, ""fr"", ""nl"")"),"
- Rechte snede
- Gedrukte patroon
- Classic kraag
- hals dichtgeknoopt Tips
- classic knoopsluiting
- Korte mouwen
- Gedrukte patroon kraag naast
- J &amp; JOY geborduurd logo op de borst")</f>
        <v xml:space="preserve">
- Rechte snede
- Gedrukte patroon
- Classic kraag
- hals dichtgeknoopt Tips
- classic knoopsluiting
- Korte mouwen
- Gedrukte patroon kraag naast
- J &amp; JOY geborduurd logo op de borst</v>
      </c>
      <c r="N243" s="76" t="s">
        <v>961</v>
      </c>
      <c r="O243" s="49" t="str">
        <f ca="1">IFERROR(__xludf.DUMMYFUNCTION("googletranslate(N243, ""fr"", ""nl"")"),"Eenvoudig en super origineel in een tijd, deze wit overhemd lijn met flitsen terrein en palmbomen is zeker om het slaperige looks ontwaken!")</f>
        <v>Eenvoudig en super origineel in een tijd, deze wit overhemd lijn met flitsen terrein en palmbomen is zeker om het slaperige looks ontwaken!</v>
      </c>
      <c r="P243" s="100" t="s">
        <v>100</v>
      </c>
      <c r="Q243" s="49" t="str">
        <f ca="1">IFERROR(__xludf.DUMMYFUNCTION("GOOGLETRANSLATE(P243, ""fr"", ""nl"")"),"Wit")</f>
        <v>Wit</v>
      </c>
      <c r="R243" s="123" t="s">
        <v>31</v>
      </c>
      <c r="S243" s="52" t="str">
        <f ca="1">IFERROR(__xludf.DUMMYFUNCTION("GOOGLETRANSLATE(R243, ""fr"", ""nl"")"),"100% katoen")</f>
        <v>100% katoen</v>
      </c>
      <c r="T243" s="53" t="s">
        <v>32</v>
      </c>
      <c r="U243" s="54" t="str">
        <f ca="1">IFERROR(__xludf.DUMMYFUNCTION("GOOGLETRANSLATE(T243, ""fr"", ""nl"")"),"Op 30 ° C max
Gebruik geen bleekmiddel
Gebruik geen van de droger
Strijken op gemiddelde temperatuur
Niet stomen")</f>
        <v>Op 30 ° C max
Gebruik geen bleekmiddel
Gebruik geen van de droger
Strijken op gemiddelde temperatuur
Niet stomen</v>
      </c>
      <c r="V243" s="62" t="s">
        <v>782</v>
      </c>
      <c r="W243" s="101"/>
    </row>
    <row r="244" spans="1:23" ht="15.75" customHeight="1">
      <c r="A244" s="57" t="s">
        <v>962</v>
      </c>
      <c r="B244" s="106">
        <v>20</v>
      </c>
      <c r="C244" s="96"/>
      <c r="D244" s="136"/>
      <c r="E244" s="96"/>
      <c r="F244" s="97" t="s">
        <v>757</v>
      </c>
      <c r="G244" s="97" t="s">
        <v>952</v>
      </c>
      <c r="H244" s="44" t="s">
        <v>161</v>
      </c>
      <c r="I244" s="45"/>
      <c r="J244" s="141" t="s">
        <v>963</v>
      </c>
      <c r="K244" s="47"/>
      <c r="L244" s="47" t="s">
        <v>459</v>
      </c>
      <c r="M244" s="48" t="str">
        <f ca="1">IFERROR(__xludf.DUMMYFUNCTION("googletranslate(L244, ""fr"", ""nl"")"),"
- Rechte snede
- Gedrukte patroon
- Classic kraag
- hals dichtgeknoopt Tips
- classic knoopsluiting
- Lange mouwen
- manchetten met afgeronde hoeken
- Bedrukte patroon binnen kraag en manchetten
- J &amp; JOY geborduurd logo op de borst
")</f>
        <v xml:space="preserve">
- Rechte snede
- Gedrukte patroon
- Classic kraag
- hals dichtgeknoopt Tips
- classic knoopsluiting
- Lange mouwen
- manchetten met afgeronde hoeken
- Bedrukte patroon binnen kraag en manchetten
- J &amp; JOY geborduurd logo op de borst
</v>
      </c>
      <c r="N244" s="142" t="s">
        <v>964</v>
      </c>
      <c r="O244" s="49" t="str">
        <f ca="1">IFERROR(__xludf.DUMMYFUNCTION("googletranslate(N244, ""fr"", ""nl"")"),"Met vogels in oranje vlammende manen, betekent dit overhemd niet nalaten om een ​​outfit te verhogen!
Perfect voor een stijlvolle ten alle tijden, zal het goed gaan met jeans die chino's en een trui oranje of blauw.")</f>
        <v>Met vogels in oranje vlammende manen, betekent dit overhemd niet nalaten om een ​​outfit te verhogen!
Perfect voor een stijlvolle ten alle tijden, zal het goed gaan met jeans die chino's en een trui oranje of blauw.</v>
      </c>
      <c r="P244" s="100" t="s">
        <v>155</v>
      </c>
      <c r="Q244" s="49" t="str">
        <f ca="1">IFERROR(__xludf.DUMMYFUNCTION("GOOGLETRANSLATE(P244, ""fr"", ""nl"")"),"veelkleurig")</f>
        <v>veelkleurig</v>
      </c>
      <c r="R244" s="123" t="s">
        <v>31</v>
      </c>
      <c r="S244" s="52" t="str">
        <f ca="1">IFERROR(__xludf.DUMMYFUNCTION("GOOGLETRANSLATE(R244, ""fr"", ""nl"")"),"100% katoen")</f>
        <v>100% katoen</v>
      </c>
      <c r="T244" s="53" t="s">
        <v>32</v>
      </c>
      <c r="U244" s="54" t="str">
        <f ca="1">IFERROR(__xludf.DUMMYFUNCTION("GOOGLETRANSLATE(T244, ""fr"", ""nl"")"),"Op 30 ° C max
Gebruik geen bleekmiddel
Gebruik geen van de droger
Strijken op gemiddelde temperatuur
Niet stomen")</f>
        <v>Op 30 ° C max
Gebruik geen bleekmiddel
Gebruik geen van de droger
Strijken op gemiddelde temperatuur
Niet stomen</v>
      </c>
      <c r="V244" s="62" t="s">
        <v>815</v>
      </c>
      <c r="W244" s="101"/>
    </row>
    <row r="245" spans="1:23" ht="15.75" customHeight="1">
      <c r="A245" s="84" t="s">
        <v>516</v>
      </c>
      <c r="B245" s="85"/>
      <c r="C245" s="67"/>
      <c r="D245" s="86"/>
      <c r="E245" s="67"/>
      <c r="F245" s="87"/>
      <c r="G245" s="87"/>
      <c r="H245" s="26"/>
      <c r="I245" s="26"/>
      <c r="J245" s="88" t="s">
        <v>677</v>
      </c>
      <c r="K245" s="89"/>
      <c r="L245" s="89"/>
      <c r="M245" s="48" t="str">
        <f ca="1">IFERROR(__xludf.DUMMYFUNCTION("googletranslate(L245, ""fr"", ""nl"")"),"#VALUE!")</f>
        <v>#VALUE!</v>
      </c>
      <c r="N245" s="125"/>
      <c r="O245" s="49" t="str">
        <f ca="1">IFERROR(__xludf.DUMMYFUNCTION("googletranslate(N245, ""fr"", ""nl"")"),"#VALUE!")</f>
        <v>#VALUE!</v>
      </c>
      <c r="P245" s="91"/>
      <c r="Q245" s="49" t="str">
        <f ca="1">IFERROR(__xludf.DUMMYFUNCTION("GOOGLETRANSLATE(P245, ""fr"", ""nl"")"),"#VALUE!")</f>
        <v>#VALUE!</v>
      </c>
      <c r="R245" s="92"/>
      <c r="S245" s="52" t="str">
        <f ca="1">IFERROR(__xludf.DUMMYFUNCTION("GOOGLETRANSLATE(R245, ""fr"", ""nl"")"),"#VALUE!")</f>
        <v>#VALUE!</v>
      </c>
      <c r="T245" s="89"/>
      <c r="U245" s="54" t="str">
        <f ca="1">IFERROR(__xludf.DUMMYFUNCTION("GOOGLETRANSLATE(T245, ""fr"", ""nl"")"),"#VALUE!")</f>
        <v>#VALUE!</v>
      </c>
      <c r="V245" s="140"/>
      <c r="W245" s="38"/>
    </row>
    <row r="246" spans="1:23" ht="15.75" customHeight="1">
      <c r="A246" s="39" t="s">
        <v>965</v>
      </c>
      <c r="B246" s="143">
        <v>40</v>
      </c>
      <c r="C246" s="136"/>
      <c r="D246" s="136"/>
      <c r="E246" s="42"/>
      <c r="F246" s="43" t="s">
        <v>757</v>
      </c>
      <c r="G246" s="43" t="s">
        <v>966</v>
      </c>
      <c r="H246" s="44" t="s">
        <v>68</v>
      </c>
      <c r="I246" s="45"/>
      <c r="J246" s="46" t="s">
        <v>967</v>
      </c>
      <c r="K246" s="47"/>
      <c r="L246" s="47" t="s">
        <v>968</v>
      </c>
      <c r="M246" s="48" t="str">
        <f ca="1">IFERROR(__xludf.DUMMYFUNCTION("googletranslate(L246, ""fr"", ""nl"")"),"
- Jacket windjack te zetten
- Rechte snede
- Lange mouwen
- Met rits opening
- Kap met elastiek klemmen contrast
- Side rits
- Pols Stretch
- Gedrukte logo J &amp; JOY op het hart
- J &amp; JOY Badge op schouder
- Logo fabric J &amp; JOY onderaan
")</f>
        <v xml:space="preserve">
- Jacket windjack te zetten
- Rechte snede
- Lange mouwen
- Met rits opening
- Kap met elastiek klemmen contrast
- Side rits
- Pols Stretch
- Gedrukte logo J &amp; JOY op het hart
- J &amp; JOY Badge op schouder
- Logo fabric J &amp; JOY onderaan
</v>
      </c>
      <c r="N246" s="58" t="s">
        <v>969</v>
      </c>
      <c r="O246" s="49" t="str">
        <f ca="1">IFERROR(__xludf.DUMMYFUNCTION("googletranslate(N246, ""fr"", ""nl"")"),"Niet alleen dit windjack bruin / camel beschermt u tegen de kou, maar ook de kleur gaat met alles!
 ")</f>
        <v xml:space="preserve">Niet alleen dit windjack bruin / camel beschermt u tegen de kou, maar ook de kleur gaat met alles!
 </v>
      </c>
      <c r="P246" s="50" t="s">
        <v>522</v>
      </c>
      <c r="Q246" s="49" t="str">
        <f ca="1">IFERROR(__xludf.DUMMYFUNCTION("GOOGLETRANSLATE(P246, ""fr"", ""nl"")"),"bruin")</f>
        <v>bruin</v>
      </c>
      <c r="R246" s="75" t="s">
        <v>523</v>
      </c>
      <c r="S246" s="52" t="str">
        <f ca="1">IFERROR(__xludf.DUMMYFUNCTION("GOOGLETRANSLATE(R246, ""fr"", ""nl"")"),"100% Polyester")</f>
        <v>100% Polyester</v>
      </c>
      <c r="T246" s="53" t="s">
        <v>32</v>
      </c>
      <c r="U246" s="54" t="str">
        <f ca="1">IFERROR(__xludf.DUMMYFUNCTION("GOOGLETRANSLATE(T246, ""fr"", ""nl"")"),"Op 30 ° C max
Gebruik geen bleekmiddel
Gebruik geen van de droger
Strijken op gemiddelde temperatuur
Niet stomen")</f>
        <v>Op 30 ° C max
Gebruik geen bleekmiddel
Gebruik geen van de droger
Strijken op gemiddelde temperatuur
Niet stomen</v>
      </c>
      <c r="V246" s="62" t="s">
        <v>761</v>
      </c>
      <c r="W246" s="56"/>
    </row>
    <row r="247" spans="1:23" ht="15.75" customHeight="1">
      <c r="A247" s="57" t="s">
        <v>970</v>
      </c>
      <c r="B247" s="143">
        <v>40</v>
      </c>
      <c r="C247" s="136"/>
      <c r="D247" s="136"/>
      <c r="E247" s="42"/>
      <c r="F247" s="43" t="s">
        <v>757</v>
      </c>
      <c r="G247" s="43" t="s">
        <v>966</v>
      </c>
      <c r="H247" s="44" t="s">
        <v>971</v>
      </c>
      <c r="I247" s="45"/>
      <c r="J247" s="46" t="s">
        <v>972</v>
      </c>
      <c r="K247" s="47"/>
      <c r="L247" s="47" t="s">
        <v>532</v>
      </c>
      <c r="M247" s="48" t="str">
        <f ca="1">IFERROR(__xludf.DUMMYFUNCTION("googletranslate(L247, ""fr"", ""nl"")"),"
- Rechte snede
- Lange Mouwen T-shirt
- voering softshell
- Met rits opening met contrasterende afwerking
- Kap met elastiek klemmen contrast
- rits afneembare capuchon
- gestileerde rand in de nek
- Binnen zak op het hart
- Zijzakken
- Badge J &amp; JOY hal"&amp;"s
- J &amp; JOY Logo stof op de bodem
")</f>
        <v xml:space="preserve">
- Rechte snede
- Lange Mouwen T-shirt
- voering softshell
- Met rits opening met contrasterende afwerking
- Kap met elastiek klemmen contrast
- rits afneembare capuchon
- gestileerde rand in de nek
- Binnen zak op het hart
- Zijzakken
- Badge J &amp; JOY hals
- J &amp; JOY Logo stof op de bodem
</v>
      </c>
      <c r="N247" s="58" t="s">
        <v>973</v>
      </c>
      <c r="O247" s="49" t="str">
        <f ca="1">IFERROR(__xludf.DUMMYFUNCTION("googletranslate(N247, ""fr"", ""nl"")"),"Origineel materiaal van het zweet in de armen en kalk gele knoppen, deze jas beschermt u tegen de kou.")</f>
        <v>Origineel materiaal van het zweet in de armen en kalk gele knoppen, deze jas beschermt u tegen de kou.</v>
      </c>
      <c r="P247" s="50" t="s">
        <v>30</v>
      </c>
      <c r="Q247" s="49" t="str">
        <f ca="1">IFERROR(__xludf.DUMMYFUNCTION("GOOGLETRANSLATE(P247, ""fr"", ""nl"")"),"blauw")</f>
        <v>blauw</v>
      </c>
      <c r="R247" s="75" t="s">
        <v>523</v>
      </c>
      <c r="S247" s="52" t="str">
        <f ca="1">IFERROR(__xludf.DUMMYFUNCTION("GOOGLETRANSLATE(R247, ""fr"", ""nl"")"),"100% Polyester")</f>
        <v>100% Polyester</v>
      </c>
      <c r="T247" s="53" t="s">
        <v>32</v>
      </c>
      <c r="U247" s="54" t="str">
        <f ca="1">IFERROR(__xludf.DUMMYFUNCTION("GOOGLETRANSLATE(T247, ""fr"", ""nl"")"),"Op 30 ° C max
Gebruik geen bleekmiddel
Gebruik geen van de droger
Strijken op gemiddelde temperatuur
Niet stomen")</f>
        <v>Op 30 ° C max
Gebruik geen bleekmiddel
Gebruik geen van de droger
Strijken op gemiddelde temperatuur
Niet stomen</v>
      </c>
      <c r="V247" s="62" t="s">
        <v>799</v>
      </c>
      <c r="W247" s="56"/>
    </row>
    <row r="248" spans="1:23" ht="15.75" customHeight="1">
      <c r="A248" s="84" t="s">
        <v>554</v>
      </c>
      <c r="B248" s="85"/>
      <c r="C248" s="67"/>
      <c r="D248" s="67"/>
      <c r="E248" s="67"/>
      <c r="F248" s="87"/>
      <c r="G248" s="87"/>
      <c r="H248" s="26"/>
      <c r="I248" s="26"/>
      <c r="J248" s="88" t="s">
        <v>677</v>
      </c>
      <c r="K248" s="89"/>
      <c r="L248" s="89"/>
      <c r="M248" s="48" t="str">
        <f ca="1">IFERROR(__xludf.DUMMYFUNCTION("googletranslate(L248, ""fr"", ""nl"")"),"#VALUE!")</f>
        <v>#VALUE!</v>
      </c>
      <c r="N248" s="125"/>
      <c r="O248" s="49" t="str">
        <f ca="1">IFERROR(__xludf.DUMMYFUNCTION("googletranslate(N248, ""fr"", ""nl"")"),"#VALUE!")</f>
        <v>#VALUE!</v>
      </c>
      <c r="P248" s="91"/>
      <c r="Q248" s="49" t="str">
        <f ca="1">IFERROR(__xludf.DUMMYFUNCTION("GOOGLETRANSLATE(P248, ""fr"", ""nl"")"),"#VALUE!")</f>
        <v>#VALUE!</v>
      </c>
      <c r="R248" s="92"/>
      <c r="S248" s="52" t="str">
        <f ca="1">IFERROR(__xludf.DUMMYFUNCTION("GOOGLETRANSLATE(R248, ""fr"", ""nl"")"),"#VALUE!")</f>
        <v>#VALUE!</v>
      </c>
      <c r="T248" s="89"/>
      <c r="U248" s="54" t="str">
        <f ca="1">IFERROR(__xludf.DUMMYFUNCTION("GOOGLETRANSLATE(T248, ""fr"", ""nl"")"),"#VALUE!")</f>
        <v>#VALUE!</v>
      </c>
      <c r="V248" s="140"/>
      <c r="W248" s="38"/>
    </row>
    <row r="249" spans="1:23" ht="15.75" customHeight="1">
      <c r="A249" s="144" t="s">
        <v>974</v>
      </c>
      <c r="B249" s="93">
        <v>24</v>
      </c>
      <c r="C249" s="136"/>
      <c r="D249" s="136"/>
      <c r="E249" s="145"/>
      <c r="F249" s="43" t="s">
        <v>757</v>
      </c>
      <c r="G249" s="43" t="s">
        <v>975</v>
      </c>
      <c r="H249" s="44" t="s">
        <v>557</v>
      </c>
      <c r="I249" s="45"/>
      <c r="J249" s="146" t="s">
        <v>976</v>
      </c>
      <c r="K249" s="116"/>
      <c r="L249" s="116" t="s">
        <v>977</v>
      </c>
      <c r="M249" s="48" t="str">
        <f ca="1">IFERROR(__xludf.DUMMYFUNCTION("googletranslate(L249, ""fr"", ""nl"")"),"
- knoop en zipper
- Twee voorkant + twee dijbeenzakken
- Twee zakken achter
- riemlussen
- knoppen aan de zijkanten extensor
- Logo J &amp; JOY discreet stof op de rug
")</f>
        <v xml:space="preserve">
- knoop en zipper
- Twee voorkant + twee dijbeenzakken
- Twee zakken achter
- riemlussen
- knoppen aan de zijkanten extensor
- Logo J &amp; JOY discreet stof op de rug
</v>
      </c>
      <c r="N249" s="58" t="s">
        <v>560</v>
      </c>
      <c r="O249" s="49" t="str">
        <f ca="1">IFERROR(__xludf.DUMMYFUNCTION("googletranslate(N249, ""fr"", ""nl"")"),"Dit vrachtschip blauwe korte broek, zowel praktisch en comfortabel om te dragen, heeft veel zakken en volgt u in al uw avonturen.
Het wordt gedragen met alles van overhemd polo! Voor een leuk tintje, associëren met de collectie Basics Bright en kleurrijk"&amp;"e shirts.")</f>
        <v>Dit vrachtschip blauwe korte broek, zowel praktisch en comfortabel om te dragen, heeft veel zakken en volgt u in al uw avonturen.
Het wordt gedragen met alles van overhemd polo! Voor een leuk tintje, associëren met de collectie Basics Bright en kleurrijke shirts.</v>
      </c>
      <c r="P249" s="100" t="s">
        <v>30</v>
      </c>
      <c r="Q249" s="49" t="str">
        <f ca="1">IFERROR(__xludf.DUMMYFUNCTION("GOOGLETRANSLATE(P249, ""fr"", ""nl"")"),"blauw")</f>
        <v>blauw</v>
      </c>
      <c r="R249" s="123" t="s">
        <v>561</v>
      </c>
      <c r="S249" s="52" t="str">
        <f ca="1">IFERROR(__xludf.DUMMYFUNCTION("GOOGLETRANSLATE(R249, ""fr"", ""nl"")"),"85% katoen 15% polyester")</f>
        <v>85% katoen 15% polyester</v>
      </c>
      <c r="T249" s="53" t="s">
        <v>32</v>
      </c>
      <c r="U249" s="54" t="str">
        <f ca="1">IFERROR(__xludf.DUMMYFUNCTION("GOOGLETRANSLATE(T249, ""fr"", ""nl"")"),"Op 30 ° C max
Gebruik geen bleekmiddel
Gebruik geen van de droger
Strijken op gemiddelde temperatuur
Niet stomen")</f>
        <v>Op 30 ° C max
Gebruik geen bleekmiddel
Gebruik geen van de droger
Strijken op gemiddelde temperatuur
Niet stomen</v>
      </c>
      <c r="V249" s="62" t="s">
        <v>978</v>
      </c>
      <c r="W249" s="101"/>
    </row>
    <row r="250" spans="1:23" ht="15.75" customHeight="1">
      <c r="A250" s="147" t="s">
        <v>979</v>
      </c>
      <c r="B250" s="93">
        <v>24</v>
      </c>
      <c r="C250" s="136"/>
      <c r="D250" s="136"/>
      <c r="E250" s="145"/>
      <c r="F250" s="43" t="s">
        <v>757</v>
      </c>
      <c r="G250" s="43" t="s">
        <v>975</v>
      </c>
      <c r="H250" s="44" t="s">
        <v>564</v>
      </c>
      <c r="I250" s="45"/>
      <c r="J250" s="146" t="s">
        <v>980</v>
      </c>
      <c r="K250" s="116"/>
      <c r="L250" s="116" t="s">
        <v>977</v>
      </c>
      <c r="M250" s="48" t="str">
        <f ca="1">IFERROR(__xludf.DUMMYFUNCTION("googletranslate(L250, ""fr"", ""nl"")"),"
- knoop en zipper
- Twee voorkant + twee dijbeenzakken
- Twee zakken achter
- riemlussen
- knoppen aan de zijkanten extensor
- Logo J &amp; JOY discreet stof op de rug
")</f>
        <v xml:space="preserve">
- knoop en zipper
- Twee voorkant + twee dijbeenzakken
- Twee zakken achter
- riemlussen
- knoppen aan de zijkanten extensor
- Logo J &amp; JOY discreet stof op de rug
</v>
      </c>
      <c r="N250" s="58" t="s">
        <v>566</v>
      </c>
      <c r="O250" s="49" t="str">
        <f ca="1">IFERROR(__xludf.DUMMYFUNCTION("googletranslate(N250, ""fr"", ""nl"")"),"Dit vrachtschip bordeaux shorts, zowel praktisch en comfortabel om te dragen, heeft veel zakken en volgt u in al uw avonturen.
Het wordt gedragen met alles van overhemd polo! Voor een leuk tintje, associëren met de collectie Basics Bright en kleurrijke s"&amp;"hirts.")</f>
        <v>Dit vrachtschip bordeaux shorts, zowel praktisch en comfortabel om te dragen, heeft veel zakken en volgt u in al uw avonturen.
Het wordt gedragen met alles van overhemd polo! Voor een leuk tintje, associëren met de collectie Basics Bright en kleurrijke shirts.</v>
      </c>
      <c r="P250" s="100" t="s">
        <v>56</v>
      </c>
      <c r="Q250" s="49" t="str">
        <f ca="1">IFERROR(__xludf.DUMMYFUNCTION("GOOGLETRANSLATE(P250, ""fr"", ""nl"")"),"rood")</f>
        <v>rood</v>
      </c>
      <c r="R250" s="123" t="s">
        <v>561</v>
      </c>
      <c r="S250" s="52" t="str">
        <f ca="1">IFERROR(__xludf.DUMMYFUNCTION("GOOGLETRANSLATE(R250, ""fr"", ""nl"")"),"85% katoen 15% polyester")</f>
        <v>85% katoen 15% polyester</v>
      </c>
      <c r="T250" s="53" t="s">
        <v>32</v>
      </c>
      <c r="U250" s="54" t="str">
        <f ca="1">IFERROR(__xludf.DUMMYFUNCTION("GOOGLETRANSLATE(T250, ""fr"", ""nl"")"),"Op 30 ° C max
Gebruik geen bleekmiddel
Gebruik geen van de droger
Strijken op gemiddelde temperatuur
Niet stomen")</f>
        <v>Op 30 ° C max
Gebruik geen bleekmiddel
Gebruik geen van de droger
Strijken op gemiddelde temperatuur
Niet stomen</v>
      </c>
      <c r="V250" s="62" t="s">
        <v>978</v>
      </c>
      <c r="W250" s="101"/>
    </row>
    <row r="251" spans="1:23" ht="15.75" customHeight="1">
      <c r="A251" s="95" t="s">
        <v>981</v>
      </c>
      <c r="B251" s="93">
        <v>24</v>
      </c>
      <c r="C251" s="136"/>
      <c r="D251" s="136"/>
      <c r="E251" s="145"/>
      <c r="F251" s="43" t="s">
        <v>757</v>
      </c>
      <c r="G251" s="43" t="s">
        <v>975</v>
      </c>
      <c r="H251" s="44" t="s">
        <v>568</v>
      </c>
      <c r="I251" s="45"/>
      <c r="J251" s="146" t="s">
        <v>982</v>
      </c>
      <c r="K251" s="116"/>
      <c r="L251" s="116" t="s">
        <v>977</v>
      </c>
      <c r="M251" s="48" t="str">
        <f ca="1">IFERROR(__xludf.DUMMYFUNCTION("googletranslate(L251, ""fr"", ""nl"")"),"
- knoop en zipper
- Twee voorkant + twee dijbeenzakken
- Twee zakken achter
- riemlussen
- knoppen aan de zijkanten extensor
- Logo J &amp; JOY discreet stof op de rug
")</f>
        <v xml:space="preserve">
- knoop en zipper
- Twee voorkant + twee dijbeenzakken
- Twee zakken achter
- riemlussen
- knoppen aan de zijkanten extensor
- Logo J &amp; JOY discreet stof op de rug
</v>
      </c>
      <c r="N251" s="76" t="s">
        <v>560</v>
      </c>
      <c r="O251" s="49" t="str">
        <f ca="1">IFERROR(__xludf.DUMMYFUNCTION("googletranslate(N251, ""fr"", ""nl"")"),"Dit vrachtschip blauwe korte broek, zowel praktisch en comfortabel om te dragen, heeft veel zakken en volgt u in al uw avonturen.
Het wordt gedragen met alles van overhemd polo! Voor een leuk tintje, associëren met de collectie Basics Bright en kleurrijk"&amp;"e shirts.")</f>
        <v>Dit vrachtschip blauwe korte broek, zowel praktisch en comfortabel om te dragen, heeft veel zakken en volgt u in al uw avonturen.
Het wordt gedragen met alles van overhemd polo! Voor een leuk tintje, associëren met de collectie Basics Bright en kleurrijke shirts.</v>
      </c>
      <c r="P251" s="100" t="s">
        <v>30</v>
      </c>
      <c r="Q251" s="49" t="str">
        <f ca="1">IFERROR(__xludf.DUMMYFUNCTION("GOOGLETRANSLATE(P251, ""fr"", ""nl"")"),"blauw")</f>
        <v>blauw</v>
      </c>
      <c r="R251" s="123" t="s">
        <v>561</v>
      </c>
      <c r="S251" s="52" t="str">
        <f ca="1">IFERROR(__xludf.DUMMYFUNCTION("GOOGLETRANSLATE(R251, ""fr"", ""nl"")"),"85% katoen 15% polyester")</f>
        <v>85% katoen 15% polyester</v>
      </c>
      <c r="T251" s="53" t="s">
        <v>32</v>
      </c>
      <c r="U251" s="54" t="str">
        <f ca="1">IFERROR(__xludf.DUMMYFUNCTION("GOOGLETRANSLATE(T251, ""fr"", ""nl"")"),"Op 30 ° C max
Gebruik geen bleekmiddel
Gebruik geen van de droger
Strijken op gemiddelde temperatuur
Niet stomen")</f>
        <v>Op 30 ° C max
Gebruik geen bleekmiddel
Gebruik geen van de droger
Strijken op gemiddelde temperatuur
Niet stomen</v>
      </c>
      <c r="V251" s="62" t="s">
        <v>978</v>
      </c>
      <c r="W251" s="101"/>
    </row>
    <row r="252" spans="1:23" ht="15.75" customHeight="1">
      <c r="A252" s="95" t="s">
        <v>983</v>
      </c>
      <c r="B252" s="93">
        <v>24</v>
      </c>
      <c r="C252" s="136"/>
      <c r="D252" s="136"/>
      <c r="E252" s="145"/>
      <c r="F252" s="43" t="s">
        <v>757</v>
      </c>
      <c r="G252" s="43" t="s">
        <v>975</v>
      </c>
      <c r="H252" s="44" t="s">
        <v>571</v>
      </c>
      <c r="I252" s="45"/>
      <c r="J252" s="146" t="s">
        <v>984</v>
      </c>
      <c r="K252" s="116"/>
      <c r="L252" s="116" t="s">
        <v>985</v>
      </c>
      <c r="M252" s="48" t="str">
        <f ca="1">IFERROR(__xludf.DUMMYFUNCTION("googletranslate(L252, ""fr"", ""nl"")"),"
- knoop en zipper
- Twee voorkant + twee dijbeenzakken
- Twee zakken achter
- riemlussen
- knoppen aan de zijkanten extensor
- Logo J &amp; JOY discreet stof op de rug")</f>
        <v xml:space="preserve">
- knoop en zipper
- Twee voorkant + twee dijbeenzakken
- Twee zakken achter
- riemlussen
- knoppen aan de zijkanten extensor
- Logo J &amp; JOY discreet stof op de rug</v>
      </c>
      <c r="N252" s="76" t="s">
        <v>573</v>
      </c>
      <c r="O252" s="49" t="str">
        <f ca="1">IFERROR(__xludf.DUMMYFUNCTION("googletranslate(N252, ""fr"", ""nl"")"),"Dit vrachtschip grijze broek, zowel praktisch en comfortabel om te dragen, heeft veel zakken en volgt u in al uw avonturen.
Het wordt gedragen met alles van overhemd polo! Voor een leuk tintje, associëren met de collectie Basics Bright en kleurrijke shir"&amp;"ts.")</f>
        <v>Dit vrachtschip grijze broek, zowel praktisch en comfortabel om te dragen, heeft veel zakken en volgt u in al uw avonturen.
Het wordt gedragen met alles van overhemd polo! Voor een leuk tintje, associëren met de collectie Basics Bright en kleurrijke shirts.</v>
      </c>
      <c r="P252" s="100" t="s">
        <v>234</v>
      </c>
      <c r="Q252" s="49" t="str">
        <f ca="1">IFERROR(__xludf.DUMMYFUNCTION("GOOGLETRANSLATE(P252, ""fr"", ""nl"")"),"Grijs")</f>
        <v>Grijs</v>
      </c>
      <c r="R252" s="123" t="s">
        <v>561</v>
      </c>
      <c r="S252" s="52" t="str">
        <f ca="1">IFERROR(__xludf.DUMMYFUNCTION("GOOGLETRANSLATE(R252, ""fr"", ""nl"")"),"85% katoen 15% polyester")</f>
        <v>85% katoen 15% polyester</v>
      </c>
      <c r="T252" s="53" t="s">
        <v>32</v>
      </c>
      <c r="U252" s="54" t="str">
        <f ca="1">IFERROR(__xludf.DUMMYFUNCTION("GOOGLETRANSLATE(T252, ""fr"", ""nl"")"),"Op 30 ° C max
Gebruik geen bleekmiddel
Gebruik geen van de droger
Strijken op gemiddelde temperatuur
Niet stomen")</f>
        <v>Op 30 ° C max
Gebruik geen bleekmiddel
Gebruik geen van de droger
Strijken op gemiddelde temperatuur
Niet stomen</v>
      </c>
      <c r="V252" s="62" t="s">
        <v>978</v>
      </c>
      <c r="W252" s="101"/>
    </row>
    <row r="253" spans="1:23" ht="15.75" customHeight="1">
      <c r="A253" s="95" t="s">
        <v>986</v>
      </c>
      <c r="B253" s="93">
        <v>24</v>
      </c>
      <c r="C253" s="136"/>
      <c r="D253" s="136"/>
      <c r="E253" s="145"/>
      <c r="F253" s="43" t="s">
        <v>757</v>
      </c>
      <c r="G253" s="43" t="s">
        <v>975</v>
      </c>
      <c r="H253" s="44" t="s">
        <v>575</v>
      </c>
      <c r="I253" s="45"/>
      <c r="J253" s="146" t="s">
        <v>987</v>
      </c>
      <c r="K253" s="116"/>
      <c r="L253" s="116" t="s">
        <v>985</v>
      </c>
      <c r="M253" s="48" t="str">
        <f ca="1">IFERROR(__xludf.DUMMYFUNCTION("googletranslate(L253, ""fr"", ""nl"")"),"
- knoop en zipper
- Twee voorkant + twee dijbeenzakken
- Twee zakken achter
- riemlussen
- knoppen aan de zijkanten extensor
- Logo J &amp; JOY discreet stof op de rug")</f>
        <v xml:space="preserve">
- knoop en zipper
- Twee voorkant + twee dijbeenzakken
- Twee zakken achter
- riemlussen
- knoppen aan de zijkanten extensor
- Logo J &amp; JOY discreet stof op de rug</v>
      </c>
      <c r="N253" s="148" t="s">
        <v>577</v>
      </c>
      <c r="O253" s="49" t="str">
        <f ca="1">IFERROR(__xludf.DUMMYFUNCTION("googletranslate(N253, ""fr"", ""nl"")"),"Deze beige cargo shorts, zowel praktisch en comfortabel om te dragen, heeft veel zakken en volgt u in al uw avonturen.
Het wordt gedragen met alles van overhemd polo! Voor een leuk tintje, associëren met de collectie Basics Bright en kleurrijke shirts.")</f>
        <v>Deze beige cargo shorts, zowel praktisch en comfortabel om te dragen, heeft veel zakken en volgt u in al uw avonturen.
Het wordt gedragen met alles van overhemd polo! Voor een leuk tintje, associëren met de collectie Basics Bright en kleurrijke shirts.</v>
      </c>
      <c r="P253" s="100" t="s">
        <v>72</v>
      </c>
      <c r="Q253" s="49" t="str">
        <f ca="1">IFERROR(__xludf.DUMMYFUNCTION("GOOGLETRANSLATE(P253, ""fr"", ""nl"")"),"beige")</f>
        <v>beige</v>
      </c>
      <c r="R253" s="123" t="s">
        <v>561</v>
      </c>
      <c r="S253" s="52" t="str">
        <f ca="1">IFERROR(__xludf.DUMMYFUNCTION("GOOGLETRANSLATE(R253, ""fr"", ""nl"")"),"85% katoen 15% polyester")</f>
        <v>85% katoen 15% polyester</v>
      </c>
      <c r="T253" s="53" t="s">
        <v>32</v>
      </c>
      <c r="U253" s="54" t="str">
        <f ca="1">IFERROR(__xludf.DUMMYFUNCTION("GOOGLETRANSLATE(T253, ""fr"", ""nl"")"),"Op 30 ° C max
Gebruik geen bleekmiddel
Gebruik geen van de droger
Strijken op gemiddelde temperatuur
Niet stomen")</f>
        <v>Op 30 ° C max
Gebruik geen bleekmiddel
Gebruik geen van de droger
Strijken op gemiddelde temperatuur
Niet stomen</v>
      </c>
      <c r="V253" s="62" t="s">
        <v>978</v>
      </c>
      <c r="W253" s="101"/>
    </row>
    <row r="254" spans="1:23" ht="15.75" customHeight="1">
      <c r="A254" s="82" t="s">
        <v>988</v>
      </c>
      <c r="B254" s="93">
        <v>24</v>
      </c>
      <c r="C254" s="136"/>
      <c r="D254" s="136"/>
      <c r="E254" s="145"/>
      <c r="F254" s="43" t="s">
        <v>757</v>
      </c>
      <c r="G254" s="43" t="s">
        <v>975</v>
      </c>
      <c r="H254" s="44" t="s">
        <v>579</v>
      </c>
      <c r="I254" s="45"/>
      <c r="J254" s="146" t="s">
        <v>989</v>
      </c>
      <c r="K254" s="116"/>
      <c r="L254" s="116" t="s">
        <v>985</v>
      </c>
      <c r="M254" s="48" t="str">
        <f ca="1">IFERROR(__xludf.DUMMYFUNCTION("googletranslate(L254, ""fr"", ""nl"")"),"
- knoop en zipper
- Twee voorkant + twee dijbeenzakken
- Twee zakken achter
- riemlussen
- knoppen aan de zijkanten extensor
- Logo J &amp; JOY discreet stof op de rug")</f>
        <v xml:space="preserve">
- knoop en zipper
- Twee voorkant + twee dijbeenzakken
- Twee zakken achter
- riemlussen
- knoppen aan de zijkanten extensor
- Logo J &amp; JOY discreet stof op de rug</v>
      </c>
      <c r="N254" s="148" t="s">
        <v>581</v>
      </c>
      <c r="O254" s="49" t="str">
        <f ca="1">IFERROR(__xludf.DUMMYFUNCTION("googletranslate(N254, ""fr"", ""nl"")"),"Deze kaki cargo shorts, zowel praktisch en comfortabel om te dragen, heeft veel zakken en volgt u in al uw avonturen.
Het wordt gedragen met alles van overhemd polo! Voor een leuk tintje, associëren met de collectie Basics Bright en kleurrijke shirts.")</f>
        <v>Deze kaki cargo shorts, zowel praktisch en comfortabel om te dragen, heeft veel zakken en volgt u in al uw avonturen.
Het wordt gedragen met alles van overhemd polo! Voor een leuk tintje, associëren met de collectie Basics Bright en kleurrijke shirts.</v>
      </c>
      <c r="P254" s="100" t="s">
        <v>116</v>
      </c>
      <c r="Q254" s="49" t="str">
        <f ca="1">IFERROR(__xludf.DUMMYFUNCTION("GOOGLETRANSLATE(P254, ""fr"", ""nl"")"),"groen")</f>
        <v>groen</v>
      </c>
      <c r="R254" s="123" t="s">
        <v>561</v>
      </c>
      <c r="S254" s="52" t="str">
        <f ca="1">IFERROR(__xludf.DUMMYFUNCTION("GOOGLETRANSLATE(R254, ""fr"", ""nl"")"),"85% katoen 15% polyester")</f>
        <v>85% katoen 15% polyester</v>
      </c>
      <c r="T254" s="53" t="s">
        <v>32</v>
      </c>
      <c r="U254" s="54" t="str">
        <f ca="1">IFERROR(__xludf.DUMMYFUNCTION("GOOGLETRANSLATE(T254, ""fr"", ""nl"")"),"Op 30 ° C max
Gebruik geen bleekmiddel
Gebruik geen van de droger
Strijken op gemiddelde temperatuur
Niet stomen")</f>
        <v>Op 30 ° C max
Gebruik geen bleekmiddel
Gebruik geen van de droger
Strijken op gemiddelde temperatuur
Niet stomen</v>
      </c>
      <c r="V254" s="62" t="s">
        <v>978</v>
      </c>
      <c r="W254" s="101"/>
    </row>
    <row r="255" spans="1:23" ht="15.75" customHeight="1">
      <c r="A255" s="84" t="s">
        <v>600</v>
      </c>
      <c r="B255" s="85"/>
      <c r="C255" s="67"/>
      <c r="D255" s="67"/>
      <c r="E255" s="67"/>
      <c r="F255" s="87"/>
      <c r="G255" s="87"/>
      <c r="H255" s="26"/>
      <c r="I255" s="26"/>
      <c r="J255" s="88" t="s">
        <v>677</v>
      </c>
      <c r="K255" s="89"/>
      <c r="L255" s="89"/>
      <c r="M255" s="48" t="str">
        <f ca="1">IFERROR(__xludf.DUMMYFUNCTION("googletranslate(L255, ""fr"", ""nl"")"),"#VALUE!")</f>
        <v>#VALUE!</v>
      </c>
      <c r="N255" s="125"/>
      <c r="O255" s="49" t="str">
        <f ca="1">IFERROR(__xludf.DUMMYFUNCTION("googletranslate(N255, ""fr"", ""nl"")"),"#VALUE!")</f>
        <v>#VALUE!</v>
      </c>
      <c r="P255" s="91"/>
      <c r="Q255" s="49" t="str">
        <f ca="1">IFERROR(__xludf.DUMMYFUNCTION("GOOGLETRANSLATE(P255, ""fr"", ""nl"")"),"#VALUE!")</f>
        <v>#VALUE!</v>
      </c>
      <c r="R255" s="92"/>
      <c r="S255" s="52" t="str">
        <f ca="1">IFERROR(__xludf.DUMMYFUNCTION("GOOGLETRANSLATE(R255, ""fr"", ""nl"")"),"#VALUE!")</f>
        <v>#VALUE!</v>
      </c>
      <c r="T255" s="89"/>
      <c r="U255" s="54" t="str">
        <f ca="1">IFERROR(__xludf.DUMMYFUNCTION("GOOGLETRANSLATE(T255, ""fr"", ""nl"")"),"#VALUE!")</f>
        <v>#VALUE!</v>
      </c>
      <c r="V255" s="140"/>
      <c r="W255" s="38"/>
    </row>
    <row r="256" spans="1:23" ht="15.75" customHeight="1">
      <c r="A256" s="112" t="s">
        <v>990</v>
      </c>
      <c r="B256" s="93">
        <v>24</v>
      </c>
      <c r="C256" s="136"/>
      <c r="D256" s="136"/>
      <c r="E256" s="96"/>
      <c r="F256" s="43" t="s">
        <v>757</v>
      </c>
      <c r="G256" s="43" t="s">
        <v>975</v>
      </c>
      <c r="H256" s="44" t="s">
        <v>602</v>
      </c>
      <c r="I256" s="45"/>
      <c r="J256" s="149" t="s">
        <v>991</v>
      </c>
      <c r="K256" s="47"/>
      <c r="L256" s="47" t="s">
        <v>604</v>
      </c>
      <c r="M256" s="48" t="str">
        <f ca="1">IFERROR(__xludf.DUMMYFUNCTION("googletranslate(L256,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56" s="58" t="s">
        <v>605</v>
      </c>
      <c r="O256" s="49" t="str">
        <f ca="1">IFERROR(__xludf.DUMMYFUNCTION("googletranslate(N256, ""fr"", ""nl"")"),"Dit is de perfecte blue jeans broek! Onze denim shorts model vuurtoren rendementen dit jaar, nog steeds comfortabel.")</f>
        <v>Dit is de perfecte blue jeans broek! Onze denim shorts model vuurtoren rendementen dit jaar, nog steeds comfortabel.</v>
      </c>
      <c r="P256" s="100" t="s">
        <v>30</v>
      </c>
      <c r="Q256" s="49" t="str">
        <f ca="1">IFERROR(__xludf.DUMMYFUNCTION("GOOGLETRANSLATE(P256, ""fr"", ""nl"")"),"blauw")</f>
        <v>blauw</v>
      </c>
      <c r="R256" s="150" t="s">
        <v>992</v>
      </c>
      <c r="S256" s="52" t="str">
        <f ca="1">IFERROR(__xludf.DUMMYFUNCTION("GOOGLETRANSLATE(R256, ""fr"", ""nl"")"),"katoen
elastaan")</f>
        <v>katoen
elastaan</v>
      </c>
      <c r="T256" s="53" t="s">
        <v>32</v>
      </c>
      <c r="U256" s="54" t="str">
        <f ca="1">IFERROR(__xludf.DUMMYFUNCTION("GOOGLETRANSLATE(T256, ""fr"", ""nl"")"),"Op 30 ° C max
Gebruik geen bleekmiddel
Gebruik geen van de droger
Strijken op gemiddelde temperatuur
Niet stomen")</f>
        <v>Op 30 ° C max
Gebruik geen bleekmiddel
Gebruik geen van de droger
Strijken op gemiddelde temperatuur
Niet stomen</v>
      </c>
      <c r="V256" s="62" t="s">
        <v>978</v>
      </c>
      <c r="W256" s="101"/>
    </row>
    <row r="257" spans="1:23" ht="15.75" customHeight="1">
      <c r="A257" s="113" t="s">
        <v>993</v>
      </c>
      <c r="B257" s="143">
        <v>24</v>
      </c>
      <c r="C257" s="136"/>
      <c r="D257" s="136"/>
      <c r="E257" s="96"/>
      <c r="F257" s="43" t="s">
        <v>757</v>
      </c>
      <c r="G257" s="43" t="s">
        <v>975</v>
      </c>
      <c r="H257" s="44" t="s">
        <v>602</v>
      </c>
      <c r="I257" s="45"/>
      <c r="J257" s="149" t="s">
        <v>994</v>
      </c>
      <c r="K257" s="47"/>
      <c r="L257" s="47" t="s">
        <v>604</v>
      </c>
      <c r="M257" s="48" t="str">
        <f ca="1">IFERROR(__xludf.DUMMYFUNCTION("googletranslate(L257,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57" s="58" t="s">
        <v>605</v>
      </c>
      <c r="O257" s="49" t="str">
        <f ca="1">IFERROR(__xludf.DUMMYFUNCTION("googletranslate(N257, ""fr"", ""nl"")"),"Dit is de perfecte blue jeans broek! Onze denim shorts model vuurtoren rendementen dit jaar, nog steeds comfortabel.")</f>
        <v>Dit is de perfecte blue jeans broek! Onze denim shorts model vuurtoren rendementen dit jaar, nog steeds comfortabel.</v>
      </c>
      <c r="P257" s="100" t="s">
        <v>30</v>
      </c>
      <c r="Q257" s="49" t="str">
        <f ca="1">IFERROR(__xludf.DUMMYFUNCTION("GOOGLETRANSLATE(P257, ""fr"", ""nl"")"),"blauw")</f>
        <v>blauw</v>
      </c>
      <c r="R257" s="150" t="s">
        <v>992</v>
      </c>
      <c r="S257" s="52" t="str">
        <f ca="1">IFERROR(__xludf.DUMMYFUNCTION("GOOGLETRANSLATE(R257, ""fr"", ""nl"")"),"katoen
elastaan")</f>
        <v>katoen
elastaan</v>
      </c>
      <c r="T257" s="53" t="s">
        <v>32</v>
      </c>
      <c r="U257" s="54" t="str">
        <f ca="1">IFERROR(__xludf.DUMMYFUNCTION("GOOGLETRANSLATE(T257, ""fr"", ""nl"")"),"Op 30 ° C max
Gebruik geen bleekmiddel
Gebruik geen van de droger
Strijken op gemiddelde temperatuur
Niet stomen")</f>
        <v>Op 30 ° C max
Gebruik geen bleekmiddel
Gebruik geen van de droger
Strijken op gemiddelde temperatuur
Niet stomen</v>
      </c>
      <c r="V257" s="62" t="s">
        <v>978</v>
      </c>
      <c r="W257" s="101"/>
    </row>
    <row r="258" spans="1:23" ht="15.75" customHeight="1">
      <c r="A258" s="113" t="s">
        <v>995</v>
      </c>
      <c r="B258" s="93">
        <v>24</v>
      </c>
      <c r="C258" s="136"/>
      <c r="D258" s="136"/>
      <c r="E258" s="96"/>
      <c r="F258" s="43" t="s">
        <v>757</v>
      </c>
      <c r="G258" s="43" t="s">
        <v>975</v>
      </c>
      <c r="H258" s="44" t="s">
        <v>602</v>
      </c>
      <c r="I258" s="45"/>
      <c r="J258" s="149" t="s">
        <v>996</v>
      </c>
      <c r="K258" s="47"/>
      <c r="L258" s="47" t="s">
        <v>604</v>
      </c>
      <c r="M258" s="48" t="str">
        <f ca="1">IFERROR(__xludf.DUMMYFUNCTION("googletranslate(L258,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58" s="58" t="s">
        <v>605</v>
      </c>
      <c r="O258" s="49" t="str">
        <f ca="1">IFERROR(__xludf.DUMMYFUNCTION("googletranslate(N258, ""fr"", ""nl"")"),"Dit is de perfecte blue jeans broek! Onze denim shorts model vuurtoren rendementen dit jaar, nog steeds comfortabel.")</f>
        <v>Dit is de perfecte blue jeans broek! Onze denim shorts model vuurtoren rendementen dit jaar, nog steeds comfortabel.</v>
      </c>
      <c r="P258" s="100" t="s">
        <v>30</v>
      </c>
      <c r="Q258" s="49" t="str">
        <f ca="1">IFERROR(__xludf.DUMMYFUNCTION("GOOGLETRANSLATE(P258, ""fr"", ""nl"")"),"blauw")</f>
        <v>blauw</v>
      </c>
      <c r="R258" s="150" t="s">
        <v>992</v>
      </c>
      <c r="S258" s="52" t="str">
        <f ca="1">IFERROR(__xludf.DUMMYFUNCTION("GOOGLETRANSLATE(R258, ""fr"", ""nl"")"),"katoen
elastaan")</f>
        <v>katoen
elastaan</v>
      </c>
      <c r="T258" s="53" t="s">
        <v>32</v>
      </c>
      <c r="U258" s="54" t="str">
        <f ca="1">IFERROR(__xludf.DUMMYFUNCTION("GOOGLETRANSLATE(T258, ""fr"", ""nl"")"),"Op 30 ° C max
Gebruik geen bleekmiddel
Gebruik geen van de droger
Strijken op gemiddelde temperatuur
Niet stomen")</f>
        <v>Op 30 ° C max
Gebruik geen bleekmiddel
Gebruik geen van de droger
Strijken op gemiddelde temperatuur
Niet stomen</v>
      </c>
      <c r="V258" s="62" t="s">
        <v>978</v>
      </c>
      <c r="W258" s="101"/>
    </row>
    <row r="259" spans="1:23" ht="15.75" customHeight="1">
      <c r="A259" s="84" t="s">
        <v>611</v>
      </c>
      <c r="B259" s="85"/>
      <c r="C259" s="67"/>
      <c r="D259" s="67"/>
      <c r="E259" s="67"/>
      <c r="F259" s="87"/>
      <c r="G259" s="87"/>
      <c r="H259" s="26"/>
      <c r="I259" s="26"/>
      <c r="J259" s="88" t="s">
        <v>677</v>
      </c>
      <c r="K259" s="89"/>
      <c r="L259" s="89"/>
      <c r="M259" s="48" t="str">
        <f ca="1">IFERROR(__xludf.DUMMYFUNCTION("googletranslate(L259, ""fr"", ""nl"")"),"#VALUE!")</f>
        <v>#VALUE!</v>
      </c>
      <c r="N259" s="125"/>
      <c r="O259" s="49" t="str">
        <f ca="1">IFERROR(__xludf.DUMMYFUNCTION("googletranslate(N259, ""fr"", ""nl"")"),"#VALUE!")</f>
        <v>#VALUE!</v>
      </c>
      <c r="P259" s="91"/>
      <c r="Q259" s="49" t="str">
        <f ca="1">IFERROR(__xludf.DUMMYFUNCTION("GOOGLETRANSLATE(P259, ""fr"", ""nl"")"),"#VALUE!")</f>
        <v>#VALUE!</v>
      </c>
      <c r="R259" s="92"/>
      <c r="S259" s="52" t="str">
        <f ca="1">IFERROR(__xludf.DUMMYFUNCTION("GOOGLETRANSLATE(R259, ""fr"", ""nl"")"),"#VALUE!")</f>
        <v>#VALUE!</v>
      </c>
      <c r="T259" s="89"/>
      <c r="U259" s="54" t="str">
        <f ca="1">IFERROR(__xludf.DUMMYFUNCTION("GOOGLETRANSLATE(T259, ""fr"", ""nl"")"),"#VALUE!")</f>
        <v>#VALUE!</v>
      </c>
      <c r="V259" s="140"/>
      <c r="W259" s="38"/>
    </row>
    <row r="260" spans="1:23" ht="15.75" customHeight="1">
      <c r="A260" s="151" t="s">
        <v>997</v>
      </c>
      <c r="B260" s="93">
        <v>26</v>
      </c>
      <c r="C260" s="136"/>
      <c r="D260" s="136"/>
      <c r="E260" s="96"/>
      <c r="F260" s="43" t="s">
        <v>757</v>
      </c>
      <c r="G260" s="97" t="s">
        <v>998</v>
      </c>
      <c r="H260" s="44" t="s">
        <v>602</v>
      </c>
      <c r="I260" s="45"/>
      <c r="J260" s="116" t="s">
        <v>999</v>
      </c>
      <c r="K260" s="47"/>
      <c r="L260" s="47" t="s">
        <v>604</v>
      </c>
      <c r="M260" s="48" t="str">
        <f ca="1">IFERROR(__xludf.DUMMYFUNCTION("googletranslate(L260,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60" s="58" t="s">
        <v>1000</v>
      </c>
      <c r="O260" s="49" t="str">
        <f ca="1">IFERROR(__xludf.DUMMYFUNCTION("googletranslate(N260, ""fr"", ""nl"")"),"Dit is de perfecte jeans voor casual outfits ook qu'habillées. Zijn regular fit belooft het grootste comfort.")</f>
        <v>Dit is de perfecte jeans voor casual outfits ook qu'habillées. Zijn regular fit belooft het grootste comfort.</v>
      </c>
      <c r="P260" s="100" t="s">
        <v>30</v>
      </c>
      <c r="Q260" s="49" t="str">
        <f ca="1">IFERROR(__xludf.DUMMYFUNCTION("GOOGLETRANSLATE(P260, ""fr"", ""nl"")"),"blauw")</f>
        <v>blauw</v>
      </c>
      <c r="R260" s="150" t="s">
        <v>992</v>
      </c>
      <c r="S260" s="52" t="str">
        <f ca="1">IFERROR(__xludf.DUMMYFUNCTION("GOOGLETRANSLATE(R260, ""fr"", ""nl"")"),"katoen
elastaan")</f>
        <v>katoen
elastaan</v>
      </c>
      <c r="T260" s="53" t="s">
        <v>32</v>
      </c>
      <c r="U260" s="54" t="str">
        <f ca="1">IFERROR(__xludf.DUMMYFUNCTION("GOOGLETRANSLATE(T260, ""fr"", ""nl"")"),"Op 30 ° C max
Gebruik geen bleekmiddel
Gebruik geen van de droger
Strijken op gemiddelde temperatuur
Niet stomen")</f>
        <v>Op 30 ° C max
Gebruik geen bleekmiddel
Gebruik geen van de droger
Strijken op gemiddelde temperatuur
Niet stomen</v>
      </c>
      <c r="V260" s="62" t="s">
        <v>978</v>
      </c>
      <c r="W260" s="101"/>
    </row>
    <row r="261" spans="1:23" ht="15.75" customHeight="1">
      <c r="A261" s="151" t="s">
        <v>1001</v>
      </c>
      <c r="B261" s="93">
        <v>26</v>
      </c>
      <c r="C261" s="136"/>
      <c r="D261" s="136"/>
      <c r="E261" s="96"/>
      <c r="F261" s="43" t="s">
        <v>757</v>
      </c>
      <c r="G261" s="97" t="s">
        <v>998</v>
      </c>
      <c r="H261" s="44" t="s">
        <v>602</v>
      </c>
      <c r="I261" s="45"/>
      <c r="J261" s="116" t="s">
        <v>1002</v>
      </c>
      <c r="K261" s="47"/>
      <c r="L261" s="47" t="s">
        <v>604</v>
      </c>
      <c r="M261" s="48" t="str">
        <f ca="1">IFERROR(__xludf.DUMMYFUNCTION("googletranslate(L261,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61" s="58" t="s">
        <v>1000</v>
      </c>
      <c r="O261" s="49" t="str">
        <f ca="1">IFERROR(__xludf.DUMMYFUNCTION("googletranslate(N261, ""fr"", ""nl"")"),"Dit is de perfecte jeans voor casual outfits ook qu'habillées. Zijn regular fit belooft het grootste comfort.")</f>
        <v>Dit is de perfecte jeans voor casual outfits ook qu'habillées. Zijn regular fit belooft het grootste comfort.</v>
      </c>
      <c r="P261" s="100" t="s">
        <v>30</v>
      </c>
      <c r="Q261" s="49" t="str">
        <f ca="1">IFERROR(__xludf.DUMMYFUNCTION("GOOGLETRANSLATE(P261, ""fr"", ""nl"")"),"blauw")</f>
        <v>blauw</v>
      </c>
      <c r="R261" s="150" t="s">
        <v>992</v>
      </c>
      <c r="S261" s="52" t="str">
        <f ca="1">IFERROR(__xludf.DUMMYFUNCTION("GOOGLETRANSLATE(R261, ""fr"", ""nl"")"),"katoen
elastaan")</f>
        <v>katoen
elastaan</v>
      </c>
      <c r="T261" s="53" t="s">
        <v>32</v>
      </c>
      <c r="U261" s="54" t="str">
        <f ca="1">IFERROR(__xludf.DUMMYFUNCTION("GOOGLETRANSLATE(T261, ""fr"", ""nl"")"),"Op 30 ° C max
Gebruik geen bleekmiddel
Gebruik geen van de droger
Strijken op gemiddelde temperatuur
Niet stomen")</f>
        <v>Op 30 ° C max
Gebruik geen bleekmiddel
Gebruik geen van de droger
Strijken op gemiddelde temperatuur
Niet stomen</v>
      </c>
      <c r="V261" s="62" t="s">
        <v>978</v>
      </c>
      <c r="W261" s="101"/>
    </row>
    <row r="262" spans="1:23" ht="15.75" customHeight="1">
      <c r="A262" s="151" t="s">
        <v>1003</v>
      </c>
      <c r="B262" s="93">
        <v>26</v>
      </c>
      <c r="C262" s="136"/>
      <c r="D262" s="136"/>
      <c r="E262" s="96"/>
      <c r="F262" s="43" t="s">
        <v>757</v>
      </c>
      <c r="G262" s="97" t="s">
        <v>998</v>
      </c>
      <c r="H262" s="44" t="s">
        <v>602</v>
      </c>
      <c r="I262" s="45"/>
      <c r="J262" s="116" t="s">
        <v>1004</v>
      </c>
      <c r="K262" s="47"/>
      <c r="L262" s="47" t="s">
        <v>604</v>
      </c>
      <c r="M262" s="48" t="str">
        <f ca="1">IFERROR(__xludf.DUMMYFUNCTION("googletranslate(L262,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62" s="58" t="s">
        <v>1000</v>
      </c>
      <c r="O262" s="49" t="str">
        <f ca="1">IFERROR(__xludf.DUMMYFUNCTION("googletranslate(N262, ""fr"", ""nl"")"),"Dit is de perfecte jeans voor casual outfits ook qu'habillées. Zijn regular fit belooft het grootste comfort.")</f>
        <v>Dit is de perfecte jeans voor casual outfits ook qu'habillées. Zijn regular fit belooft het grootste comfort.</v>
      </c>
      <c r="P262" s="100" t="s">
        <v>30</v>
      </c>
      <c r="Q262" s="49" t="str">
        <f ca="1">IFERROR(__xludf.DUMMYFUNCTION("GOOGLETRANSLATE(P262, ""fr"", ""nl"")"),"blauw")</f>
        <v>blauw</v>
      </c>
      <c r="R262" s="150" t="s">
        <v>992</v>
      </c>
      <c r="S262" s="52" t="str">
        <f ca="1">IFERROR(__xludf.DUMMYFUNCTION("GOOGLETRANSLATE(R262, ""fr"", ""nl"")"),"katoen
elastaan")</f>
        <v>katoen
elastaan</v>
      </c>
      <c r="T262" s="53" t="s">
        <v>32</v>
      </c>
      <c r="U262" s="54" t="str">
        <f ca="1">IFERROR(__xludf.DUMMYFUNCTION("GOOGLETRANSLATE(T262, ""fr"", ""nl"")"),"Op 30 ° C max
Gebruik geen bleekmiddel
Gebruik geen van de droger
Strijken op gemiddelde temperatuur
Niet stomen")</f>
        <v>Op 30 ° C max
Gebruik geen bleekmiddel
Gebruik geen van de droger
Strijken op gemiddelde temperatuur
Niet stomen</v>
      </c>
      <c r="V262" s="62" t="s">
        <v>978</v>
      </c>
      <c r="W262" s="101"/>
    </row>
    <row r="263" spans="1:23" ht="15.75" customHeight="1">
      <c r="A263" s="151" t="s">
        <v>1005</v>
      </c>
      <c r="B263" s="143">
        <v>26</v>
      </c>
      <c r="C263" s="136"/>
      <c r="D263" s="136"/>
      <c r="E263" s="96"/>
      <c r="F263" s="43" t="s">
        <v>757</v>
      </c>
      <c r="G263" s="97" t="s">
        <v>998</v>
      </c>
      <c r="H263" s="44" t="s">
        <v>602</v>
      </c>
      <c r="I263" s="45"/>
      <c r="J263" s="116" t="s">
        <v>1006</v>
      </c>
      <c r="K263" s="47"/>
      <c r="L263" s="47" t="s">
        <v>604</v>
      </c>
      <c r="M263" s="48" t="str">
        <f ca="1">IFERROR(__xludf.DUMMYFUNCTION("googletranslate(L263, ""fr"", ""nl"")"),"
- Slim fit, maar niet strak
- knoop en zipper
- Twee voorzijde
- Een broekzak
- Twee zakken achter
- geboeid zomen
- riemlussen
- LogoJ &amp; JOY geborduurd broekzak
- Logo J &amp; JOY discrete stof op achterzak
- Crest J &amp; JOY leer op de achterkant van de taill"&amp;"e.
")</f>
        <v xml:space="preserve">
- Slim fit, maar niet strak
- knoop en zipper
- Twee voorzijde
- Een broekzak
- Twee zakken achter
- geboeid zomen
- riemlussen
- LogoJ &amp; JOY geborduurd broekzak
- Logo J &amp; JOY discrete stof op achterzak
- Crest J &amp; JOY leer op de achterkant van de taille.
</v>
      </c>
      <c r="N263" s="58" t="s">
        <v>1000</v>
      </c>
      <c r="O263" s="49" t="str">
        <f ca="1">IFERROR(__xludf.DUMMYFUNCTION("googletranslate(N263, ""fr"", ""nl"")"),"Dit is de perfecte jeans voor casual outfits ook qu'habillées. Zijn regular fit belooft het grootste comfort.")</f>
        <v>Dit is de perfecte jeans voor casual outfits ook qu'habillées. Zijn regular fit belooft het grootste comfort.</v>
      </c>
      <c r="P263" s="100" t="s">
        <v>30</v>
      </c>
      <c r="Q263" s="49" t="str">
        <f ca="1">IFERROR(__xludf.DUMMYFUNCTION("GOOGLETRANSLATE(P263, ""fr"", ""nl"")"),"blauw")</f>
        <v>blauw</v>
      </c>
      <c r="R263" s="150" t="s">
        <v>992</v>
      </c>
      <c r="S263" s="52" t="str">
        <f ca="1">IFERROR(__xludf.DUMMYFUNCTION("GOOGLETRANSLATE(R263, ""fr"", ""nl"")"),"katoen
elastaan")</f>
        <v>katoen
elastaan</v>
      </c>
      <c r="T263" s="53" t="s">
        <v>32</v>
      </c>
      <c r="U263" s="54" t="str">
        <f ca="1">IFERROR(__xludf.DUMMYFUNCTION("GOOGLETRANSLATE(T263, ""fr"", ""nl"")"),"Op 30 ° C max
Gebruik geen bleekmiddel
Gebruik geen van de droger
Strijken op gemiddelde temperatuur
Niet stomen")</f>
        <v>Op 30 ° C max
Gebruik geen bleekmiddel
Gebruik geen van de droger
Strijken op gemiddelde temperatuur
Niet stomen</v>
      </c>
      <c r="V263" s="62" t="s">
        <v>978</v>
      </c>
      <c r="W263" s="101"/>
    </row>
    <row r="264" spans="1:23" ht="15.75" customHeight="1">
      <c r="A264" s="84" t="s">
        <v>623</v>
      </c>
      <c r="B264" s="85"/>
      <c r="C264" s="67"/>
      <c r="D264" s="67"/>
      <c r="E264" s="67"/>
      <c r="F264" s="87"/>
      <c r="G264" s="87"/>
      <c r="H264" s="26"/>
      <c r="I264" s="26"/>
      <c r="J264" s="88" t="s">
        <v>677</v>
      </c>
      <c r="K264" s="89"/>
      <c r="L264" s="89"/>
      <c r="M264" s="48" t="str">
        <f ca="1">IFERROR(__xludf.DUMMYFUNCTION("googletranslate(L264, ""fr"", ""nl"")"),"#VALUE!")</f>
        <v>#VALUE!</v>
      </c>
      <c r="N264" s="125"/>
      <c r="O264" s="49" t="str">
        <f ca="1">IFERROR(__xludf.DUMMYFUNCTION("googletranslate(N264, ""fr"", ""nl"")"),"#VALUE!")</f>
        <v>#VALUE!</v>
      </c>
      <c r="P264" s="91"/>
      <c r="Q264" s="49" t="str">
        <f ca="1">IFERROR(__xludf.DUMMYFUNCTION("GOOGLETRANSLATE(P264, ""fr"", ""nl"")"),"#VALUE!")</f>
        <v>#VALUE!</v>
      </c>
      <c r="R264" s="92"/>
      <c r="S264" s="52" t="str">
        <f ca="1">IFERROR(__xludf.DUMMYFUNCTION("GOOGLETRANSLATE(R264, ""fr"", ""nl"")"),"#VALUE!")</f>
        <v>#VALUE!</v>
      </c>
      <c r="T264" s="89"/>
      <c r="U264" s="54" t="str">
        <f ca="1">IFERROR(__xludf.DUMMYFUNCTION("GOOGLETRANSLATE(T264, ""fr"", ""nl"")"),"#VALUE!")</f>
        <v>#VALUE!</v>
      </c>
      <c r="V264" s="140"/>
      <c r="W264" s="38"/>
    </row>
    <row r="265" spans="1:23" ht="15.75" customHeight="1">
      <c r="A265" s="39" t="s">
        <v>1007</v>
      </c>
      <c r="B265" s="93">
        <v>16</v>
      </c>
      <c r="C265" s="136"/>
      <c r="D265" s="136"/>
      <c r="E265" s="152"/>
      <c r="F265" s="43" t="s">
        <v>757</v>
      </c>
      <c r="G265" s="153" t="s">
        <v>1008</v>
      </c>
      <c r="H265" s="44" t="s">
        <v>626</v>
      </c>
      <c r="I265" s="45"/>
      <c r="J265" s="141" t="s">
        <v>1009</v>
      </c>
      <c r="K265" s="47"/>
      <c r="L265" s="47" t="s">
        <v>628</v>
      </c>
      <c r="M265" s="48" t="str">
        <f ca="1">IFERROR(__xludf.DUMMYFUNCTION("googletranslate(L265,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65" s="76" t="s">
        <v>1010</v>
      </c>
      <c r="O265" s="49" t="str">
        <f ca="1">IFERROR(__xludf.DUMMYFUNCTION("googletranslate(N265, ""fr"", ""nl"")"),"Met zijn tropische gronden, deze trui is zo mooi sterk en volgt u in uw duiken!
De grote +: het is milieuvriendelijk, omdat het is gemaakt van gerecycled polyester vezels!
1 = 20 shirt van plastic flessen gerecycleerd!
Ook beschikbaar voor volwassen loo"&amp;"ks voor vader / zoon assortiment!")</f>
        <v>Met zijn tropische gronden, deze trui is zo mooi sterk en volgt u in uw duiken!
De grote +: het is milieuvriendelijk, omdat het is gemaakt van gerecycled polyester vezels!
1 = 20 shirt van plastic flessen gerecycleerd!
Ook beschikbaar voor volwassen looks voor vader / zoon assortiment!</v>
      </c>
      <c r="P265" s="100" t="s">
        <v>155</v>
      </c>
      <c r="Q265" s="49" t="str">
        <f ca="1">IFERROR(__xludf.DUMMYFUNCTION("GOOGLETRANSLATE(P265, ""fr"", ""nl"")"),"veelkleurig")</f>
        <v>veelkleurig</v>
      </c>
      <c r="R265" s="107" t="s">
        <v>630</v>
      </c>
      <c r="S265" s="52" t="str">
        <f ca="1">IFERROR(__xludf.DUMMYFUNCTION("GOOGLETRANSLATE(R265, ""fr"", ""nl"")"),"100% gerecycleerd polyester ""Eco-Circle""")</f>
        <v>100% gerecycleerd polyester "Eco-Circle"</v>
      </c>
      <c r="T265" s="53" t="s">
        <v>32</v>
      </c>
      <c r="U265" s="54" t="str">
        <f ca="1">IFERROR(__xludf.DUMMYFUNCTION("GOOGLETRANSLATE(T265, ""fr"", ""nl"")"),"Op 30 ° C max
Gebruik geen bleekmiddel
Gebruik geen van de droger
Strijken op gemiddelde temperatuur
Niet stomen")</f>
        <v>Op 30 ° C max
Gebruik geen bleekmiddel
Gebruik geen van de droger
Strijken op gemiddelde temperatuur
Niet stomen</v>
      </c>
      <c r="V265" s="62" t="s">
        <v>761</v>
      </c>
      <c r="W265" s="101"/>
    </row>
    <row r="266" spans="1:23" ht="15.75" customHeight="1">
      <c r="A266" s="57" t="s">
        <v>1011</v>
      </c>
      <c r="B266" s="93">
        <v>16</v>
      </c>
      <c r="C266" s="136"/>
      <c r="D266" s="136"/>
      <c r="E266" s="152"/>
      <c r="F266" s="43" t="s">
        <v>757</v>
      </c>
      <c r="G266" s="153" t="s">
        <v>1008</v>
      </c>
      <c r="H266" s="44" t="s">
        <v>230</v>
      </c>
      <c r="I266" s="45"/>
      <c r="J266" s="141" t="s">
        <v>1012</v>
      </c>
      <c r="K266" s="47"/>
      <c r="L266" s="47" t="s">
        <v>628</v>
      </c>
      <c r="M266" s="48" t="str">
        <f ca="1">IFERROR(__xludf.DUMMYFUNCTION("googletranslate(L266,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66" s="76" t="s">
        <v>1013</v>
      </c>
      <c r="O266" s="49" t="str">
        <f ca="1">IFERROR(__xludf.DUMMYFUNCTION("googletranslate(N266, ""fr"", ""nl"")"),"Met bedrukte ""boemerangs,"" dit overhemd is origineel, sterk en klaar om u te volgen in uw duiken!
De grote +: het is milieuvriendelijk, omdat het is gemaakt van gerecycled polyester vezels!
1 = 20 shirt van plastic flessen gerecycleerd!")</f>
        <v>Met bedrukte "boemerangs," dit overhemd is origineel, sterk en klaar om u te volgen in uw duiken!
De grote +: het is milieuvriendelijk, omdat het is gemaakt van gerecycled polyester vezels!
1 = 20 shirt van plastic flessen gerecycleerd!</v>
      </c>
      <c r="P266" s="100" t="s">
        <v>155</v>
      </c>
      <c r="Q266" s="49" t="str">
        <f ca="1">IFERROR(__xludf.DUMMYFUNCTION("GOOGLETRANSLATE(P266, ""fr"", ""nl"")"),"veelkleurig")</f>
        <v>veelkleurig</v>
      </c>
      <c r="R266" s="107" t="s">
        <v>630</v>
      </c>
      <c r="S266" s="52" t="str">
        <f ca="1">IFERROR(__xludf.DUMMYFUNCTION("GOOGLETRANSLATE(R266, ""fr"", ""nl"")"),"100% gerecycleerd polyester ""Eco-Circle""")</f>
        <v>100% gerecycleerd polyester "Eco-Circle"</v>
      </c>
      <c r="T266" s="53" t="s">
        <v>32</v>
      </c>
      <c r="U266" s="54" t="str">
        <f ca="1">IFERROR(__xludf.DUMMYFUNCTION("GOOGLETRANSLATE(T266, ""fr"", ""nl"")"),"Op 30 ° C max
Gebruik geen bleekmiddel
Gebruik geen van de droger
Strijken op gemiddelde temperatuur
Niet stomen")</f>
        <v>Op 30 ° C max
Gebruik geen bleekmiddel
Gebruik geen van de droger
Strijken op gemiddelde temperatuur
Niet stomen</v>
      </c>
      <c r="V266" s="62" t="s">
        <v>761</v>
      </c>
      <c r="W266" s="101"/>
    </row>
    <row r="267" spans="1:23" ht="15.75" customHeight="1">
      <c r="A267" s="57" t="s">
        <v>1014</v>
      </c>
      <c r="B267" s="93">
        <v>16</v>
      </c>
      <c r="C267" s="136"/>
      <c r="D267" s="136"/>
      <c r="E267" s="152"/>
      <c r="F267" s="43" t="s">
        <v>757</v>
      </c>
      <c r="G267" s="153" t="s">
        <v>1008</v>
      </c>
      <c r="H267" s="44" t="s">
        <v>635</v>
      </c>
      <c r="I267" s="45"/>
      <c r="J267" s="141" t="s">
        <v>1015</v>
      </c>
      <c r="K267" s="47"/>
      <c r="L267" s="47" t="s">
        <v>628</v>
      </c>
      <c r="M267" s="48" t="str">
        <f ca="1">IFERROR(__xludf.DUMMYFUNCTION("googletranslate(L267,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67" s="76" t="s">
        <v>1016</v>
      </c>
      <c r="O267" s="49" t="str">
        <f ca="1">IFERROR(__xludf.DUMMYFUNCTION("googletranslate(N267, ""fr"", ""nl"")"),"Met al deze gedrukte letters, deze trui is origineel, sterk en klaar om u te volgen in uw duiken!
De grote +: het is milieuvriendelijk, omdat het is gemaakt van gerecycled polyester vezels!
1 = 20 shirt van plastic flessen gerecycleerd!
Ook beschikbaar "&amp;"voor volwassen looks voor vader / zoon assortiment!")</f>
        <v>Met al deze gedrukte letters, deze trui is origineel, sterk en klaar om u te volgen in uw duiken!
De grote +: het is milieuvriendelijk, omdat het is gemaakt van gerecycled polyester vezels!
1 = 20 shirt van plastic flessen gerecycleerd!
Ook beschikbaar voor volwassen looks voor vader / zoon assortiment!</v>
      </c>
      <c r="P267" s="100" t="s">
        <v>155</v>
      </c>
      <c r="Q267" s="49" t="str">
        <f ca="1">IFERROR(__xludf.DUMMYFUNCTION("GOOGLETRANSLATE(P267, ""fr"", ""nl"")"),"veelkleurig")</f>
        <v>veelkleurig</v>
      </c>
      <c r="R267" s="107" t="s">
        <v>630</v>
      </c>
      <c r="S267" s="52" t="str">
        <f ca="1">IFERROR(__xludf.DUMMYFUNCTION("GOOGLETRANSLATE(R267, ""fr"", ""nl"")"),"100% gerecycleerd polyester ""Eco-Circle""")</f>
        <v>100% gerecycleerd polyester "Eco-Circle"</v>
      </c>
      <c r="T267" s="53" t="s">
        <v>32</v>
      </c>
      <c r="U267" s="54" t="str">
        <f ca="1">IFERROR(__xludf.DUMMYFUNCTION("GOOGLETRANSLATE(T267, ""fr"", ""nl"")"),"Op 30 ° C max
Gebruik geen bleekmiddel
Gebruik geen van de droger
Strijken op gemiddelde temperatuur
Niet stomen")</f>
        <v>Op 30 ° C max
Gebruik geen bleekmiddel
Gebruik geen van de droger
Strijken op gemiddelde temperatuur
Niet stomen</v>
      </c>
      <c r="V267" s="62" t="s">
        <v>782</v>
      </c>
      <c r="W267" s="101"/>
    </row>
    <row r="268" spans="1:23" ht="15.75" customHeight="1">
      <c r="A268" s="57" t="s">
        <v>1017</v>
      </c>
      <c r="B268" s="93">
        <v>16</v>
      </c>
      <c r="C268" s="136"/>
      <c r="D268" s="136"/>
      <c r="E268" s="152"/>
      <c r="F268" s="43" t="s">
        <v>757</v>
      </c>
      <c r="G268" s="153" t="s">
        <v>1008</v>
      </c>
      <c r="H268" s="44" t="s">
        <v>639</v>
      </c>
      <c r="I268" s="45"/>
      <c r="J268" s="141" t="s">
        <v>1018</v>
      </c>
      <c r="K268" s="47"/>
      <c r="L268" s="47" t="s">
        <v>628</v>
      </c>
      <c r="M268" s="48" t="str">
        <f ca="1">IFERROR(__xludf.DUMMYFUNCTION("googletranslate(L268,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68" s="76" t="s">
        <v>1019</v>
      </c>
      <c r="O268" s="49" t="str">
        <f ca="1">IFERROR(__xludf.DUMMYFUNCTION("googletranslate(N268, ""fr"", ""nl"")"),"Welkom in de jungle! Deze trui is zo mooi sterk en is klaar om u te volgen in uw duiken!
De grote +: het is milieuvriendelijk, omdat het is gemaakt van gerecycled polyester vezels!
1 = 20 shirt van plastic flessen gerecycleerd!
Ook beschikbaar voor volw"&amp;"assen looks voor vader / zoon assortiment!")</f>
        <v>Welkom in de jungle! Deze trui is zo mooi sterk en is klaar om u te volgen in uw duiken!
De grote +: het is milieuvriendelijk, omdat het is gemaakt van gerecycled polyester vezels!
1 = 20 shirt van plastic flessen gerecycleerd!
Ook beschikbaar voor volwassen looks voor vader / zoon assortiment!</v>
      </c>
      <c r="P268" s="100" t="s">
        <v>155</v>
      </c>
      <c r="Q268" s="49" t="str">
        <f ca="1">IFERROR(__xludf.DUMMYFUNCTION("GOOGLETRANSLATE(P268, ""fr"", ""nl"")"),"veelkleurig")</f>
        <v>veelkleurig</v>
      </c>
      <c r="R268" s="107" t="s">
        <v>630</v>
      </c>
      <c r="S268" s="52" t="str">
        <f ca="1">IFERROR(__xludf.DUMMYFUNCTION("GOOGLETRANSLATE(R268, ""fr"", ""nl"")"),"100% gerecycleerd polyester ""Eco-Circle""")</f>
        <v>100% gerecycleerd polyester "Eco-Circle"</v>
      </c>
      <c r="T268" s="53" t="s">
        <v>32</v>
      </c>
      <c r="U268" s="54" t="str">
        <f ca="1">IFERROR(__xludf.DUMMYFUNCTION("GOOGLETRANSLATE(T268, ""fr"", ""nl"")"),"Op 30 ° C max
Gebruik geen bleekmiddel
Gebruik geen van de droger
Strijken op gemiddelde temperatuur
Niet stomen")</f>
        <v>Op 30 ° C max
Gebruik geen bleekmiddel
Gebruik geen van de droger
Strijken op gemiddelde temperatuur
Niet stomen</v>
      </c>
      <c r="V268" s="62" t="s">
        <v>782</v>
      </c>
      <c r="W268" s="101"/>
    </row>
    <row r="269" spans="1:23" ht="15.75" customHeight="1">
      <c r="A269" s="57" t="s">
        <v>1020</v>
      </c>
      <c r="B269" s="93">
        <v>16</v>
      </c>
      <c r="C269" s="136"/>
      <c r="D269" s="136"/>
      <c r="E269" s="152"/>
      <c r="F269" s="43" t="s">
        <v>757</v>
      </c>
      <c r="G269" s="153" t="s">
        <v>1008</v>
      </c>
      <c r="H269" s="44" t="s">
        <v>474</v>
      </c>
      <c r="I269" s="45"/>
      <c r="J269" s="141" t="s">
        <v>1021</v>
      </c>
      <c r="K269" s="47"/>
      <c r="L269" s="47" t="s">
        <v>628</v>
      </c>
      <c r="M269" s="48" t="str">
        <f ca="1">IFERROR(__xludf.DUMMYFUNCTION("googletranslate(L269,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69" s="76" t="s">
        <v>1022</v>
      </c>
      <c r="O269" s="49" t="str">
        <f ca="1">IFERROR(__xludf.DUMMYFUNCTION("googletranslate(N269, ""fr"", ""nl"")"),"Welkom in de jungle! Deze trui is zo mooi sterk en is klaar om u te volgen in uw duiken!
De grote +: het is milieuvriendelijk, omdat het is gemaakt van gerecycled polyester vezels!
1 = 20 shirt van plastic flessen gerecycleerd!
Ook beschikbaar voor volw"&amp;"assen looks voor vader / zoon assortiment!")</f>
        <v>Welkom in de jungle! Deze trui is zo mooi sterk en is klaar om u te volgen in uw duiken!
De grote +: het is milieuvriendelijk, omdat het is gemaakt van gerecycled polyester vezels!
1 = 20 shirt van plastic flessen gerecycleerd!
Ook beschikbaar voor volwassen looks voor vader / zoon assortiment!</v>
      </c>
      <c r="P269" s="100" t="s">
        <v>155</v>
      </c>
      <c r="Q269" s="49" t="str">
        <f ca="1">IFERROR(__xludf.DUMMYFUNCTION("GOOGLETRANSLATE(P269, ""fr"", ""nl"")"),"veelkleurig")</f>
        <v>veelkleurig</v>
      </c>
      <c r="R269" s="107" t="s">
        <v>630</v>
      </c>
      <c r="S269" s="52" t="str">
        <f ca="1">IFERROR(__xludf.DUMMYFUNCTION("GOOGLETRANSLATE(R269, ""fr"", ""nl"")"),"100% gerecycleerd polyester ""Eco-Circle""")</f>
        <v>100% gerecycleerd polyester "Eco-Circle"</v>
      </c>
      <c r="T269" s="53" t="s">
        <v>32</v>
      </c>
      <c r="U269" s="54" t="str">
        <f ca="1">IFERROR(__xludf.DUMMYFUNCTION("GOOGLETRANSLATE(T269, ""fr"", ""nl"")"),"Op 30 ° C max
Gebruik geen bleekmiddel
Gebruik geen van de droger
Strijken op gemiddelde temperatuur
Niet stomen")</f>
        <v>Op 30 ° C max
Gebruik geen bleekmiddel
Gebruik geen van de droger
Strijken op gemiddelde temperatuur
Niet stomen</v>
      </c>
      <c r="V269" s="62" t="s">
        <v>799</v>
      </c>
      <c r="W269" s="101"/>
    </row>
    <row r="270" spans="1:23" ht="15.75" customHeight="1">
      <c r="A270" s="57" t="s">
        <v>1023</v>
      </c>
      <c r="B270" s="93">
        <v>16</v>
      </c>
      <c r="C270" s="136"/>
      <c r="D270" s="136"/>
      <c r="E270" s="152"/>
      <c r="F270" s="43" t="s">
        <v>757</v>
      </c>
      <c r="G270" s="153" t="s">
        <v>1008</v>
      </c>
      <c r="H270" s="44" t="s">
        <v>646</v>
      </c>
      <c r="I270" s="45"/>
      <c r="J270" s="141" t="s">
        <v>1024</v>
      </c>
      <c r="K270" s="47"/>
      <c r="L270" s="47" t="s">
        <v>628</v>
      </c>
      <c r="M270" s="48" t="str">
        <f ca="1">IFERROR(__xludf.DUMMYFUNCTION("googletranslate(L270,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70" s="76" t="s">
        <v>1025</v>
      </c>
      <c r="O270" s="49" t="str">
        <f ca="1">IFERROR(__xludf.DUMMYFUNCTION("googletranslate(N270, ""fr"", ""nl"")"),"Welkom in de jungle! Deze trui is zo mooi sterk en is klaar om u te volgen in uw duiken!
De grote +: het is milieuvriendelijk, omdat het is gemaakt van gerecycled polyester vezels!
1 = 20 shirt van plastic flessen gerecycleerd!
Ook beschikbaar voor volw"&amp;"assen looks voor vader / zoon assortiment!
")</f>
        <v xml:space="preserve">Welkom in de jungle! Deze trui is zo mooi sterk en is klaar om u te volgen in uw duiken!
De grote +: het is milieuvriendelijk, omdat het is gemaakt van gerecycled polyester vezels!
1 = 20 shirt van plastic flessen gerecycleerd!
Ook beschikbaar voor volwassen looks voor vader / zoon assortiment!
</v>
      </c>
      <c r="P270" s="100" t="s">
        <v>155</v>
      </c>
      <c r="Q270" s="49" t="str">
        <f ca="1">IFERROR(__xludf.DUMMYFUNCTION("GOOGLETRANSLATE(P270, ""fr"", ""nl"")"),"veelkleurig")</f>
        <v>veelkleurig</v>
      </c>
      <c r="R270" s="107" t="s">
        <v>630</v>
      </c>
      <c r="S270" s="52" t="str">
        <f ca="1">IFERROR(__xludf.DUMMYFUNCTION("GOOGLETRANSLATE(R270, ""fr"", ""nl"")"),"100% gerecycleerd polyester ""Eco-Circle""")</f>
        <v>100% gerecycleerd polyester "Eco-Circle"</v>
      </c>
      <c r="T270" s="53" t="s">
        <v>32</v>
      </c>
      <c r="U270" s="54" t="str">
        <f ca="1">IFERROR(__xludf.DUMMYFUNCTION("GOOGLETRANSLATE(T270, ""fr"", ""nl"")"),"Op 30 ° C max
Gebruik geen bleekmiddel
Gebruik geen van de droger
Strijken op gemiddelde temperatuur
Niet stomen")</f>
        <v>Op 30 ° C max
Gebruik geen bleekmiddel
Gebruik geen van de droger
Strijken op gemiddelde temperatuur
Niet stomen</v>
      </c>
      <c r="V270" s="62" t="s">
        <v>799</v>
      </c>
      <c r="W270" s="101"/>
    </row>
    <row r="271" spans="1:23" ht="15.75" customHeight="1">
      <c r="A271" s="57" t="s">
        <v>1026</v>
      </c>
      <c r="B271" s="93">
        <v>16</v>
      </c>
      <c r="C271" s="136"/>
      <c r="D271" s="136"/>
      <c r="E271" s="152"/>
      <c r="F271" s="43" t="s">
        <v>757</v>
      </c>
      <c r="G271" s="153" t="s">
        <v>1008</v>
      </c>
      <c r="H271" s="44" t="s">
        <v>161</v>
      </c>
      <c r="I271" s="45"/>
      <c r="J271" s="141" t="s">
        <v>1027</v>
      </c>
      <c r="K271" s="47"/>
      <c r="L271" s="47" t="s">
        <v>628</v>
      </c>
      <c r="M271" s="48" t="str">
        <f ca="1">IFERROR(__xludf.DUMMYFUNCTION("googletranslate(L271, ""fr"", ""nl"")"),"
- Gedrukte patroon
- Grootte contrasterende elastisch koord
- Twee voorzijde
- achter met klep en klittenbandsluiting
- Netvoering
- Logo J &amp; JOY discreet stof op de rug
")</f>
        <v xml:space="preserve">
- Gedrukte patroon
- Grootte contrasterende elastisch koord
- Twee voorzijde
- achter met klep en klittenbandsluiting
- Netvoering
- Logo J &amp; JOY discreet stof op de rug
</v>
      </c>
      <c r="N271" s="76" t="s">
        <v>1028</v>
      </c>
      <c r="O271" s="49" t="str">
        <f ca="1">IFERROR(__xludf.DUMMYFUNCTION("googletranslate(N271, ""fr"", ""nl"")"),"Met een gedrukte zo kleurrijk en flamboyant, deze jersey brengt u naar de vergadering van veelkleurige vogels op Australische stranden!
De grote +: het is milieuvriendelijk, omdat het is gemaakt van gerecycled polyester vezels!
1 = 20 shirt van plastic "&amp;"flessen gerecycleerd!
Ook beschikbaar voor volwassen looks voor vader / zoon assortiment!")</f>
        <v>Met een gedrukte zo kleurrijk en flamboyant, deze jersey brengt u naar de vergadering van veelkleurige vogels op Australische stranden!
De grote +: het is milieuvriendelijk, omdat het is gemaakt van gerecycled polyester vezels!
1 = 20 shirt van plastic flessen gerecycleerd!
Ook beschikbaar voor volwassen looks voor vader / zoon assortiment!</v>
      </c>
      <c r="P271" s="100" t="s">
        <v>155</v>
      </c>
      <c r="Q271" s="49" t="str">
        <f ca="1">IFERROR(__xludf.DUMMYFUNCTION("GOOGLETRANSLATE(P271, ""fr"", ""nl"")"),"veelkleurig")</f>
        <v>veelkleurig</v>
      </c>
      <c r="R271" s="107" t="s">
        <v>630</v>
      </c>
      <c r="S271" s="52" t="str">
        <f ca="1">IFERROR(__xludf.DUMMYFUNCTION("GOOGLETRANSLATE(R271, ""fr"", ""nl"")"),"100% gerecycleerd polyester ""Eco-Circle""")</f>
        <v>100% gerecycleerd polyester "Eco-Circle"</v>
      </c>
      <c r="T271" s="53" t="s">
        <v>32</v>
      </c>
      <c r="U271" s="54" t="str">
        <f ca="1">IFERROR(__xludf.DUMMYFUNCTION("GOOGLETRANSLATE(T271, ""fr"", ""nl"")"),"Op 30 ° C max
Gebruik geen bleekmiddel
Gebruik geen van de droger
Strijken op gemiddelde temperatuur
Niet stomen")</f>
        <v>Op 30 ° C max
Gebruik geen bleekmiddel
Gebruik geen van de droger
Strijken op gemiddelde temperatuur
Niet stomen</v>
      </c>
      <c r="V271" s="62" t="s">
        <v>815</v>
      </c>
      <c r="W271" s="101"/>
    </row>
    <row r="272" spans="1:23" ht="15.75" customHeight="1">
      <c r="A272" s="84" t="s">
        <v>652</v>
      </c>
      <c r="B272" s="85"/>
      <c r="C272" s="67"/>
      <c r="D272" s="67"/>
      <c r="E272" s="67"/>
      <c r="F272" s="87"/>
      <c r="G272" s="87"/>
      <c r="H272" s="26"/>
      <c r="I272" s="26"/>
      <c r="J272" s="88" t="s">
        <v>677</v>
      </c>
      <c r="K272" s="89"/>
      <c r="L272" s="89"/>
      <c r="M272" s="48" t="str">
        <f ca="1">IFERROR(__xludf.DUMMYFUNCTION("googletranslate(L272, ""fr"", ""nl"")"),"#VALUE!")</f>
        <v>#VALUE!</v>
      </c>
      <c r="N272" s="125"/>
      <c r="O272" s="49" t="str">
        <f ca="1">IFERROR(__xludf.DUMMYFUNCTION("googletranslate(N272, ""fr"", ""nl"")"),"#VALUE!")</f>
        <v>#VALUE!</v>
      </c>
      <c r="P272" s="91"/>
      <c r="Q272" s="49" t="str">
        <f ca="1">IFERROR(__xludf.DUMMYFUNCTION("GOOGLETRANSLATE(P272, ""fr"", ""nl"")"),"#VALUE!")</f>
        <v>#VALUE!</v>
      </c>
      <c r="R272" s="92"/>
      <c r="S272" s="52" t="str">
        <f ca="1">IFERROR(__xludf.DUMMYFUNCTION("GOOGLETRANSLATE(R272, ""fr"", ""nl"")"),"#VALUE!")</f>
        <v>#VALUE!</v>
      </c>
      <c r="T272" s="89"/>
      <c r="U272" s="54" t="str">
        <f ca="1">IFERROR(__xludf.DUMMYFUNCTION("GOOGLETRANSLATE(T272, ""fr"", ""nl"")"),"#VALUE!")</f>
        <v>#VALUE!</v>
      </c>
      <c r="V272" s="140"/>
      <c r="W272" s="38"/>
    </row>
    <row r="273" spans="1:23" ht="15.75" customHeight="1">
      <c r="A273" s="39" t="s">
        <v>1029</v>
      </c>
      <c r="B273" s="120">
        <v>12</v>
      </c>
      <c r="C273" s="136"/>
      <c r="D273" s="136"/>
      <c r="E273" s="152"/>
      <c r="F273" s="153" t="s">
        <v>757</v>
      </c>
      <c r="G273" s="153" t="s">
        <v>1030</v>
      </c>
      <c r="H273" s="44" t="s">
        <v>230</v>
      </c>
      <c r="I273" s="45"/>
      <c r="J273" s="141" t="s">
        <v>1031</v>
      </c>
      <c r="K273" s="47"/>
      <c r="L273" s="47" t="s">
        <v>656</v>
      </c>
      <c r="M273" s="48" t="str">
        <f ca="1">IFERROR(__xludf.DUMMYFUNCTION("googletranslate(L273, ""fr"", ""nl"")"),"
- Reeks 2 gedrukt boxers
- Klassieke pasvorm
- Zachte aanraking
- Elastiek in de taille
- langs de voorkant
")</f>
        <v xml:space="preserve">
- Reeks 2 gedrukt boxers
- Klassieke pasvorm
- Zachte aanraking
- Elastiek in de taille
- langs de voorkant
</v>
      </c>
      <c r="N273" s="76" t="s">
        <v>657</v>
      </c>
      <c r="O273" s="49" t="str">
        <f ca="1">IFERROR(__xludf.DUMMYFUNCTION("googletranslate(N273, ""fr"", ""nl"")"),"Een set van 2 boxers zo mooi als comfortabel met patronen ""boemerangs"" en ""jungle"".")</f>
        <v>Een set van 2 boxers zo mooi als comfortabel met patronen "boemerangs" en "jungle".</v>
      </c>
      <c r="P273" s="100" t="s">
        <v>155</v>
      </c>
      <c r="Q273" s="49" t="str">
        <f ca="1">IFERROR(__xludf.DUMMYFUNCTION("GOOGLETRANSLATE(P273, ""fr"", ""nl"")"),"veelkleurig")</f>
        <v>veelkleurig</v>
      </c>
      <c r="R273" s="121" t="s">
        <v>1032</v>
      </c>
      <c r="S273" s="52" t="str">
        <f ca="1">IFERROR(__xludf.DUMMYFUNCTION("GOOGLETRANSLATE(R273, ""fr"", ""nl"")"),"95% katoen 5% elastane")</f>
        <v>95% katoen 5% elastane</v>
      </c>
      <c r="T273" s="53" t="s">
        <v>32</v>
      </c>
      <c r="U273" s="54" t="str">
        <f ca="1">IFERROR(__xludf.DUMMYFUNCTION("GOOGLETRANSLATE(T273, ""fr"", ""nl"")"),"Op 30 ° C max
Gebruik geen bleekmiddel
Gebruik geen van de droger
Strijken op gemiddelde temperatuur
Niet stomen")</f>
        <v>Op 30 ° C max
Gebruik geen bleekmiddel
Gebruik geen van de droger
Strijken op gemiddelde temperatuur
Niet stomen</v>
      </c>
      <c r="V273" s="62" t="s">
        <v>761</v>
      </c>
      <c r="W273" s="101"/>
    </row>
    <row r="274" spans="1:23" ht="15.75" customHeight="1">
      <c r="A274" s="57" t="s">
        <v>1033</v>
      </c>
      <c r="B274" s="120">
        <v>12</v>
      </c>
      <c r="C274" s="136"/>
      <c r="D274" s="136"/>
      <c r="E274" s="152"/>
      <c r="F274" s="153" t="s">
        <v>757</v>
      </c>
      <c r="G274" s="153" t="s">
        <v>1030</v>
      </c>
      <c r="H274" s="44" t="s">
        <v>434</v>
      </c>
      <c r="I274" s="45"/>
      <c r="J274" s="141" t="s">
        <v>1034</v>
      </c>
      <c r="K274" s="47"/>
      <c r="L274" s="47" t="s">
        <v>656</v>
      </c>
      <c r="M274" s="48" t="str">
        <f ca="1">IFERROR(__xludf.DUMMYFUNCTION("googletranslate(L274, ""fr"", ""nl"")"),"
- Reeks 2 gedrukt boxers
- Klassieke pasvorm
- Zachte aanraking
- Elastiek in de taille
- langs de voorkant
")</f>
        <v xml:space="preserve">
- Reeks 2 gedrukt boxers
- Klassieke pasvorm
- Zachte aanraking
- Elastiek in de taille
- langs de voorkant
</v>
      </c>
      <c r="N274" s="76" t="s">
        <v>661</v>
      </c>
      <c r="O274" s="49" t="str">
        <f ca="1">IFERROR(__xludf.DUMMYFUNCTION("googletranslate(N274, ""fr"", ""nl"")"),"Een set van 2 boxers zo mooi als comfortabel met patronen ""kangoeroes"" en ""jungle"".")</f>
        <v>Een set van 2 boxers zo mooi als comfortabel met patronen "kangoeroes" en "jungle".</v>
      </c>
      <c r="P274" s="100" t="s">
        <v>155</v>
      </c>
      <c r="Q274" s="49" t="str">
        <f ca="1">IFERROR(__xludf.DUMMYFUNCTION("GOOGLETRANSLATE(P274, ""fr"", ""nl"")"),"veelkleurig")</f>
        <v>veelkleurig</v>
      </c>
      <c r="R274" s="154" t="s">
        <v>658</v>
      </c>
      <c r="S274" s="52" t="str">
        <f ca="1">IFERROR(__xludf.DUMMYFUNCTION("GOOGLETRANSLATE(R274, ""fr"", ""nl"")"),"95% katoen en 5% elastaan")</f>
        <v>95% katoen en 5% elastaan</v>
      </c>
      <c r="T274" s="53" t="s">
        <v>32</v>
      </c>
      <c r="U274" s="54" t="str">
        <f ca="1">IFERROR(__xludf.DUMMYFUNCTION("GOOGLETRANSLATE(T274, ""fr"", ""nl"")"),"Op 30 ° C max
Gebruik geen bleekmiddel
Gebruik geen van de droger
Strijken op gemiddelde temperatuur
Niet stomen")</f>
        <v>Op 30 ° C max
Gebruik geen bleekmiddel
Gebruik geen van de droger
Strijken op gemiddelde temperatuur
Niet stomen</v>
      </c>
      <c r="V274" s="62" t="s">
        <v>761</v>
      </c>
      <c r="W274" s="101"/>
    </row>
    <row r="275" spans="1:23" ht="15.75" customHeight="1">
      <c r="A275" s="57" t="s">
        <v>1035</v>
      </c>
      <c r="B275" s="120">
        <v>12</v>
      </c>
      <c r="C275" s="136"/>
      <c r="D275" s="136"/>
      <c r="E275" s="152"/>
      <c r="F275" s="153" t="s">
        <v>757</v>
      </c>
      <c r="G275" s="153" t="s">
        <v>1030</v>
      </c>
      <c r="H275" s="44" t="s">
        <v>663</v>
      </c>
      <c r="I275" s="45"/>
      <c r="J275" s="141" t="s">
        <v>1036</v>
      </c>
      <c r="K275" s="47"/>
      <c r="L275" s="47" t="s">
        <v>656</v>
      </c>
      <c r="M275" s="48" t="str">
        <f ca="1">IFERROR(__xludf.DUMMYFUNCTION("googletranslate(L275, ""fr"", ""nl"")"),"
- Reeks 2 gedrukt boxers
- Klassieke pasvorm
- Zachte aanraking
- Elastiek in de taille
- langs de voorkant
")</f>
        <v xml:space="preserve">
- Reeks 2 gedrukt boxers
- Klassieke pasvorm
- Zachte aanraking
- Elastiek in de taille
- langs de voorkant
</v>
      </c>
      <c r="N275" s="76" t="s">
        <v>665</v>
      </c>
      <c r="O275" s="49" t="str">
        <f ca="1">IFERROR(__xludf.DUMMYFUNCTION("googletranslate(N275, ""fr"", ""nl"")"),"Een set van 2 boxers zo mooi als comfortabel met patronen ""junk food"" en ""letters"".")</f>
        <v>Een set van 2 boxers zo mooi als comfortabel met patronen "junk food" en "letters".</v>
      </c>
      <c r="P275" s="100" t="s">
        <v>155</v>
      </c>
      <c r="Q275" s="49" t="str">
        <f ca="1">IFERROR(__xludf.DUMMYFUNCTION("GOOGLETRANSLATE(P275, ""fr"", ""nl"")"),"veelkleurig")</f>
        <v>veelkleurig</v>
      </c>
      <c r="R275" s="154" t="s">
        <v>658</v>
      </c>
      <c r="S275" s="52" t="str">
        <f ca="1">IFERROR(__xludf.DUMMYFUNCTION("GOOGLETRANSLATE(R275, ""fr"", ""nl"")"),"95% katoen en 5% elastaan")</f>
        <v>95% katoen en 5% elastaan</v>
      </c>
      <c r="T275" s="53" t="s">
        <v>32</v>
      </c>
      <c r="U275" s="54" t="str">
        <f ca="1">IFERROR(__xludf.DUMMYFUNCTION("GOOGLETRANSLATE(T275, ""fr"", ""nl"")"),"Op 30 ° C max
Gebruik geen bleekmiddel
Gebruik geen van de droger
Strijken op gemiddelde temperatuur
Niet stomen")</f>
        <v>Op 30 ° C max
Gebruik geen bleekmiddel
Gebruik geen van de droger
Strijken op gemiddelde temperatuur
Niet stomen</v>
      </c>
      <c r="V275" s="62" t="s">
        <v>782</v>
      </c>
      <c r="W275" s="101"/>
    </row>
    <row r="276" spans="1:23" ht="15.75" customHeight="1">
      <c r="A276" s="57" t="s">
        <v>1037</v>
      </c>
      <c r="B276" s="120">
        <v>12</v>
      </c>
      <c r="C276" s="136"/>
      <c r="D276" s="136"/>
      <c r="E276" s="152"/>
      <c r="F276" s="153" t="s">
        <v>757</v>
      </c>
      <c r="G276" s="153" t="s">
        <v>1030</v>
      </c>
      <c r="H276" s="44" t="s">
        <v>667</v>
      </c>
      <c r="I276" s="45"/>
      <c r="J276" s="141" t="s">
        <v>1038</v>
      </c>
      <c r="K276" s="47"/>
      <c r="L276" s="47" t="s">
        <v>656</v>
      </c>
      <c r="M276" s="48" t="str">
        <f ca="1">IFERROR(__xludf.DUMMYFUNCTION("googletranslate(L276, ""fr"", ""nl"")"),"
- Reeks 2 gedrukt boxers
- Klassieke pasvorm
- Zachte aanraking
- Elastiek in de taille
- langs de voorkant
")</f>
        <v xml:space="preserve">
- Reeks 2 gedrukt boxers
- Klassieke pasvorm
- Zachte aanraking
- Elastiek in de taille
- langs de voorkant
</v>
      </c>
      <c r="N276" s="76" t="s">
        <v>669</v>
      </c>
      <c r="O276" s="49" t="str">
        <f ca="1">IFERROR(__xludf.DUMMYFUNCTION("googletranslate(N276, ""fr"", ""nl"")"),"Een set van 2 boxers zo mooi als comfortabel met patronen ""coconut"" en ""jungle"".")</f>
        <v>Een set van 2 boxers zo mooi als comfortabel met patronen "coconut" en "jungle".</v>
      </c>
      <c r="P276" s="100" t="s">
        <v>155</v>
      </c>
      <c r="Q276" s="49" t="str">
        <f ca="1">IFERROR(__xludf.DUMMYFUNCTION("GOOGLETRANSLATE(P276, ""fr"", ""nl"")"),"veelkleurig")</f>
        <v>veelkleurig</v>
      </c>
      <c r="R276" s="154" t="s">
        <v>658</v>
      </c>
      <c r="S276" s="52" t="str">
        <f ca="1">IFERROR(__xludf.DUMMYFUNCTION("GOOGLETRANSLATE(R276, ""fr"", ""nl"")"),"95% katoen en 5% elastaan")</f>
        <v>95% katoen en 5% elastaan</v>
      </c>
      <c r="T276" s="53" t="s">
        <v>32</v>
      </c>
      <c r="U276" s="54" t="str">
        <f ca="1">IFERROR(__xludf.DUMMYFUNCTION("GOOGLETRANSLATE(T276, ""fr"", ""nl"")"),"Op 30 ° C max
Gebruik geen bleekmiddel
Gebruik geen van de droger
Strijken op gemiddelde temperatuur
Niet stomen")</f>
        <v>Op 30 ° C max
Gebruik geen bleekmiddel
Gebruik geen van de droger
Strijken op gemiddelde temperatuur
Niet stomen</v>
      </c>
      <c r="V276" s="62" t="s">
        <v>782</v>
      </c>
      <c r="W276" s="101"/>
    </row>
    <row r="277" spans="1:23" ht="15.75" customHeight="1">
      <c r="A277" s="57" t="s">
        <v>1039</v>
      </c>
      <c r="B277" s="120">
        <v>12</v>
      </c>
      <c r="C277" s="136"/>
      <c r="D277" s="136"/>
      <c r="E277" s="152"/>
      <c r="F277" s="153" t="s">
        <v>757</v>
      </c>
      <c r="G277" s="153" t="s">
        <v>1030</v>
      </c>
      <c r="H277" s="44" t="s">
        <v>671</v>
      </c>
      <c r="I277" s="45"/>
      <c r="J277" s="141" t="s">
        <v>1040</v>
      </c>
      <c r="K277" s="47"/>
      <c r="L277" s="47" t="s">
        <v>656</v>
      </c>
      <c r="M277" s="48" t="str">
        <f ca="1">IFERROR(__xludf.DUMMYFUNCTION("googletranslate(L277, ""fr"", ""nl"")"),"
- Reeks 2 gedrukt boxers
- Klassieke pasvorm
- Zachte aanraking
- Elastiek in de taille
- langs de voorkant
")</f>
        <v xml:space="preserve">
- Reeks 2 gedrukt boxers
- Klassieke pasvorm
- Zachte aanraking
- Elastiek in de taille
- langs de voorkant
</v>
      </c>
      <c r="N277" s="76" t="s">
        <v>673</v>
      </c>
      <c r="O277" s="49" t="str">
        <f ca="1">IFERROR(__xludf.DUMMYFUNCTION("googletranslate(N277, ""fr"", ""nl"")"),"Een set van 2 boxers zo mooi als comfortabel met een gedrukt ""jungle"".")</f>
        <v>Een set van 2 boxers zo mooi als comfortabel met een gedrukt "jungle".</v>
      </c>
      <c r="P277" s="100" t="s">
        <v>155</v>
      </c>
      <c r="Q277" s="49" t="str">
        <f ca="1">IFERROR(__xludf.DUMMYFUNCTION("GOOGLETRANSLATE(P277, ""fr"", ""nl"")"),"veelkleurig")</f>
        <v>veelkleurig</v>
      </c>
      <c r="R277" s="154" t="s">
        <v>658</v>
      </c>
      <c r="S277" s="52" t="str">
        <f ca="1">IFERROR(__xludf.DUMMYFUNCTION("GOOGLETRANSLATE(R277, ""fr"", ""nl"")"),"95% katoen en 5% elastaan")</f>
        <v>95% katoen en 5% elastaan</v>
      </c>
      <c r="T277" s="53" t="s">
        <v>32</v>
      </c>
      <c r="U277" s="54" t="str">
        <f ca="1">IFERROR(__xludf.DUMMYFUNCTION("GOOGLETRANSLATE(T277, ""fr"", ""nl"")"),"Op 30 ° C max
Gebruik geen bleekmiddel
Gebruik geen van de droger
Strijken op gemiddelde temperatuur
Niet stomen")</f>
        <v>Op 30 ° C max
Gebruik geen bleekmiddel
Gebruik geen van de droger
Strijken op gemiddelde temperatuur
Niet stomen</v>
      </c>
      <c r="V277" s="62" t="s">
        <v>799</v>
      </c>
      <c r="W277" s="101"/>
    </row>
    <row r="278" spans="1:23" ht="15.75" customHeight="1">
      <c r="A278" s="57" t="s">
        <v>1041</v>
      </c>
      <c r="B278" s="120">
        <v>12</v>
      </c>
      <c r="C278" s="136"/>
      <c r="D278" s="136"/>
      <c r="E278" s="152"/>
      <c r="F278" s="153" t="s">
        <v>757</v>
      </c>
      <c r="G278" s="153" t="s">
        <v>1030</v>
      </c>
      <c r="H278" s="44" t="s">
        <v>169</v>
      </c>
      <c r="I278" s="45"/>
      <c r="J278" s="141" t="s">
        <v>1042</v>
      </c>
      <c r="K278" s="47"/>
      <c r="L278" s="47" t="s">
        <v>656</v>
      </c>
      <c r="M278" s="48" t="str">
        <f ca="1">IFERROR(__xludf.DUMMYFUNCTION("googletranslate(L278, ""fr"", ""nl"")"),"
- Reeks 2 gedrukt boxers
- Klassieke pasvorm
- Zachte aanraking
- Elastiek in de taille
- langs de voorkant
")</f>
        <v xml:space="preserve">
- Reeks 2 gedrukt boxers
- Klassieke pasvorm
- Zachte aanraking
- Elastiek in de taille
- langs de voorkant
</v>
      </c>
      <c r="N278" s="76" t="s">
        <v>673</v>
      </c>
      <c r="O278" s="49" t="str">
        <f ca="1">IFERROR(__xludf.DUMMYFUNCTION("googletranslate(N278, ""fr"", ""nl"")"),"Een set van 2 boxers zo mooi als comfortabel met een gedrukt ""jungle"".")</f>
        <v>Een set van 2 boxers zo mooi als comfortabel met een gedrukt "jungle".</v>
      </c>
      <c r="P278" s="100" t="s">
        <v>155</v>
      </c>
      <c r="Q278" s="49" t="str">
        <f ca="1">IFERROR(__xludf.DUMMYFUNCTION("GOOGLETRANSLATE(P278, ""fr"", ""nl"")"),"veelkleurig")</f>
        <v>veelkleurig</v>
      </c>
      <c r="R278" s="154" t="s">
        <v>658</v>
      </c>
      <c r="S278" s="52" t="str">
        <f ca="1">IFERROR(__xludf.DUMMYFUNCTION("GOOGLETRANSLATE(R278, ""fr"", ""nl"")"),"95% katoen en 5% elastaan")</f>
        <v>95% katoen en 5% elastaan</v>
      </c>
      <c r="T278" s="53" t="s">
        <v>32</v>
      </c>
      <c r="U278" s="54" t="str">
        <f ca="1">IFERROR(__xludf.DUMMYFUNCTION("GOOGLETRANSLATE(T278, ""fr"", ""nl"")"),"Op 30 ° C max
Gebruik geen bleekmiddel
Gebruik geen van de droger
Strijken op gemiddelde temperatuur
Niet stomen")</f>
        <v>Op 30 ° C max
Gebruik geen bleekmiddel
Gebruik geen van de droger
Strijken op gemiddelde temperatuur
Niet stomen</v>
      </c>
      <c r="V278" s="62" t="s">
        <v>815</v>
      </c>
      <c r="W278" s="101"/>
    </row>
    <row r="279" spans="1:23" ht="15.75" customHeight="1">
      <c r="A279" s="84" t="s">
        <v>1043</v>
      </c>
      <c r="B279" s="85"/>
      <c r="C279" s="67"/>
      <c r="D279" s="67"/>
      <c r="E279" s="67"/>
      <c r="F279" s="87"/>
      <c r="G279" s="87"/>
      <c r="H279" s="26"/>
      <c r="I279" s="26"/>
      <c r="J279" s="88" t="s">
        <v>677</v>
      </c>
      <c r="K279" s="89"/>
      <c r="L279" s="89"/>
      <c r="M279" s="48" t="str">
        <f ca="1">IFERROR(__xludf.DUMMYFUNCTION("googletranslate(L279, ""fr"", ""nl"")"),"#VALUE!")</f>
        <v>#VALUE!</v>
      </c>
      <c r="N279" s="125"/>
      <c r="O279" s="49" t="str">
        <f ca="1">IFERROR(__xludf.DUMMYFUNCTION("googletranslate(N279, ""fr"", ""nl"")"),"#VALUE!")</f>
        <v>#VALUE!</v>
      </c>
      <c r="P279" s="91"/>
      <c r="Q279" s="49" t="str">
        <f ca="1">IFERROR(__xludf.DUMMYFUNCTION("GOOGLETRANSLATE(P279, ""fr"", ""nl"")"),"#VALUE!")</f>
        <v>#VALUE!</v>
      </c>
      <c r="R279" s="92"/>
      <c r="S279" s="52" t="str">
        <f ca="1">IFERROR(__xludf.DUMMYFUNCTION("GOOGLETRANSLATE(R279, ""fr"", ""nl"")"),"#VALUE!")</f>
        <v>#VALUE!</v>
      </c>
      <c r="T279" s="89"/>
      <c r="U279" s="54" t="str">
        <f ca="1">IFERROR(__xludf.DUMMYFUNCTION("GOOGLETRANSLATE(T279, ""fr"", ""nl"")"),"#VALUE!")</f>
        <v>#VALUE!</v>
      </c>
      <c r="V279" s="140"/>
      <c r="W279" s="38"/>
    </row>
    <row r="280" spans="1:23" ht="15.75" customHeight="1">
      <c r="A280" s="39" t="s">
        <v>1044</v>
      </c>
      <c r="B280" s="143">
        <v>12</v>
      </c>
      <c r="C280" s="136"/>
      <c r="D280" s="136"/>
      <c r="E280" s="152"/>
      <c r="F280" s="153" t="s">
        <v>757</v>
      </c>
      <c r="G280" s="153" t="s">
        <v>1045</v>
      </c>
      <c r="H280" s="44" t="s">
        <v>680</v>
      </c>
      <c r="I280" s="45"/>
      <c r="J280" s="141" t="s">
        <v>1046</v>
      </c>
      <c r="K280" s="155"/>
      <c r="L280" s="155" t="s">
        <v>682</v>
      </c>
      <c r="M280" s="48" t="str">
        <f ca="1">IFERROR(__xludf.DUMMYFUNCTION("googletranslate(L280,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0" s="76" t="s">
        <v>1047</v>
      </c>
      <c r="O280" s="49" t="str">
        <f ca="1">IFERROR(__xludf.DUMMYFUNCTION("googletranslate(N280, ""fr"", ""nl"")"),"Dit marineblauwe pet, wit en rood is zeer draagbaar.
Zijn vizier beschermt je ogen tegen de zon, en zijn ventilatiegaten zijn handig voor u om te dragen in de zomer als de rest van het jaar.
Het belangrijkste: het uw look met stijl voltooit!")</f>
        <v>Dit marineblauwe pet, wit en rood is zeer draagbaar.
Zijn vizier beschermt je ogen tegen de zon, en zijn ventilatiegaten zijn handig voor u om te dragen in de zomer als de rest van het jaar.
Het belangrijkste: het uw look met stijl voltooit!</v>
      </c>
      <c r="P280" s="100" t="s">
        <v>155</v>
      </c>
      <c r="Q280" s="49" t="str">
        <f ca="1">IFERROR(__xludf.DUMMYFUNCTION("GOOGLETRANSLATE(P280, ""fr"", ""nl"")"),"veelkleurig")</f>
        <v>veelkleurig</v>
      </c>
      <c r="R280" s="123" t="s">
        <v>31</v>
      </c>
      <c r="S280" s="52" t="str">
        <f ca="1">IFERROR(__xludf.DUMMYFUNCTION("GOOGLETRANSLATE(R280, ""fr"", ""nl"")"),"100% katoen")</f>
        <v>100% katoen</v>
      </c>
      <c r="T280" s="53" t="s">
        <v>32</v>
      </c>
      <c r="U280" s="54" t="str">
        <f ca="1">IFERROR(__xludf.DUMMYFUNCTION("GOOGLETRANSLATE(T280, ""fr"", ""nl"")"),"Op 30 ° C max
Gebruik geen bleekmiddel
Gebruik geen van de droger
Strijken op gemiddelde temperatuur
Niet stomen")</f>
        <v>Op 30 ° C max
Gebruik geen bleekmiddel
Gebruik geen van de droger
Strijken op gemiddelde temperatuur
Niet stomen</v>
      </c>
      <c r="V280" s="62" t="s">
        <v>761</v>
      </c>
      <c r="W280" s="101"/>
    </row>
    <row r="281" spans="1:23" ht="15.75" customHeight="1">
      <c r="A281" s="57" t="s">
        <v>1048</v>
      </c>
      <c r="B281" s="143">
        <v>12</v>
      </c>
      <c r="C281" s="136"/>
      <c r="D281" s="136"/>
      <c r="E281" s="152"/>
      <c r="F281" s="153" t="s">
        <v>757</v>
      </c>
      <c r="G281" s="153" t="s">
        <v>1045</v>
      </c>
      <c r="H281" s="44" t="s">
        <v>525</v>
      </c>
      <c r="I281" s="45"/>
      <c r="J281" s="141" t="s">
        <v>1049</v>
      </c>
      <c r="K281" s="156"/>
      <c r="L281" s="156" t="s">
        <v>682</v>
      </c>
      <c r="M281" s="48" t="str">
        <f ca="1">IFERROR(__xludf.DUMMYFUNCTION("googletranslate(L281,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1" s="76" t="s">
        <v>1050</v>
      </c>
      <c r="O281" s="49" t="str">
        <f ca="1">IFERROR(__xludf.DUMMYFUNCTION("googletranslate(N281, ""fr"", ""nl"")"),"Deze blauwe cap en kameel is zeer draagbaar.
Zijn vizier beschermt je ogen tegen de zon, en zijn ventilatiegaten zijn handig voor u om te dragen in de zomer als de rest van het jaar.
Het belangrijkste: het uw look met stijl voltooit!")</f>
        <v>Deze blauwe cap en kameel is zeer draagbaar.
Zijn vizier beschermt je ogen tegen de zon, en zijn ventilatiegaten zijn handig voor u om te dragen in de zomer als de rest van het jaar.
Het belangrijkste: het uw look met stijl voltooit!</v>
      </c>
      <c r="P281" s="100" t="s">
        <v>155</v>
      </c>
      <c r="Q281" s="49" t="str">
        <f ca="1">IFERROR(__xludf.DUMMYFUNCTION("GOOGLETRANSLATE(P281, ""fr"", ""nl"")"),"veelkleurig")</f>
        <v>veelkleurig</v>
      </c>
      <c r="R281" s="123" t="s">
        <v>31</v>
      </c>
      <c r="S281" s="52" t="str">
        <f ca="1">IFERROR(__xludf.DUMMYFUNCTION("GOOGLETRANSLATE(R281, ""fr"", ""nl"")"),"100% katoen")</f>
        <v>100% katoen</v>
      </c>
      <c r="T281" s="53" t="s">
        <v>32</v>
      </c>
      <c r="U281" s="54" t="str">
        <f ca="1">IFERROR(__xludf.DUMMYFUNCTION("GOOGLETRANSLATE(T281, ""fr"", ""nl"")"),"Op 30 ° C max
Gebruik geen bleekmiddel
Gebruik geen van de droger
Strijken op gemiddelde temperatuur
Niet stomen")</f>
        <v>Op 30 ° C max
Gebruik geen bleekmiddel
Gebruik geen van de droger
Strijken op gemiddelde temperatuur
Niet stomen</v>
      </c>
      <c r="V281" s="62" t="s">
        <v>761</v>
      </c>
      <c r="W281" s="101"/>
    </row>
    <row r="282" spans="1:23" ht="15.75" customHeight="1">
      <c r="A282" s="57" t="s">
        <v>1051</v>
      </c>
      <c r="B282" s="143">
        <v>12</v>
      </c>
      <c r="C282" s="136"/>
      <c r="D282" s="136"/>
      <c r="E282" s="152"/>
      <c r="F282" s="153" t="s">
        <v>757</v>
      </c>
      <c r="G282" s="153" t="s">
        <v>1045</v>
      </c>
      <c r="H282" s="44" t="s">
        <v>688</v>
      </c>
      <c r="I282" s="45"/>
      <c r="J282" s="141" t="s">
        <v>1052</v>
      </c>
      <c r="K282" s="156"/>
      <c r="L282" s="156" t="s">
        <v>682</v>
      </c>
      <c r="M282" s="48" t="str">
        <f ca="1">IFERROR(__xludf.DUMMYFUNCTION("googletranslate(L282,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2" s="76" t="s">
        <v>1053</v>
      </c>
      <c r="O282" s="49" t="str">
        <f ca="1">IFERROR(__xludf.DUMMYFUNCTION("googletranslate(N282, ""fr"", ""nl"")"),"Deze kap en de verschillende tinten blauw is zeer comfortabel om te dragen. Zijn afbeelding op de voorkant neemt u mee op de Australische stranden.
Het vizier beschermt je ogen tegen de zon, en ventilatie gaten zijn handig voor u om te dragen in de zomer "&amp;"als de rest van het jaar.
Het belangrijkste: het uw look met stijl voltooit!")</f>
        <v>Deze kap en de verschillende tinten blauw is zeer comfortabel om te dragen. Zijn afbeelding op de voorkant neemt u mee op de Australische stranden.
Het vizier beschermt je ogen tegen de zon, en ventilatie gaten zijn handig voor u om te dragen in de zomer als de rest van het jaar.
Het belangrijkste: het uw look met stijl voltooit!</v>
      </c>
      <c r="P282" s="100" t="s">
        <v>155</v>
      </c>
      <c r="Q282" s="49" t="str">
        <f ca="1">IFERROR(__xludf.DUMMYFUNCTION("GOOGLETRANSLATE(P282, ""fr"", ""nl"")"),"veelkleurig")</f>
        <v>veelkleurig</v>
      </c>
      <c r="R282" s="123" t="s">
        <v>31</v>
      </c>
      <c r="S282" s="52" t="str">
        <f ca="1">IFERROR(__xludf.DUMMYFUNCTION("GOOGLETRANSLATE(R282, ""fr"", ""nl"")"),"100% katoen")</f>
        <v>100% katoen</v>
      </c>
      <c r="T282" s="53" t="s">
        <v>32</v>
      </c>
      <c r="U282" s="54" t="str">
        <f ca="1">IFERROR(__xludf.DUMMYFUNCTION("GOOGLETRANSLATE(T282, ""fr"", ""nl"")"),"Op 30 ° C max
Gebruik geen bleekmiddel
Gebruik geen van de droger
Strijken op gemiddelde temperatuur
Niet stomen")</f>
        <v>Op 30 ° C max
Gebruik geen bleekmiddel
Gebruik geen van de droger
Strijken op gemiddelde temperatuur
Niet stomen</v>
      </c>
      <c r="V282" s="62" t="s">
        <v>782</v>
      </c>
      <c r="W282" s="101"/>
    </row>
    <row r="283" spans="1:23" ht="15.75" customHeight="1">
      <c r="A283" s="57" t="s">
        <v>1054</v>
      </c>
      <c r="B283" s="143">
        <v>12</v>
      </c>
      <c r="C283" s="136"/>
      <c r="D283" s="136"/>
      <c r="E283" s="152"/>
      <c r="F283" s="153" t="s">
        <v>757</v>
      </c>
      <c r="G283" s="153" t="s">
        <v>1045</v>
      </c>
      <c r="H283" s="44" t="s">
        <v>123</v>
      </c>
      <c r="I283" s="45"/>
      <c r="J283" s="141" t="s">
        <v>1055</v>
      </c>
      <c r="K283" s="156"/>
      <c r="L283" s="156" t="s">
        <v>682</v>
      </c>
      <c r="M283" s="48" t="str">
        <f ca="1">IFERROR(__xludf.DUMMYFUNCTION("googletranslate(L283,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3" s="76" t="s">
        <v>1056</v>
      </c>
      <c r="O283" s="49" t="str">
        <f ca="1">IFERROR(__xludf.DUMMYFUNCTION("googletranslate(N283, ""fr"", ""nl"")"),"Dit veelkleurige cap en de grafische vormgeving is zeer comfortabel om te dragen.
Zijn vizier beschermt je ogen tegen de zon, en zijn ventilatiegaten zijn handig voor u om te dragen in de zomer als de rest van het jaar.
Het belangrijkste: het uw look me"&amp;"t stijl voltooit!")</f>
        <v>Dit veelkleurige cap en de grafische vormgeving is zeer comfortabel om te dragen.
Zijn vizier beschermt je ogen tegen de zon, en zijn ventilatiegaten zijn handig voor u om te dragen in de zomer als de rest van het jaar.
Het belangrijkste: het uw look met stijl voltooit!</v>
      </c>
      <c r="P283" s="100" t="s">
        <v>155</v>
      </c>
      <c r="Q283" s="49" t="str">
        <f ca="1">IFERROR(__xludf.DUMMYFUNCTION("GOOGLETRANSLATE(P283, ""fr"", ""nl"")"),"veelkleurig")</f>
        <v>veelkleurig</v>
      </c>
      <c r="R283" s="123" t="s">
        <v>31</v>
      </c>
      <c r="S283" s="52" t="str">
        <f ca="1">IFERROR(__xludf.DUMMYFUNCTION("GOOGLETRANSLATE(R283, ""fr"", ""nl"")"),"100% katoen")</f>
        <v>100% katoen</v>
      </c>
      <c r="T283" s="53" t="s">
        <v>32</v>
      </c>
      <c r="U283" s="54" t="str">
        <f ca="1">IFERROR(__xludf.DUMMYFUNCTION("GOOGLETRANSLATE(T283, ""fr"", ""nl"")"),"Op 30 ° C max
Gebruik geen bleekmiddel
Gebruik geen van de droger
Strijken op gemiddelde temperatuur
Niet stomen")</f>
        <v>Op 30 ° C max
Gebruik geen bleekmiddel
Gebruik geen van de droger
Strijken op gemiddelde temperatuur
Niet stomen</v>
      </c>
      <c r="V283" s="62" t="s">
        <v>799</v>
      </c>
      <c r="W283" s="101"/>
    </row>
    <row r="284" spans="1:23" ht="15.75" customHeight="1">
      <c r="A284" s="57" t="s">
        <v>1057</v>
      </c>
      <c r="B284" s="143">
        <v>12</v>
      </c>
      <c r="C284" s="136"/>
      <c r="D284" s="136"/>
      <c r="E284" s="152"/>
      <c r="F284" s="153" t="s">
        <v>757</v>
      </c>
      <c r="G284" s="153" t="s">
        <v>1045</v>
      </c>
      <c r="H284" s="44" t="s">
        <v>695</v>
      </c>
      <c r="I284" s="45"/>
      <c r="J284" s="141" t="s">
        <v>1058</v>
      </c>
      <c r="K284" s="156"/>
      <c r="L284" s="156" t="s">
        <v>682</v>
      </c>
      <c r="M284" s="48" t="str">
        <f ca="1">IFERROR(__xludf.DUMMYFUNCTION("googletranslate(L284,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4" s="76" t="s">
        <v>1056</v>
      </c>
      <c r="O284" s="49" t="str">
        <f ca="1">IFERROR(__xludf.DUMMYFUNCTION("googletranslate(N284, ""fr"", ""nl"")"),"Dit veelkleurige cap en de grafische vormgeving is zeer comfortabel om te dragen.
Zijn vizier beschermt je ogen tegen de zon, en zijn ventilatiegaten zijn handig voor u om te dragen in de zomer als de rest van het jaar.
Het belangrijkste: het uw look me"&amp;"t stijl voltooit!")</f>
        <v>Dit veelkleurige cap en de grafische vormgeving is zeer comfortabel om te dragen.
Zijn vizier beschermt je ogen tegen de zon, en zijn ventilatiegaten zijn handig voor u om te dragen in de zomer als de rest van het jaar.
Het belangrijkste: het uw look met stijl voltooit!</v>
      </c>
      <c r="P284" s="100" t="s">
        <v>155</v>
      </c>
      <c r="Q284" s="49" t="str">
        <f ca="1">IFERROR(__xludf.DUMMYFUNCTION("GOOGLETRANSLATE(P284, ""fr"", ""nl"")"),"veelkleurig")</f>
        <v>veelkleurig</v>
      </c>
      <c r="R284" s="123" t="s">
        <v>31</v>
      </c>
      <c r="S284" s="52" t="str">
        <f ca="1">IFERROR(__xludf.DUMMYFUNCTION("GOOGLETRANSLATE(R284, ""fr"", ""nl"")"),"100% katoen")</f>
        <v>100% katoen</v>
      </c>
      <c r="T284" s="53" t="s">
        <v>32</v>
      </c>
      <c r="U284" s="54" t="str">
        <f ca="1">IFERROR(__xludf.DUMMYFUNCTION("GOOGLETRANSLATE(T284, ""fr"", ""nl"")"),"Op 30 ° C max
Gebruik geen bleekmiddel
Gebruik geen van de droger
Strijken op gemiddelde temperatuur
Niet stomen")</f>
        <v>Op 30 ° C max
Gebruik geen bleekmiddel
Gebruik geen van de droger
Strijken op gemiddelde temperatuur
Niet stomen</v>
      </c>
      <c r="V284" s="62" t="s">
        <v>815</v>
      </c>
      <c r="W284" s="101"/>
    </row>
    <row r="285" spans="1:23" ht="15.75" customHeight="1">
      <c r="A285" s="95" t="s">
        <v>1059</v>
      </c>
      <c r="B285" s="143">
        <v>12</v>
      </c>
      <c r="C285" s="136"/>
      <c r="D285" s="136"/>
      <c r="E285" s="152"/>
      <c r="F285" s="153" t="s">
        <v>757</v>
      </c>
      <c r="G285" s="153" t="s">
        <v>1045</v>
      </c>
      <c r="H285" s="44" t="s">
        <v>698</v>
      </c>
      <c r="I285" s="45"/>
      <c r="J285" s="141" t="s">
        <v>1060</v>
      </c>
      <c r="K285" s="99"/>
      <c r="L285" s="124" t="s">
        <v>700</v>
      </c>
      <c r="M285" s="48" t="str">
        <f ca="1">IFERROR(__xludf.DUMMYFUNCTION("googletranslate(L285,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5" s="76" t="s">
        <v>1061</v>
      </c>
      <c r="O285" s="49" t="str">
        <f ca="1">IFERROR(__xludf.DUMMYFUNCTION("googletranslate(N285, ""fr"", ""nl"")"),"Deze rode cap is zeer comfortabel om te dragen.
Zijn vizier beschermt je ogen tegen de zon, en zijn ventilatiegaten zijn handig voor u om te dragen in de zomer als de rest van het jaar.
Het belangrijkste: het uw look met stijl voltooit!")</f>
        <v>Deze rode cap is zeer comfortabel om te dragen.
Zijn vizier beschermt je ogen tegen de zon, en zijn ventilatiegaten zijn handig voor u om te dragen in de zomer als de rest van het jaar.
Het belangrijkste: het uw look met stijl voltooit!</v>
      </c>
      <c r="P285" s="100" t="s">
        <v>323</v>
      </c>
      <c r="Q285" s="49" t="str">
        <f ca="1">IFERROR(__xludf.DUMMYFUNCTION("GOOGLETRANSLATE(P285, ""fr"", ""nl"")"),"veelkleurig")</f>
        <v>veelkleurig</v>
      </c>
      <c r="R285" s="123" t="s">
        <v>31</v>
      </c>
      <c r="S285" s="52" t="str">
        <f ca="1">IFERROR(__xludf.DUMMYFUNCTION("GOOGLETRANSLATE(R285, ""fr"", ""nl"")"),"100% katoen")</f>
        <v>100% katoen</v>
      </c>
      <c r="T285" s="53" t="s">
        <v>32</v>
      </c>
      <c r="U285" s="54" t="str">
        <f ca="1">IFERROR(__xludf.DUMMYFUNCTION("GOOGLETRANSLATE(T285, ""fr"", ""nl"")"),"Op 30 ° C max
Gebruik geen bleekmiddel
Gebruik geen van de droger
Strijken op gemiddelde temperatuur
Niet stomen")</f>
        <v>Op 30 ° C max
Gebruik geen bleekmiddel
Gebruik geen van de droger
Strijken op gemiddelde temperatuur
Niet stomen</v>
      </c>
      <c r="V285" s="62" t="s">
        <v>862</v>
      </c>
      <c r="W285" s="101"/>
    </row>
    <row r="286" spans="1:23" ht="15.75" customHeight="1">
      <c r="A286" s="95" t="s">
        <v>1062</v>
      </c>
      <c r="B286" s="143">
        <v>12</v>
      </c>
      <c r="C286" s="136"/>
      <c r="D286" s="136"/>
      <c r="E286" s="152"/>
      <c r="F286" s="153" t="s">
        <v>757</v>
      </c>
      <c r="G286" s="153" t="s">
        <v>1045</v>
      </c>
      <c r="H286" s="44" t="s">
        <v>704</v>
      </c>
      <c r="I286" s="45"/>
      <c r="J286" s="141" t="s">
        <v>1063</v>
      </c>
      <c r="K286" s="99"/>
      <c r="L286" s="124" t="s">
        <v>700</v>
      </c>
      <c r="M286" s="48" t="str">
        <f ca="1">IFERROR(__xludf.DUMMYFUNCTION("googletranslate(L286,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6" s="76" t="s">
        <v>1064</v>
      </c>
      <c r="O286" s="49" t="str">
        <f ca="1">IFERROR(__xludf.DUMMYFUNCTION("googletranslate(N286, ""fr"", ""nl"")"),"Dit turquoise cap is zeer comfortabel om te dragen.
Zijn vizier beschermt je ogen tegen de zon, en zijn ventilatiegaten zijn handig voor u om te dragen in de zomer als de rest van het jaar.
Het belangrijkste: het uw look met stijl voltooit!")</f>
        <v>Dit turquoise cap is zeer comfortabel om te dragen.
Zijn vizier beschermt je ogen tegen de zon, en zijn ventilatiegaten zijn handig voor u om te dragen in de zomer als de rest van het jaar.
Het belangrijkste: het uw look met stijl voltooit!</v>
      </c>
      <c r="P286" s="100" t="s">
        <v>1065</v>
      </c>
      <c r="Q286" s="49" t="str">
        <f ca="1">IFERROR(__xludf.DUMMYFUNCTION("GOOGLETRANSLATE(P286, ""fr"", ""nl"")"),"Blauw")</f>
        <v>Blauw</v>
      </c>
      <c r="R286" s="123" t="s">
        <v>31</v>
      </c>
      <c r="S286" s="52" t="str">
        <f ca="1">IFERROR(__xludf.DUMMYFUNCTION("GOOGLETRANSLATE(R286, ""fr"", ""nl"")"),"100% katoen")</f>
        <v>100% katoen</v>
      </c>
      <c r="T286" s="53" t="s">
        <v>32</v>
      </c>
      <c r="U286" s="54" t="str">
        <f ca="1">IFERROR(__xludf.DUMMYFUNCTION("GOOGLETRANSLATE(T286, ""fr"", ""nl"")"),"Op 30 ° C max
Gebruik geen bleekmiddel
Gebruik geen van de droger
Strijken op gemiddelde temperatuur
Niet stomen")</f>
        <v>Op 30 ° C max
Gebruik geen bleekmiddel
Gebruik geen van de droger
Strijken op gemiddelde temperatuur
Niet stomen</v>
      </c>
      <c r="V286" s="62" t="s">
        <v>862</v>
      </c>
      <c r="W286" s="101"/>
    </row>
    <row r="287" spans="1:23" ht="15.75" customHeight="1">
      <c r="A287" s="95" t="s">
        <v>1066</v>
      </c>
      <c r="B287" s="143">
        <v>12</v>
      </c>
      <c r="C287" s="136"/>
      <c r="D287" s="136"/>
      <c r="E287" s="152"/>
      <c r="F287" s="153" t="s">
        <v>757</v>
      </c>
      <c r="G287" s="153" t="s">
        <v>1045</v>
      </c>
      <c r="H287" s="44" t="s">
        <v>708</v>
      </c>
      <c r="I287" s="45"/>
      <c r="J287" s="141" t="s">
        <v>1067</v>
      </c>
      <c r="K287" s="99"/>
      <c r="L287" s="124" t="s">
        <v>700</v>
      </c>
      <c r="M287" s="48" t="str">
        <f ca="1">IFERROR(__xludf.DUMMYFUNCTION("googletranslate(L287,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287" s="76" t="s">
        <v>1047</v>
      </c>
      <c r="O287" s="49" t="str">
        <f ca="1">IFERROR(__xludf.DUMMYFUNCTION("googletranslate(N287, ""fr"", ""nl"")"),"Dit marineblauwe pet, wit en rood is zeer draagbaar.
Zijn vizier beschermt je ogen tegen de zon, en zijn ventilatiegaten zijn handig voor u om te dragen in de zomer als de rest van het jaar.
Het belangrijkste: het uw look met stijl voltooit!")</f>
        <v>Dit marineblauwe pet, wit en rood is zeer draagbaar.
Zijn vizier beschermt je ogen tegen de zon, en zijn ventilatiegaten zijn handig voor u om te dragen in de zomer als de rest van het jaar.
Het belangrijkste: het uw look met stijl voltooit!</v>
      </c>
      <c r="P287" s="100" t="s">
        <v>1065</v>
      </c>
      <c r="Q287" s="49" t="str">
        <f ca="1">IFERROR(__xludf.DUMMYFUNCTION("GOOGLETRANSLATE(P287, ""fr"", ""nl"")"),"Blauw")</f>
        <v>Blauw</v>
      </c>
      <c r="R287" s="123" t="s">
        <v>31</v>
      </c>
      <c r="S287" s="52" t="str">
        <f ca="1">IFERROR(__xludf.DUMMYFUNCTION("GOOGLETRANSLATE(R287, ""fr"", ""nl"")"),"100% katoen")</f>
        <v>100% katoen</v>
      </c>
      <c r="T287" s="53" t="s">
        <v>32</v>
      </c>
      <c r="U287" s="54" t="str">
        <f ca="1">IFERROR(__xludf.DUMMYFUNCTION("GOOGLETRANSLATE(T287, ""fr"", ""nl"")"),"Op 30 ° C max
Gebruik geen bleekmiddel
Gebruik geen van de droger
Strijken op gemiddelde temperatuur
Niet stomen")</f>
        <v>Op 30 ° C max
Gebruik geen bleekmiddel
Gebruik geen van de droger
Strijken op gemiddelde temperatuur
Niet stomen</v>
      </c>
      <c r="V287" s="62" t="s">
        <v>862</v>
      </c>
      <c r="W287" s="101"/>
    </row>
    <row r="288" spans="1:23" ht="15.75" customHeight="1">
      <c r="A288" s="95" t="s">
        <v>1068</v>
      </c>
      <c r="B288" s="143">
        <v>12</v>
      </c>
      <c r="C288" s="136"/>
      <c r="D288" s="136"/>
      <c r="E288" s="152"/>
      <c r="F288" s="153" t="s">
        <v>757</v>
      </c>
      <c r="G288" s="153" t="s">
        <v>1045</v>
      </c>
      <c r="H288" s="44" t="s">
        <v>711</v>
      </c>
      <c r="I288" s="45"/>
      <c r="J288" s="141" t="s">
        <v>1069</v>
      </c>
      <c r="K288" s="99"/>
      <c r="L288" s="124" t="s">
        <v>1070</v>
      </c>
      <c r="M288" s="48" t="str">
        <f ca="1">IFERROR(__xludf.DUMMYFUNCTION("googletranslate(L288, ""fr"", ""nl"")"),"
- tri-color baseball cap Model
- afgeronde en versterkte visor corduroy
- Geborduurde oogjes voor ventilatie van het hoofd
- nektape
- Verstelbare metalen sluiting achteraan
- J &amp; JOY patch geborduurd op de voorkant")</f>
        <v xml:space="preserve">
- tri-color baseball cap Model
- afgeronde en versterkte visor corduroy
- Geborduurde oogjes voor ventilatie van het hoofd
- nektape
- Verstelbare metalen sluiting achteraan
- J &amp; JOY patch geborduurd op de voorkant</v>
      </c>
      <c r="N288" s="76" t="s">
        <v>1071</v>
      </c>
      <c r="O288" s="49" t="str">
        <f ca="1">IFERROR(__xludf.DUMMYFUNCTION("googletranslate(N288, ""fr"", ""nl"")"),"Deze blauwe cap, rood en grijs is zeer draagbaar.
Zijn vizier beschermt je ogen tegen de zon, en zijn ventilatiegaten zijn handig voor u om te dragen in de zomer als de rest van het jaar.
Het belangrijkste: het uw look met stijl voltooit!")</f>
        <v>Deze blauwe cap, rood en grijs is zeer draagbaar.
Zijn vizier beschermt je ogen tegen de zon, en zijn ventilatiegaten zijn handig voor u om te dragen in de zomer als de rest van het jaar.
Het belangrijkste: het uw look met stijl voltooit!</v>
      </c>
      <c r="P288" s="100" t="s">
        <v>323</v>
      </c>
      <c r="Q288" s="49" t="str">
        <f ca="1">IFERROR(__xludf.DUMMYFUNCTION("GOOGLETRANSLATE(P288, ""fr"", ""nl"")"),"veelkleurig")</f>
        <v>veelkleurig</v>
      </c>
      <c r="R288" s="123" t="s">
        <v>31</v>
      </c>
      <c r="S288" s="52" t="str">
        <f ca="1">IFERROR(__xludf.DUMMYFUNCTION("GOOGLETRANSLATE(R288, ""fr"", ""nl"")"),"100% katoen")</f>
        <v>100% katoen</v>
      </c>
      <c r="T288" s="53" t="s">
        <v>32</v>
      </c>
      <c r="U288" s="54" t="str">
        <f ca="1">IFERROR(__xludf.DUMMYFUNCTION("GOOGLETRANSLATE(T288, ""fr"", ""nl"")"),"Op 30 ° C max
Gebruik geen bleekmiddel
Gebruik geen van de droger
Strijken op gemiddelde temperatuur
Niet stomen")</f>
        <v>Op 30 ° C max
Gebruik geen bleekmiddel
Gebruik geen van de droger
Strijken op gemiddelde temperatuur
Niet stomen</v>
      </c>
      <c r="V288" s="62" t="s">
        <v>862</v>
      </c>
      <c r="W288" s="101"/>
    </row>
    <row r="289" spans="1:23" ht="15.75" customHeight="1">
      <c r="A289" s="82" t="s">
        <v>1072</v>
      </c>
      <c r="B289" s="143">
        <v>12</v>
      </c>
      <c r="C289" s="136"/>
      <c r="D289" s="136"/>
      <c r="E289" s="152"/>
      <c r="F289" s="153" t="s">
        <v>757</v>
      </c>
      <c r="G289" s="153" t="s">
        <v>1045</v>
      </c>
      <c r="H289" s="44" t="s">
        <v>715</v>
      </c>
      <c r="I289" s="45"/>
      <c r="J289" s="141" t="s">
        <v>1073</v>
      </c>
      <c r="K289" s="99"/>
      <c r="L289" s="124" t="s">
        <v>1074</v>
      </c>
      <c r="M289" s="48" t="str">
        <f ca="1">IFERROR(__xludf.DUMMYFUNCTION("googletranslate(L289, ""fr"", ""nl"")"),"
- baseball cap Model bicolor
- afgeronde en versterkte visor corduroy
- Geborduurde oogjes voor ventilatie van het hoofd
- nektape
- Verstelbare metalen sluiting achteraan
- J &amp; JOY patch geborduurd op de voorkant")</f>
        <v xml:space="preserve">
- baseball cap Model bicolor
- afgeronde en versterkte visor corduroy
- Geborduurde oogjes voor ventilatie van het hoofd
- nektape
- Verstelbare metalen sluiting achteraan
- J &amp; JOY patch geborduurd op de voorkant</v>
      </c>
      <c r="N289" s="76" t="s">
        <v>1075</v>
      </c>
      <c r="O289" s="49" t="str">
        <f ca="1">IFERROR(__xludf.DUMMYFUNCTION("googletranslate(N289, ""fr"", ""nl"")"),"Deze donkerblauwe muts en kaki patroon palm is zeer draagbaar.
Zijn vizier beschermt je ogen tegen de zon, en zijn ventilatiegaten zijn handig voor u om te dragen in de zomer als de rest van het jaar.
Het belangrijkste: het uw look met stijl voltooit!")</f>
        <v>Deze donkerblauwe muts en kaki patroon palm is zeer draagbaar.
Zijn vizier beschermt je ogen tegen de zon, en zijn ventilatiegaten zijn handig voor u om te dragen in de zomer als de rest van het jaar.
Het belangrijkste: het uw look met stijl voltooit!</v>
      </c>
      <c r="P289" s="100" t="s">
        <v>323</v>
      </c>
      <c r="Q289" s="49" t="str">
        <f ca="1">IFERROR(__xludf.DUMMYFUNCTION("GOOGLETRANSLATE(P289, ""fr"", ""nl"")"),"veelkleurig")</f>
        <v>veelkleurig</v>
      </c>
      <c r="R289" s="123" t="s">
        <v>31</v>
      </c>
      <c r="S289" s="52" t="str">
        <f ca="1">IFERROR(__xludf.DUMMYFUNCTION("GOOGLETRANSLATE(R289, ""fr"", ""nl"")"),"100% katoen")</f>
        <v>100% katoen</v>
      </c>
      <c r="T289" s="53" t="s">
        <v>32</v>
      </c>
      <c r="U289" s="54" t="str">
        <f ca="1">IFERROR(__xludf.DUMMYFUNCTION("GOOGLETRANSLATE(T289, ""fr"", ""nl"")"),"Op 30 ° C max
Gebruik geen bleekmiddel
Gebruik geen van de droger
Strijken op gemiddelde temperatuur
Niet stomen")</f>
        <v>Op 30 ° C max
Gebruik geen bleekmiddel
Gebruik geen van de droger
Strijken op gemiddelde temperatuur
Niet stomen</v>
      </c>
      <c r="V289" s="62" t="s">
        <v>862</v>
      </c>
      <c r="W289" s="101"/>
    </row>
    <row r="290" spans="1:23" ht="15.75" customHeight="1">
      <c r="A290" s="126" t="s">
        <v>1076</v>
      </c>
      <c r="B290" s="126"/>
      <c r="C290" s="126"/>
      <c r="D290" s="127"/>
      <c r="E290" s="16"/>
      <c r="F290" s="128"/>
      <c r="G290" s="128"/>
      <c r="H290" s="128"/>
      <c r="I290" s="128"/>
      <c r="J290" s="129"/>
      <c r="K290" s="129"/>
      <c r="L290" s="129"/>
      <c r="M290" s="48" t="str">
        <f ca="1">IFERROR(__xludf.DUMMYFUNCTION("googletranslate(L290, ""fr"", ""nl"")"),"#VALUE!")</f>
        <v>#VALUE!</v>
      </c>
      <c r="N290" s="130"/>
      <c r="O290" s="49" t="str">
        <f ca="1">IFERROR(__xludf.DUMMYFUNCTION("googletranslate(N290, ""fr"", ""nl"")"),"#VALUE!")</f>
        <v>#VALUE!</v>
      </c>
      <c r="P290" s="131"/>
      <c r="Q290" s="49" t="str">
        <f ca="1">IFERROR(__xludf.DUMMYFUNCTION("GOOGLETRANSLATE(P290, ""fr"", ""nl"")"),"#VALUE!")</f>
        <v>#VALUE!</v>
      </c>
      <c r="R290" s="132"/>
      <c r="S290" s="52" t="str">
        <f ca="1">IFERROR(__xludf.DUMMYFUNCTION("GOOGLETRANSLATE(R290, ""fr"", ""nl"")"),"#VALUE!")</f>
        <v>#VALUE!</v>
      </c>
      <c r="T290" s="133"/>
      <c r="U290" s="54" t="str">
        <f ca="1">IFERROR(__xludf.DUMMYFUNCTION("GOOGLETRANSLATE(T290, ""fr"", ""nl"")"),"#VALUE!")</f>
        <v>#VALUE!</v>
      </c>
      <c r="V290" s="18"/>
      <c r="W290" s="134"/>
    </row>
    <row r="291" spans="1:23" ht="15.75" customHeight="1">
      <c r="A291" s="21" t="s">
        <v>755</v>
      </c>
      <c r="B291" s="64"/>
      <c r="C291" s="65"/>
      <c r="D291" s="66"/>
      <c r="E291" s="67"/>
      <c r="F291" s="26"/>
      <c r="G291" s="26"/>
      <c r="H291" s="26"/>
      <c r="I291" s="26"/>
      <c r="J291" s="68"/>
      <c r="K291" s="69"/>
      <c r="L291" s="69"/>
      <c r="M291" s="48" t="str">
        <f ca="1">IFERROR(__xludf.DUMMYFUNCTION("googletranslate(L291, ""fr"", ""nl"")"),"#VALUE!")</f>
        <v>#VALUE!</v>
      </c>
      <c r="N291" s="135"/>
      <c r="O291" s="49" t="str">
        <f ca="1">IFERROR(__xludf.DUMMYFUNCTION("googletranslate(N291, ""fr"", ""nl"")"),"#VALUE!")</f>
        <v>#VALUE!</v>
      </c>
      <c r="P291" s="71"/>
      <c r="Q291" s="49" t="str">
        <f ca="1">IFERROR(__xludf.DUMMYFUNCTION("GOOGLETRANSLATE(P291, ""fr"", ""nl"")"),"#VALUE!")</f>
        <v>#VALUE!</v>
      </c>
      <c r="R291" s="72"/>
      <c r="S291" s="52" t="str">
        <f ca="1">IFERROR(__xludf.DUMMYFUNCTION("GOOGLETRANSLATE(R291, ""fr"", ""nl"")"),"#VALUE!")</f>
        <v>#VALUE!</v>
      </c>
      <c r="T291" s="69"/>
      <c r="U291" s="54" t="str">
        <f ca="1">IFERROR(__xludf.DUMMYFUNCTION("GOOGLETRANSLATE(T291, ""fr"", ""nl"")"),"#VALUE!")</f>
        <v>#VALUE!</v>
      </c>
      <c r="V291" s="37"/>
      <c r="W291" s="38"/>
    </row>
    <row r="292" spans="1:23" ht="15.75" customHeight="1">
      <c r="A292" s="157" t="s">
        <v>1077</v>
      </c>
      <c r="B292" s="106">
        <v>26</v>
      </c>
      <c r="C292" s="41"/>
      <c r="D292" s="41"/>
      <c r="E292" s="158"/>
      <c r="F292" s="159" t="s">
        <v>1078</v>
      </c>
      <c r="G292" s="159" t="s">
        <v>1079</v>
      </c>
      <c r="H292" s="44" t="s">
        <v>1080</v>
      </c>
      <c r="I292" s="45"/>
      <c r="J292" s="137" t="s">
        <v>1081</v>
      </c>
      <c r="K292" s="46"/>
      <c r="L292" s="46"/>
      <c r="M292" s="48" t="str">
        <f ca="1">IFERROR(__xludf.DUMMYFUNCTION("googletranslate(L292, ""fr"", ""nl"")"),"#VALUE!")</f>
        <v>#VALUE!</v>
      </c>
      <c r="N292" s="160"/>
      <c r="O292" s="49" t="str">
        <f ca="1">IFERROR(__xludf.DUMMYFUNCTION("googletranslate(N292, ""fr"", ""nl"")"),"#VALUE!")</f>
        <v>#VALUE!</v>
      </c>
      <c r="P292" s="94"/>
      <c r="Q292" s="49" t="str">
        <f ca="1">IFERROR(__xludf.DUMMYFUNCTION("GOOGLETRANSLATE(P292, ""fr"", ""nl"")"),"#VALUE!")</f>
        <v>#VALUE!</v>
      </c>
      <c r="R292" s="161"/>
      <c r="S292" s="52" t="str">
        <f ca="1">IFERROR(__xludf.DUMMYFUNCTION("GOOGLETRANSLATE(R292, ""fr"", ""nl"")"),"#VALUE!")</f>
        <v>#VALUE!</v>
      </c>
      <c r="T292" s="53" t="s">
        <v>32</v>
      </c>
      <c r="U292" s="54" t="str">
        <f ca="1">IFERROR(__xludf.DUMMYFUNCTION("GOOGLETRANSLATE(T292, ""fr"", ""nl"")"),"Op 30 ° C max
Gebruik geen bleekmiddel
Gebruik geen van de droger
Strijken op gemiddelde temperatuur
Niet stomen")</f>
        <v>Op 30 ° C max
Gebruik geen bleekmiddel
Gebruik geen van de droger
Strijken op gemiddelde temperatuur
Niet stomen</v>
      </c>
      <c r="V292" s="62" t="s">
        <v>1082</v>
      </c>
      <c r="W292" s="56"/>
    </row>
    <row r="293" spans="1:23" ht="15.75" customHeight="1">
      <c r="A293" s="162" t="s">
        <v>1083</v>
      </c>
      <c r="B293" s="106">
        <v>26</v>
      </c>
      <c r="C293" s="41"/>
      <c r="D293" s="41"/>
      <c r="E293" s="158"/>
      <c r="F293" s="159" t="s">
        <v>1078</v>
      </c>
      <c r="G293" s="159" t="s">
        <v>1079</v>
      </c>
      <c r="H293" s="44" t="s">
        <v>1084</v>
      </c>
      <c r="I293" s="45"/>
      <c r="J293" s="137" t="s">
        <v>1085</v>
      </c>
      <c r="K293" s="46"/>
      <c r="L293" s="46"/>
      <c r="M293" s="48" t="str">
        <f ca="1">IFERROR(__xludf.DUMMYFUNCTION("googletranslate(L293, ""fr"", ""nl"")"),"#VALUE!")</f>
        <v>#VALUE!</v>
      </c>
      <c r="N293" s="163"/>
      <c r="O293" s="49" t="str">
        <f ca="1">IFERROR(__xludf.DUMMYFUNCTION("googletranslate(N293, ""fr"", ""nl"")"),"#VALUE!")</f>
        <v>#VALUE!</v>
      </c>
      <c r="P293" s="94"/>
      <c r="Q293" s="49" t="str">
        <f ca="1">IFERROR(__xludf.DUMMYFUNCTION("GOOGLETRANSLATE(P293, ""fr"", ""nl"")"),"#VALUE!")</f>
        <v>#VALUE!</v>
      </c>
      <c r="R293" s="161"/>
      <c r="S293" s="52" t="str">
        <f ca="1">IFERROR(__xludf.DUMMYFUNCTION("GOOGLETRANSLATE(R293, ""fr"", ""nl"")"),"#VALUE!")</f>
        <v>#VALUE!</v>
      </c>
      <c r="T293" s="53" t="s">
        <v>32</v>
      </c>
      <c r="U293" s="54" t="str">
        <f ca="1">IFERROR(__xludf.DUMMYFUNCTION("GOOGLETRANSLATE(T293, ""fr"", ""nl"")"),"Op 30 ° C max
Gebruik geen bleekmiddel
Gebruik geen van de droger
Strijken op gemiddelde temperatuur
Niet stomen")</f>
        <v>Op 30 ° C max
Gebruik geen bleekmiddel
Gebruik geen van de droger
Strijken op gemiddelde temperatuur
Niet stomen</v>
      </c>
      <c r="V293" s="62" t="s">
        <v>1082</v>
      </c>
      <c r="W293" s="56"/>
    </row>
    <row r="294" spans="1:23" ht="15.75" customHeight="1">
      <c r="A294" s="164" t="s">
        <v>1086</v>
      </c>
      <c r="B294" s="106">
        <v>26</v>
      </c>
      <c r="C294" s="41"/>
      <c r="D294" s="41"/>
      <c r="E294" s="158"/>
      <c r="F294" s="159" t="s">
        <v>1078</v>
      </c>
      <c r="G294" s="159" t="s">
        <v>1079</v>
      </c>
      <c r="H294" s="44" t="s">
        <v>1087</v>
      </c>
      <c r="I294" s="45"/>
      <c r="J294" s="137" t="s">
        <v>1088</v>
      </c>
      <c r="K294" s="46"/>
      <c r="L294" s="46"/>
      <c r="M294" s="48" t="str">
        <f ca="1">IFERROR(__xludf.DUMMYFUNCTION("googletranslate(L294, ""fr"", ""nl"")"),"#VALUE!")</f>
        <v>#VALUE!</v>
      </c>
      <c r="N294" s="163"/>
      <c r="O294" s="49" t="str">
        <f ca="1">IFERROR(__xludf.DUMMYFUNCTION("googletranslate(N294, ""fr"", ""nl"")"),"#VALUE!")</f>
        <v>#VALUE!</v>
      </c>
      <c r="P294" s="94"/>
      <c r="Q294" s="49" t="str">
        <f ca="1">IFERROR(__xludf.DUMMYFUNCTION("GOOGLETRANSLATE(P294, ""fr"", ""nl"")"),"#VALUE!")</f>
        <v>#VALUE!</v>
      </c>
      <c r="R294" s="110"/>
      <c r="S294" s="52" t="str">
        <f ca="1">IFERROR(__xludf.DUMMYFUNCTION("GOOGLETRANSLATE(R294, ""fr"", ""nl"")"),"#VALUE!")</f>
        <v>#VALUE!</v>
      </c>
      <c r="T294" s="53" t="s">
        <v>32</v>
      </c>
      <c r="U294" s="54" t="str">
        <f ca="1">IFERROR(__xludf.DUMMYFUNCTION("GOOGLETRANSLATE(T294, ""fr"", ""nl"")"),"Op 30 ° C max
Gebruik geen bleekmiddel
Gebruik geen van de droger
Strijken op gemiddelde temperatuur
Niet stomen")</f>
        <v>Op 30 ° C max
Gebruik geen bleekmiddel
Gebruik geen van de droger
Strijken op gemiddelde temperatuur
Niet stomen</v>
      </c>
      <c r="V294" s="62" t="s">
        <v>1082</v>
      </c>
      <c r="W294" s="56"/>
    </row>
    <row r="295" spans="1:23" ht="15.75" customHeight="1">
      <c r="A295" s="164" t="s">
        <v>1089</v>
      </c>
      <c r="B295" s="106">
        <v>26</v>
      </c>
      <c r="C295" s="41"/>
      <c r="D295" s="41"/>
      <c r="E295" s="158"/>
      <c r="F295" s="159" t="s">
        <v>1078</v>
      </c>
      <c r="G295" s="159" t="s">
        <v>1079</v>
      </c>
      <c r="H295" s="44" t="s">
        <v>1090</v>
      </c>
      <c r="I295" s="45"/>
      <c r="J295" s="137" t="s">
        <v>1091</v>
      </c>
      <c r="K295" s="137"/>
      <c r="L295" s="137"/>
      <c r="M295" s="48" t="str">
        <f ca="1">IFERROR(__xludf.DUMMYFUNCTION("googletranslate(L295, ""fr"", ""nl"")"),"#VALUE!")</f>
        <v>#VALUE!</v>
      </c>
      <c r="N295" s="163"/>
      <c r="O295" s="49" t="str">
        <f ca="1">IFERROR(__xludf.DUMMYFUNCTION("googletranslate(N295, ""fr"", ""nl"")"),"#VALUE!")</f>
        <v>#VALUE!</v>
      </c>
      <c r="P295" s="165"/>
      <c r="Q295" s="49" t="str">
        <f ca="1">IFERROR(__xludf.DUMMYFUNCTION("GOOGLETRANSLATE(P295, ""fr"", ""nl"")"),"#VALUE!")</f>
        <v>#VALUE!</v>
      </c>
      <c r="R295" s="166"/>
      <c r="S295" s="52" t="str">
        <f ca="1">IFERROR(__xludf.DUMMYFUNCTION("GOOGLETRANSLATE(R295, ""fr"", ""nl"")"),"#VALUE!")</f>
        <v>#VALUE!</v>
      </c>
      <c r="T295" s="53" t="s">
        <v>32</v>
      </c>
      <c r="U295" s="54" t="str">
        <f ca="1">IFERROR(__xludf.DUMMYFUNCTION("GOOGLETRANSLATE(T295, ""fr"", ""nl"")"),"Op 30 ° C max
Gebruik geen bleekmiddel
Gebruik geen van de droger
Strijken op gemiddelde temperatuur
Niet stomen")</f>
        <v>Op 30 ° C max
Gebruik geen bleekmiddel
Gebruik geen van de droger
Strijken op gemiddelde temperatuur
Niet stomen</v>
      </c>
      <c r="V295" s="62" t="s">
        <v>1082</v>
      </c>
      <c r="W295" s="56"/>
    </row>
    <row r="296" spans="1:23" ht="15.75" customHeight="1">
      <c r="A296" s="164" t="s">
        <v>1092</v>
      </c>
      <c r="B296" s="106">
        <v>26</v>
      </c>
      <c r="C296" s="41"/>
      <c r="D296" s="41"/>
      <c r="E296" s="158"/>
      <c r="F296" s="159" t="s">
        <v>1078</v>
      </c>
      <c r="G296" s="159" t="s">
        <v>1079</v>
      </c>
      <c r="H296" s="44" t="s">
        <v>1093</v>
      </c>
      <c r="I296" s="45"/>
      <c r="J296" s="137" t="s">
        <v>1094</v>
      </c>
      <c r="K296" s="46"/>
      <c r="L296" s="46"/>
      <c r="M296" s="48" t="str">
        <f ca="1">IFERROR(__xludf.DUMMYFUNCTION("googletranslate(L296, ""fr"", ""nl"")"),"#VALUE!")</f>
        <v>#VALUE!</v>
      </c>
      <c r="N296" s="163"/>
      <c r="O296" s="49" t="str">
        <f ca="1">IFERROR(__xludf.DUMMYFUNCTION("googletranslate(N296, ""fr"", ""nl"")"),"#VALUE!")</f>
        <v>#VALUE!</v>
      </c>
      <c r="P296" s="94"/>
      <c r="Q296" s="49" t="str">
        <f ca="1">IFERROR(__xludf.DUMMYFUNCTION("GOOGLETRANSLATE(P296, ""fr"", ""nl"")"),"#VALUE!")</f>
        <v>#VALUE!</v>
      </c>
      <c r="R296" s="110"/>
      <c r="S296" s="52" t="str">
        <f ca="1">IFERROR(__xludf.DUMMYFUNCTION("GOOGLETRANSLATE(R296, ""fr"", ""nl"")"),"#VALUE!")</f>
        <v>#VALUE!</v>
      </c>
      <c r="T296" s="53" t="s">
        <v>32</v>
      </c>
      <c r="U296" s="54" t="str">
        <f ca="1">IFERROR(__xludf.DUMMYFUNCTION("GOOGLETRANSLATE(T296, ""fr"", ""nl"")"),"Op 30 ° C max
Gebruik geen bleekmiddel
Gebruik geen van de droger
Strijken op gemiddelde temperatuur
Niet stomen")</f>
        <v>Op 30 ° C max
Gebruik geen bleekmiddel
Gebruik geen van de droger
Strijken op gemiddelde temperatuur
Niet stomen</v>
      </c>
      <c r="V296" s="62" t="s">
        <v>1082</v>
      </c>
      <c r="W296" s="56"/>
    </row>
    <row r="297" spans="1:23" ht="15.75" customHeight="1">
      <c r="A297" s="84" t="s">
        <v>199</v>
      </c>
      <c r="B297" s="85"/>
      <c r="C297" s="67"/>
      <c r="D297" s="86"/>
      <c r="E297" s="67"/>
      <c r="F297" s="87"/>
      <c r="G297" s="87"/>
      <c r="H297" s="26"/>
      <c r="I297" s="26"/>
      <c r="J297" s="88" t="s">
        <v>677</v>
      </c>
      <c r="K297" s="89"/>
      <c r="L297" s="89"/>
      <c r="M297" s="48" t="str">
        <f ca="1">IFERROR(__xludf.DUMMYFUNCTION("googletranslate(L297, ""fr"", ""nl"")"),"#VALUE!")</f>
        <v>#VALUE!</v>
      </c>
      <c r="N297" s="125"/>
      <c r="O297" s="49" t="str">
        <f ca="1">IFERROR(__xludf.DUMMYFUNCTION("googletranslate(N297, ""fr"", ""nl"")"),"#VALUE!")</f>
        <v>#VALUE!</v>
      </c>
      <c r="P297" s="91"/>
      <c r="Q297" s="49" t="str">
        <f ca="1">IFERROR(__xludf.DUMMYFUNCTION("GOOGLETRANSLATE(P297, ""fr"", ""nl"")"),"#VALUE!")</f>
        <v>#VALUE!</v>
      </c>
      <c r="R297" s="92"/>
      <c r="S297" s="52" t="str">
        <f ca="1">IFERROR(__xludf.DUMMYFUNCTION("GOOGLETRANSLATE(R297, ""fr"", ""nl"")"),"#VALUE!")</f>
        <v>#VALUE!</v>
      </c>
      <c r="T297" s="89"/>
      <c r="U297" s="54" t="str">
        <f ca="1">IFERROR(__xludf.DUMMYFUNCTION("GOOGLETRANSLATE(T297, ""fr"", ""nl"")"),"#VALUE!")</f>
        <v>#VALUE!</v>
      </c>
      <c r="V297" s="140"/>
      <c r="W297" s="38"/>
    </row>
    <row r="298" spans="1:23" ht="15.75" customHeight="1">
      <c r="A298" s="39" t="s">
        <v>1095</v>
      </c>
      <c r="B298" s="106">
        <v>16</v>
      </c>
      <c r="C298" s="104"/>
      <c r="D298" s="104"/>
      <c r="E298" s="152"/>
      <c r="F298" s="153" t="s">
        <v>1078</v>
      </c>
      <c r="G298" s="153" t="s">
        <v>1096</v>
      </c>
      <c r="H298" s="44" t="s">
        <v>1097</v>
      </c>
      <c r="I298" s="45"/>
      <c r="J298" s="141" t="s">
        <v>1098</v>
      </c>
      <c r="K298" s="99"/>
      <c r="L298" s="99" t="s">
        <v>1099</v>
      </c>
      <c r="M298" s="48" t="str">
        <f ca="1">IFERROR(__xludf.DUMMYFUNCTION("googletranslate(L298, ""fr"", ""nl"")")," :
- Rechte snede
- Korte mouwen
- Ronde hals
- Tape roze in de nek
- hem and gestikte randen
- Gedrukt op de voorzijde
- Beaded schrijven aan de voorzijde
- Badge J &amp; JOY metaal op de bodem
- J &amp; JOY geborduurd logo op de hals")</f>
        <v xml:space="preserve"> :
- Rechte snede
- Korte mouwen
- Ronde hals
- Tape roze in de nek
- hem and gestikte randen
- Gedrukt op de voorzijde
- Beaded schrijven aan de voorzijde
- Badge J &amp; JOY metaal op de bodem
- J &amp; JOY geborduurd logo op de hals</v>
      </c>
      <c r="N298" s="58" t="s">
        <v>1100</v>
      </c>
      <c r="O298" s="49" t="str">
        <f ca="1">IFERROR(__xludf.DUMMYFUNCTION("googletranslate(N298, ""fr"", ""nl"")"),"Deze mooie witte overhemd highlights een kleurrijke illustratie geïnspireerd door de sfeer van Bondi Beach, Australië. Met de kleuren roze, paars en rood, is het zeer gemakkelijk om het overeenkomen met verschillende outfits, de meer casual met jeans, om "&amp;"de meest geavanceerde met een lange rok.
Een belangrijk om mee te nemen deze zomer!")</f>
        <v>Deze mooie witte overhemd highlights een kleurrijke illustratie geïnspireerd door de sfeer van Bondi Beach, Australië. Met de kleuren roze, paars en rood, is het zeer gemakkelijk om het overeenkomen met verschillende outfits, de meer casual met jeans, om de meest geavanceerde met een lange rok.
Een belangrijk om mee te nemen deze zomer!</v>
      </c>
      <c r="P298" s="100" t="s">
        <v>752</v>
      </c>
      <c r="Q298" s="49" t="str">
        <f ca="1">IFERROR(__xludf.DUMMYFUNCTION("GOOGLETRANSLATE(P298, ""fr"", ""nl"")"),"Wit")</f>
        <v>Wit</v>
      </c>
      <c r="R298" s="50" t="s">
        <v>1101</v>
      </c>
      <c r="S298" s="52" t="str">
        <f ca="1">IFERROR(__xludf.DUMMYFUNCTION("GOOGLETRANSLATE(R298, ""fr"", ""nl"")"),"95% katoen
5% Spandex")</f>
        <v>95% katoen
5% Spandex</v>
      </c>
      <c r="T298" s="53" t="s">
        <v>32</v>
      </c>
      <c r="U298" s="54" t="str">
        <f ca="1">IFERROR(__xludf.DUMMYFUNCTION("GOOGLETRANSLATE(T298, ""fr"", ""nl"")"),"Op 30 ° C max
Gebruik geen bleekmiddel
Gebruik geen van de droger
Strijken op gemiddelde temperatuur
Niet stomen")</f>
        <v>Op 30 ° C max
Gebruik geen bleekmiddel
Gebruik geen van de droger
Strijken op gemiddelde temperatuur
Niet stomen</v>
      </c>
      <c r="V298" s="62" t="s">
        <v>1082</v>
      </c>
      <c r="W298" s="101"/>
    </row>
    <row r="299" spans="1:23" ht="15.75" customHeight="1">
      <c r="A299" s="167" t="s">
        <v>1102</v>
      </c>
      <c r="B299" s="106">
        <v>16</v>
      </c>
      <c r="C299" s="104"/>
      <c r="D299" s="104"/>
      <c r="E299" s="152"/>
      <c r="F299" s="153" t="s">
        <v>1078</v>
      </c>
      <c r="G299" s="153" t="s">
        <v>1096</v>
      </c>
      <c r="H299" s="44" t="s">
        <v>1103</v>
      </c>
      <c r="I299" s="45"/>
      <c r="J299" s="141" t="s">
        <v>1104</v>
      </c>
      <c r="K299" s="99"/>
      <c r="L299" s="99" t="s">
        <v>1105</v>
      </c>
      <c r="M299" s="48" t="str">
        <f ca="1">IFERROR(__xludf.DUMMYFUNCTION("googletranslate(L299, ""fr"", ""nl"")")," :
- Rechte snede
- Korte mouwen
- Ronde hals
- Tape rood in de nek
- hem and gestikte randen
- Gedrukt op de voorzijde
- Badge J &amp; JOY metaal op de bodem
- J &amp; JOY logo op de voorkant
- J &amp; JOY geborduurd logo op de hals")</f>
        <v xml:space="preserve"> :
- Rechte snede
- Korte mouwen
- Ronde hals
- Tape rood in de nek
- hem and gestikte randen
- Gedrukt op de voorzijde
- Badge J &amp; JOY metaal op de bodem
- J &amp; JOY logo op de voorkant
- J &amp; JOY geborduurd logo op de hals</v>
      </c>
      <c r="N299" s="58" t="s">
        <v>1106</v>
      </c>
      <c r="O299" s="49" t="str">
        <f ca="1">IFERROR(__xludf.DUMMYFUNCTION("googletranslate(N299, ""fr"", ""nl"")"),"""Liefde wint altijd!"" Een t-shirt met de boodschap sterke en positieve en afgedrukt als rooskleurig als sprankelende pop.")</f>
        <v>"Liefde wint altijd!" Een t-shirt met de boodschap sterke en positieve en afgedrukt als rooskleurig als sprankelende pop.</v>
      </c>
      <c r="P299" s="100" t="s">
        <v>100</v>
      </c>
      <c r="Q299" s="49" t="str">
        <f ca="1">IFERROR(__xludf.DUMMYFUNCTION("GOOGLETRANSLATE(P299, ""fr"", ""nl"")"),"Wit")</f>
        <v>Wit</v>
      </c>
      <c r="R299" s="50" t="s">
        <v>1107</v>
      </c>
      <c r="S299" s="52" t="str">
        <f ca="1">IFERROR(__xludf.DUMMYFUNCTION("GOOGLETRANSLATE(R299, ""fr"", ""nl"")"),"95% katoen
5% elastaan")</f>
        <v>95% katoen
5% elastaan</v>
      </c>
      <c r="T299" s="53" t="s">
        <v>32</v>
      </c>
      <c r="U299" s="54" t="str">
        <f ca="1">IFERROR(__xludf.DUMMYFUNCTION("GOOGLETRANSLATE(T299, ""fr"", ""nl"")"),"Op 30 ° C max
Gebruik geen bleekmiddel
Gebruik geen van de droger
Strijken op gemiddelde temperatuur
Niet stomen")</f>
        <v>Op 30 ° C max
Gebruik geen bleekmiddel
Gebruik geen van de droger
Strijken op gemiddelde temperatuur
Niet stomen</v>
      </c>
      <c r="V299" s="62" t="s">
        <v>1082</v>
      </c>
      <c r="W299" s="101"/>
    </row>
    <row r="300" spans="1:23" ht="15.75" customHeight="1">
      <c r="A300" s="164" t="s">
        <v>1108</v>
      </c>
      <c r="B300" s="106">
        <v>16</v>
      </c>
      <c r="C300" s="104"/>
      <c r="D300" s="104"/>
      <c r="E300" s="152"/>
      <c r="F300" s="153" t="s">
        <v>1078</v>
      </c>
      <c r="G300" s="153" t="s">
        <v>1096</v>
      </c>
      <c r="H300" s="44" t="s">
        <v>1093</v>
      </c>
      <c r="I300" s="45"/>
      <c r="J300" s="141" t="s">
        <v>1109</v>
      </c>
      <c r="K300" s="98"/>
      <c r="L300" s="98"/>
      <c r="M300" s="48" t="str">
        <f ca="1">IFERROR(__xludf.DUMMYFUNCTION("googletranslate(L300, ""fr"", ""nl"")"),"#VALUE!")</f>
        <v>#VALUE!</v>
      </c>
      <c r="N300" s="168"/>
      <c r="O300" s="49" t="str">
        <f ca="1">IFERROR(__xludf.DUMMYFUNCTION("googletranslate(N300, ""fr"", ""nl"")"),"#VALUE!")</f>
        <v>#VALUE!</v>
      </c>
      <c r="P300" s="169"/>
      <c r="Q300" s="49" t="str">
        <f ca="1">IFERROR(__xludf.DUMMYFUNCTION("GOOGLETRANSLATE(P300, ""fr"", ""nl"")"),"#VALUE!")</f>
        <v>#VALUE!</v>
      </c>
      <c r="R300" s="170"/>
      <c r="S300" s="52" t="str">
        <f ca="1">IFERROR(__xludf.DUMMYFUNCTION("GOOGLETRANSLATE(R300, ""fr"", ""nl"")"),"#VALUE!")</f>
        <v>#VALUE!</v>
      </c>
      <c r="T300" s="53" t="s">
        <v>32</v>
      </c>
      <c r="U300" s="54" t="str">
        <f ca="1">IFERROR(__xludf.DUMMYFUNCTION("GOOGLETRANSLATE(T300, ""fr"", ""nl"")"),"Op 30 ° C max
Gebruik geen bleekmiddel
Gebruik geen van de droger
Strijken op gemiddelde temperatuur
Niet stomen")</f>
        <v>Op 30 ° C max
Gebruik geen bleekmiddel
Gebruik geen van de droger
Strijken op gemiddelde temperatuur
Niet stomen</v>
      </c>
      <c r="V300" s="62" t="s">
        <v>1082</v>
      </c>
      <c r="W300" s="101"/>
    </row>
    <row r="301" spans="1:23" ht="15.75" customHeight="1">
      <c r="A301" s="167" t="s">
        <v>1110</v>
      </c>
      <c r="B301" s="106">
        <v>16</v>
      </c>
      <c r="C301" s="104"/>
      <c r="D301" s="104"/>
      <c r="E301" s="152"/>
      <c r="F301" s="153" t="s">
        <v>1078</v>
      </c>
      <c r="G301" s="153" t="s">
        <v>1096</v>
      </c>
      <c r="H301" s="44" t="s">
        <v>1111</v>
      </c>
      <c r="I301" s="45"/>
      <c r="J301" s="141" t="s">
        <v>1112</v>
      </c>
      <c r="K301" s="47"/>
      <c r="L301" s="47" t="s">
        <v>1113</v>
      </c>
      <c r="M301" s="48" t="str">
        <f ca="1">IFERROR(__xludf.DUMMYFUNCTION("googletranslate(L301, ""fr"", ""nl"")")," :
- Rechte snede
- schouders hangende
- Encolore V
- Pat op de kraag
- gestikte zoom
- hals en manchetten geribde stretch met gloeiend heet roze en wit
- Badge J &amp; JOY metaal op de bodem
- J &amp; JOY geborduurd logo op het hart")</f>
        <v xml:space="preserve"> :
- Rechte snede
- schouders hangende
- Encolore V
- Pat op de kraag
- gestikte zoom
- hals en manchetten geribde stretch met gloeiend heet roze en wit
- Badge J &amp; JOY metaal op de bodem
- J &amp; JOY geborduurd logo op het hart</v>
      </c>
      <c r="N301" s="58" t="s">
        <v>1114</v>
      </c>
      <c r="O301" s="49" t="str">
        <f ca="1">IFERROR(__xludf.DUMMYFUNCTION("googletranslate(N301, ""fr"", ""nl"")"),"Een prachtig gesneden overhemd met een blauwe stip patroon en goed geplaatst rozen gegevens, zult u van om te dragen!")</f>
        <v>Een prachtig gesneden overhemd met een blauwe stip patroon en goed geplaatst rozen gegevens, zult u van om te dragen!</v>
      </c>
      <c r="P301" s="100" t="s">
        <v>30</v>
      </c>
      <c r="Q301" s="49" t="str">
        <f ca="1">IFERROR(__xludf.DUMMYFUNCTION("GOOGLETRANSLATE(P301, ""fr"", ""nl"")"),"blauw")</f>
        <v>blauw</v>
      </c>
      <c r="R301" s="171" t="s">
        <v>1115</v>
      </c>
      <c r="S301" s="52" t="str">
        <f ca="1">IFERROR(__xludf.DUMMYFUNCTION("GOOGLETRANSLATE(R301, ""fr"", ""nl"")"),"60% katoen
40% polyester")</f>
        <v>60% katoen
40% polyester</v>
      </c>
      <c r="T301" s="53" t="s">
        <v>32</v>
      </c>
      <c r="U301" s="54" t="str">
        <f ca="1">IFERROR(__xludf.DUMMYFUNCTION("GOOGLETRANSLATE(T301, ""fr"", ""nl"")"),"Op 30 ° C max
Gebruik geen bleekmiddel
Gebruik geen van de droger
Strijken op gemiddelde temperatuur
Niet stomen")</f>
        <v>Op 30 ° C max
Gebruik geen bleekmiddel
Gebruik geen van de droger
Strijken op gemiddelde temperatuur
Niet stomen</v>
      </c>
      <c r="V301" s="62" t="s">
        <v>1082</v>
      </c>
      <c r="W301" s="101"/>
    </row>
    <row r="302" spans="1:23" ht="15.75" customHeight="1">
      <c r="A302" s="172" t="s">
        <v>1116</v>
      </c>
      <c r="B302" s="106">
        <v>16</v>
      </c>
      <c r="C302" s="104"/>
      <c r="D302" s="104"/>
      <c r="E302" s="152"/>
      <c r="F302" s="153" t="s">
        <v>1078</v>
      </c>
      <c r="G302" s="153" t="s">
        <v>1096</v>
      </c>
      <c r="H302" s="44" t="s">
        <v>1117</v>
      </c>
      <c r="I302" s="45"/>
      <c r="J302" s="141" t="s">
        <v>1118</v>
      </c>
      <c r="K302" s="47"/>
      <c r="L302" s="47" t="s">
        <v>1119</v>
      </c>
      <c r="M302" s="48" t="str">
        <f ca="1">IFERROR(__xludf.DUMMYFUNCTION("googletranslate(L302, ""fr"", ""nl"")")," :
- Rechte snede
- Korte mouwen
- Ronde hals
- Tape roze in de nek
- hem and gestikte randen
- gedrukt en getextureerde patroon op hart
- Badge J &amp; JOY metaal op de bodem
- Schrift gedrukt op de rug")</f>
        <v xml:space="preserve"> :
- Rechte snede
- Korte mouwen
- Ronde hals
- Tape roze in de nek
- hem and gestikte randen
- gedrukt en getextureerde patroon op hart
- Badge J &amp; JOY metaal op de bodem
- Schrift gedrukt op de rug</v>
      </c>
      <c r="N302" s="76" t="s">
        <v>1120</v>
      </c>
      <c r="O302" s="49" t="str">
        <f ca="1">IFERROR(__xludf.DUMMYFUNCTION("googletranslate(N302, ""fr"", ""nl"")"),"Met tie-dye roze is het overhemd voor u! Super comfortabel om te dragen, het verhoogt uw dressing te zijn in de voorhoede van trends.")</f>
        <v>Met tie-dye roze is het overhemd voor u! Super comfortabel om te dragen, het verhoogt uw dressing te zijn in de voorhoede van trends.</v>
      </c>
      <c r="P302" s="100" t="s">
        <v>1121</v>
      </c>
      <c r="Q302" s="49" t="str">
        <f ca="1">IFERROR(__xludf.DUMMYFUNCTION("GOOGLETRANSLATE(P302, ""fr"", ""nl"")"),"Roze")</f>
        <v>Roze</v>
      </c>
      <c r="R302" s="171" t="s">
        <v>1115</v>
      </c>
      <c r="S302" s="52" t="str">
        <f ca="1">IFERROR(__xludf.DUMMYFUNCTION("GOOGLETRANSLATE(R302, ""fr"", ""nl"")"),"60% katoen
40% polyester")</f>
        <v>60% katoen
40% polyester</v>
      </c>
      <c r="T302" s="53" t="s">
        <v>32</v>
      </c>
      <c r="U302" s="54" t="str">
        <f ca="1">IFERROR(__xludf.DUMMYFUNCTION("GOOGLETRANSLATE(T302, ""fr"", ""nl"")"),"Op 30 ° C max
Gebruik geen bleekmiddel
Gebruik geen van de droger
Strijken op gemiddelde temperatuur
Niet stomen")</f>
        <v>Op 30 ° C max
Gebruik geen bleekmiddel
Gebruik geen van de droger
Strijken op gemiddelde temperatuur
Niet stomen</v>
      </c>
      <c r="V302" s="62" t="s">
        <v>1082</v>
      </c>
      <c r="W302" s="101"/>
    </row>
    <row r="303" spans="1:23" ht="15.75" customHeight="1">
      <c r="A303" s="173" t="s">
        <v>1122</v>
      </c>
      <c r="B303" s="106">
        <v>16</v>
      </c>
      <c r="C303" s="104"/>
      <c r="D303" s="104"/>
      <c r="E303" s="152"/>
      <c r="F303" s="153" t="s">
        <v>1078</v>
      </c>
      <c r="G303" s="153" t="s">
        <v>1096</v>
      </c>
      <c r="H303" s="44" t="s">
        <v>1123</v>
      </c>
      <c r="I303" s="45"/>
      <c r="J303" s="141" t="s">
        <v>1124</v>
      </c>
      <c r="K303" s="47"/>
      <c r="L303" s="47" t="s">
        <v>1125</v>
      </c>
      <c r="M303" s="48" t="str">
        <f ca="1">IFERROR(__xludf.DUMMYFUNCTION("googletranslate(L303, ""fr"", ""nl"")")," :
- Rechte snede
- Korte mouwen
- Ronde hals
- Pat op de kraag
- hem and gestikte randen
- Geweven Gedrukt op de voorzijde
- Badge J &amp; JOY metaal op de bodem
- J &amp; JOY geborduurd logo op de hals")</f>
        <v xml:space="preserve"> :
- Rechte snede
- Korte mouwen
- Ronde hals
- Pat op de kraag
- hem and gestikte randen
- Geweven Gedrukt op de voorzijde
- Badge J &amp; JOY metaal op de bodem
- J &amp; JOY geborduurd logo op de hals</v>
      </c>
      <c r="N303" s="58" t="s">
        <v>1126</v>
      </c>
      <c r="O303" s="49" t="str">
        <f ca="1">IFERROR(__xludf.DUMMYFUNCTION("googletranslate(N303, ""fr"", ""nl"")"),"De rode rots monoliet Uluru is een van de meest indrukwekkende plaatsen en de magie van de Australische Outback, de woestijn regio en toch vol leven.
Dit overhemd illustreert dit natuurmonument met een mooie illustratie in verschillende pastelkleuren.")</f>
        <v>De rode rots monoliet Uluru is een van de meest indrukwekkende plaatsen en de magie van de Australische Outback, de woestijn regio en toch vol leven.
Dit overhemd illustreert dit natuurmonument met een mooie illustratie in verschillende pastelkleuren.</v>
      </c>
      <c r="P303" s="100" t="s">
        <v>752</v>
      </c>
      <c r="Q303" s="49" t="str">
        <f ca="1">IFERROR(__xludf.DUMMYFUNCTION("GOOGLETRANSLATE(P303, ""fr"", ""nl"")"),"Wit")</f>
        <v>Wit</v>
      </c>
      <c r="R303" s="171" t="s">
        <v>31</v>
      </c>
      <c r="S303" s="52" t="str">
        <f ca="1">IFERROR(__xludf.DUMMYFUNCTION("GOOGLETRANSLATE(R303, ""fr"", ""nl"")"),"100% katoen")</f>
        <v>100% katoen</v>
      </c>
      <c r="T303" s="53" t="s">
        <v>32</v>
      </c>
      <c r="U303" s="54" t="str">
        <f ca="1">IFERROR(__xludf.DUMMYFUNCTION("GOOGLETRANSLATE(T303, ""fr"", ""nl"")"),"Op 30 ° C max
Gebruik geen bleekmiddel
Gebruik geen van de droger
Strijken op gemiddelde temperatuur
Niet stomen")</f>
        <v>Op 30 ° C max
Gebruik geen bleekmiddel
Gebruik geen van de droger
Strijken op gemiddelde temperatuur
Niet stomen</v>
      </c>
      <c r="V303" s="62" t="s">
        <v>1082</v>
      </c>
      <c r="W303" s="101"/>
    </row>
    <row r="304" spans="1:23" ht="15.75" customHeight="1">
      <c r="A304" s="167" t="s">
        <v>1127</v>
      </c>
      <c r="B304" s="106">
        <v>16</v>
      </c>
      <c r="C304" s="41"/>
      <c r="D304" s="41"/>
      <c r="E304" s="158"/>
      <c r="F304" s="153" t="s">
        <v>1078</v>
      </c>
      <c r="G304" s="153" t="s">
        <v>1096</v>
      </c>
      <c r="H304" s="44" t="s">
        <v>1128</v>
      </c>
      <c r="I304" s="45"/>
      <c r="J304" s="141" t="s">
        <v>1129</v>
      </c>
      <c r="K304" s="47"/>
      <c r="L304" s="47" t="s">
        <v>1130</v>
      </c>
      <c r="M304" s="48" t="str">
        <f ca="1">IFERROR(__xludf.DUMMYFUNCTION("googletranslate(L304, ""fr"", ""nl"")")," :
- Rechte snede
- Korte mouwen
- Ronde hals
- Pat op de kraag
- hem and gestikte randen
- logo op de voorkant
- Badge J &amp; JOY metaal op de bodem
- J &amp; JOY geborduurd logo op de hals")</f>
        <v xml:space="preserve"> :
- Rechte snede
- Korte mouwen
- Ronde hals
- Pat op de kraag
- hem and gestikte randen
- logo op de voorkant
- Badge J &amp; JOY metaal op de bodem
- J &amp; JOY geborduurd logo op de hals</v>
      </c>
      <c r="N304" s="58" t="s">
        <v>1131</v>
      </c>
      <c r="O304" s="49" t="str">
        <f ca="1">IFERROR(__xludf.DUMMYFUNCTION("googletranslate(N304, ""fr"", ""nl"")"),"""Alleen maar goede vibes! ""T-shirt dat geeft je de visserij deze zomer en dat verhoogt uw look!")</f>
        <v>"Alleen maar goede vibes! "T-shirt dat geeft je de visserij deze zomer en dat verhoogt uw look!</v>
      </c>
      <c r="P304" s="50" t="s">
        <v>1121</v>
      </c>
      <c r="Q304" s="49" t="str">
        <f ca="1">IFERROR(__xludf.DUMMYFUNCTION("GOOGLETRANSLATE(P304, ""fr"", ""nl"")"),"Roze")</f>
        <v>Roze</v>
      </c>
      <c r="R304" s="171" t="s">
        <v>1132</v>
      </c>
      <c r="S304" s="52" t="str">
        <f ca="1">IFERROR(__xludf.DUMMYFUNCTION("GOOGLETRANSLATE(R304, ""fr"", ""nl"")"),"60% katoen
40% polyester")</f>
        <v>60% katoen
40% polyester</v>
      </c>
      <c r="T304" s="53" t="s">
        <v>32</v>
      </c>
      <c r="U304" s="54" t="str">
        <f ca="1">IFERROR(__xludf.DUMMYFUNCTION("GOOGLETRANSLATE(T304, ""fr"", ""nl"")"),"Op 30 ° C max
Gebruik geen bleekmiddel
Gebruik geen van de droger
Strijken op gemiddelde temperatuur
Niet stomen")</f>
        <v>Op 30 ° C max
Gebruik geen bleekmiddel
Gebruik geen van de droger
Strijken op gemiddelde temperatuur
Niet stomen</v>
      </c>
      <c r="V304" s="62" t="s">
        <v>1082</v>
      </c>
      <c r="W304" s="56"/>
    </row>
    <row r="305" spans="1:23" ht="15.75" customHeight="1">
      <c r="A305" s="172" t="s">
        <v>1133</v>
      </c>
      <c r="B305" s="106">
        <v>16</v>
      </c>
      <c r="C305" s="104"/>
      <c r="D305" s="104"/>
      <c r="E305" s="152"/>
      <c r="F305" s="153" t="s">
        <v>1078</v>
      </c>
      <c r="G305" s="153" t="s">
        <v>1096</v>
      </c>
      <c r="H305" s="44" t="s">
        <v>1134</v>
      </c>
      <c r="I305" s="45"/>
      <c r="J305" s="141" t="s">
        <v>1135</v>
      </c>
      <c r="K305" s="47"/>
      <c r="L305" s="47" t="s">
        <v>1136</v>
      </c>
      <c r="M305" s="48" t="str">
        <f ca="1">IFERROR(__xludf.DUMMYFUNCTION("googletranslate(L305, ""fr"", ""nl"")")," :
- Rechte snede
- Korte mouwen
- Ronde hals
- Pat op de kraag
- hem and gestikte randen
- gestileerde en gedrukt op de voorzijde borduurwerk
- Badge J &amp; JOY metaal op de bodem
- J &amp; JOY geborduurd logo op de hals")</f>
        <v xml:space="preserve"> :
- Rechte snede
- Korte mouwen
- Ronde hals
- Pat op de kraag
- hem and gestikte randen
- gestileerde en gedrukt op de voorzijde borduurwerk
- Badge J &amp; JOY metaal op de bodem
- J &amp; JOY geborduurd logo op de hals</v>
      </c>
      <c r="N305" s="58" t="s">
        <v>1137</v>
      </c>
      <c r="O305" s="49" t="str">
        <f ca="1">IFERROR(__xludf.DUMMYFUNCTION("googletranslate(N305, ""fr"", ""nl"")"),"Deze beige shirt, met haar fabriek print en borduurwerk, brengt een beetje zoetheid aan uw garderobe!")</f>
        <v>Deze beige shirt, met haar fabriek print en borduurwerk, brengt een beetje zoetheid aan uw garderobe!</v>
      </c>
      <c r="P305" s="100" t="s">
        <v>575</v>
      </c>
      <c r="Q305" s="49" t="str">
        <f ca="1">IFERROR(__xludf.DUMMYFUNCTION("GOOGLETRANSLATE(P305, ""fr"", ""nl"")"),"Beige")</f>
        <v>Beige</v>
      </c>
      <c r="R305" s="50" t="s">
        <v>1138</v>
      </c>
      <c r="S305" s="52" t="str">
        <f ca="1">IFERROR(__xludf.DUMMYFUNCTION("GOOGLETRANSLATE(R305, ""fr"", ""nl"")"),"88% katoen
12% polyester")</f>
        <v>88% katoen
12% polyester</v>
      </c>
      <c r="T305" s="53" t="s">
        <v>32</v>
      </c>
      <c r="U305" s="54" t="str">
        <f ca="1">IFERROR(__xludf.DUMMYFUNCTION("GOOGLETRANSLATE(T305, ""fr"", ""nl"")"),"Op 30 ° C max
Gebruik geen bleekmiddel
Gebruik geen van de droger
Strijken op gemiddelde temperatuur
Niet stomen")</f>
        <v>Op 30 ° C max
Gebruik geen bleekmiddel
Gebruik geen van de droger
Strijken op gemiddelde temperatuur
Niet stomen</v>
      </c>
      <c r="V305" s="62" t="s">
        <v>1082</v>
      </c>
      <c r="W305" s="101"/>
    </row>
    <row r="306" spans="1:23" ht="15.75" customHeight="1">
      <c r="A306" s="57" t="s">
        <v>1139</v>
      </c>
      <c r="B306" s="106">
        <v>16</v>
      </c>
      <c r="C306" s="104"/>
      <c r="D306" s="104"/>
      <c r="E306" s="152"/>
      <c r="F306" s="153" t="s">
        <v>1078</v>
      </c>
      <c r="G306" s="153" t="s">
        <v>1096</v>
      </c>
      <c r="H306" s="44" t="s">
        <v>1140</v>
      </c>
      <c r="I306" s="45"/>
      <c r="J306" s="141" t="s">
        <v>1141</v>
      </c>
      <c r="K306" s="99"/>
      <c r="L306" s="99" t="s">
        <v>1142</v>
      </c>
      <c r="M306" s="48" t="str">
        <f ca="1">IFERROR(__xludf.DUMMYFUNCTION("googletranslate(L306, ""fr"", ""nl"")")," :
- Rechte snede
- Korte mouwen
- V-hals
- Pat op de kraag
- knopen opening
- Wooden Buttons
-Printed gouden kangoeroe
- hem and gestikte randen
- Metal Badge J &amp; JOY op de bodem")</f>
        <v xml:space="preserve"> :
- Rechte snede
- Korte mouwen
- V-hals
- Pat op de kraag
- knopen opening
- Wooden Buttons
-Printed gouden kangoeroe
- hem and gestikte randen
- Metal Badge J &amp; JOY op de bodem</v>
      </c>
      <c r="N306" s="58" t="s">
        <v>1143</v>
      </c>
      <c r="O306" s="49" t="str">
        <f ca="1">IFERROR(__xludf.DUMMYFUNCTION("googletranslate(N306, ""fr"", ""nl"")"),"Kangoeroes nodigen zich op dit overhemd en kaki lijken om de race te doen!
Dit overhemd dichtgeknoopt aan de voorzijde en gedurfde oproep aan alle liefhebbers van de originaliteit!")</f>
        <v>Kangoeroes nodigen zich op dit overhemd en kaki lijken om de race te doen!
Dit overhemd dichtgeknoopt aan de voorzijde en gedurfde oproep aan alle liefhebbers van de originaliteit!</v>
      </c>
      <c r="P306" s="100" t="s">
        <v>1144</v>
      </c>
      <c r="Q306" s="49" t="str">
        <f ca="1">IFERROR(__xludf.DUMMYFUNCTION("GOOGLETRANSLATE(P306, ""fr"", ""nl"")"),"Khaki")</f>
        <v>Khaki</v>
      </c>
      <c r="R306" s="174" t="s">
        <v>31</v>
      </c>
      <c r="S306" s="52" t="str">
        <f ca="1">IFERROR(__xludf.DUMMYFUNCTION("GOOGLETRANSLATE(R306, ""fr"", ""nl"")"),"100% katoen")</f>
        <v>100% katoen</v>
      </c>
      <c r="T306" s="53" t="s">
        <v>32</v>
      </c>
      <c r="U306" s="54" t="str">
        <f ca="1">IFERROR(__xludf.DUMMYFUNCTION("GOOGLETRANSLATE(T306, ""fr"", ""nl"")"),"Op 30 ° C max
Gebruik geen bleekmiddel
Gebruik geen van de droger
Strijken op gemiddelde temperatuur
Niet stomen")</f>
        <v>Op 30 ° C max
Gebruik geen bleekmiddel
Gebruik geen van de droger
Strijken op gemiddelde temperatuur
Niet stomen</v>
      </c>
      <c r="V306" s="62" t="s">
        <v>1082</v>
      </c>
      <c r="W306" s="101"/>
    </row>
    <row r="307" spans="1:23" ht="15.75" customHeight="1">
      <c r="A307" s="162" t="s">
        <v>1145</v>
      </c>
      <c r="B307" s="106">
        <v>16</v>
      </c>
      <c r="C307" s="104"/>
      <c r="D307" s="104"/>
      <c r="E307" s="152"/>
      <c r="F307" s="153" t="s">
        <v>1078</v>
      </c>
      <c r="G307" s="153" t="s">
        <v>1096</v>
      </c>
      <c r="H307" s="44" t="s">
        <v>1146</v>
      </c>
      <c r="I307" s="45"/>
      <c r="J307" s="141" t="s">
        <v>1147</v>
      </c>
      <c r="K307" s="98"/>
      <c r="L307" s="98"/>
      <c r="M307" s="48" t="str">
        <f ca="1">IFERROR(__xludf.DUMMYFUNCTION("googletranslate(L307, ""fr"", ""nl"")"),"#VALUE!")</f>
        <v>#VALUE!</v>
      </c>
      <c r="N307" s="168"/>
      <c r="O307" s="49" t="str">
        <f ca="1">IFERROR(__xludf.DUMMYFUNCTION("googletranslate(N307, ""fr"", ""nl"")"),"#VALUE!")</f>
        <v>#VALUE!</v>
      </c>
      <c r="P307" s="169"/>
      <c r="Q307" s="49" t="str">
        <f ca="1">IFERROR(__xludf.DUMMYFUNCTION("GOOGLETRANSLATE(P307, ""fr"", ""nl"")"),"#VALUE!")</f>
        <v>#VALUE!</v>
      </c>
      <c r="R307" s="94"/>
      <c r="S307" s="52" t="str">
        <f ca="1">IFERROR(__xludf.DUMMYFUNCTION("GOOGLETRANSLATE(R307, ""fr"", ""nl"")"),"#VALUE!")</f>
        <v>#VALUE!</v>
      </c>
      <c r="T307" s="53" t="s">
        <v>32</v>
      </c>
      <c r="U307" s="54" t="str">
        <f ca="1">IFERROR(__xludf.DUMMYFUNCTION("GOOGLETRANSLATE(T307, ""fr"", ""nl"")"),"Op 30 ° C max
Gebruik geen bleekmiddel
Gebruik geen van de droger
Strijken op gemiddelde temperatuur
Niet stomen")</f>
        <v>Op 30 ° C max
Gebruik geen bleekmiddel
Gebruik geen van de droger
Strijken op gemiddelde temperatuur
Niet stomen</v>
      </c>
      <c r="V307" s="62" t="s">
        <v>1082</v>
      </c>
      <c r="W307" s="101"/>
    </row>
    <row r="308" spans="1:23" ht="15.75" customHeight="1">
      <c r="A308" s="164" t="s">
        <v>1148</v>
      </c>
      <c r="B308" s="106">
        <v>16</v>
      </c>
      <c r="C308" s="104"/>
      <c r="D308" s="104"/>
      <c r="E308" s="152"/>
      <c r="F308" s="153" t="s">
        <v>1078</v>
      </c>
      <c r="G308" s="153" t="s">
        <v>1096</v>
      </c>
      <c r="H308" s="44" t="s">
        <v>1149</v>
      </c>
      <c r="I308" s="45"/>
      <c r="J308" s="141" t="s">
        <v>1150</v>
      </c>
      <c r="K308" s="98"/>
      <c r="L308" s="98"/>
      <c r="M308" s="48" t="str">
        <f ca="1">IFERROR(__xludf.DUMMYFUNCTION("googletranslate(L308, ""fr"", ""nl"")"),"#VALUE!")</f>
        <v>#VALUE!</v>
      </c>
      <c r="N308" s="168"/>
      <c r="O308" s="49" t="str">
        <f ca="1">IFERROR(__xludf.DUMMYFUNCTION("googletranslate(N308, ""fr"", ""nl"")"),"#VALUE!")</f>
        <v>#VALUE!</v>
      </c>
      <c r="P308" s="169"/>
      <c r="Q308" s="49" t="str">
        <f ca="1">IFERROR(__xludf.DUMMYFUNCTION("GOOGLETRANSLATE(P308, ""fr"", ""nl"")"),"#VALUE!")</f>
        <v>#VALUE!</v>
      </c>
      <c r="R308" s="94"/>
      <c r="S308" s="52" t="str">
        <f ca="1">IFERROR(__xludf.DUMMYFUNCTION("GOOGLETRANSLATE(R308, ""fr"", ""nl"")"),"#VALUE!")</f>
        <v>#VALUE!</v>
      </c>
      <c r="T308" s="53" t="s">
        <v>32</v>
      </c>
      <c r="U308" s="54" t="str">
        <f ca="1">IFERROR(__xludf.DUMMYFUNCTION("GOOGLETRANSLATE(T308, ""fr"", ""nl"")"),"Op 30 ° C max
Gebruik geen bleekmiddel
Gebruik geen van de droger
Strijken op gemiddelde temperatuur
Niet stomen")</f>
        <v>Op 30 ° C max
Gebruik geen bleekmiddel
Gebruik geen van de droger
Strijken op gemiddelde temperatuur
Niet stomen</v>
      </c>
      <c r="V308" s="62" t="s">
        <v>1082</v>
      </c>
      <c r="W308" s="101"/>
    </row>
    <row r="309" spans="1:23" ht="15.75" customHeight="1">
      <c r="A309" s="84" t="s">
        <v>1151</v>
      </c>
      <c r="B309" s="85"/>
      <c r="C309" s="67"/>
      <c r="D309" s="86"/>
      <c r="E309" s="67"/>
      <c r="F309" s="87"/>
      <c r="G309" s="87"/>
      <c r="H309" s="26"/>
      <c r="I309" s="26"/>
      <c r="J309" s="88" t="s">
        <v>677</v>
      </c>
      <c r="K309" s="89"/>
      <c r="L309" s="89"/>
      <c r="M309" s="48" t="str">
        <f ca="1">IFERROR(__xludf.DUMMYFUNCTION("googletranslate(L309, ""fr"", ""nl"")"),"#VALUE!")</f>
        <v>#VALUE!</v>
      </c>
      <c r="N309" s="125"/>
      <c r="O309" s="49" t="str">
        <f ca="1">IFERROR(__xludf.DUMMYFUNCTION("googletranslate(N309, ""fr"", ""nl"")"),"#VALUE!")</f>
        <v>#VALUE!</v>
      </c>
      <c r="P309" s="91"/>
      <c r="Q309" s="49" t="str">
        <f ca="1">IFERROR(__xludf.DUMMYFUNCTION("GOOGLETRANSLATE(P309, ""fr"", ""nl"")"),"#VALUE!")</f>
        <v>#VALUE!</v>
      </c>
      <c r="R309" s="92"/>
      <c r="S309" s="52" t="str">
        <f ca="1">IFERROR(__xludf.DUMMYFUNCTION("GOOGLETRANSLATE(R309, ""fr"", ""nl"")"),"#VALUE!")</f>
        <v>#VALUE!</v>
      </c>
      <c r="T309" s="89"/>
      <c r="U309" s="54" t="str">
        <f ca="1">IFERROR(__xludf.DUMMYFUNCTION("GOOGLETRANSLATE(T309, ""fr"", ""nl"")"),"#VALUE!")</f>
        <v>#VALUE!</v>
      </c>
      <c r="V309" s="140"/>
      <c r="W309" s="38"/>
    </row>
    <row r="310" spans="1:23" ht="15.75" customHeight="1">
      <c r="A310" s="39" t="s">
        <v>1152</v>
      </c>
      <c r="B310" s="106">
        <v>16</v>
      </c>
      <c r="C310" s="41"/>
      <c r="D310" s="41"/>
      <c r="E310" s="158"/>
      <c r="F310" s="159" t="s">
        <v>1078</v>
      </c>
      <c r="G310" s="159" t="s">
        <v>1153</v>
      </c>
      <c r="H310" s="44" t="s">
        <v>1146</v>
      </c>
      <c r="I310" s="45"/>
      <c r="J310" s="46" t="s">
        <v>1154</v>
      </c>
      <c r="K310" s="47"/>
      <c r="L310" s="47" t="s">
        <v>1155</v>
      </c>
      <c r="M310" s="48" t="str">
        <f ca="1">IFERROR(__xludf.DUMMYFUNCTION("googletranslate(L310, ""fr"", ""nl"")")," :
- uitlopende cut
- dunne bandjes
- ronde hals en ronde
- bretels terug Crossings
- gestikte zomen en randen
- Badge J &amp; JOY metaal op de bodem
")</f>
        <v xml:space="preserve"> :
- uitlopende cut
- dunne bandjes
- ronde hals en ronde
- bretels terug Crossings
- gestikte zomen en randen
- Badge J &amp; JOY metaal op de bodem
</v>
      </c>
      <c r="N310" s="58" t="s">
        <v>1156</v>
      </c>
      <c r="O310" s="49" t="str">
        <f ca="1">IFERROR(__xludf.DUMMYFUNCTION("googletranslate(N310, ""fr"", ""nl"")"),"Deze top met smalle bandjes en de originele cut zullen genieten tijdens de zomer dagen! Met zijn vet gedrukt in rood en bordeaux tinten, het is een van de sterkste onderdelen van uw garderobe!")</f>
        <v>Deze top met smalle bandjes en de originele cut zullen genieten tijdens de zomer dagen! Met zijn vet gedrukt in rood en bordeaux tinten, het is een van de sterkste onderdelen van uw garderobe!</v>
      </c>
      <c r="P310" s="50" t="s">
        <v>752</v>
      </c>
      <c r="Q310" s="49" t="str">
        <f ca="1">IFERROR(__xludf.DUMMYFUNCTION("GOOGLETRANSLATE(P310, ""fr"", ""nl"")"),"Wit")</f>
        <v>Wit</v>
      </c>
      <c r="R310" s="50" t="s">
        <v>1157</v>
      </c>
      <c r="S310" s="52" t="str">
        <f ca="1">IFERROR(__xludf.DUMMYFUNCTION("GOOGLETRANSLATE(R310, ""fr"", ""nl"")"),"100% lyocell")</f>
        <v>100% lyocell</v>
      </c>
      <c r="T310" s="53" t="s">
        <v>32</v>
      </c>
      <c r="U310" s="54" t="str">
        <f ca="1">IFERROR(__xludf.DUMMYFUNCTION("GOOGLETRANSLATE(T310, ""fr"", ""nl"")"),"Op 30 ° C max
Gebruik geen bleekmiddel
Gebruik geen van de droger
Strijken op gemiddelde temperatuur
Niet stomen")</f>
        <v>Op 30 ° C max
Gebruik geen bleekmiddel
Gebruik geen van de droger
Strijken op gemiddelde temperatuur
Niet stomen</v>
      </c>
      <c r="V310" s="62" t="s">
        <v>1082</v>
      </c>
      <c r="W310" s="56"/>
    </row>
    <row r="311" spans="1:23" ht="15.75" customHeight="1">
      <c r="A311" s="164" t="s">
        <v>1158</v>
      </c>
      <c r="B311" s="106">
        <v>16</v>
      </c>
      <c r="C311" s="41"/>
      <c r="D311" s="41"/>
      <c r="E311" s="158"/>
      <c r="F311" s="159" t="s">
        <v>1078</v>
      </c>
      <c r="G311" s="159" t="s">
        <v>1153</v>
      </c>
      <c r="H311" s="44" t="s">
        <v>1159</v>
      </c>
      <c r="I311" s="45"/>
      <c r="J311" s="46" t="s">
        <v>1160</v>
      </c>
      <c r="K311" s="46"/>
      <c r="L311" s="46"/>
      <c r="M311" s="48" t="str">
        <f ca="1">IFERROR(__xludf.DUMMYFUNCTION("googletranslate(L311, ""fr"", ""nl"")"),"#VALUE!")</f>
        <v>#VALUE!</v>
      </c>
      <c r="N311" s="163"/>
      <c r="O311" s="49" t="str">
        <f ca="1">IFERROR(__xludf.DUMMYFUNCTION("googletranslate(N311, ""fr"", ""nl"")"),"#VALUE!")</f>
        <v>#VALUE!</v>
      </c>
      <c r="P311" s="94"/>
      <c r="Q311" s="49" t="str">
        <f ca="1">IFERROR(__xludf.DUMMYFUNCTION("GOOGLETRANSLATE(P311, ""fr"", ""nl"")"),"#VALUE!")</f>
        <v>#VALUE!</v>
      </c>
      <c r="R311" s="110"/>
      <c r="S311" s="52" t="str">
        <f ca="1">IFERROR(__xludf.DUMMYFUNCTION("GOOGLETRANSLATE(R311, ""fr"", ""nl"")"),"#VALUE!")</f>
        <v>#VALUE!</v>
      </c>
      <c r="T311" s="53" t="s">
        <v>32</v>
      </c>
      <c r="U311" s="54" t="str">
        <f ca="1">IFERROR(__xludf.DUMMYFUNCTION("GOOGLETRANSLATE(T311, ""fr"", ""nl"")"),"Op 30 ° C max
Gebruik geen bleekmiddel
Gebruik geen van de droger
Strijken op gemiddelde temperatuur
Niet stomen")</f>
        <v>Op 30 ° C max
Gebruik geen bleekmiddel
Gebruik geen van de droger
Strijken op gemiddelde temperatuur
Niet stomen</v>
      </c>
      <c r="V311" s="62" t="s">
        <v>1082</v>
      </c>
      <c r="W311" s="56"/>
    </row>
    <row r="312" spans="1:23" ht="15.75" customHeight="1">
      <c r="A312" s="164" t="s">
        <v>1161</v>
      </c>
      <c r="B312" s="106">
        <v>16</v>
      </c>
      <c r="C312" s="41"/>
      <c r="D312" s="41"/>
      <c r="E312" s="158"/>
      <c r="F312" s="159" t="s">
        <v>1078</v>
      </c>
      <c r="G312" s="159" t="s">
        <v>1153</v>
      </c>
      <c r="H312" s="44" t="s">
        <v>1162</v>
      </c>
      <c r="I312" s="45"/>
      <c r="J312" s="46" t="s">
        <v>1163</v>
      </c>
      <c r="K312" s="46"/>
      <c r="L312" s="46"/>
      <c r="M312" s="48" t="str">
        <f ca="1">IFERROR(__xludf.DUMMYFUNCTION("googletranslate(L312, ""fr"", ""nl"")"),"#VALUE!")</f>
        <v>#VALUE!</v>
      </c>
      <c r="N312" s="163"/>
      <c r="O312" s="49" t="str">
        <f ca="1">IFERROR(__xludf.DUMMYFUNCTION("googletranslate(N312, ""fr"", ""nl"")"),"#VALUE!")</f>
        <v>#VALUE!</v>
      </c>
      <c r="P312" s="94"/>
      <c r="Q312" s="49" t="str">
        <f ca="1">IFERROR(__xludf.DUMMYFUNCTION("GOOGLETRANSLATE(P312, ""fr"", ""nl"")"),"#VALUE!")</f>
        <v>#VALUE!</v>
      </c>
      <c r="R312" s="110"/>
      <c r="S312" s="52" t="str">
        <f ca="1">IFERROR(__xludf.DUMMYFUNCTION("GOOGLETRANSLATE(R312, ""fr"", ""nl"")"),"#VALUE!")</f>
        <v>#VALUE!</v>
      </c>
      <c r="T312" s="53" t="s">
        <v>32</v>
      </c>
      <c r="U312" s="54" t="str">
        <f ca="1">IFERROR(__xludf.DUMMYFUNCTION("GOOGLETRANSLATE(T312, ""fr"", ""nl"")"),"Op 30 ° C max
Gebruik geen bleekmiddel
Gebruik geen van de droger
Strijken op gemiddelde temperatuur
Niet stomen")</f>
        <v>Op 30 ° C max
Gebruik geen bleekmiddel
Gebruik geen van de droger
Strijken op gemiddelde temperatuur
Niet stomen</v>
      </c>
      <c r="V312" s="62" t="s">
        <v>1082</v>
      </c>
      <c r="W312" s="56"/>
    </row>
    <row r="313" spans="1:23" ht="15.75" customHeight="1">
      <c r="A313" s="167" t="s">
        <v>1164</v>
      </c>
      <c r="B313" s="106">
        <v>16</v>
      </c>
      <c r="C313" s="41"/>
      <c r="D313" s="41"/>
      <c r="E313" s="158"/>
      <c r="F313" s="159" t="s">
        <v>1078</v>
      </c>
      <c r="G313" s="159" t="s">
        <v>1153</v>
      </c>
      <c r="H313" s="44" t="s">
        <v>1165</v>
      </c>
      <c r="I313" s="45"/>
      <c r="J313" s="46" t="s">
        <v>1166</v>
      </c>
      <c r="K313" s="47"/>
      <c r="L313" s="47" t="s">
        <v>1167</v>
      </c>
      <c r="M313" s="48" t="str">
        <f ca="1">IFERROR(__xludf.DUMMYFUNCTION("googletranslate(L313, ""fr"", ""nl"")")," :
- Rechte snede
- Zonder mouwen
- Gedrukt op de borst
- ronde hals en ronde
- Dos ruches
- hem and gestikte randen
- Gedrukte logo J &amp; JOY op de bodem
- Badge J &amp; JOY metaal op de bodem
")</f>
        <v xml:space="preserve"> :
- Rechte snede
- Zonder mouwen
- Gedrukt op de borst
- ronde hals en ronde
- Dos ruches
- hem and gestikte randen
- Gedrukte logo J &amp; JOY op de bodem
- Badge J &amp; JOY metaal op de bodem
</v>
      </c>
      <c r="N313" s="58" t="s">
        <v>1168</v>
      </c>
      <c r="O313" s="49" t="str">
        <f ca="1">IFERROR(__xludf.DUMMYFUNCTION("googletranslate(N313, ""fr"", ""nl"")"),"Geïnspireerd door de Sydney kunstgaleries, deze grijze top toont een mooie illustratie aan de voorzijde en een verrassende gesneden in de rug.")</f>
        <v>Geïnspireerd door de Sydney kunstgaleries, deze grijze top toont een mooie illustratie aan de voorzijde en een verrassende gesneden in de rug.</v>
      </c>
      <c r="P313" s="50" t="s">
        <v>234</v>
      </c>
      <c r="Q313" s="49" t="str">
        <f ca="1">IFERROR(__xludf.DUMMYFUNCTION("GOOGLETRANSLATE(P313, ""fr"", ""nl"")"),"Grijs")</f>
        <v>Grijs</v>
      </c>
      <c r="R313" s="175" t="s">
        <v>1169</v>
      </c>
      <c r="S313" s="52" t="str">
        <f ca="1">IFERROR(__xludf.DUMMYFUNCTION("GOOGLETRANSLATE(R313, ""fr"", ""nl"")"),"95% katoen
5% elastaan")</f>
        <v>95% katoen
5% elastaan</v>
      </c>
      <c r="T313" s="53" t="s">
        <v>32</v>
      </c>
      <c r="U313" s="54" t="str">
        <f ca="1">IFERROR(__xludf.DUMMYFUNCTION("GOOGLETRANSLATE(T313, ""fr"", ""nl"")"),"Op 30 ° C max
Gebruik geen bleekmiddel
Gebruik geen van de droger
Strijken op gemiddelde temperatuur
Niet stomen")</f>
        <v>Op 30 ° C max
Gebruik geen bleekmiddel
Gebruik geen van de droger
Strijken op gemiddelde temperatuur
Niet stomen</v>
      </c>
      <c r="V313" s="62" t="s">
        <v>1082</v>
      </c>
      <c r="W313" s="56"/>
    </row>
    <row r="314" spans="1:23" ht="15.75" customHeight="1">
      <c r="A314" s="167" t="s">
        <v>1170</v>
      </c>
      <c r="B314" s="106">
        <v>16</v>
      </c>
      <c r="C314" s="41"/>
      <c r="D314" s="41"/>
      <c r="E314" s="158"/>
      <c r="F314" s="159" t="s">
        <v>1078</v>
      </c>
      <c r="G314" s="159" t="s">
        <v>1153</v>
      </c>
      <c r="H314" s="44" t="s">
        <v>1171</v>
      </c>
      <c r="I314" s="45"/>
      <c r="J314" s="46" t="s">
        <v>1172</v>
      </c>
      <c r="K314" s="47"/>
      <c r="L314" s="47" t="s">
        <v>1173</v>
      </c>
      <c r="M314" s="48" t="str">
        <f ca="1">IFERROR(__xludf.DUMMYFUNCTION("googletranslate(L314, ""fr"", ""nl"")")," :
- Rechte snede
- Zonder mouwen
- Ronde hals
- hem and gestikte randen
- Pat op de kraag
- Strip op de borst gestikt
- Zijsplitten
- J &amp; JOY geborduurd logo op het hart
- J &amp; JOY geborduurd logo in de nek
- Metal Badge J &amp; JOY op de bodem")</f>
        <v xml:space="preserve"> :
- Rechte snede
- Zonder mouwen
- Ronde hals
- hem and gestikte randen
- Pat op de kraag
- Strip op de borst gestikt
- Zijsplitten
- J &amp; JOY geborduurd logo op het hart
- J &amp; JOY geborduurd logo in de nek
- Metal Badge J &amp; JOY op de bodem</v>
      </c>
      <c r="N314" s="142" t="s">
        <v>1174</v>
      </c>
      <c r="O314" s="49" t="str">
        <f ca="1">IFERROR(__xludf.DUMMYFUNCTION("googletranslate(N314, ""fr"", ""nl"")"),"Een elektrische blauwe bovenkant en goed gesneden voor een koele en levendige look! De roze en witte lijnen geven het een grafische kant, de laatste hand aan deze top kun je niet zonder jou doen!")</f>
        <v>Een elektrische blauwe bovenkant en goed gesneden voor een koele en levendige look! De roze en witte lijnen geven het een grafische kant, de laatste hand aan deze top kun je niet zonder jou doen!</v>
      </c>
      <c r="P314" s="50" t="s">
        <v>1065</v>
      </c>
      <c r="Q314" s="49" t="str">
        <f ca="1">IFERROR(__xludf.DUMMYFUNCTION("GOOGLETRANSLATE(P314, ""fr"", ""nl"")"),"Blauw")</f>
        <v>Blauw</v>
      </c>
      <c r="R314" s="175" t="s">
        <v>1175</v>
      </c>
      <c r="S314" s="52" t="str">
        <f ca="1">IFERROR(__xludf.DUMMYFUNCTION("GOOGLETRANSLATE(R314, ""fr"", ""nl"")"),"95% katoen
5% Spandex")</f>
        <v>95% katoen
5% Spandex</v>
      </c>
      <c r="T314" s="53" t="s">
        <v>32</v>
      </c>
      <c r="U314" s="54" t="str">
        <f ca="1">IFERROR(__xludf.DUMMYFUNCTION("GOOGLETRANSLATE(T314, ""fr"", ""nl"")"),"Op 30 ° C max
Gebruik geen bleekmiddel
Gebruik geen van de droger
Strijken op gemiddelde temperatuur
Niet stomen")</f>
        <v>Op 30 ° C max
Gebruik geen bleekmiddel
Gebruik geen van de droger
Strijken op gemiddelde temperatuur
Niet stomen</v>
      </c>
      <c r="V314" s="62" t="s">
        <v>1082</v>
      </c>
      <c r="W314" s="56"/>
    </row>
    <row r="315" spans="1:23" ht="15.75" customHeight="1">
      <c r="A315" s="164" t="s">
        <v>1176</v>
      </c>
      <c r="B315" s="93">
        <v>16</v>
      </c>
      <c r="C315" s="158"/>
      <c r="D315" s="176"/>
      <c r="E315" s="158"/>
      <c r="F315" s="159" t="s">
        <v>1078</v>
      </c>
      <c r="G315" s="159" t="s">
        <v>1153</v>
      </c>
      <c r="H315" s="44" t="s">
        <v>1177</v>
      </c>
      <c r="I315" s="45"/>
      <c r="J315" s="46" t="s">
        <v>1178</v>
      </c>
      <c r="K315" s="46"/>
      <c r="L315" s="46"/>
      <c r="M315" s="48" t="str">
        <f ca="1">IFERROR(__xludf.DUMMYFUNCTION("googletranslate(L315, ""fr"", ""nl"")"),"#VALUE!")</f>
        <v>#VALUE!</v>
      </c>
      <c r="N315" s="163"/>
      <c r="O315" s="49" t="str">
        <f ca="1">IFERROR(__xludf.DUMMYFUNCTION("googletranslate(N315, ""fr"", ""nl"")"),"#VALUE!")</f>
        <v>#VALUE!</v>
      </c>
      <c r="P315" s="94"/>
      <c r="Q315" s="49" t="str">
        <f ca="1">IFERROR(__xludf.DUMMYFUNCTION("GOOGLETRANSLATE(P315, ""fr"", ""nl"")"),"#VALUE!")</f>
        <v>#VALUE!</v>
      </c>
      <c r="R315" s="161"/>
      <c r="S315" s="52" t="str">
        <f ca="1">IFERROR(__xludf.DUMMYFUNCTION("GOOGLETRANSLATE(R315, ""fr"", ""nl"")"),"#VALUE!")</f>
        <v>#VALUE!</v>
      </c>
      <c r="T315" s="53" t="s">
        <v>32</v>
      </c>
      <c r="U315" s="54" t="str">
        <f ca="1">IFERROR(__xludf.DUMMYFUNCTION("GOOGLETRANSLATE(T315, ""fr"", ""nl"")"),"Op 30 ° C max
Gebruik geen bleekmiddel
Gebruik geen van de droger
Strijken op gemiddelde temperatuur
Niet stomen")</f>
        <v>Op 30 ° C max
Gebruik geen bleekmiddel
Gebruik geen van de droger
Strijken op gemiddelde temperatuur
Niet stomen</v>
      </c>
      <c r="V315" s="62" t="s">
        <v>1082</v>
      </c>
      <c r="W315" s="56"/>
    </row>
    <row r="316" spans="1:23" ht="15.75" customHeight="1">
      <c r="A316" s="84" t="s">
        <v>1179</v>
      </c>
      <c r="B316" s="85"/>
      <c r="C316" s="67"/>
      <c r="D316" s="86"/>
      <c r="E316" s="67"/>
      <c r="F316" s="87"/>
      <c r="G316" s="87"/>
      <c r="H316" s="26"/>
      <c r="I316" s="26"/>
      <c r="J316" s="88" t="s">
        <v>677</v>
      </c>
      <c r="K316" s="89"/>
      <c r="L316" s="89"/>
      <c r="M316" s="48" t="str">
        <f ca="1">IFERROR(__xludf.DUMMYFUNCTION("googletranslate(L316, ""fr"", ""nl"")"),"#VALUE!")</f>
        <v>#VALUE!</v>
      </c>
      <c r="N316" s="125"/>
      <c r="O316" s="49" t="str">
        <f ca="1">IFERROR(__xludf.DUMMYFUNCTION("googletranslate(N316, ""fr"", ""nl"")"),"#VALUE!")</f>
        <v>#VALUE!</v>
      </c>
      <c r="P316" s="91"/>
      <c r="Q316" s="49" t="str">
        <f ca="1">IFERROR(__xludf.DUMMYFUNCTION("GOOGLETRANSLATE(P316, ""fr"", ""nl"")"),"#VALUE!")</f>
        <v>#VALUE!</v>
      </c>
      <c r="R316" s="92"/>
      <c r="S316" s="52" t="str">
        <f ca="1">IFERROR(__xludf.DUMMYFUNCTION("GOOGLETRANSLATE(R316, ""fr"", ""nl"")"),"#VALUE!")</f>
        <v>#VALUE!</v>
      </c>
      <c r="T316" s="89"/>
      <c r="U316" s="54" t="str">
        <f ca="1">IFERROR(__xludf.DUMMYFUNCTION("GOOGLETRANSLATE(T316, ""fr"", ""nl"")"),"#VALUE!")</f>
        <v>#VALUE!</v>
      </c>
      <c r="V316" s="140"/>
      <c r="W316" s="38"/>
    </row>
    <row r="317" spans="1:23" ht="15.75" customHeight="1">
      <c r="A317" s="39" t="s">
        <v>1180</v>
      </c>
      <c r="B317" s="106">
        <v>40</v>
      </c>
      <c r="C317" s="41"/>
      <c r="D317" s="41"/>
      <c r="E317" s="158"/>
      <c r="F317" s="159" t="s">
        <v>1078</v>
      </c>
      <c r="G317" s="159" t="s">
        <v>1181</v>
      </c>
      <c r="H317" s="44" t="s">
        <v>1182</v>
      </c>
      <c r="I317" s="45"/>
      <c r="J317" s="46" t="s">
        <v>1183</v>
      </c>
      <c r="K317" s="47"/>
      <c r="L317" s="47" t="s">
        <v>1184</v>
      </c>
      <c r="M317" s="48" t="str">
        <f ca="1">IFERROR(__xludf.DUMMYFUNCTION("googletranslate(L317, ""fr"", ""nl"")")," :
- bomber Cup
- halflange
- Lange mouwen
- contrasterende ritssluiting
- geribde manchetten en randen enigszins glittery grens rek met contrast
- Zijzakken
- J &amp; JOY geborduurd logo op het hart
- J &amp; JOY Logo genaaid op de bodem")</f>
        <v xml:space="preserve"> :
- bomber Cup
- halflange
- Lange mouwen
- contrasterende ritssluiting
- geribde manchetten en randen enigszins glittery grens rek met contrast
- Zijzakken
- J &amp; JOY geborduurd logo op het hart
- J &amp; JOY Logo genaaid op de bodem</v>
      </c>
      <c r="N317" s="58" t="s">
        <v>1185</v>
      </c>
      <c r="O317" s="49" t="str">
        <f ca="1">IFERROR(__xludf.DUMMYFUNCTION("googletranslate(N317, ""fr"", ""nl"")"),"Deze lange hooded jassen geïnspireerd ""bommenwerpers"". Deze lange model toont een jungle druk met roze knoppen. Om beide jeans te dekken die boven een jurk is een veelzijdig stuk dat past in je garderobe.")</f>
        <v>Deze lange hooded jassen geïnspireerd "bommenwerpers". Deze lange model toont een jungle druk met roze knoppen. Om beide jeans te dekken die boven een jurk is een veelzijdig stuk dat past in je garderobe.</v>
      </c>
      <c r="P317" s="50" t="s">
        <v>1186</v>
      </c>
      <c r="Q317" s="49" t="str">
        <f ca="1">IFERROR(__xludf.DUMMYFUNCTION("GOOGLETRANSLATE(P317, ""fr"", ""nl"")"),"zwart")</f>
        <v>zwart</v>
      </c>
      <c r="R317" s="171" t="s">
        <v>523</v>
      </c>
      <c r="S317" s="52" t="str">
        <f ca="1">IFERROR(__xludf.DUMMYFUNCTION("GOOGLETRANSLATE(R317, ""fr"", ""nl"")"),"100% Polyester")</f>
        <v>100% Polyester</v>
      </c>
      <c r="T317" s="53" t="s">
        <v>32</v>
      </c>
      <c r="U317" s="54" t="str">
        <f ca="1">IFERROR(__xludf.DUMMYFUNCTION("GOOGLETRANSLATE(T317, ""fr"", ""nl"")"),"Op 30 ° C max
Gebruik geen bleekmiddel
Gebruik geen van de droger
Strijken op gemiddelde temperatuur
Niet stomen")</f>
        <v>Op 30 ° C max
Gebruik geen bleekmiddel
Gebruik geen van de droger
Strijken op gemiddelde temperatuur
Niet stomen</v>
      </c>
      <c r="V317" s="62" t="s">
        <v>1082</v>
      </c>
      <c r="W317" s="56"/>
    </row>
    <row r="318" spans="1:23" ht="15.75" customHeight="1">
      <c r="A318" s="172" t="s">
        <v>1187</v>
      </c>
      <c r="B318" s="106">
        <v>40</v>
      </c>
      <c r="C318" s="41"/>
      <c r="D318" s="41"/>
      <c r="E318" s="158"/>
      <c r="F318" s="159" t="s">
        <v>1078</v>
      </c>
      <c r="G318" s="159" t="s">
        <v>1181</v>
      </c>
      <c r="H318" s="44" t="s">
        <v>1188</v>
      </c>
      <c r="I318" s="45"/>
      <c r="J318" s="46" t="s">
        <v>1189</v>
      </c>
      <c r="K318" s="47"/>
      <c r="L318" s="47" t="s">
        <v>1190</v>
      </c>
      <c r="M318" s="48" t="str">
        <f ca="1">IFERROR(__xludf.DUMMYFUNCTION("googletranslate(L318, ""fr"", ""nl"")")," :
- Model blazer
- Lange mouwen
- enigszins aangepast elegant Cup
- Tailored kraag
- Printed Interior planten
- Metal Badge J &amp; JOY op de bodem
- klepzakken")</f>
        <v xml:space="preserve"> :
- Model blazer
- Lange mouwen
- enigszins aangepast elegant Cup
- Tailored kraag
- Printed Interior planten
- Metal Badge J &amp; JOY op de bodem
- klepzakken</v>
      </c>
      <c r="N318" s="58" t="s">
        <v>1191</v>
      </c>
      <c r="O318" s="49" t="str">
        <f ca="1">IFERROR(__xludf.DUMMYFUNCTION("googletranslate(N318, ""fr"", ""nl"")"),"Dit sweatshirt in licht jasje look is half lang en toont een trillende roze en pop. Perfect voor mid-seizoen, dit stuk Blok van de kleur verlicht je uiterlijk en verhoogt uw outfits. Ideaal gedragen met jeans en een t-shirt, zal het ook goed gaan over een"&amp;" rok of een jurk.")</f>
        <v>Dit sweatshirt in licht jasje look is half lang en toont een trillende roze en pop. Perfect voor mid-seizoen, dit stuk Blok van de kleur verlicht je uiterlijk en verhoogt uw outfits. Ideaal gedragen met jeans en een t-shirt, zal het ook goed gaan over een rok of een jurk.</v>
      </c>
      <c r="P318" s="50" t="s">
        <v>1065</v>
      </c>
      <c r="Q318" s="49" t="str">
        <f ca="1">IFERROR(__xludf.DUMMYFUNCTION("GOOGLETRANSLATE(P318, ""fr"", ""nl"")"),"Blauw")</f>
        <v>Blauw</v>
      </c>
      <c r="R318" s="75" t="s">
        <v>1192</v>
      </c>
      <c r="S318" s="52" t="str">
        <f ca="1">IFERROR(__xludf.DUMMYFUNCTION("GOOGLETRANSLATE(R318, ""fr"", ""nl"")"),"50% katoen
46% polyester
4% elastaan")</f>
        <v>50% katoen
46% polyester
4% elastaan</v>
      </c>
      <c r="T318" s="53" t="s">
        <v>32</v>
      </c>
      <c r="U318" s="54" t="str">
        <f ca="1">IFERROR(__xludf.DUMMYFUNCTION("GOOGLETRANSLATE(T318, ""fr"", ""nl"")"),"Op 30 ° C max
Gebruik geen bleekmiddel
Gebruik geen van de droger
Strijken op gemiddelde temperatuur
Niet stomen")</f>
        <v>Op 30 ° C max
Gebruik geen bleekmiddel
Gebruik geen van de droger
Strijken op gemiddelde temperatuur
Niet stomen</v>
      </c>
      <c r="V318" s="62" t="s">
        <v>1082</v>
      </c>
      <c r="W318" s="56"/>
    </row>
    <row r="319" spans="1:23" ht="15.75" customHeight="1">
      <c r="A319" s="172" t="s">
        <v>1193</v>
      </c>
      <c r="B319" s="106">
        <v>32</v>
      </c>
      <c r="C319" s="41"/>
      <c r="D319" s="41"/>
      <c r="E319" s="158"/>
      <c r="F319" s="159" t="s">
        <v>1078</v>
      </c>
      <c r="G319" s="159" t="s">
        <v>1181</v>
      </c>
      <c r="H319" s="44" t="s">
        <v>1194</v>
      </c>
      <c r="I319" s="45"/>
      <c r="J319" s="46" t="s">
        <v>1195</v>
      </c>
      <c r="K319" s="47"/>
      <c r="L319" s="47" t="s">
        <v>1196</v>
      </c>
      <c r="M319" s="48" t="str">
        <f ca="1">IFERROR(__xludf.DUMMYFUNCTION("googletranslate(L319, ""fr"", ""nl"")")," :
- Crew Neck Sweat
- Rechte snede
- Lange mouwen
- Ronde kraag
- Pat op de kraag
- Edge, elastische tailleband en rib boord
- Schrijven volledig geborduurd op de borst
- Gedrukte fabriek
- J &amp; JOY geborduurd logo op de hals
- Badge J &amp; JOY metaal op de "&amp;"bodem")</f>
        <v xml:space="preserve"> :
- Crew Neck Sweat
- Rechte snede
- Lange mouwen
- Ronde kraag
- Pat op de kraag
- Edge, elastische tailleband en rib boord
- Schrijven volledig geborduurd op de borst
- Gedrukte fabriek
- J &amp; JOY geborduurd logo op de hals
- Badge J &amp; JOY metaal op de bodem</v>
      </c>
      <c r="N319" s="58" t="s">
        <v>1197</v>
      </c>
      <c r="O319" s="49" t="str">
        <f ca="1">IFERROR(__xludf.DUMMYFUNCTION("googletranslate(N319, ""fr"", ""nl"")"),"Een gedrukte ""jungle"" en een roze achtergrond, dit is de winnende combinatie voor een sweatshirt die willen alle zomeravonden dragen!
Het warme en hartelijke zweet: een echte aanrader!")</f>
        <v>Een gedrukte "jungle" en een roze achtergrond, dit is de winnende combinatie voor een sweatshirt die willen alle zomeravonden dragen!
Het warme en hartelijke zweet: een echte aanrader!</v>
      </c>
      <c r="P319" s="50" t="s">
        <v>575</v>
      </c>
      <c r="Q319" s="49" t="str">
        <f ca="1">IFERROR(__xludf.DUMMYFUNCTION("GOOGLETRANSLATE(P319, ""fr"", ""nl"")"),"Beige")</f>
        <v>Beige</v>
      </c>
      <c r="R319" s="171" t="s">
        <v>1115</v>
      </c>
      <c r="S319" s="52" t="str">
        <f ca="1">IFERROR(__xludf.DUMMYFUNCTION("GOOGLETRANSLATE(R319, ""fr"", ""nl"")"),"60% katoen
40% polyester")</f>
        <v>60% katoen
40% polyester</v>
      </c>
      <c r="T319" s="53" t="s">
        <v>32</v>
      </c>
      <c r="U319" s="54" t="str">
        <f ca="1">IFERROR(__xludf.DUMMYFUNCTION("GOOGLETRANSLATE(T319, ""fr"", ""nl"")"),"Op 30 ° C max
Gebruik geen bleekmiddel
Gebruik geen van de droger
Strijken op gemiddelde temperatuur
Niet stomen")</f>
        <v>Op 30 ° C max
Gebruik geen bleekmiddel
Gebruik geen van de droger
Strijken op gemiddelde temperatuur
Niet stomen</v>
      </c>
      <c r="V319" s="62" t="s">
        <v>1082</v>
      </c>
      <c r="W319" s="56"/>
    </row>
    <row r="320" spans="1:23" ht="15.75" customHeight="1">
      <c r="A320" s="164" t="s">
        <v>1198</v>
      </c>
      <c r="B320" s="106">
        <v>34</v>
      </c>
      <c r="C320" s="41"/>
      <c r="D320" s="41"/>
      <c r="E320" s="158"/>
      <c r="F320" s="159" t="s">
        <v>1078</v>
      </c>
      <c r="G320" s="159" t="s">
        <v>1181</v>
      </c>
      <c r="H320" s="44" t="s">
        <v>1199</v>
      </c>
      <c r="I320" s="45"/>
      <c r="J320" s="46" t="s">
        <v>1200</v>
      </c>
      <c r="K320" s="46"/>
      <c r="L320" s="46"/>
      <c r="M320" s="48" t="str">
        <f ca="1">IFERROR(__xludf.DUMMYFUNCTION("googletranslate(L320, ""fr"", ""nl"")"),"#VALUE!")</f>
        <v>#VALUE!</v>
      </c>
      <c r="N320" s="163"/>
      <c r="O320" s="49" t="str">
        <f ca="1">IFERROR(__xludf.DUMMYFUNCTION("googletranslate(N320, ""fr"", ""nl"")"),"#VALUE!")</f>
        <v>#VALUE!</v>
      </c>
      <c r="P320" s="94"/>
      <c r="Q320" s="49" t="str">
        <f ca="1">IFERROR(__xludf.DUMMYFUNCTION("GOOGLETRANSLATE(P320, ""fr"", ""nl"")"),"#VALUE!")</f>
        <v>#VALUE!</v>
      </c>
      <c r="R320" s="110"/>
      <c r="S320" s="52" t="str">
        <f ca="1">IFERROR(__xludf.DUMMYFUNCTION("GOOGLETRANSLATE(R320, ""fr"", ""nl"")"),"#VALUE!")</f>
        <v>#VALUE!</v>
      </c>
      <c r="T320" s="53" t="s">
        <v>32</v>
      </c>
      <c r="U320" s="54" t="str">
        <f ca="1">IFERROR(__xludf.DUMMYFUNCTION("GOOGLETRANSLATE(T320, ""fr"", ""nl"")"),"Op 30 ° C max
Gebruik geen bleekmiddel
Gebruik geen van de droger
Strijken op gemiddelde temperatuur
Niet stomen")</f>
        <v>Op 30 ° C max
Gebruik geen bleekmiddel
Gebruik geen van de droger
Strijken op gemiddelde temperatuur
Niet stomen</v>
      </c>
      <c r="V320" s="62" t="s">
        <v>1082</v>
      </c>
      <c r="W320" s="56"/>
    </row>
    <row r="321" spans="1:23" ht="15.75" customHeight="1">
      <c r="A321" s="167" t="s">
        <v>1201</v>
      </c>
      <c r="B321" s="106">
        <v>32</v>
      </c>
      <c r="C321" s="41"/>
      <c r="D321" s="41"/>
      <c r="E321" s="158"/>
      <c r="F321" s="159" t="s">
        <v>1078</v>
      </c>
      <c r="G321" s="159" t="s">
        <v>1181</v>
      </c>
      <c r="H321" s="44" t="s">
        <v>1202</v>
      </c>
      <c r="I321" s="45"/>
      <c r="J321" s="46" t="s">
        <v>1203</v>
      </c>
      <c r="K321" s="47"/>
      <c r="L321" s="47" t="s">
        <v>1204</v>
      </c>
      <c r="M321" s="48" t="str">
        <f ca="1">IFERROR(__xludf.DUMMYFUNCTION("googletranslate(L321, ""fr"", ""nl"")")," :
- Crew Neck Sweat
- Rechte snede
- Lange mouwen
- Ronde kraag
- Pat op de kraag
- Edge, elastische tailleband en rib boord
- Gedrukte blauwe thema ""surf""
- J &amp; JOY geborduurd logo op de hals
- J &amp; JOY geborduurd logo op het hart
- Badge J &amp; JOY metaa"&amp;"l op de bodem")</f>
        <v xml:space="preserve"> :
- Crew Neck Sweat
- Rechte snede
- Lange mouwen
- Ronde kraag
- Pat op de kraag
- Edge, elastische tailleband en rib boord
- Gedrukte blauwe thema "surf"
- J &amp; JOY geborduurd logo op de hals
- J &amp; JOY geborduurd logo op het hart
- Badge J &amp; JOY metaal op de bodem</v>
      </c>
      <c r="N321" s="58" t="s">
        <v>1205</v>
      </c>
      <c r="O321" s="49" t="str">
        <f ca="1">IFERROR(__xludf.DUMMYFUNCTION("googletranslate(N321, ""fr"", ""nl"")"),"Palmbomen, boemerangs, zonnebrillen en surfplanken: dit sweatshirt comfortabele grijs is een ode aan de sfeer en de vreugde van het leven Australische!")</f>
        <v>Palmbomen, boemerangs, zonnebrillen en surfplanken: dit sweatshirt comfortabele grijs is een ode aan de sfeer en de vreugde van het leven Australische!</v>
      </c>
      <c r="P321" s="50" t="s">
        <v>234</v>
      </c>
      <c r="Q321" s="49" t="str">
        <f ca="1">IFERROR(__xludf.DUMMYFUNCTION("GOOGLETRANSLATE(P321, ""fr"", ""nl"")"),"Grijs")</f>
        <v>Grijs</v>
      </c>
      <c r="R321" s="171" t="s">
        <v>1206</v>
      </c>
      <c r="S321" s="52" t="str">
        <f ca="1">IFERROR(__xludf.DUMMYFUNCTION("GOOGLETRANSLATE(R321, ""fr"", ""nl"")"),"88% katoen
12% polyester")</f>
        <v>88% katoen
12% polyester</v>
      </c>
      <c r="T321" s="53" t="s">
        <v>32</v>
      </c>
      <c r="U321" s="54" t="str">
        <f ca="1">IFERROR(__xludf.DUMMYFUNCTION("GOOGLETRANSLATE(T321, ""fr"", ""nl"")"),"Op 30 ° C max
Gebruik geen bleekmiddel
Gebruik geen van de droger
Strijken op gemiddelde temperatuur
Niet stomen")</f>
        <v>Op 30 ° C max
Gebruik geen bleekmiddel
Gebruik geen van de droger
Strijken op gemiddelde temperatuur
Niet stomen</v>
      </c>
      <c r="V321" s="62" t="s">
        <v>1082</v>
      </c>
      <c r="W321" s="56"/>
    </row>
    <row r="322" spans="1:23" ht="15.75" customHeight="1">
      <c r="A322" s="164" t="s">
        <v>1207</v>
      </c>
      <c r="B322" s="106">
        <v>34</v>
      </c>
      <c r="C322" s="41"/>
      <c r="D322" s="41"/>
      <c r="E322" s="158"/>
      <c r="F322" s="159" t="s">
        <v>1078</v>
      </c>
      <c r="G322" s="159" t="s">
        <v>1181</v>
      </c>
      <c r="H322" s="44" t="s">
        <v>1208</v>
      </c>
      <c r="I322" s="45"/>
      <c r="J322" s="46" t="s">
        <v>1209</v>
      </c>
      <c r="K322" s="46"/>
      <c r="L322" s="46"/>
      <c r="M322" s="48" t="str">
        <f ca="1">IFERROR(__xludf.DUMMYFUNCTION("googletranslate(L322, ""fr"", ""nl"")"),"#VALUE!")</f>
        <v>#VALUE!</v>
      </c>
      <c r="N322" s="163"/>
      <c r="O322" s="49" t="str">
        <f ca="1">IFERROR(__xludf.DUMMYFUNCTION("googletranslate(N322, ""fr"", ""nl"")"),"#VALUE!")</f>
        <v>#VALUE!</v>
      </c>
      <c r="P322" s="94"/>
      <c r="Q322" s="49" t="str">
        <f ca="1">IFERROR(__xludf.DUMMYFUNCTION("GOOGLETRANSLATE(P322, ""fr"", ""nl"")"),"#VALUE!")</f>
        <v>#VALUE!</v>
      </c>
      <c r="R322" s="110"/>
      <c r="S322" s="52" t="str">
        <f ca="1">IFERROR(__xludf.DUMMYFUNCTION("GOOGLETRANSLATE(R322, ""fr"", ""nl"")"),"#VALUE!")</f>
        <v>#VALUE!</v>
      </c>
      <c r="T322" s="53" t="s">
        <v>32</v>
      </c>
      <c r="U322" s="54" t="str">
        <f ca="1">IFERROR(__xludf.DUMMYFUNCTION("GOOGLETRANSLATE(T322, ""fr"", ""nl"")"),"Op 30 ° C max
Gebruik geen bleekmiddel
Gebruik geen van de droger
Strijken op gemiddelde temperatuur
Niet stomen")</f>
        <v>Op 30 ° C max
Gebruik geen bleekmiddel
Gebruik geen van de droger
Strijken op gemiddelde temperatuur
Niet stomen</v>
      </c>
      <c r="V322" s="62" t="s">
        <v>1082</v>
      </c>
      <c r="W322" s="56"/>
    </row>
    <row r="323" spans="1:23" ht="15.75" customHeight="1">
      <c r="A323" s="172" t="s">
        <v>1210</v>
      </c>
      <c r="B323" s="106">
        <v>34</v>
      </c>
      <c r="C323" s="41"/>
      <c r="D323" s="41"/>
      <c r="E323" s="158"/>
      <c r="F323" s="159" t="s">
        <v>1078</v>
      </c>
      <c r="G323" s="159" t="s">
        <v>1181</v>
      </c>
      <c r="H323" s="44" t="s">
        <v>1211</v>
      </c>
      <c r="I323" s="45"/>
      <c r="J323" s="46" t="s">
        <v>1212</v>
      </c>
      <c r="K323" s="47"/>
      <c r="L323" s="47" t="s">
        <v>1213</v>
      </c>
      <c r="M323" s="48" t="str">
        <f ca="1">IFERROR(__xludf.DUMMYFUNCTION("googletranslate(L323, ""fr"", ""nl"")")," :
- Recht model, met een kap omdoen
- Lange mouwen
- Hood koord
Knoopsluiting met vier knoppen
- geribde manchetten en tailleband stretch
- Kangaroo pocket
- J &amp; JOY geborduurd logo op het hart
- J &amp; JOY Logo genaaid op de bodem
")</f>
        <v xml:space="preserve"> :
- Recht model, met een kap omdoen
- Lange mouwen
- Hood koord
Knoopsluiting met vier knoppen
- geribde manchetten en tailleband stretch
- Kangaroo pocket
- J &amp; JOY geborduurd logo op het hart
- J &amp; JOY Logo genaaid op de bodem
</v>
      </c>
      <c r="N323" s="58" t="s">
        <v>1214</v>
      </c>
      <c r="O323" s="49" t="str">
        <f ca="1">IFERROR(__xludf.DUMMYFUNCTION("googletranslate(N323, ""fr"", ""nl"")"),"In een intense rode cayenne, dit sweatshirt aan de originele cut is op zichzelf voldoende. Het is de perfecte stuk om mee te nemen naar het overwinnen van de koude springt dit seizoen!")</f>
        <v>In een intense rode cayenne, dit sweatshirt aan de originele cut is op zichzelf voldoende. Het is de perfecte stuk om mee te nemen naar het overwinnen van de koude springt dit seizoen!</v>
      </c>
      <c r="P323" s="50" t="s">
        <v>585</v>
      </c>
      <c r="Q323" s="49" t="str">
        <f ca="1">IFERROR(__xludf.DUMMYFUNCTION("GOOGLETRANSLATE(P323, ""fr"", ""nl"")"),"Rood")</f>
        <v>Rood</v>
      </c>
      <c r="R323" s="171" t="s">
        <v>31</v>
      </c>
      <c r="S323" s="52" t="str">
        <f ca="1">IFERROR(__xludf.DUMMYFUNCTION("GOOGLETRANSLATE(R323, ""fr"", ""nl"")"),"100% katoen")</f>
        <v>100% katoen</v>
      </c>
      <c r="T323" s="53" t="s">
        <v>32</v>
      </c>
      <c r="U323" s="54" t="str">
        <f ca="1">IFERROR(__xludf.DUMMYFUNCTION("GOOGLETRANSLATE(T323, ""fr"", ""nl"")"),"Op 30 ° C max
Gebruik geen bleekmiddel
Gebruik geen van de droger
Strijken op gemiddelde temperatuur
Niet stomen")</f>
        <v>Op 30 ° C max
Gebruik geen bleekmiddel
Gebruik geen van de droger
Strijken op gemiddelde temperatuur
Niet stomen</v>
      </c>
      <c r="V323" s="62" t="s">
        <v>1082</v>
      </c>
      <c r="W323" s="56"/>
    </row>
    <row r="324" spans="1:23" ht="15.75" customHeight="1">
      <c r="A324" s="173" t="s">
        <v>1215</v>
      </c>
      <c r="B324" s="106">
        <v>32</v>
      </c>
      <c r="C324" s="41"/>
      <c r="D324" s="41"/>
      <c r="E324" s="158"/>
      <c r="F324" s="159" t="s">
        <v>1078</v>
      </c>
      <c r="G324" s="159" t="s">
        <v>1181</v>
      </c>
      <c r="H324" s="44" t="s">
        <v>1216</v>
      </c>
      <c r="I324" s="45"/>
      <c r="J324" s="46" t="s">
        <v>1217</v>
      </c>
      <c r="K324" s="47"/>
      <c r="L324" s="47" t="s">
        <v>1218</v>
      </c>
      <c r="M324" s="48" t="str">
        <f ca="1">IFERROR(__xludf.DUMMYFUNCTION("googletranslate(L324, ""fr"", ""nl"")")," :
- Crew Neck Sweat
- Rechte snede
- Lange mouwen
- Ronde kraag
- Pat op de kraag
- Edge, elastische tailleband en rib boord
- Kleur stroken gestikt op de borst en de mouwen
- J &amp; JOY geborduurd logo op de hals
- Badge J &amp; JOY metaal op de bodem")</f>
        <v xml:space="preserve"> :
- Crew Neck Sweat
- Rechte snede
- Lange mouwen
- Ronde kraag
- Pat op de kraag
- Edge, elastische tailleband en rib boord
- Kleur stroken gestikt op de borst en de mouwen
- J &amp; JOY geborduurd logo op de hals
- Badge J &amp; JOY metaal op de bodem</v>
      </c>
      <c r="N324" s="58" t="s">
        <v>1219</v>
      </c>
      <c r="O324" s="49" t="str">
        <f ca="1">IFERROR(__xludf.DUMMYFUNCTION("googletranslate(N324, ""fr"", ""nl"")"),"Grafische t, kleurrijke en goed gesneden, dit is wat we nodig hebben in onze kleedkamer dit jaar. Met deze kleur bands die aan de overkant van het zweet en zijn mouwen verschijnen, heb je de perfecte stuk voor een gemakkelijk te dragen in alle omstandighe"&amp;"den.")</f>
        <v>Grafische t, kleurrijke en goed gesneden, dit is wat we nodig hebben in onze kleedkamer dit jaar. Met deze kleur bands die aan de overkant van het zweet en zijn mouwen verschijnen, heb je de perfecte stuk voor een gemakkelijk te dragen in alle omstandigheden.</v>
      </c>
      <c r="P324" s="50" t="s">
        <v>575</v>
      </c>
      <c r="Q324" s="49" t="str">
        <f ca="1">IFERROR(__xludf.DUMMYFUNCTION("GOOGLETRANSLATE(P324, ""fr"", ""nl"")"),"Beige")</f>
        <v>Beige</v>
      </c>
      <c r="R324" s="171" t="s">
        <v>1206</v>
      </c>
      <c r="S324" s="52" t="str">
        <f ca="1">IFERROR(__xludf.DUMMYFUNCTION("GOOGLETRANSLATE(R324, ""fr"", ""nl"")"),"88% katoen
12% polyester")</f>
        <v>88% katoen
12% polyester</v>
      </c>
      <c r="T324" s="53" t="s">
        <v>32</v>
      </c>
      <c r="U324" s="54" t="str">
        <f ca="1">IFERROR(__xludf.DUMMYFUNCTION("GOOGLETRANSLATE(T324, ""fr"", ""nl"")"),"Op 30 ° C max
Gebruik geen bleekmiddel
Gebruik geen van de droger
Strijken op gemiddelde temperatuur
Niet stomen")</f>
        <v>Op 30 ° C max
Gebruik geen bleekmiddel
Gebruik geen van de droger
Strijken op gemiddelde temperatuur
Niet stomen</v>
      </c>
      <c r="V324" s="62" t="s">
        <v>1082</v>
      </c>
      <c r="W324" s="56"/>
    </row>
    <row r="325" spans="1:23" ht="15.75" customHeight="1">
      <c r="A325" s="167" t="s">
        <v>1220</v>
      </c>
      <c r="B325" s="106">
        <v>34</v>
      </c>
      <c r="C325" s="41"/>
      <c r="D325" s="41"/>
      <c r="E325" s="158"/>
      <c r="F325" s="159" t="s">
        <v>1078</v>
      </c>
      <c r="G325" s="159" t="s">
        <v>1181</v>
      </c>
      <c r="H325" s="44" t="s">
        <v>1221</v>
      </c>
      <c r="I325" s="45"/>
      <c r="J325" s="46" t="s">
        <v>1222</v>
      </c>
      <c r="K325" s="47"/>
      <c r="L325" s="47" t="s">
        <v>1223</v>
      </c>
      <c r="M325" s="48" t="str">
        <f ca="1">IFERROR(__xludf.DUMMYFUNCTION("googletranslate(L325, ""fr"", ""nl"")"),"- Recht model jacket
- Lange mouwen
- Met rits opening met contrasterende afwerking
- capuchon met wit koord
- Geribbelde manchetten en tailleband stretch
- Zijzakken kangoeroe weg
- J &amp; JOY geborduurd logo op het hart
")</f>
        <v xml:space="preserve">- Recht model jacket
- Lange mouwen
- Met rits opening met contrasterende afwerking
- capuchon met wit koord
- Geribbelde manchetten en tailleband stretch
- Zijzakken kangoeroe weg
- J &amp; JOY geborduurd logo op het hart
</v>
      </c>
      <c r="N325" s="58" t="s">
        <v>1224</v>
      </c>
      <c r="O325" s="49" t="str">
        <f ca="1">IFERROR(__xludf.DUMMYFUNCTION("googletranslate(N325, ""fr"", ""nl"")"),"De capuchon rits en trechter nek, het is een veilige gok als het koud is. De vele roze gegevens maken het plaatje compleet van deze kamer vindt u wilt missen.")</f>
        <v>De capuchon rits en trechter nek, het is een veilige gok als het koud is. De vele roze gegevens maken het plaatje compleet van deze kamer vindt u wilt missen.</v>
      </c>
      <c r="P325" s="50" t="s">
        <v>1065</v>
      </c>
      <c r="Q325" s="49" t="str">
        <f ca="1">IFERROR(__xludf.DUMMYFUNCTION("GOOGLETRANSLATE(P325, ""fr"", ""nl"")"),"Blauw")</f>
        <v>Blauw</v>
      </c>
      <c r="R325" s="171" t="s">
        <v>31</v>
      </c>
      <c r="S325" s="52" t="str">
        <f ca="1">IFERROR(__xludf.DUMMYFUNCTION("GOOGLETRANSLATE(R325, ""fr"", ""nl"")"),"100% katoen")</f>
        <v>100% katoen</v>
      </c>
      <c r="T325" s="53" t="s">
        <v>32</v>
      </c>
      <c r="U325" s="54" t="str">
        <f ca="1">IFERROR(__xludf.DUMMYFUNCTION("GOOGLETRANSLATE(T325, ""fr"", ""nl"")"),"Op 30 ° C max
Gebruik geen bleekmiddel
Gebruik geen van de droger
Strijken op gemiddelde temperatuur
Niet stomen")</f>
        <v>Op 30 ° C max
Gebruik geen bleekmiddel
Gebruik geen van de droger
Strijken op gemiddelde temperatuur
Niet stomen</v>
      </c>
      <c r="V325" s="62" t="s">
        <v>1082</v>
      </c>
      <c r="W325" s="56"/>
    </row>
    <row r="326" spans="1:23" ht="15.75" customHeight="1">
      <c r="A326" s="164" t="s">
        <v>1225</v>
      </c>
      <c r="B326" s="106">
        <v>30</v>
      </c>
      <c r="C326" s="41"/>
      <c r="D326" s="41"/>
      <c r="E326" s="158"/>
      <c r="F326" s="159" t="s">
        <v>1078</v>
      </c>
      <c r="G326" s="159" t="s">
        <v>1181</v>
      </c>
      <c r="H326" s="44" t="s">
        <v>1226</v>
      </c>
      <c r="I326" s="45"/>
      <c r="J326" s="46" t="s">
        <v>1227</v>
      </c>
      <c r="K326" s="46"/>
      <c r="L326" s="46"/>
      <c r="M326" s="48" t="str">
        <f ca="1">IFERROR(__xludf.DUMMYFUNCTION("googletranslate(L326, ""fr"", ""nl"")"),"#VALUE!")</f>
        <v>#VALUE!</v>
      </c>
      <c r="N326" s="163"/>
      <c r="O326" s="49" t="str">
        <f ca="1">IFERROR(__xludf.DUMMYFUNCTION("googletranslate(N326, ""fr"", ""nl"")"),"#VALUE!")</f>
        <v>#VALUE!</v>
      </c>
      <c r="P326" s="94"/>
      <c r="Q326" s="49" t="str">
        <f ca="1">IFERROR(__xludf.DUMMYFUNCTION("GOOGLETRANSLATE(P326, ""fr"", ""nl"")"),"#VALUE!")</f>
        <v>#VALUE!</v>
      </c>
      <c r="R326" s="110"/>
      <c r="S326" s="52" t="str">
        <f ca="1">IFERROR(__xludf.DUMMYFUNCTION("GOOGLETRANSLATE(R326, ""fr"", ""nl"")"),"#VALUE!")</f>
        <v>#VALUE!</v>
      </c>
      <c r="T326" s="53" t="s">
        <v>32</v>
      </c>
      <c r="U326" s="54" t="str">
        <f ca="1">IFERROR(__xludf.DUMMYFUNCTION("GOOGLETRANSLATE(T326, ""fr"", ""nl"")"),"Op 30 ° C max
Gebruik geen bleekmiddel
Gebruik geen van de droger
Strijken op gemiddelde temperatuur
Niet stomen")</f>
        <v>Op 30 ° C max
Gebruik geen bleekmiddel
Gebruik geen van de droger
Strijken op gemiddelde temperatuur
Niet stomen</v>
      </c>
      <c r="V326" s="62" t="s">
        <v>1082</v>
      </c>
      <c r="W326" s="56"/>
    </row>
    <row r="327" spans="1:23" ht="15.75" customHeight="1">
      <c r="A327" s="84" t="s">
        <v>1228</v>
      </c>
      <c r="B327" s="85"/>
      <c r="C327" s="67"/>
      <c r="D327" s="86"/>
      <c r="E327" s="67"/>
      <c r="F327" s="87"/>
      <c r="G327" s="87"/>
      <c r="H327" s="26"/>
      <c r="I327" s="26"/>
      <c r="J327" s="88" t="s">
        <v>677</v>
      </c>
      <c r="K327" s="89"/>
      <c r="L327" s="89"/>
      <c r="M327" s="48" t="str">
        <f ca="1">IFERROR(__xludf.DUMMYFUNCTION("googletranslate(L327, ""fr"", ""nl"")"),"#VALUE!")</f>
        <v>#VALUE!</v>
      </c>
      <c r="N327" s="125"/>
      <c r="O327" s="49" t="str">
        <f ca="1">IFERROR(__xludf.DUMMYFUNCTION("googletranslate(N327, ""fr"", ""nl"")"),"#VALUE!")</f>
        <v>#VALUE!</v>
      </c>
      <c r="P327" s="91"/>
      <c r="Q327" s="49" t="str">
        <f ca="1">IFERROR(__xludf.DUMMYFUNCTION("GOOGLETRANSLATE(P327, ""fr"", ""nl"")"),"#VALUE!")</f>
        <v>#VALUE!</v>
      </c>
      <c r="R327" s="92"/>
      <c r="S327" s="52" t="str">
        <f ca="1">IFERROR(__xludf.DUMMYFUNCTION("GOOGLETRANSLATE(R327, ""fr"", ""nl"")"),"#VALUE!")</f>
        <v>#VALUE!</v>
      </c>
      <c r="T327" s="89"/>
      <c r="U327" s="54" t="str">
        <f ca="1">IFERROR(__xludf.DUMMYFUNCTION("GOOGLETRANSLATE(T327, ""fr"", ""nl"")"),"#VALUE!")</f>
        <v>#VALUE!</v>
      </c>
      <c r="V327" s="140"/>
      <c r="W327" s="38"/>
    </row>
    <row r="328" spans="1:23" ht="15.75" customHeight="1">
      <c r="A328" s="112" t="s">
        <v>1229</v>
      </c>
      <c r="B328" s="40">
        <v>28</v>
      </c>
      <c r="C328" s="41"/>
      <c r="D328" s="41"/>
      <c r="E328" s="42"/>
      <c r="F328" s="43" t="s">
        <v>1078</v>
      </c>
      <c r="G328" s="43" t="s">
        <v>1230</v>
      </c>
      <c r="H328" s="177" t="s">
        <v>1231</v>
      </c>
      <c r="I328" s="45"/>
      <c r="J328" s="47" t="s">
        <v>1232</v>
      </c>
      <c r="K328" s="47"/>
      <c r="L328" s="47" t="s">
        <v>1233</v>
      </c>
      <c r="M328" s="48" t="str">
        <f ca="1">IFERROR(__xludf.DUMMYFUNCTION("googletranslate(L328, ""fr"", ""nl"")"),":
- lange mouwen
- normaal vloeistof Cup
- borstzakken
- binnen parmenture / back pattern
- J &amp; JOY logo geborduurd op zak
- J &amp; JOY metalen plaatje aan de onderkant")</f>
        <v>:
- lange mouwen
- normaal vloeistof Cup
- borstzakken
- binnen parmenture / back pattern
- J &amp; JOY logo geborduurd op zak
- J &amp; JOY metalen plaatje aan de onderkant</v>
      </c>
      <c r="N328" s="58" t="s">
        <v>1234</v>
      </c>
      <c r="O328" s="49" t="str">
        <f ca="1">IFERROR(__xludf.DUMMYFUNCTION("googletranslate(N328, ""fr"", ""nl"")"),"Dit koraal rood shirt acclimatiseren in alle seizoenen en is het middelpunt van een outfit, zowel voor een dag werken voor een informeel diner.")</f>
        <v>Dit koraal rood shirt acclimatiseren in alle seizoenen en is het middelpunt van een outfit, zowel voor een dag werken voor een informeel diner.</v>
      </c>
      <c r="P328" s="50" t="s">
        <v>585</v>
      </c>
      <c r="Q328" s="49" t="str">
        <f ca="1">IFERROR(__xludf.DUMMYFUNCTION("GOOGLETRANSLATE(P328, ""fr"", ""nl"")"),"Rood")</f>
        <v>Rood</v>
      </c>
      <c r="R328" s="75" t="s">
        <v>1157</v>
      </c>
      <c r="S328" s="52" t="str">
        <f ca="1">IFERROR(__xludf.DUMMYFUNCTION("GOOGLETRANSLATE(R328, ""fr"", ""nl"")"),"100% lyocell")</f>
        <v>100% lyocell</v>
      </c>
      <c r="T328" s="53" t="s">
        <v>32</v>
      </c>
      <c r="U328" s="54" t="str">
        <f ca="1">IFERROR(__xludf.DUMMYFUNCTION("GOOGLETRANSLATE(T328, ""fr"", ""nl"")"),"Op 30 ° C max
Gebruik geen bleekmiddel
Gebruik geen van de droger
Strijken op gemiddelde temperatuur
Niet stomen")</f>
        <v>Op 30 ° C max
Gebruik geen bleekmiddel
Gebruik geen van de droger
Strijken op gemiddelde temperatuur
Niet stomen</v>
      </c>
      <c r="V328" s="62" t="s">
        <v>1082</v>
      </c>
      <c r="W328" s="56"/>
    </row>
    <row r="329" spans="1:23" ht="15.75" customHeight="1">
      <c r="A329" s="167" t="s">
        <v>1235</v>
      </c>
      <c r="B329" s="40">
        <v>28</v>
      </c>
      <c r="C329" s="41"/>
      <c r="D329" s="41"/>
      <c r="E329" s="42"/>
      <c r="F329" s="43" t="s">
        <v>1078</v>
      </c>
      <c r="G329" s="43" t="s">
        <v>1230</v>
      </c>
      <c r="H329" s="44" t="s">
        <v>1236</v>
      </c>
      <c r="I329" s="45"/>
      <c r="J329" s="46" t="s">
        <v>1237</v>
      </c>
      <c r="K329" s="178"/>
      <c r="L329" s="178" t="s">
        <v>1238</v>
      </c>
      <c r="M329" s="48" t="str">
        <f ca="1">IFERROR(__xludf.DUMMYFUNCTION("googletranslate(L329, ""fr"", ""nl"")")," :
- Korte mouwen ""bat""
- Loose fit met vouw aan de voorzijde
- parmenture inérieur / back Motif
- Lengte back langer
- knopen opening
- V-hals")</f>
        <v xml:space="preserve"> :
- Korte mouwen "bat"
- Loose fit met vouw aan de voorzijde
- parmenture inérieur / back Motif
- Lengte back langer
- knopen opening
- V-hals</v>
      </c>
      <c r="N329" s="142" t="s">
        <v>1239</v>
      </c>
      <c r="O329" s="49" t="str">
        <f ca="1">IFERROR(__xludf.DUMMYFUNCTION("googletranslate(N329, ""fr"", ""nl"")"),"Deze korte mouwen heeft een originele cut: dichtgeknoopt aan de voorzijde en verfraaid vele details, waaronder een kraag jungle motief, ze brengt een draai om je meest klassieke outfits. Perfect voor zowel een eenvoudiger op zoek naar de baan voor een avo"&amp;"nd met vrienden, het maakt je waarde in alle situaties.")</f>
        <v>Deze korte mouwen heeft een originele cut: dichtgeknoopt aan de voorzijde en verfraaid vele details, waaronder een kraag jungle motief, ze brengt een draai om je meest klassieke outfits. Perfect voor zowel een eenvoudiger op zoek naar de baan voor een avond met vrienden, het maakt je waarde in alle situaties.</v>
      </c>
      <c r="P329" s="50" t="s">
        <v>1240</v>
      </c>
      <c r="Q329" s="49" t="str">
        <f ca="1">IFERROR(__xludf.DUMMYFUNCTION("GOOGLETRANSLATE(P329, ""fr"", ""nl"")"),"khaki")</f>
        <v>khaki</v>
      </c>
      <c r="R329" s="75" t="s">
        <v>523</v>
      </c>
      <c r="S329" s="52" t="str">
        <f ca="1">IFERROR(__xludf.DUMMYFUNCTION("GOOGLETRANSLATE(R329, ""fr"", ""nl"")"),"100% Polyester")</f>
        <v>100% Polyester</v>
      </c>
      <c r="T329" s="53" t="s">
        <v>32</v>
      </c>
      <c r="U329" s="54" t="str">
        <f ca="1">IFERROR(__xludf.DUMMYFUNCTION("GOOGLETRANSLATE(T329, ""fr"", ""nl"")"),"Op 30 ° C max
Gebruik geen bleekmiddel
Gebruik geen van de droger
Strijken op gemiddelde temperatuur
Niet stomen")</f>
        <v>Op 30 ° C max
Gebruik geen bleekmiddel
Gebruik geen van de droger
Strijken op gemiddelde temperatuur
Niet stomen</v>
      </c>
      <c r="V329" s="62" t="s">
        <v>1082</v>
      </c>
      <c r="W329" s="56"/>
    </row>
    <row r="330" spans="1:23" ht="15.75" customHeight="1">
      <c r="A330" s="173" t="s">
        <v>1241</v>
      </c>
      <c r="B330" s="40">
        <v>28</v>
      </c>
      <c r="C330" s="41"/>
      <c r="D330" s="41"/>
      <c r="E330" s="42"/>
      <c r="F330" s="43" t="s">
        <v>1078</v>
      </c>
      <c r="G330" s="43" t="s">
        <v>1230</v>
      </c>
      <c r="H330" s="177" t="s">
        <v>1242</v>
      </c>
      <c r="I330" s="45"/>
      <c r="J330" s="46" t="s">
        <v>1243</v>
      </c>
      <c r="K330" s="47"/>
      <c r="L330" s="47" t="s">
        <v>1244</v>
      </c>
      <c r="M330" s="48" t="str">
        <f ca="1">IFERROR(__xludf.DUMMYFUNCTION("googletranslate(L330, ""fr"", ""nl"")"),"  :
- Cup cache coeur
- Lange mouwen
- V-hals
- elastische rand aan de voorzijde
- Lengte back langer
- J &amp; JOY geborduurd logo op het hart")</f>
        <v xml:space="preserve">  :
- Cup cache coeur
- Lange mouwen
- V-hals
- elastische rand aan de voorzijde
- Lengte back langer
- J &amp; JOY geborduurd logo op het hart</v>
      </c>
      <c r="N330" s="58" t="s">
        <v>1245</v>
      </c>
      <c r="O330" s="49" t="str">
        <f ca="1">IFERROR(__xludf.DUMMYFUNCTION("googletranslate(N330, ""fr"", ""nl"")"),"Dit overhemd zal een beroep doen op vet! Met blauwe lijnen, het brengt fut aan uw garderobe. Zijn model verstoppertje hart u hoogtepunten en is geschikt voor alle gelegenheden, van de meest casual tot de meest chique.")</f>
        <v>Dit overhemd zal een beroep doen op vet! Met blauwe lijnen, het brengt fut aan uw garderobe. Zijn model verstoppertje hart u hoogtepunten en is geschikt voor alle gelegenheden, van de meest casual tot de meest chique.</v>
      </c>
      <c r="P330" s="50" t="s">
        <v>752</v>
      </c>
      <c r="Q330" s="49" t="str">
        <f ca="1">IFERROR(__xludf.DUMMYFUNCTION("GOOGLETRANSLATE(P330, ""fr"", ""nl"")"),"Wit")</f>
        <v>Wit</v>
      </c>
      <c r="R330" s="75" t="s">
        <v>1246</v>
      </c>
      <c r="S330" s="52" t="str">
        <f ca="1">IFERROR(__xludf.DUMMYFUNCTION("GOOGLETRANSLATE(R330, ""fr"", ""nl"")"),"100% viscose")</f>
        <v>100% viscose</v>
      </c>
      <c r="T330" s="53" t="s">
        <v>32</v>
      </c>
      <c r="U330" s="54" t="str">
        <f ca="1">IFERROR(__xludf.DUMMYFUNCTION("GOOGLETRANSLATE(T330, ""fr"", ""nl"")"),"Op 30 ° C max
Gebruik geen bleekmiddel
Gebruik geen van de droger
Strijken op gemiddelde temperatuur
Niet stomen")</f>
        <v>Op 30 ° C max
Gebruik geen bleekmiddel
Gebruik geen van de droger
Strijken op gemiddelde temperatuur
Niet stomen</v>
      </c>
      <c r="V330" s="62" t="s">
        <v>1082</v>
      </c>
      <c r="W330" s="56"/>
    </row>
    <row r="331" spans="1:23" ht="15.75" customHeight="1">
      <c r="A331" s="164" t="s">
        <v>1247</v>
      </c>
      <c r="B331" s="179">
        <v>28</v>
      </c>
      <c r="C331" s="41"/>
      <c r="D331" s="41"/>
      <c r="E331" s="42"/>
      <c r="F331" s="43" t="s">
        <v>1078</v>
      </c>
      <c r="G331" s="43" t="s">
        <v>1230</v>
      </c>
      <c r="H331" s="44" t="s">
        <v>1248</v>
      </c>
      <c r="I331" s="45"/>
      <c r="J331" s="46" t="s">
        <v>1249</v>
      </c>
      <c r="K331" s="46"/>
      <c r="L331" s="46"/>
      <c r="M331" s="48" t="str">
        <f ca="1">IFERROR(__xludf.DUMMYFUNCTION("googletranslate(L331, ""fr"", ""nl"")"),"#VALUE!")</f>
        <v>#VALUE!</v>
      </c>
      <c r="N331" s="163"/>
      <c r="O331" s="49" t="str">
        <f ca="1">IFERROR(__xludf.DUMMYFUNCTION("googletranslate(N331, ""fr"", ""nl"")"),"#VALUE!")</f>
        <v>#VALUE!</v>
      </c>
      <c r="P331" s="94"/>
      <c r="Q331" s="49" t="str">
        <f ca="1">IFERROR(__xludf.DUMMYFUNCTION("GOOGLETRANSLATE(P331, ""fr"", ""nl"")"),"#VALUE!")</f>
        <v>#VALUE!</v>
      </c>
      <c r="R331" s="110"/>
      <c r="S331" s="52" t="str">
        <f ca="1">IFERROR(__xludf.DUMMYFUNCTION("GOOGLETRANSLATE(R331, ""fr"", ""nl"")"),"#VALUE!")</f>
        <v>#VALUE!</v>
      </c>
      <c r="T331" s="53" t="s">
        <v>32</v>
      </c>
      <c r="U331" s="54" t="str">
        <f ca="1">IFERROR(__xludf.DUMMYFUNCTION("GOOGLETRANSLATE(T331, ""fr"", ""nl"")"),"Op 30 ° C max
Gebruik geen bleekmiddel
Gebruik geen van de droger
Strijken op gemiddelde temperatuur
Niet stomen")</f>
        <v>Op 30 ° C max
Gebruik geen bleekmiddel
Gebruik geen van de droger
Strijken op gemiddelde temperatuur
Niet stomen</v>
      </c>
      <c r="V331" s="62" t="s">
        <v>1082</v>
      </c>
      <c r="W331" s="56"/>
    </row>
    <row r="332" spans="1:23" ht="15.75" customHeight="1">
      <c r="A332" s="84" t="s">
        <v>1250</v>
      </c>
      <c r="B332" s="85"/>
      <c r="C332" s="67"/>
      <c r="D332" s="86"/>
      <c r="E332" s="67"/>
      <c r="F332" s="87"/>
      <c r="G332" s="87"/>
      <c r="H332" s="26"/>
      <c r="I332" s="26"/>
      <c r="J332" s="88" t="s">
        <v>677</v>
      </c>
      <c r="K332" s="89"/>
      <c r="L332" s="89"/>
      <c r="M332" s="48" t="str">
        <f ca="1">IFERROR(__xludf.DUMMYFUNCTION("googletranslate(L332, ""fr"", ""nl"")"),"#VALUE!")</f>
        <v>#VALUE!</v>
      </c>
      <c r="N332" s="125"/>
      <c r="O332" s="49" t="str">
        <f ca="1">IFERROR(__xludf.DUMMYFUNCTION("googletranslate(N332, ""fr"", ""nl"")"),"#VALUE!")</f>
        <v>#VALUE!</v>
      </c>
      <c r="P332" s="91"/>
      <c r="Q332" s="49" t="str">
        <f ca="1">IFERROR(__xludf.DUMMYFUNCTION("GOOGLETRANSLATE(P332, ""fr"", ""nl"")"),"#VALUE!")</f>
        <v>#VALUE!</v>
      </c>
      <c r="R332" s="92"/>
      <c r="S332" s="52" t="str">
        <f ca="1">IFERROR(__xludf.DUMMYFUNCTION("GOOGLETRANSLATE(R332, ""fr"", ""nl"")"),"#VALUE!")</f>
        <v>#VALUE!</v>
      </c>
      <c r="T332" s="89"/>
      <c r="U332" s="54" t="str">
        <f ca="1">IFERROR(__xludf.DUMMYFUNCTION("GOOGLETRANSLATE(T332, ""fr"", ""nl"")"),"#VALUE!")</f>
        <v>#VALUE!</v>
      </c>
      <c r="V332" s="140"/>
      <c r="W332" s="38"/>
    </row>
    <row r="333" spans="1:23" ht="15.75" customHeight="1">
      <c r="A333" s="180" t="s">
        <v>1251</v>
      </c>
      <c r="B333" s="40">
        <v>32</v>
      </c>
      <c r="C333" s="41"/>
      <c r="D333" s="41"/>
      <c r="E333" s="158"/>
      <c r="F333" s="159" t="s">
        <v>1078</v>
      </c>
      <c r="G333" s="159" t="s">
        <v>1252</v>
      </c>
      <c r="H333" s="44" t="s">
        <v>1253</v>
      </c>
      <c r="I333" s="45"/>
      <c r="J333" s="46" t="s">
        <v>1254</v>
      </c>
      <c r="K333" s="46"/>
      <c r="L333" s="46"/>
      <c r="M333" s="48" t="str">
        <f ca="1">IFERROR(__xludf.DUMMYFUNCTION("googletranslate(L333, ""fr"", ""nl"")"),"#VALUE!")</f>
        <v>#VALUE!</v>
      </c>
      <c r="N333" s="163"/>
      <c r="O333" s="49" t="str">
        <f ca="1">IFERROR(__xludf.DUMMYFUNCTION("googletranslate(N333, ""fr"", ""nl"")"),"#VALUE!")</f>
        <v>#VALUE!</v>
      </c>
      <c r="P333" s="94"/>
      <c r="Q333" s="49" t="str">
        <f ca="1">IFERROR(__xludf.DUMMYFUNCTION("GOOGLETRANSLATE(P333, ""fr"", ""nl"")"),"#VALUE!")</f>
        <v>#VALUE!</v>
      </c>
      <c r="R333" s="110"/>
      <c r="S333" s="52" t="str">
        <f ca="1">IFERROR(__xludf.DUMMYFUNCTION("GOOGLETRANSLATE(R333, ""fr"", ""nl"")"),"#VALUE!")</f>
        <v>#VALUE!</v>
      </c>
      <c r="T333" s="53" t="s">
        <v>32</v>
      </c>
      <c r="U333" s="54" t="str">
        <f ca="1">IFERROR(__xludf.DUMMYFUNCTION("GOOGLETRANSLATE(T333, ""fr"", ""nl"")"),"Op 30 ° C max
Gebruik geen bleekmiddel
Gebruik geen van de droger
Strijken op gemiddelde temperatuur
Niet stomen")</f>
        <v>Op 30 ° C max
Gebruik geen bleekmiddel
Gebruik geen van de droger
Strijken op gemiddelde temperatuur
Niet stomen</v>
      </c>
      <c r="V333" s="62" t="s">
        <v>1082</v>
      </c>
      <c r="W333" s="56"/>
    </row>
    <row r="334" spans="1:23" ht="15.75" customHeight="1">
      <c r="A334" s="162" t="s">
        <v>1255</v>
      </c>
      <c r="B334" s="40">
        <v>34</v>
      </c>
      <c r="C334" s="41"/>
      <c r="D334" s="41"/>
      <c r="E334" s="158"/>
      <c r="F334" s="159" t="s">
        <v>1078</v>
      </c>
      <c r="G334" s="159" t="s">
        <v>1252</v>
      </c>
      <c r="H334" s="44" t="s">
        <v>1256</v>
      </c>
      <c r="I334" s="45"/>
      <c r="J334" s="46" t="s">
        <v>1257</v>
      </c>
      <c r="K334" s="46"/>
      <c r="L334" s="46"/>
      <c r="M334" s="48" t="str">
        <f ca="1">IFERROR(__xludf.DUMMYFUNCTION("googletranslate(L334, ""fr"", ""nl"")"),"#VALUE!")</f>
        <v>#VALUE!</v>
      </c>
      <c r="N334" s="163"/>
      <c r="O334" s="49" t="str">
        <f ca="1">IFERROR(__xludf.DUMMYFUNCTION("googletranslate(N334, ""fr"", ""nl"")"),"#VALUE!")</f>
        <v>#VALUE!</v>
      </c>
      <c r="P334" s="94"/>
      <c r="Q334" s="49" t="str">
        <f ca="1">IFERROR(__xludf.DUMMYFUNCTION("GOOGLETRANSLATE(P334, ""fr"", ""nl"")"),"#VALUE!")</f>
        <v>#VALUE!</v>
      </c>
      <c r="R334" s="110"/>
      <c r="S334" s="52" t="str">
        <f ca="1">IFERROR(__xludf.DUMMYFUNCTION("GOOGLETRANSLATE(R334, ""fr"", ""nl"")"),"#VALUE!")</f>
        <v>#VALUE!</v>
      </c>
      <c r="T334" s="53" t="s">
        <v>32</v>
      </c>
      <c r="U334" s="54" t="str">
        <f ca="1">IFERROR(__xludf.DUMMYFUNCTION("GOOGLETRANSLATE(T334, ""fr"", ""nl"")"),"Op 30 ° C max
Gebruik geen bleekmiddel
Gebruik geen van de droger
Strijken op gemiddelde temperatuur
Niet stomen")</f>
        <v>Op 30 ° C max
Gebruik geen bleekmiddel
Gebruik geen van de droger
Strijken op gemiddelde temperatuur
Niet stomen</v>
      </c>
      <c r="V334" s="62" t="s">
        <v>1082</v>
      </c>
      <c r="W334" s="56"/>
    </row>
    <row r="335" spans="1:23" ht="15.75" customHeight="1">
      <c r="A335" s="162" t="s">
        <v>1258</v>
      </c>
      <c r="B335" s="40">
        <v>30</v>
      </c>
      <c r="C335" s="41"/>
      <c r="D335" s="41"/>
      <c r="E335" s="158"/>
      <c r="F335" s="159" t="s">
        <v>1078</v>
      </c>
      <c r="G335" s="159" t="s">
        <v>1252</v>
      </c>
      <c r="H335" s="44" t="s">
        <v>1087</v>
      </c>
      <c r="I335" s="45"/>
      <c r="J335" s="46" t="s">
        <v>1259</v>
      </c>
      <c r="K335" s="46"/>
      <c r="L335" s="46"/>
      <c r="M335" s="48" t="str">
        <f ca="1">IFERROR(__xludf.DUMMYFUNCTION("googletranslate(L335, ""fr"", ""nl"")"),"#VALUE!")</f>
        <v>#VALUE!</v>
      </c>
      <c r="N335" s="163"/>
      <c r="O335" s="49" t="str">
        <f ca="1">IFERROR(__xludf.DUMMYFUNCTION("googletranslate(N335, ""fr"", ""nl"")"),"#VALUE!")</f>
        <v>#VALUE!</v>
      </c>
      <c r="P335" s="94"/>
      <c r="Q335" s="49" t="str">
        <f ca="1">IFERROR(__xludf.DUMMYFUNCTION("GOOGLETRANSLATE(P335, ""fr"", ""nl"")"),"#VALUE!")</f>
        <v>#VALUE!</v>
      </c>
      <c r="R335" s="110"/>
      <c r="S335" s="52" t="str">
        <f ca="1">IFERROR(__xludf.DUMMYFUNCTION("GOOGLETRANSLATE(R335, ""fr"", ""nl"")"),"#VALUE!")</f>
        <v>#VALUE!</v>
      </c>
      <c r="T335" s="53" t="s">
        <v>32</v>
      </c>
      <c r="U335" s="54" t="str">
        <f ca="1">IFERROR(__xludf.DUMMYFUNCTION("GOOGLETRANSLATE(T335, ""fr"", ""nl"")"),"Op 30 ° C max
Gebruik geen bleekmiddel
Gebruik geen van de droger
Strijken op gemiddelde temperatuur
Niet stomen")</f>
        <v>Op 30 ° C max
Gebruik geen bleekmiddel
Gebruik geen van de droger
Strijken op gemiddelde temperatuur
Niet stomen</v>
      </c>
      <c r="V335" s="62" t="s">
        <v>1082</v>
      </c>
      <c r="W335" s="56"/>
    </row>
    <row r="336" spans="1:23" ht="15.75" customHeight="1">
      <c r="A336" s="162" t="s">
        <v>1260</v>
      </c>
      <c r="B336" s="40">
        <v>32</v>
      </c>
      <c r="C336" s="41"/>
      <c r="D336" s="41"/>
      <c r="E336" s="158"/>
      <c r="F336" s="159" t="s">
        <v>1078</v>
      </c>
      <c r="G336" s="159" t="s">
        <v>1252</v>
      </c>
      <c r="H336" s="44" t="s">
        <v>1261</v>
      </c>
      <c r="I336" s="45"/>
      <c r="J336" s="46" t="s">
        <v>1262</v>
      </c>
      <c r="K336" s="46"/>
      <c r="L336" s="46"/>
      <c r="M336" s="48" t="str">
        <f ca="1">IFERROR(__xludf.DUMMYFUNCTION("googletranslate(L336, ""fr"", ""nl"")"),"#VALUE!")</f>
        <v>#VALUE!</v>
      </c>
      <c r="N336" s="163"/>
      <c r="O336" s="49" t="str">
        <f ca="1">IFERROR(__xludf.DUMMYFUNCTION("googletranslate(N336, ""fr"", ""nl"")"),"#VALUE!")</f>
        <v>#VALUE!</v>
      </c>
      <c r="P336" s="94"/>
      <c r="Q336" s="49" t="str">
        <f ca="1">IFERROR(__xludf.DUMMYFUNCTION("GOOGLETRANSLATE(P336, ""fr"", ""nl"")"),"#VALUE!")</f>
        <v>#VALUE!</v>
      </c>
      <c r="R336" s="110"/>
      <c r="S336" s="52" t="str">
        <f ca="1">IFERROR(__xludf.DUMMYFUNCTION("GOOGLETRANSLATE(R336, ""fr"", ""nl"")"),"#VALUE!")</f>
        <v>#VALUE!</v>
      </c>
      <c r="T336" s="53" t="s">
        <v>32</v>
      </c>
      <c r="U336" s="54" t="str">
        <f ca="1">IFERROR(__xludf.DUMMYFUNCTION("GOOGLETRANSLATE(T336, ""fr"", ""nl"")"),"Op 30 ° C max
Gebruik geen bleekmiddel
Gebruik geen van de droger
Strijken op gemiddelde temperatuur
Niet stomen")</f>
        <v>Op 30 ° C max
Gebruik geen bleekmiddel
Gebruik geen van de droger
Strijken op gemiddelde temperatuur
Niet stomen</v>
      </c>
      <c r="V336" s="62" t="s">
        <v>1082</v>
      </c>
      <c r="W336" s="56"/>
    </row>
    <row r="337" spans="1:23" ht="15.75" customHeight="1">
      <c r="A337" s="84" t="s">
        <v>1263</v>
      </c>
      <c r="B337" s="85"/>
      <c r="C337" s="67"/>
      <c r="D337" s="86"/>
      <c r="E337" s="67"/>
      <c r="F337" s="87"/>
      <c r="G337" s="87"/>
      <c r="H337" s="26"/>
      <c r="I337" s="26"/>
      <c r="J337" s="88" t="s">
        <v>677</v>
      </c>
      <c r="K337" s="89"/>
      <c r="L337" s="89"/>
      <c r="M337" s="48" t="str">
        <f ca="1">IFERROR(__xludf.DUMMYFUNCTION("googletranslate(L337, ""fr"", ""nl"")"),"#VALUE!")</f>
        <v>#VALUE!</v>
      </c>
      <c r="N337" s="125"/>
      <c r="O337" s="49" t="str">
        <f ca="1">IFERROR(__xludf.DUMMYFUNCTION("googletranslate(N337, ""fr"", ""nl"")"),"#VALUE!")</f>
        <v>#VALUE!</v>
      </c>
      <c r="P337" s="91"/>
      <c r="Q337" s="49" t="str">
        <f ca="1">IFERROR(__xludf.DUMMYFUNCTION("GOOGLETRANSLATE(P337, ""fr"", ""nl"")"),"#VALUE!")</f>
        <v>#VALUE!</v>
      </c>
      <c r="R337" s="92"/>
      <c r="S337" s="52" t="str">
        <f ca="1">IFERROR(__xludf.DUMMYFUNCTION("GOOGLETRANSLATE(R337, ""fr"", ""nl"")"),"#VALUE!")</f>
        <v>#VALUE!</v>
      </c>
      <c r="T337" s="89"/>
      <c r="U337" s="54" t="str">
        <f ca="1">IFERROR(__xludf.DUMMYFUNCTION("GOOGLETRANSLATE(T337, ""fr"", ""nl"")"),"#VALUE!")</f>
        <v>#VALUE!</v>
      </c>
      <c r="V337" s="140"/>
      <c r="W337" s="38"/>
    </row>
    <row r="338" spans="1:23" ht="15.75" customHeight="1">
      <c r="A338" s="180" t="s">
        <v>1264</v>
      </c>
      <c r="B338" s="106">
        <v>32</v>
      </c>
      <c r="C338" s="41"/>
      <c r="D338" s="41"/>
      <c r="E338" s="158"/>
      <c r="F338" s="159" t="s">
        <v>1078</v>
      </c>
      <c r="G338" s="159" t="s">
        <v>1265</v>
      </c>
      <c r="H338" s="44" t="s">
        <v>1266</v>
      </c>
      <c r="I338" s="45"/>
      <c r="J338" s="46" t="s">
        <v>1267</v>
      </c>
      <c r="K338" s="46"/>
      <c r="L338" s="46"/>
      <c r="M338" s="48" t="str">
        <f ca="1">IFERROR(__xludf.DUMMYFUNCTION("googletranslate(L338, ""fr"", ""nl"")"),"#VALUE!")</f>
        <v>#VALUE!</v>
      </c>
      <c r="N338" s="163"/>
      <c r="O338" s="49" t="str">
        <f ca="1">IFERROR(__xludf.DUMMYFUNCTION("googletranslate(N338, ""fr"", ""nl"")"),"#VALUE!")</f>
        <v>#VALUE!</v>
      </c>
      <c r="P338" s="94"/>
      <c r="Q338" s="49" t="str">
        <f ca="1">IFERROR(__xludf.DUMMYFUNCTION("GOOGLETRANSLATE(P338, ""fr"", ""nl"")"),"#VALUE!")</f>
        <v>#VALUE!</v>
      </c>
      <c r="R338" s="110"/>
      <c r="S338" s="52" t="str">
        <f ca="1">IFERROR(__xludf.DUMMYFUNCTION("GOOGLETRANSLATE(R338, ""fr"", ""nl"")"),"#VALUE!")</f>
        <v>#VALUE!</v>
      </c>
      <c r="T338" s="53" t="s">
        <v>32</v>
      </c>
      <c r="U338" s="54" t="str">
        <f ca="1">IFERROR(__xludf.DUMMYFUNCTION("GOOGLETRANSLATE(T338, ""fr"", ""nl"")"),"Op 30 ° C max
Gebruik geen bleekmiddel
Gebruik geen van de droger
Strijken op gemiddelde temperatuur
Niet stomen")</f>
        <v>Op 30 ° C max
Gebruik geen bleekmiddel
Gebruik geen van de droger
Strijken op gemiddelde temperatuur
Niet stomen</v>
      </c>
      <c r="V338" s="62" t="s">
        <v>1082</v>
      </c>
      <c r="W338" s="56"/>
    </row>
    <row r="339" spans="1:23" ht="15.75" customHeight="1">
      <c r="A339" s="164" t="s">
        <v>1268</v>
      </c>
      <c r="B339" s="106">
        <v>32</v>
      </c>
      <c r="C339" s="41"/>
      <c r="D339" s="41"/>
      <c r="E339" s="158"/>
      <c r="F339" s="159" t="s">
        <v>1078</v>
      </c>
      <c r="G339" s="159" t="s">
        <v>1265</v>
      </c>
      <c r="H339" s="44" t="s">
        <v>1269</v>
      </c>
      <c r="I339" s="45"/>
      <c r="J339" s="46" t="s">
        <v>1270</v>
      </c>
      <c r="K339" s="46"/>
      <c r="L339" s="46"/>
      <c r="M339" s="48" t="str">
        <f ca="1">IFERROR(__xludf.DUMMYFUNCTION("googletranslate(L339, ""fr"", ""nl"")"),"#VALUE!")</f>
        <v>#VALUE!</v>
      </c>
      <c r="N339" s="163"/>
      <c r="O339" s="49" t="str">
        <f ca="1">IFERROR(__xludf.DUMMYFUNCTION("googletranslate(N339, ""fr"", ""nl"")"),"#VALUE!")</f>
        <v>#VALUE!</v>
      </c>
      <c r="P339" s="94"/>
      <c r="Q339" s="49" t="str">
        <f ca="1">IFERROR(__xludf.DUMMYFUNCTION("GOOGLETRANSLATE(P339, ""fr"", ""nl"")"),"#VALUE!")</f>
        <v>#VALUE!</v>
      </c>
      <c r="R339" s="110"/>
      <c r="S339" s="52" t="str">
        <f ca="1">IFERROR(__xludf.DUMMYFUNCTION("GOOGLETRANSLATE(R339, ""fr"", ""nl"")"),"#VALUE!")</f>
        <v>#VALUE!</v>
      </c>
      <c r="T339" s="53" t="s">
        <v>32</v>
      </c>
      <c r="U339" s="54" t="str">
        <f ca="1">IFERROR(__xludf.DUMMYFUNCTION("GOOGLETRANSLATE(T339, ""fr"", ""nl"")"),"Op 30 ° C max
Gebruik geen bleekmiddel
Gebruik geen van de droger
Strijken op gemiddelde temperatuur
Niet stomen")</f>
        <v>Op 30 ° C max
Gebruik geen bleekmiddel
Gebruik geen van de droger
Strijken op gemiddelde temperatuur
Niet stomen</v>
      </c>
      <c r="V339" s="62" t="s">
        <v>1082</v>
      </c>
      <c r="W339" s="56"/>
    </row>
    <row r="340" spans="1:23" ht="15.75" customHeight="1">
      <c r="A340" s="84" t="s">
        <v>1271</v>
      </c>
      <c r="B340" s="85"/>
      <c r="C340" s="67"/>
      <c r="D340" s="86"/>
      <c r="E340" s="67"/>
      <c r="F340" s="87"/>
      <c r="G340" s="87"/>
      <c r="H340" s="26"/>
      <c r="I340" s="26"/>
      <c r="J340" s="88" t="s">
        <v>677</v>
      </c>
      <c r="K340" s="89"/>
      <c r="L340" s="89"/>
      <c r="M340" s="48" t="str">
        <f ca="1">IFERROR(__xludf.DUMMYFUNCTION("googletranslate(L340, ""fr"", ""nl"")"),"#VALUE!")</f>
        <v>#VALUE!</v>
      </c>
      <c r="N340" s="125"/>
      <c r="O340" s="49" t="str">
        <f ca="1">IFERROR(__xludf.DUMMYFUNCTION("googletranslate(N340, ""fr"", ""nl"")"),"#VALUE!")</f>
        <v>#VALUE!</v>
      </c>
      <c r="P340" s="91"/>
      <c r="Q340" s="49" t="str">
        <f ca="1">IFERROR(__xludf.DUMMYFUNCTION("GOOGLETRANSLATE(P340, ""fr"", ""nl"")"),"#VALUE!")</f>
        <v>#VALUE!</v>
      </c>
      <c r="R340" s="92"/>
      <c r="S340" s="52" t="str">
        <f ca="1">IFERROR(__xludf.DUMMYFUNCTION("GOOGLETRANSLATE(R340, ""fr"", ""nl"")"),"#VALUE!")</f>
        <v>#VALUE!</v>
      </c>
      <c r="T340" s="89"/>
      <c r="U340" s="54" t="str">
        <f ca="1">IFERROR(__xludf.DUMMYFUNCTION("GOOGLETRANSLATE(T340, ""fr"", ""nl"")"),"#VALUE!")</f>
        <v>#VALUE!</v>
      </c>
      <c r="V340" s="140"/>
      <c r="W340" s="38"/>
    </row>
    <row r="341" spans="1:23" ht="15.75" customHeight="1">
      <c r="A341" s="181" t="s">
        <v>1272</v>
      </c>
      <c r="B341" s="182">
        <v>26</v>
      </c>
      <c r="C341" s="41"/>
      <c r="D341" s="41"/>
      <c r="E341" s="158"/>
      <c r="F341" s="159" t="s">
        <v>1078</v>
      </c>
      <c r="G341" s="159" t="s">
        <v>1273</v>
      </c>
      <c r="H341" s="44" t="s">
        <v>1274</v>
      </c>
      <c r="I341" s="45"/>
      <c r="J341" s="46" t="s">
        <v>1275</v>
      </c>
      <c r="K341" s="178"/>
      <c r="L341" s="178" t="s">
        <v>1276</v>
      </c>
      <c r="M341" s="48" t="str">
        <f ca="1">IFERROR(__xludf.DUMMYFUNCTION("googletranslate(L341, ""fr"", ""nl"")")," :
- Short Shorts centituré
- Recht model met bandplooien
- elastische tailleband
- zak genaaid op de rug")</f>
        <v xml:space="preserve"> :
- Short Shorts centituré
- Recht model met bandplooien
- elastische tailleband
- zak genaaid op de rug</v>
      </c>
      <c r="N341" s="183" t="s">
        <v>1277</v>
      </c>
      <c r="O341" s="49" t="str">
        <f ca="1">IFERROR(__xludf.DUMMYFUNCTION("googletranslate(N341, ""fr"", ""nl"")"),"Deze short om cut paperbag u hoogtepunten in alle omstandigheden, en rode cayennepeper verhoogt uw garderobe!")</f>
        <v>Deze short om cut paperbag u hoogtepunten in alle omstandigheden, en rode cayennepeper verhoogt uw garderobe!</v>
      </c>
      <c r="P341" s="50" t="s">
        <v>585</v>
      </c>
      <c r="Q341" s="49" t="str">
        <f ca="1">IFERROR(__xludf.DUMMYFUNCTION("GOOGLETRANSLATE(P341, ""fr"", ""nl"")"),"Rood")</f>
        <v>Rood</v>
      </c>
      <c r="R341" s="50" t="s">
        <v>1157</v>
      </c>
      <c r="S341" s="52" t="str">
        <f ca="1">IFERROR(__xludf.DUMMYFUNCTION("GOOGLETRANSLATE(R341, ""fr"", ""nl"")"),"100% lyocell")</f>
        <v>100% lyocell</v>
      </c>
      <c r="T341" s="53" t="s">
        <v>32</v>
      </c>
      <c r="U341" s="54" t="str">
        <f ca="1">IFERROR(__xludf.DUMMYFUNCTION("GOOGLETRANSLATE(T341, ""fr"", ""nl"")"),"Op 30 ° C max
Gebruik geen bleekmiddel
Gebruik geen van de droger
Strijken op gemiddelde temperatuur
Niet stomen")</f>
        <v>Op 30 ° C max
Gebruik geen bleekmiddel
Gebruik geen van de droger
Strijken op gemiddelde temperatuur
Niet stomen</v>
      </c>
      <c r="V341" s="62" t="s">
        <v>1082</v>
      </c>
      <c r="W341" s="56"/>
    </row>
    <row r="342" spans="1:23" ht="15.75" customHeight="1">
      <c r="A342" s="184" t="s">
        <v>1278</v>
      </c>
      <c r="B342" s="185">
        <v>32</v>
      </c>
      <c r="C342" s="186"/>
      <c r="D342" s="187"/>
      <c r="E342" s="188"/>
      <c r="F342" s="189" t="s">
        <v>1078</v>
      </c>
      <c r="G342" s="189" t="s">
        <v>1273</v>
      </c>
      <c r="H342" s="190"/>
      <c r="I342" s="191"/>
      <c r="J342" s="192" t="s">
        <v>1279</v>
      </c>
      <c r="K342" s="193"/>
      <c r="L342" s="193" t="s">
        <v>1276</v>
      </c>
      <c r="M342" s="194" t="str">
        <f ca="1">IFERROR(__xludf.DUMMYFUNCTION("googletranslate(L342, ""fr"", ""nl"")")," :
- Short Shorts centituré
- Recht model met bandplooien
- elastische tailleband
- zak genaaid op de rug")</f>
        <v xml:space="preserve"> :
- Short Shorts centituré
- Recht model met bandplooien
- elastische tailleband
- zak genaaid op de rug</v>
      </c>
      <c r="N342" s="195"/>
      <c r="O342" s="196" t="str">
        <f ca="1">IFERROR(__xludf.DUMMYFUNCTION("googletranslate(N342, ""fr"", ""nl"")"),"#VALUE!")</f>
        <v>#VALUE!</v>
      </c>
      <c r="P342" s="197" t="s">
        <v>1065</v>
      </c>
      <c r="Q342" s="196" t="str">
        <f ca="1">IFERROR(__xludf.DUMMYFUNCTION("GOOGLETRANSLATE(P342, ""fr"", ""nl"")"),"Blauw")</f>
        <v>Blauw</v>
      </c>
      <c r="R342" s="198" t="s">
        <v>1157</v>
      </c>
      <c r="S342" s="199" t="str">
        <f ca="1">IFERROR(__xludf.DUMMYFUNCTION("GOOGLETRANSLATE(R342, ""fr"", ""nl"")"),"100% lyocell")</f>
        <v>100% lyocell</v>
      </c>
      <c r="T342" s="200" t="s">
        <v>32</v>
      </c>
      <c r="U342" s="201" t="str">
        <f ca="1">IFERROR(__xludf.DUMMYFUNCTION("GOOGLETRANSLATE(T342, ""fr"", ""nl"")"),"Op 30 ° C max
Gebruik geen bleekmiddel
Gebruik geen van de droger
Strijken op gemiddelde temperatuur
Niet stomen")</f>
        <v>Op 30 ° C max
Gebruik geen bleekmiddel
Gebruik geen van de droger
Strijken op gemiddelde temperatuur
Niet stomen</v>
      </c>
      <c r="V342" s="202" t="s">
        <v>1082</v>
      </c>
      <c r="W342" s="203"/>
    </row>
    <row r="343" spans="1:23" ht="15.75" customHeight="1">
      <c r="A343" s="184" t="s">
        <v>1280</v>
      </c>
      <c r="B343" s="185">
        <v>32</v>
      </c>
      <c r="C343" s="186"/>
      <c r="D343" s="187"/>
      <c r="E343" s="188"/>
      <c r="F343" s="189" t="s">
        <v>1078</v>
      </c>
      <c r="G343" s="189" t="s">
        <v>1273</v>
      </c>
      <c r="H343" s="190"/>
      <c r="I343" s="191"/>
      <c r="J343" s="192" t="s">
        <v>1281</v>
      </c>
      <c r="K343" s="193"/>
      <c r="L343" s="193" t="s">
        <v>1276</v>
      </c>
      <c r="M343" s="194" t="str">
        <f ca="1">IFERROR(__xludf.DUMMYFUNCTION("googletranslate(L343, ""fr"", ""nl"")")," :
- Short Shorts centituré
- Recht model met bandplooien
- elastische tailleband
- zak genaaid op de rug")</f>
        <v xml:space="preserve"> :
- Short Shorts centituré
- Recht model met bandplooien
- elastische tailleband
- zak genaaid op de rug</v>
      </c>
      <c r="N343" s="195"/>
      <c r="O343" s="196" t="str">
        <f ca="1">IFERROR(__xludf.DUMMYFUNCTION("googletranslate(N343, ""fr"", ""nl"")"),"#VALUE!")</f>
        <v>#VALUE!</v>
      </c>
      <c r="P343" s="197" t="s">
        <v>1065</v>
      </c>
      <c r="Q343" s="196" t="str">
        <f ca="1">IFERROR(__xludf.DUMMYFUNCTION("GOOGLETRANSLATE(P343, ""fr"", ""nl"")"),"Blauw")</f>
        <v>Blauw</v>
      </c>
      <c r="R343" s="198" t="s">
        <v>1157</v>
      </c>
      <c r="S343" s="199" t="str">
        <f ca="1">IFERROR(__xludf.DUMMYFUNCTION("GOOGLETRANSLATE(R343, ""fr"", ""nl"")"),"100% lyocell")</f>
        <v>100% lyocell</v>
      </c>
      <c r="T343" s="200" t="s">
        <v>32</v>
      </c>
      <c r="U343" s="201" t="str">
        <f ca="1">IFERROR(__xludf.DUMMYFUNCTION("GOOGLETRANSLATE(T343, ""fr"", ""nl"")"),"Op 30 ° C max
Gebruik geen bleekmiddel
Gebruik geen van de droger
Strijken op gemiddelde temperatuur
Niet stomen")</f>
        <v>Op 30 ° C max
Gebruik geen bleekmiddel
Gebruik geen van de droger
Strijken op gemiddelde temperatuur
Niet stomen</v>
      </c>
      <c r="V343" s="202" t="s">
        <v>1082</v>
      </c>
      <c r="W343" s="203"/>
    </row>
    <row r="344" spans="1:23" ht="15.75" customHeight="1">
      <c r="A344" s="84" t="s">
        <v>1282</v>
      </c>
      <c r="B344" s="85"/>
      <c r="C344" s="67"/>
      <c r="D344" s="86"/>
      <c r="E344" s="67"/>
      <c r="F344" s="87"/>
      <c r="G344" s="87"/>
      <c r="H344" s="26"/>
      <c r="I344" s="26"/>
      <c r="J344" s="88" t="s">
        <v>677</v>
      </c>
      <c r="K344" s="89"/>
      <c r="L344" s="89"/>
      <c r="M344" s="48" t="str">
        <f ca="1">IFERROR(__xludf.DUMMYFUNCTION("googletranslate(L344, ""fr"", ""nl"")"),"#VALUE!")</f>
        <v>#VALUE!</v>
      </c>
      <c r="N344" s="125"/>
      <c r="O344" s="49" t="str">
        <f ca="1">IFERROR(__xludf.DUMMYFUNCTION("googletranslate(N344, ""fr"", ""nl"")"),"#VALUE!")</f>
        <v>#VALUE!</v>
      </c>
      <c r="P344" s="91"/>
      <c r="Q344" s="49" t="str">
        <f ca="1">IFERROR(__xludf.DUMMYFUNCTION("GOOGLETRANSLATE(P344, ""fr"", ""nl"")"),"#VALUE!")</f>
        <v>#VALUE!</v>
      </c>
      <c r="R344" s="92"/>
      <c r="S344" s="52" t="str">
        <f ca="1">IFERROR(__xludf.DUMMYFUNCTION("GOOGLETRANSLATE(R344, ""fr"", ""nl"")"),"#VALUE!")</f>
        <v>#VALUE!</v>
      </c>
      <c r="T344" s="89"/>
      <c r="U344" s="54" t="str">
        <f ca="1">IFERROR(__xludf.DUMMYFUNCTION("GOOGLETRANSLATE(T344, ""fr"", ""nl"")"),"#VALUE!")</f>
        <v>#VALUE!</v>
      </c>
      <c r="V344" s="140"/>
      <c r="W344" s="38"/>
    </row>
    <row r="345" spans="1:23" ht="15.75" customHeight="1">
      <c r="A345" s="39" t="s">
        <v>1283</v>
      </c>
      <c r="B345" s="106">
        <v>36</v>
      </c>
      <c r="C345" s="41"/>
      <c r="D345" s="41"/>
      <c r="E345" s="158"/>
      <c r="F345" s="159" t="s">
        <v>1078</v>
      </c>
      <c r="G345" s="159" t="s">
        <v>1284</v>
      </c>
      <c r="H345" s="44" t="s">
        <v>1285</v>
      </c>
      <c r="I345" s="45"/>
      <c r="J345" s="46" t="s">
        <v>1286</v>
      </c>
      <c r="K345" s="204"/>
      <c r="L345" s="204" t="s">
        <v>1287</v>
      </c>
      <c r="M345" s="48" t="str">
        <f ca="1">IFERROR(__xludf.DUMMYFUNCTION("googletranslate(L345, ""fr"", ""nl"")")," :
- Lange uitlopende jurk
- Korte mouwen
- kraag
- Zakken op de borst
- Afneembare belt
- Closing dichtgeknoopt
- Side slots in Las laag
")</f>
        <v xml:space="preserve"> :
- Lange uitlopende jurk
- Korte mouwen
- kraag
- Zakken op de borst
- Afneembare belt
- Closing dichtgeknoopt
- Side slots in Las laag
</v>
      </c>
      <c r="N345" s="58" t="s">
        <v>1288</v>
      </c>
      <c r="O345" s="49" t="str">
        <f ca="1">IFERROR(__xludf.DUMMYFUNCTION("googletranslate(N345, ""fr"", ""nl"")"),"Dit is de jurk hartaanval dit seizoen! Dit model ""overhemd"" ceintuur in de taille en lange zet elke figuur waarde en stelt u in staat om te spelen op stijlen. Soms verfijnd, is deze jurk kan ook gebruikt worden in een meer casual look met sneakers gedra"&amp;"gen.")</f>
        <v>Dit is de jurk hartaanval dit seizoen! Dit model "overhemd" ceintuur in de taille en lange zet elke figuur waarde en stelt u in staat om te spelen op stijlen. Soms verfijnd, is deze jurk kan ook gebruikt worden in een meer casual look met sneakers gedragen.</v>
      </c>
      <c r="P345" s="205" t="s">
        <v>1121</v>
      </c>
      <c r="Q345" s="49" t="str">
        <f ca="1">IFERROR(__xludf.DUMMYFUNCTION("GOOGLETRANSLATE(P345, ""fr"", ""nl"")"),"Roze")</f>
        <v>Roze</v>
      </c>
      <c r="R345" s="206" t="s">
        <v>1246</v>
      </c>
      <c r="S345" s="52" t="str">
        <f ca="1">IFERROR(__xludf.DUMMYFUNCTION("GOOGLETRANSLATE(R345, ""fr"", ""nl"")"),"100% viscose")</f>
        <v>100% viscose</v>
      </c>
      <c r="T345" s="53" t="s">
        <v>32</v>
      </c>
      <c r="U345" s="54" t="str">
        <f ca="1">IFERROR(__xludf.DUMMYFUNCTION("GOOGLETRANSLATE(T345, ""fr"", ""nl"")"),"Op 30 ° C max
Gebruik geen bleekmiddel
Gebruik geen van de droger
Strijken op gemiddelde temperatuur
Niet stomen")</f>
        <v>Op 30 ° C max
Gebruik geen bleekmiddel
Gebruik geen van de droger
Strijken op gemiddelde temperatuur
Niet stomen</v>
      </c>
      <c r="V345" s="62" t="s">
        <v>1082</v>
      </c>
      <c r="W345" s="56"/>
    </row>
    <row r="346" spans="1:23" ht="15.75" customHeight="1">
      <c r="A346" s="57" t="s">
        <v>1289</v>
      </c>
      <c r="B346" s="106">
        <v>32</v>
      </c>
      <c r="C346" s="41"/>
      <c r="D346" s="41"/>
      <c r="E346" s="158"/>
      <c r="F346" s="159" t="s">
        <v>1078</v>
      </c>
      <c r="G346" s="159" t="s">
        <v>1284</v>
      </c>
      <c r="H346" s="44" t="s">
        <v>1290</v>
      </c>
      <c r="I346" s="45"/>
      <c r="J346" s="46" t="s">
        <v>1291</v>
      </c>
      <c r="K346" s="207"/>
      <c r="L346" s="207" t="s">
        <v>1292</v>
      </c>
      <c r="M346" s="48" t="str">
        <f ca="1">IFERROR(__xludf.DUMMYFUNCTION("googletranslate(L346, ""fr"", ""nl"")")," :
- Midi Dress opgelaaid
- Korte mouw
- prinses naden
- Ronde hals
- Sluiting knop aan de voorkant
- knopen koord in de rug")</f>
        <v xml:space="preserve"> :
- Midi Dress opgelaaid
- Korte mouw
- prinses naden
- Ronde hals
- Sluiting knop aan de voorkant
- knopen koord in de rug</v>
      </c>
      <c r="N346" s="58" t="s">
        <v>1293</v>
      </c>
      <c r="O346" s="49" t="str">
        <f ca="1">IFERROR(__xludf.DUMMYFUNCTION("googletranslate(N346, ""fr"", ""nl"")"),"Deze flamboyante rode jurk toont een patroon geïnspireerd op de typische pointillistische schilderij van de Australische Aboriginals. De cut u hoogtepunten, en haar doorschijnende rok zal u verrassen.")</f>
        <v>Deze flamboyante rode jurk toont een patroon geïnspireerd op de typische pointillistische schilderij van de Australische Aboriginals. De cut u hoogtepunten, en haar doorschijnende rok zal u verrassen.</v>
      </c>
      <c r="P346" s="205" t="s">
        <v>936</v>
      </c>
      <c r="Q346" s="49" t="str">
        <f ca="1">IFERROR(__xludf.DUMMYFUNCTION("GOOGLETRANSLATE(P346, ""fr"", ""nl"")"),"Oranje")</f>
        <v>Oranje</v>
      </c>
      <c r="R346" s="206" t="s">
        <v>1246</v>
      </c>
      <c r="S346" s="52" t="str">
        <f ca="1">IFERROR(__xludf.DUMMYFUNCTION("GOOGLETRANSLATE(R346, ""fr"", ""nl"")"),"100% viscose")</f>
        <v>100% viscose</v>
      </c>
      <c r="T346" s="53" t="s">
        <v>32</v>
      </c>
      <c r="U346" s="54" t="str">
        <f ca="1">IFERROR(__xludf.DUMMYFUNCTION("GOOGLETRANSLATE(T346, ""fr"", ""nl"")"),"Op 30 ° C max
Gebruik geen bleekmiddel
Gebruik geen van de droger
Strijken op gemiddelde temperatuur
Niet stomen")</f>
        <v>Op 30 ° C max
Gebruik geen bleekmiddel
Gebruik geen van de droger
Strijken op gemiddelde temperatuur
Niet stomen</v>
      </c>
      <c r="V346" s="62" t="s">
        <v>1082</v>
      </c>
      <c r="W346" s="56"/>
    </row>
    <row r="347" spans="1:23" ht="15.75" customHeight="1">
      <c r="A347" s="164" t="s">
        <v>1294</v>
      </c>
      <c r="B347" s="106">
        <v>32</v>
      </c>
      <c r="C347" s="41"/>
      <c r="D347" s="41"/>
      <c r="E347" s="158"/>
      <c r="F347" s="159" t="s">
        <v>1078</v>
      </c>
      <c r="G347" s="159" t="s">
        <v>1284</v>
      </c>
      <c r="H347" s="44" t="s">
        <v>1295</v>
      </c>
      <c r="I347" s="45"/>
      <c r="J347" s="46" t="s">
        <v>1296</v>
      </c>
      <c r="K347" s="46"/>
      <c r="L347" s="46"/>
      <c r="M347" s="48" t="str">
        <f ca="1">IFERROR(__xludf.DUMMYFUNCTION("googletranslate(L347, ""fr"", ""nl"")"),"#VALUE!")</f>
        <v>#VALUE!</v>
      </c>
      <c r="N347" s="163"/>
      <c r="O347" s="49" t="str">
        <f ca="1">IFERROR(__xludf.DUMMYFUNCTION("googletranslate(N347, ""fr"", ""nl"")"),"#VALUE!")</f>
        <v>#VALUE!</v>
      </c>
      <c r="P347" s="94"/>
      <c r="Q347" s="49" t="str">
        <f ca="1">IFERROR(__xludf.DUMMYFUNCTION("GOOGLETRANSLATE(P347, ""fr"", ""nl"")"),"#VALUE!")</f>
        <v>#VALUE!</v>
      </c>
      <c r="R347" s="110"/>
      <c r="S347" s="52" t="str">
        <f ca="1">IFERROR(__xludf.DUMMYFUNCTION("GOOGLETRANSLATE(R347, ""fr"", ""nl"")"),"#VALUE!")</f>
        <v>#VALUE!</v>
      </c>
      <c r="T347" s="53" t="s">
        <v>32</v>
      </c>
      <c r="U347" s="54" t="str">
        <f ca="1">IFERROR(__xludf.DUMMYFUNCTION("GOOGLETRANSLATE(T347, ""fr"", ""nl"")"),"Op 30 ° C max
Gebruik geen bleekmiddel
Gebruik geen van de droger
Strijken op gemiddelde temperatuur
Niet stomen")</f>
        <v>Op 30 ° C max
Gebruik geen bleekmiddel
Gebruik geen van de droger
Strijken op gemiddelde temperatuur
Niet stomen</v>
      </c>
      <c r="V347" s="62" t="s">
        <v>1082</v>
      </c>
      <c r="W347" s="56"/>
    </row>
    <row r="348" spans="1:23" ht="15.75" customHeight="1">
      <c r="A348" s="167" t="s">
        <v>1297</v>
      </c>
      <c r="B348" s="106">
        <v>34</v>
      </c>
      <c r="C348" s="41"/>
      <c r="D348" s="41"/>
      <c r="E348" s="158"/>
      <c r="F348" s="159" t="s">
        <v>1078</v>
      </c>
      <c r="G348" s="159" t="s">
        <v>1284</v>
      </c>
      <c r="H348" s="44" t="s">
        <v>1298</v>
      </c>
      <c r="I348" s="45"/>
      <c r="J348" s="46" t="s">
        <v>1299</v>
      </c>
      <c r="K348" s="178"/>
      <c r="L348" s="178" t="s">
        <v>1300</v>
      </c>
      <c r="M348" s="48" t="str">
        <f ca="1">IFERROR(__xludf.DUMMYFUNCTION("googletranslate(L348, ""fr"", ""nl"")")," :
- Polo Dress halflange
- hangende mouwen
- Gebogen taille
- Stung stretch katoen
- kraag
- Closing dichtgeknoopt
- elastische band contratstée driekleur oranje bank en gouden
- Badge J &amp; JOY metaal op de bodem
")</f>
        <v xml:space="preserve"> :
- Polo Dress halflange
- hangende mouwen
- Gebogen taille
- Stung stretch katoen
- kraag
- Closing dichtgeknoopt
- elastische band contratstée driekleur oranje bank en gouden
- Badge J &amp; JOY metaal op de bodem
</v>
      </c>
      <c r="N348" s="58" t="s">
        <v>1301</v>
      </c>
      <c r="O348" s="49" t="str">
        <f ca="1">IFERROR(__xludf.DUMMYFUNCTION("googletranslate(N348, ""fr"", ""nl"")"),"Een kaki kleding met roze gegevens ideaal voor alle situaties. Het kantoor dag in de avond met vrienden, deze jurk is geschikt voor alle gelegenheden. Dit getailleerde je jurk hoogtepunten, en snijden zijn nek en zijn mouwen biedt een verfijnde look.")</f>
        <v>Een kaki kleding met roze gegevens ideaal voor alle situaties. Het kantoor dag in de avond met vrienden, deze jurk is geschikt voor alle gelegenheden. Dit getailleerde je jurk hoogtepunten, en snijden zijn nek en zijn mouwen biedt een verfijnde look.</v>
      </c>
      <c r="P348" s="50" t="s">
        <v>1144</v>
      </c>
      <c r="Q348" s="49" t="str">
        <f ca="1">IFERROR(__xludf.DUMMYFUNCTION("GOOGLETRANSLATE(P348, ""fr"", ""nl"")"),"Khaki")</f>
        <v>Khaki</v>
      </c>
      <c r="R348" s="208" t="s">
        <v>31</v>
      </c>
      <c r="S348" s="52" t="str">
        <f ca="1">IFERROR(__xludf.DUMMYFUNCTION("GOOGLETRANSLATE(R348, ""fr"", ""nl"")"),"100% katoen")</f>
        <v>100% katoen</v>
      </c>
      <c r="T348" s="53" t="s">
        <v>32</v>
      </c>
      <c r="U348" s="54" t="str">
        <f ca="1">IFERROR(__xludf.DUMMYFUNCTION("GOOGLETRANSLATE(T348, ""fr"", ""nl"")"),"Op 30 ° C max
Gebruik geen bleekmiddel
Gebruik geen van de droger
Strijken op gemiddelde temperatuur
Niet stomen")</f>
        <v>Op 30 ° C max
Gebruik geen bleekmiddel
Gebruik geen van de droger
Strijken op gemiddelde temperatuur
Niet stomen</v>
      </c>
      <c r="V348" s="62" t="s">
        <v>1082</v>
      </c>
      <c r="W348" s="56"/>
    </row>
    <row r="349" spans="1:23" ht="15.75" customHeight="1">
      <c r="A349" s="167" t="s">
        <v>1302</v>
      </c>
      <c r="B349" s="106">
        <v>32</v>
      </c>
      <c r="C349" s="41"/>
      <c r="D349" s="41"/>
      <c r="E349" s="158"/>
      <c r="F349" s="159" t="s">
        <v>1078</v>
      </c>
      <c r="G349" s="159" t="s">
        <v>1284</v>
      </c>
      <c r="H349" s="44" t="s">
        <v>1303</v>
      </c>
      <c r="I349" s="45"/>
      <c r="J349" s="46" t="s">
        <v>1304</v>
      </c>
      <c r="K349" s="178"/>
      <c r="L349" s="178" t="s">
        <v>1305</v>
      </c>
      <c r="M349" s="48" t="str">
        <f ca="1">IFERROR(__xludf.DUMMYFUNCTION("googletranslate(L349, ""fr"", ""nl"")")," :
- Knie lange
- Rechte snede
- Korte mouwen
- V-hals
- V-opening in de rug
- knopen koord in de nek
- Zijzakken
- randen en zomen gestikt
- Badge J &amp; JOY metaal onderaan")</f>
        <v xml:space="preserve"> :
- Knie lange
- Rechte snede
- Korte mouwen
- V-hals
- V-opening in de rug
- knopen koord in de nek
- Zijzakken
- randen en zomen gestikt
- Badge J &amp; JOY metaal onderaan</v>
      </c>
      <c r="N349" s="58" t="s">
        <v>1306</v>
      </c>
      <c r="O349" s="49" t="str">
        <f ca="1">IFERROR(__xludf.DUMMYFUNCTION("googletranslate(N349, ""fr"", ""nl"")"),"Deze verborgen hart jurk is op zichzelf voldoende! Met zijn blauwe print en brede witte lakens, zijn stijl is essentieel in je garderobe.")</f>
        <v>Deze verborgen hart jurk is op zichzelf voldoende! Met zijn blauwe print en brede witte lakens, zijn stijl is essentieel in je garderobe.</v>
      </c>
      <c r="P349" s="50" t="s">
        <v>1065</v>
      </c>
      <c r="Q349" s="49" t="str">
        <f ca="1">IFERROR(__xludf.DUMMYFUNCTION("GOOGLETRANSLATE(P349, ""fr"", ""nl"")"),"Blauw")</f>
        <v>Blauw</v>
      </c>
      <c r="R349" s="208" t="s">
        <v>1307</v>
      </c>
      <c r="S349" s="52" t="str">
        <f ca="1">IFERROR(__xludf.DUMMYFUNCTION("GOOGLETRANSLATE(R349, ""fr"", ""nl"")"),"50% katoen
50% polyester")</f>
        <v>50% katoen
50% polyester</v>
      </c>
      <c r="T349" s="53" t="s">
        <v>32</v>
      </c>
      <c r="U349" s="54" t="str">
        <f ca="1">IFERROR(__xludf.DUMMYFUNCTION("GOOGLETRANSLATE(T349, ""fr"", ""nl"")"),"Op 30 ° C max
Gebruik geen bleekmiddel
Gebruik geen van de droger
Strijken op gemiddelde temperatuur
Niet stomen")</f>
        <v>Op 30 ° C max
Gebruik geen bleekmiddel
Gebruik geen van de droger
Strijken op gemiddelde temperatuur
Niet stomen</v>
      </c>
      <c r="V349" s="62" t="s">
        <v>1082</v>
      </c>
      <c r="W349" s="56"/>
    </row>
    <row r="350" spans="1:23" ht="15.75" customHeight="1">
      <c r="A350" s="173" t="s">
        <v>1308</v>
      </c>
      <c r="B350" s="106">
        <v>32</v>
      </c>
      <c r="C350" s="41"/>
      <c r="D350" s="41"/>
      <c r="E350" s="158"/>
      <c r="F350" s="159" t="s">
        <v>1078</v>
      </c>
      <c r="G350" s="159" t="s">
        <v>1284</v>
      </c>
      <c r="H350" s="44" t="s">
        <v>1090</v>
      </c>
      <c r="I350" s="45"/>
      <c r="J350" s="46" t="s">
        <v>1309</v>
      </c>
      <c r="K350" s="178"/>
      <c r="L350" s="178" t="s">
        <v>1310</v>
      </c>
      <c r="M350" s="48" t="str">
        <f ca="1">IFERROR(__xludf.DUMMYFUNCTION("googletranslate(L350, ""fr"", ""nl"")")," :
- polo dress knie uitlopende
- Gebogen taille
- Stung stretch katoen
- kraag
- Closing dichtgeknoopt
- Korte mouwen
- Contrast streep aan de zijkant van elke ronde tricolor
- Afneembare belt
- J &amp; JOY geborduurd logo op de borst
-Logo J &amp; JOY geborduur"&amp;"d hals
- Badge J &amp; JOY metaal op de bodem
")</f>
        <v xml:space="preserve"> :
- polo dress knie uitlopende
- Gebogen taille
- Stung stretch katoen
- kraag
- Closing dichtgeknoopt
- Korte mouwen
- Contrast streep aan de zijkant van elke ronde tricolor
- Afneembare belt
- J &amp; JOY geborduurd logo op de borst
-Logo J &amp; JOY geborduurd hals
- Badge J &amp; JOY metaal op de bodem
</v>
      </c>
      <c r="N350" s="58" t="s">
        <v>1311</v>
      </c>
      <c r="O350" s="49" t="str">
        <f ca="1">IFERROR(__xludf.DUMMYFUNCTION("googletranslate(N350, ""fr"", ""nl"")"),"Het is het perfecte kleine blauwe jurk! Geen headlock en nul schuld van smaak mogelijk is met dit klassieke model, de intense kleur en comfort.")</f>
        <v>Het is het perfecte kleine blauwe jurk! Geen headlock en nul schuld van smaak mogelijk is met dit klassieke model, de intense kleur en comfort.</v>
      </c>
      <c r="P350" s="50" t="s">
        <v>1065</v>
      </c>
      <c r="Q350" s="49" t="str">
        <f ca="1">IFERROR(__xludf.DUMMYFUNCTION("GOOGLETRANSLATE(P350, ""fr"", ""nl"")"),"Blauw")</f>
        <v>Blauw</v>
      </c>
      <c r="R350" s="209" t="s">
        <v>1312</v>
      </c>
      <c r="S350" s="52" t="str">
        <f ca="1">IFERROR(__xludf.DUMMYFUNCTION("GOOGLETRANSLATE(R350, ""fr"", ""nl"")"),"98% katoen
2% polyester")</f>
        <v>98% katoen
2% polyester</v>
      </c>
      <c r="T350" s="53" t="s">
        <v>32</v>
      </c>
      <c r="U350" s="54" t="str">
        <f ca="1">IFERROR(__xludf.DUMMYFUNCTION("GOOGLETRANSLATE(T350, ""fr"", ""nl"")"),"Op 30 ° C max
Gebruik geen bleekmiddel
Gebruik geen van de droger
Strijken op gemiddelde temperatuur
Niet stomen")</f>
        <v>Op 30 ° C max
Gebruik geen bleekmiddel
Gebruik geen van de droger
Strijken op gemiddelde temperatuur
Niet stomen</v>
      </c>
      <c r="V350" s="62" t="s">
        <v>1082</v>
      </c>
      <c r="W350" s="56"/>
    </row>
    <row r="351" spans="1:23" ht="15.75" customHeight="1">
      <c r="A351" s="84" t="s">
        <v>1313</v>
      </c>
      <c r="B351" s="85"/>
      <c r="C351" s="67"/>
      <c r="D351" s="86"/>
      <c r="E351" s="67"/>
      <c r="F351" s="87"/>
      <c r="G351" s="87"/>
      <c r="H351" s="26"/>
      <c r="I351" s="26"/>
      <c r="J351" s="88" t="s">
        <v>677</v>
      </c>
      <c r="K351" s="89"/>
      <c r="L351" s="89"/>
      <c r="M351" s="48" t="str">
        <f ca="1">IFERROR(__xludf.DUMMYFUNCTION("googletranslate(L351, ""fr"", ""nl"")"),"#VALUE!")</f>
        <v>#VALUE!</v>
      </c>
      <c r="N351" s="125"/>
      <c r="O351" s="49" t="str">
        <f ca="1">IFERROR(__xludf.DUMMYFUNCTION("googletranslate(N351, ""fr"", ""nl"")"),"#VALUE!")</f>
        <v>#VALUE!</v>
      </c>
      <c r="P351" s="91"/>
      <c r="Q351" s="49" t="str">
        <f ca="1">IFERROR(__xludf.DUMMYFUNCTION("GOOGLETRANSLATE(P351, ""fr"", ""nl"")"),"#VALUE!")</f>
        <v>#VALUE!</v>
      </c>
      <c r="R351" s="92"/>
      <c r="S351" s="52" t="str">
        <f ca="1">IFERROR(__xludf.DUMMYFUNCTION("GOOGLETRANSLATE(R351, ""fr"", ""nl"")"),"#VALUE!")</f>
        <v>#VALUE!</v>
      </c>
      <c r="T351" s="89"/>
      <c r="U351" s="54" t="str">
        <f ca="1">IFERROR(__xludf.DUMMYFUNCTION("GOOGLETRANSLATE(T351, ""fr"", ""nl"")"),"#VALUE!")</f>
        <v>#VALUE!</v>
      </c>
      <c r="V351" s="140"/>
      <c r="W351" s="38"/>
    </row>
    <row r="352" spans="1:23" ht="15.75" customHeight="1">
      <c r="A352" s="108" t="s">
        <v>1314</v>
      </c>
      <c r="B352" s="40">
        <v>34</v>
      </c>
      <c r="C352" s="41"/>
      <c r="D352" s="41"/>
      <c r="E352" s="158"/>
      <c r="F352" s="159" t="s">
        <v>1078</v>
      </c>
      <c r="G352" s="210" t="s">
        <v>1315</v>
      </c>
      <c r="H352" s="44" t="s">
        <v>1316</v>
      </c>
      <c r="I352" s="45"/>
      <c r="J352" s="46" t="s">
        <v>1317</v>
      </c>
      <c r="K352" s="178"/>
      <c r="L352" s="178" t="s">
        <v>1318</v>
      </c>
      <c r="M352" s="48" t="str">
        <f ca="1">IFERROR(__xludf.DUMMYFUNCTION("googletranslate(L352, ""fr"", ""nl"")")," :
- Printed Plooirok
- rok met elastische taille
- Verdubbelde")</f>
        <v xml:space="preserve"> :
- Printed Plooirok
- rok met elastische taille
- Verdubbelde</v>
      </c>
      <c r="N352" s="58" t="s">
        <v>1319</v>
      </c>
      <c r="O352" s="49" t="str">
        <f ca="1">IFERROR(__xludf.DUMMYFUNCTION("googletranslate(N352, ""fr"", ""nl"")"),"Zonder twijfel een van de sterkste delen van onze collectie! Deze lange rok met bloemenprint geplooid roze is onmisbaar in je garderobe. Het wordt gedragen in de zomer met een shirt of blouse, en ook later in het jaar met een grote trui breien! Perfect.")</f>
        <v>Zonder twijfel een van de sterkste delen van onze collectie! Deze lange rok met bloemenprint geplooid roze is onmisbaar in je garderobe. Het wordt gedragen in de zomer met een shirt of blouse, en ook later in het jaar met een grote trui breien! Perfect.</v>
      </c>
      <c r="P352" s="50" t="s">
        <v>1121</v>
      </c>
      <c r="Q352" s="49" t="str">
        <f ca="1">IFERROR(__xludf.DUMMYFUNCTION("GOOGLETRANSLATE(P352, ""fr"", ""nl"")"),"Roze")</f>
        <v>Roze</v>
      </c>
      <c r="R352" s="75" t="s">
        <v>523</v>
      </c>
      <c r="S352" s="52" t="str">
        <f ca="1">IFERROR(__xludf.DUMMYFUNCTION("GOOGLETRANSLATE(R352, ""fr"", ""nl"")"),"100% Polyester")</f>
        <v>100% Polyester</v>
      </c>
      <c r="T352" s="53" t="s">
        <v>32</v>
      </c>
      <c r="U352" s="54" t="str">
        <f ca="1">IFERROR(__xludf.DUMMYFUNCTION("GOOGLETRANSLATE(T352, ""fr"", ""nl"")"),"Op 30 ° C max
Gebruik geen bleekmiddel
Gebruik geen van de droger
Strijken op gemiddelde temperatuur
Niet stomen")</f>
        <v>Op 30 ° C max
Gebruik geen bleekmiddel
Gebruik geen van de droger
Strijken op gemiddelde temperatuur
Niet stomen</v>
      </c>
      <c r="V352" s="62" t="s">
        <v>1082</v>
      </c>
      <c r="W352" s="56"/>
    </row>
    <row r="353" spans="1:23" ht="15.75" customHeight="1">
      <c r="A353" s="84" t="s">
        <v>1320</v>
      </c>
      <c r="B353" s="85"/>
      <c r="C353" s="67"/>
      <c r="D353" s="86"/>
      <c r="E353" s="67"/>
      <c r="F353" s="87"/>
      <c r="G353" s="87"/>
      <c r="H353" s="26"/>
      <c r="I353" s="26"/>
      <c r="J353" s="88" t="s">
        <v>677</v>
      </c>
      <c r="K353" s="89"/>
      <c r="L353" s="89"/>
      <c r="M353" s="48" t="str">
        <f ca="1">IFERROR(__xludf.DUMMYFUNCTION("googletranslate(L353, ""fr"", ""nl"")"),"#VALUE!")</f>
        <v>#VALUE!</v>
      </c>
      <c r="N353" s="125"/>
      <c r="O353" s="49" t="str">
        <f ca="1">IFERROR(__xludf.DUMMYFUNCTION("googletranslate(N353, ""fr"", ""nl"")"),"#VALUE!")</f>
        <v>#VALUE!</v>
      </c>
      <c r="P353" s="91"/>
      <c r="Q353" s="49" t="str">
        <f ca="1">IFERROR(__xludf.DUMMYFUNCTION("GOOGLETRANSLATE(P353, ""fr"", ""nl"")"),"#VALUE!")</f>
        <v>#VALUE!</v>
      </c>
      <c r="R353" s="92"/>
      <c r="S353" s="52" t="str">
        <f ca="1">IFERROR(__xludf.DUMMYFUNCTION("GOOGLETRANSLATE(R353, ""fr"", ""nl"")"),"#VALUE!")</f>
        <v>#VALUE!</v>
      </c>
      <c r="T353" s="89"/>
      <c r="U353" s="54" t="str">
        <f ca="1">IFERROR(__xludf.DUMMYFUNCTION("GOOGLETRANSLATE(T353, ""fr"", ""nl"")"),"#VALUE!")</f>
        <v>#VALUE!</v>
      </c>
      <c r="V353" s="140"/>
      <c r="W353" s="38"/>
    </row>
    <row r="354" spans="1:23" ht="15.75" customHeight="1">
      <c r="A354" s="211" t="s">
        <v>1321</v>
      </c>
      <c r="B354" s="40">
        <v>52</v>
      </c>
      <c r="C354" s="41"/>
      <c r="D354" s="41"/>
      <c r="E354" s="158"/>
      <c r="F354" s="159" t="s">
        <v>1078</v>
      </c>
      <c r="G354" s="159" t="s">
        <v>1322</v>
      </c>
      <c r="H354" s="44" t="s">
        <v>1323</v>
      </c>
      <c r="I354" s="45"/>
      <c r="J354" s="46" t="s">
        <v>1324</v>
      </c>
      <c r="K354" s="178"/>
      <c r="L354" s="178" t="s">
        <v>1325</v>
      </c>
      <c r="M354" s="48" t="str">
        <f ca="1">IFERROR(__xludf.DUMMYFUNCTION("googletranslate(L354, ""fr"", ""nl"")")," :
- Model Taffeta
- Rechte snede
- Lange mouwen
- Zip opening en te verbergen rits
- sluiten met druk
- Capuchon met contrast koord
- Gedrukte het binnenste van installaties
- Inside pocket
- Zijzakken
- Adapter grootte binnen
- J &amp; JOY geborduurd logo o"&amp;"p het hart
")</f>
        <v xml:space="preserve"> :
- Model Taffeta
- Rechte snede
- Lange mouwen
- Zip opening en te verbergen rits
- sluiten met druk
- Capuchon met contrast koord
- Gedrukte het binnenste van installaties
- Inside pocket
- Zijzakken
- Adapter grootte binnen
- J &amp; JOY geborduurd logo op het hart
</v>
      </c>
      <c r="N354" s="58" t="s">
        <v>1326</v>
      </c>
      <c r="O354" s="49" t="str">
        <f ca="1">IFERROR(__xludf.DUMMYFUNCTION("googletranslate(N354, ""fr"", ""nl"")"),"De kleine lichtgewicht parka midden van het seizoen is hier! Onze iconische model is dit jaar terug in een kaki kleur die elke outfit een aanvulling.
Een perfecte winddicht, lichtgewicht en comfortabel om te dragen.")</f>
        <v>De kleine lichtgewicht parka midden van het seizoen is hier! Onze iconische model is dit jaar terug in een kaki kleur die elke outfit een aanvulling.
Een perfecte winddicht, lichtgewicht en comfortabel om te dragen.</v>
      </c>
      <c r="P354" s="50" t="s">
        <v>1144</v>
      </c>
      <c r="Q354" s="49" t="str">
        <f ca="1">IFERROR(__xludf.DUMMYFUNCTION("GOOGLETRANSLATE(P354, ""fr"", ""nl"")"),"Khaki")</f>
        <v>Khaki</v>
      </c>
      <c r="R354" s="75" t="s">
        <v>523</v>
      </c>
      <c r="S354" s="52" t="str">
        <f ca="1">IFERROR(__xludf.DUMMYFUNCTION("GOOGLETRANSLATE(R354, ""fr"", ""nl"")"),"100% Polyester")</f>
        <v>100% Polyester</v>
      </c>
      <c r="T354" s="53" t="s">
        <v>32</v>
      </c>
      <c r="U354" s="54" t="str">
        <f ca="1">IFERROR(__xludf.DUMMYFUNCTION("GOOGLETRANSLATE(T354, ""fr"", ""nl"")"),"Op 30 ° C max
Gebruik geen bleekmiddel
Gebruik geen van de droger
Strijken op gemiddelde temperatuur
Niet stomen")</f>
        <v>Op 30 ° C max
Gebruik geen bleekmiddel
Gebruik geen van de droger
Strijken op gemiddelde temperatuur
Niet stomen</v>
      </c>
      <c r="V354" s="62" t="s">
        <v>1082</v>
      </c>
      <c r="W354" s="56"/>
    </row>
    <row r="355" spans="1:23" ht="15.75" customHeight="1">
      <c r="A355" s="172" t="s">
        <v>1327</v>
      </c>
      <c r="B355" s="40">
        <v>36</v>
      </c>
      <c r="C355" s="41"/>
      <c r="D355" s="41"/>
      <c r="E355" s="158"/>
      <c r="F355" s="159" t="s">
        <v>1078</v>
      </c>
      <c r="G355" s="159" t="s">
        <v>1322</v>
      </c>
      <c r="H355" s="44" t="s">
        <v>1328</v>
      </c>
      <c r="I355" s="45"/>
      <c r="J355" s="46" t="s">
        <v>1329</v>
      </c>
      <c r="K355" s="178"/>
      <c r="L355" s="178" t="s">
        <v>1330</v>
      </c>
      <c r="M355" s="48" t="str">
        <f ca="1">IFERROR(__xludf.DUMMYFUNCTION("googletranslate(L355, ""fr"", ""nl"")")," :
- Model Oversize
- denimmateriaal
- Gedrukte lining
- J &amp; JOY geborduurd logo op het hart
- Ritssluiting
- Logo J &amp; JOY genaaid in de bodem
- Side Adapters")</f>
        <v xml:space="preserve"> :
- Model Oversize
- denimmateriaal
- Gedrukte lining
- J &amp; JOY geborduurd logo op het hart
- Ritssluiting
- Logo J &amp; JOY genaaid in de bodem
- Side Adapters</v>
      </c>
      <c r="N355" s="58" t="s">
        <v>1331</v>
      </c>
      <c r="O355" s="49" t="str">
        <f ca="1">IFERROR(__xludf.DUMMYFUNCTION("googletranslate(N355, ""fr"", ""nl"")"),"De laatste al uw outfits deze zomer touch is deze witte denim jasje. Met zijn roze details het een aanvulling op je outfit met stijl voor een haar cel resultaten in de huidige trend.")</f>
        <v>De laatste al uw outfits deze zomer touch is deze witte denim jasje. Met zijn roze details het een aanvulling op je outfit met stijl voor een haar cel resultaten in de huidige trend.</v>
      </c>
      <c r="P355" s="50" t="s">
        <v>752</v>
      </c>
      <c r="Q355" s="49" t="str">
        <f ca="1">IFERROR(__xludf.DUMMYFUNCTION("GOOGLETRANSLATE(P355, ""fr"", ""nl"")"),"Wit")</f>
        <v>Wit</v>
      </c>
      <c r="R355" s="75" t="s">
        <v>523</v>
      </c>
      <c r="S355" s="52" t="str">
        <f ca="1">IFERROR(__xludf.DUMMYFUNCTION("GOOGLETRANSLATE(R355, ""fr"", ""nl"")"),"100% Polyester")</f>
        <v>100% Polyester</v>
      </c>
      <c r="T355" s="53" t="s">
        <v>32</v>
      </c>
      <c r="U355" s="54" t="str">
        <f ca="1">IFERROR(__xludf.DUMMYFUNCTION("GOOGLETRANSLATE(T355, ""fr"", ""nl"")"),"Op 30 ° C max
Gebruik geen bleekmiddel
Gebruik geen van de droger
Strijken op gemiddelde temperatuur
Niet stomen")</f>
        <v>Op 30 ° C max
Gebruik geen bleekmiddel
Gebruik geen van de droger
Strijken op gemiddelde temperatuur
Niet stomen</v>
      </c>
      <c r="V355" s="62" t="s">
        <v>1082</v>
      </c>
      <c r="W355" s="56"/>
    </row>
    <row r="356" spans="1:23" ht="15.75" customHeight="1">
      <c r="A356" s="172" t="s">
        <v>1332</v>
      </c>
      <c r="B356" s="40">
        <v>40</v>
      </c>
      <c r="C356" s="41"/>
      <c r="D356" s="41"/>
      <c r="E356" s="158"/>
      <c r="F356" s="159" t="s">
        <v>1078</v>
      </c>
      <c r="G356" s="159" t="s">
        <v>1322</v>
      </c>
      <c r="H356" s="44" t="s">
        <v>1333</v>
      </c>
      <c r="I356" s="45"/>
      <c r="J356" s="46" t="s">
        <v>1334</v>
      </c>
      <c r="K356" s="204"/>
      <c r="L356" s="204" t="s">
        <v>1335</v>
      </c>
      <c r="M356" s="48" t="str">
        <f ca="1">IFERROR(__xludf.DUMMYFUNCTION("googletranslate(L356, ""fr"", ""nl"")")," :
- bomber Cup
- Lange mouwen
- hals, elastische manchetten en ceiture
- Verdubbelde
- Met rits opening met contrasterende afwerking
- gestileerde rand in de nek
- Zijzakken
- J &amp; JOY geborduurd logo op het hart
")</f>
        <v xml:space="preserve"> :
- bomber Cup
- Lange mouwen
- hals, elastische manchetten en ceiture
- Verdubbelde
- Met rits opening met contrasterende afwerking
- gestileerde rand in de nek
- Zijzakken
- J &amp; JOY geborduurd logo op het hart
</v>
      </c>
      <c r="N356" s="58" t="s">
        <v>1336</v>
      </c>
      <c r="O356" s="49" t="str">
        <f ca="1">IFERROR(__xludf.DUMMYFUNCTION("googletranslate(N356, ""fr"", ""nl"")"),"De bommenwerper jas en blauwe patroon wit planten motief, van essentieel belang om te dragen zonder mate!")</f>
        <v>De bommenwerper jas en blauwe patroon wit planten motief, van essentieel belang om te dragen zonder mate!</v>
      </c>
      <c r="P356" s="205" t="s">
        <v>1065</v>
      </c>
      <c r="Q356" s="49" t="str">
        <f ca="1">IFERROR(__xludf.DUMMYFUNCTION("GOOGLETRANSLATE(P356, ""fr"", ""nl"")"),"Blauw")</f>
        <v>Blauw</v>
      </c>
      <c r="R356" s="206" t="s">
        <v>523</v>
      </c>
      <c r="S356" s="52" t="str">
        <f ca="1">IFERROR(__xludf.DUMMYFUNCTION("GOOGLETRANSLATE(R356, ""fr"", ""nl"")"),"100% Polyester")</f>
        <v>100% Polyester</v>
      </c>
      <c r="T356" s="53" t="s">
        <v>32</v>
      </c>
      <c r="U356" s="54" t="str">
        <f ca="1">IFERROR(__xludf.DUMMYFUNCTION("GOOGLETRANSLATE(T356, ""fr"", ""nl"")"),"Op 30 ° C max
Gebruik geen bleekmiddel
Gebruik geen van de droger
Strijken op gemiddelde temperatuur
Niet stomen")</f>
        <v>Op 30 ° C max
Gebruik geen bleekmiddel
Gebruik geen van de droger
Strijken op gemiddelde temperatuur
Niet stomen</v>
      </c>
      <c r="V356" s="62" t="s">
        <v>1082</v>
      </c>
      <c r="W356" s="56"/>
    </row>
    <row r="357" spans="1:23" ht="15.75" customHeight="1">
      <c r="A357" s="84" t="s">
        <v>1337</v>
      </c>
      <c r="B357" s="85"/>
      <c r="C357" s="67"/>
      <c r="D357" s="86"/>
      <c r="E357" s="67"/>
      <c r="F357" s="87"/>
      <c r="G357" s="87"/>
      <c r="H357" s="26"/>
      <c r="I357" s="26"/>
      <c r="J357" s="88" t="s">
        <v>677</v>
      </c>
      <c r="K357" s="89"/>
      <c r="L357" s="89"/>
      <c r="M357" s="48" t="str">
        <f ca="1">IFERROR(__xludf.DUMMYFUNCTION("googletranslate(L357, ""fr"", ""nl"")"),"#VALUE!")</f>
        <v>#VALUE!</v>
      </c>
      <c r="N357" s="125"/>
      <c r="O357" s="49" t="str">
        <f ca="1">IFERROR(__xludf.DUMMYFUNCTION("googletranslate(N357, ""fr"", ""nl"")"),"#VALUE!")</f>
        <v>#VALUE!</v>
      </c>
      <c r="P357" s="91"/>
      <c r="Q357" s="49" t="str">
        <f ca="1">IFERROR(__xludf.DUMMYFUNCTION("GOOGLETRANSLATE(P357, ""fr"", ""nl"")"),"#VALUE!")</f>
        <v>#VALUE!</v>
      </c>
      <c r="R357" s="212" t="s">
        <v>1338</v>
      </c>
      <c r="S357" s="52" t="str">
        <f ca="1">IFERROR(__xludf.DUMMYFUNCTION("GOOGLETRANSLATE(R357, ""fr"", ""nl"")"),"Spandex")</f>
        <v>Spandex</v>
      </c>
      <c r="T357" s="89"/>
      <c r="U357" s="54" t="str">
        <f ca="1">IFERROR(__xludf.DUMMYFUNCTION("GOOGLETRANSLATE(T357, ""fr"", ""nl"")"),"#VALUE!")</f>
        <v>#VALUE!</v>
      </c>
      <c r="V357" s="140"/>
      <c r="W357" s="38"/>
    </row>
    <row r="358" spans="1:23" ht="15.75" customHeight="1">
      <c r="A358" s="151" t="s">
        <v>1339</v>
      </c>
      <c r="B358" s="106">
        <v>36</v>
      </c>
      <c r="C358" s="104"/>
      <c r="D358" s="104"/>
      <c r="E358" s="152"/>
      <c r="F358" s="159" t="s">
        <v>1078</v>
      </c>
      <c r="G358" s="153" t="s">
        <v>1265</v>
      </c>
      <c r="H358" s="44" t="s">
        <v>602</v>
      </c>
      <c r="I358" s="45"/>
      <c r="J358" s="99" t="s">
        <v>1340</v>
      </c>
      <c r="K358" s="116"/>
      <c r="L358" s="116" t="s">
        <v>1341</v>
      </c>
      <c r="M358" s="48" t="str">
        <f ca="1">IFERROR(__xludf.DUMMYFUNCTION("googletranslate(L358, ""fr"", ""nl"")")," :
- Lange slim fit
- Smal gesneden en aangepast
- Hoog
- Ritssluiting
- 5-pocket-stijl
- Semi-stretch
- Jacron zwarte tape back riem")</f>
        <v xml:space="preserve"> :
- Lange slim fit
- Smal gesneden en aangepast
- Hoog
- Ritssluiting
- 5-pocket-stijl
- Semi-stretch
- Jacron zwarte tape back riem</v>
      </c>
      <c r="N358" s="58" t="s">
        <v>1342</v>
      </c>
      <c r="O358" s="49" t="str">
        <f ca="1">IFERROR(__xludf.DUMMYFUNCTION("googletranslate(N358, ""fr"", ""nl"")"),"Slim en licht elastisch materiaal maken deze heldere blauwe jeans een must voor je garderobe. Zo mooi als het is comfortabel!")</f>
        <v>Slim en licht elastisch materiaal maken deze heldere blauwe jeans een must voor je garderobe. Zo mooi als het is comfortabel!</v>
      </c>
      <c r="P358" s="103" t="s">
        <v>1065</v>
      </c>
      <c r="Q358" s="49" t="str">
        <f ca="1">IFERROR(__xludf.DUMMYFUNCTION("GOOGLETRANSLATE(P358, ""fr"", ""nl"")"),"Blauw")</f>
        <v>Blauw</v>
      </c>
      <c r="R358" s="213" t="s">
        <v>1343</v>
      </c>
      <c r="S358" s="52" t="str">
        <f ca="1">IFERROR(__xludf.DUMMYFUNCTION("GOOGLETRANSLATE(R358, ""fr"", ""nl"")"),"Katoen
Spandex")</f>
        <v>Katoen
Spandex</v>
      </c>
      <c r="T358" s="53" t="s">
        <v>32</v>
      </c>
      <c r="U358" s="54" t="str">
        <f ca="1">IFERROR(__xludf.DUMMYFUNCTION("GOOGLETRANSLATE(T358, ""fr"", ""nl"")"),"Op 30 ° C max
Gebruik geen bleekmiddel
Gebruik geen van de droger
Strijken op gemiddelde temperatuur
Niet stomen")</f>
        <v>Op 30 ° C max
Gebruik geen bleekmiddel
Gebruik geen van de droger
Strijken op gemiddelde temperatuur
Niet stomen</v>
      </c>
      <c r="V358" s="62" t="s">
        <v>1082</v>
      </c>
      <c r="W358" s="101"/>
    </row>
    <row r="359" spans="1:23" ht="15.75" customHeight="1">
      <c r="A359" s="151" t="s">
        <v>1344</v>
      </c>
      <c r="B359" s="106">
        <v>36</v>
      </c>
      <c r="C359" s="104"/>
      <c r="D359" s="104"/>
      <c r="E359" s="152"/>
      <c r="F359" s="159" t="s">
        <v>1078</v>
      </c>
      <c r="G359" s="153" t="s">
        <v>1265</v>
      </c>
      <c r="H359" s="44" t="s">
        <v>602</v>
      </c>
      <c r="I359" s="45"/>
      <c r="J359" s="99" t="s">
        <v>1345</v>
      </c>
      <c r="K359" s="116"/>
      <c r="L359" s="116" t="s">
        <v>1341</v>
      </c>
      <c r="M359" s="48" t="str">
        <f ca="1">IFERROR(__xludf.DUMMYFUNCTION("googletranslate(L359, ""fr"", ""nl"")")," :
- Lange slim fit
- Smal gesneden en aangepast
- Hoog
- Ritssluiting
- 5-pocket-stijl
- Semi-stretch
- Jacron zwarte tape back riem")</f>
        <v xml:space="preserve"> :
- Lange slim fit
- Smal gesneden en aangepast
- Hoog
- Ritssluiting
- 5-pocket-stijl
- Semi-stretch
- Jacron zwarte tape back riem</v>
      </c>
      <c r="N359" s="58" t="s">
        <v>1346</v>
      </c>
      <c r="O359" s="49" t="str">
        <f ca="1">IFERROR(__xludf.DUMMYFUNCTION("googletranslate(N359, ""fr"", ""nl"")"),"Slim en licht elastisch materiaal maken deze donkerblauwe jeans een must voor je garderobe. Zo mooi als het is comfortabel!")</f>
        <v>Slim en licht elastisch materiaal maken deze donkerblauwe jeans een must voor je garderobe. Zo mooi als het is comfortabel!</v>
      </c>
      <c r="P359" s="103" t="s">
        <v>1065</v>
      </c>
      <c r="Q359" s="49" t="str">
        <f ca="1">IFERROR(__xludf.DUMMYFUNCTION("GOOGLETRANSLATE(P359, ""fr"", ""nl"")"),"Blauw")</f>
        <v>Blauw</v>
      </c>
      <c r="R359" s="213" t="s">
        <v>1343</v>
      </c>
      <c r="S359" s="52" t="str">
        <f ca="1">IFERROR(__xludf.DUMMYFUNCTION("GOOGLETRANSLATE(R359, ""fr"", ""nl"")"),"Katoen
Spandex")</f>
        <v>Katoen
Spandex</v>
      </c>
      <c r="T359" s="53" t="s">
        <v>32</v>
      </c>
      <c r="U359" s="54" t="str">
        <f ca="1">IFERROR(__xludf.DUMMYFUNCTION("GOOGLETRANSLATE(T359, ""fr"", ""nl"")"),"Op 30 ° C max
Gebruik geen bleekmiddel
Gebruik geen van de droger
Strijken op gemiddelde temperatuur
Niet stomen")</f>
        <v>Op 30 ° C max
Gebruik geen bleekmiddel
Gebruik geen van de droger
Strijken op gemiddelde temperatuur
Niet stomen</v>
      </c>
      <c r="V359" s="62" t="s">
        <v>1082</v>
      </c>
      <c r="W359" s="101"/>
    </row>
    <row r="360" spans="1:23" ht="15.75" customHeight="1">
      <c r="A360" s="151" t="s">
        <v>1347</v>
      </c>
      <c r="B360" s="106">
        <v>36</v>
      </c>
      <c r="C360" s="104"/>
      <c r="D360" s="104"/>
      <c r="E360" s="152"/>
      <c r="F360" s="159" t="s">
        <v>1078</v>
      </c>
      <c r="G360" s="153" t="s">
        <v>1265</v>
      </c>
      <c r="H360" s="44" t="s">
        <v>602</v>
      </c>
      <c r="I360" s="45"/>
      <c r="J360" s="99" t="s">
        <v>1348</v>
      </c>
      <c r="K360" s="116"/>
      <c r="L360" s="116" t="s">
        <v>1349</v>
      </c>
      <c r="M360" s="48" t="str">
        <f ca="1">IFERROR(__xludf.DUMMYFUNCTION("googletranslate(L360, ""fr"", ""nl"")")," :
- Moeder was
- Vintage Cup met een vleiende hoge taille
- Conische de poten
- verwijderbare Ceiture
- Hoog
- Ritssluiting
- 5-pocket-stijl
- Semi-stretch
- Jacron zwarte tape back riem")</f>
        <v xml:space="preserve"> :
- Moeder was
- Vintage Cup met een vleiende hoge taille
- Conische de poten
- verwijderbare Ceiture
- Hoog
- Ritssluiting
- 5-pocket-stijl
- Semi-stretch
- Jacron zwarte tape back riem</v>
      </c>
      <c r="N360" s="58" t="s">
        <v>1350</v>
      </c>
      <c r="O360" s="49" t="str">
        <f ca="1">IFERROR(__xludf.DUMMYFUNCTION("googletranslate(N360, ""fr"", ""nl"")"),"Rechte snit en licht elastisch materiaal maken deze heldere blauwe jeans een must voor je garderobe. Zo mooi als het is comfortabel!")</f>
        <v>Rechte snit en licht elastisch materiaal maken deze heldere blauwe jeans een must voor je garderobe. Zo mooi als het is comfortabel!</v>
      </c>
      <c r="P360" s="103" t="s">
        <v>1065</v>
      </c>
      <c r="Q360" s="49" t="str">
        <f ca="1">IFERROR(__xludf.DUMMYFUNCTION("GOOGLETRANSLATE(P360, ""fr"", ""nl"")"),"Blauw")</f>
        <v>Blauw</v>
      </c>
      <c r="R360" s="213" t="s">
        <v>1343</v>
      </c>
      <c r="S360" s="52" t="str">
        <f ca="1">IFERROR(__xludf.DUMMYFUNCTION("GOOGLETRANSLATE(R360, ""fr"", ""nl"")"),"Katoen
Spandex")</f>
        <v>Katoen
Spandex</v>
      </c>
      <c r="T360" s="53" t="s">
        <v>32</v>
      </c>
      <c r="U360" s="54" t="str">
        <f ca="1">IFERROR(__xludf.DUMMYFUNCTION("GOOGLETRANSLATE(T360, ""fr"", ""nl"")"),"Op 30 ° C max
Gebruik geen bleekmiddel
Gebruik geen van de droger
Strijken op gemiddelde temperatuur
Niet stomen")</f>
        <v>Op 30 ° C max
Gebruik geen bleekmiddel
Gebruik geen van de droger
Strijken op gemiddelde temperatuur
Niet stomen</v>
      </c>
      <c r="V360" s="62" t="s">
        <v>1082</v>
      </c>
      <c r="W360" s="101"/>
    </row>
    <row r="361" spans="1:23" ht="15.75" customHeight="1">
      <c r="A361" s="151" t="s">
        <v>1351</v>
      </c>
      <c r="B361" s="106">
        <v>36</v>
      </c>
      <c r="C361" s="104"/>
      <c r="D361" s="104"/>
      <c r="E361" s="152"/>
      <c r="F361" s="159" t="s">
        <v>1078</v>
      </c>
      <c r="G361" s="153" t="s">
        <v>1265</v>
      </c>
      <c r="H361" s="44" t="s">
        <v>602</v>
      </c>
      <c r="I361" s="45"/>
      <c r="J361" s="99" t="s">
        <v>1352</v>
      </c>
      <c r="K361" s="116"/>
      <c r="L361" s="116" t="s">
        <v>1349</v>
      </c>
      <c r="M361" s="48" t="str">
        <f ca="1">IFERROR(__xludf.DUMMYFUNCTION("googletranslate(L361, ""fr"", ""nl"")")," :
- Moeder was
- Vintage Cup met een vleiende hoge taille
- Conische de poten
- verwijderbare Ceiture
- Hoog
- Ritssluiting
- 5-pocket-stijl
- Semi-stretch
- Jacron zwarte tape back riem")</f>
        <v xml:space="preserve"> :
- Moeder was
- Vintage Cup met een vleiende hoge taille
- Conische de poten
- verwijderbare Ceiture
- Hoog
- Ritssluiting
- 5-pocket-stijl
- Semi-stretch
- Jacron zwarte tape back riem</v>
      </c>
      <c r="N361" s="58" t="s">
        <v>1353</v>
      </c>
      <c r="O361" s="49" t="str">
        <f ca="1">IFERROR(__xludf.DUMMYFUNCTION("googletranslate(N361, ""fr"", ""nl"")"),"Rechte snit en licht elastische jeans maken dit een must voor je garderobe. Zo mooi als het is comfortabel!")</f>
        <v>Rechte snit en licht elastische jeans maken dit een must voor je garderobe. Zo mooi als het is comfortabel!</v>
      </c>
      <c r="P361" s="103" t="s">
        <v>1065</v>
      </c>
      <c r="Q361" s="49" t="str">
        <f ca="1">IFERROR(__xludf.DUMMYFUNCTION("GOOGLETRANSLATE(P361, ""fr"", ""nl"")"),"Blauw")</f>
        <v>Blauw</v>
      </c>
      <c r="R361" s="213" t="s">
        <v>1343</v>
      </c>
      <c r="S361" s="52" t="str">
        <f ca="1">IFERROR(__xludf.DUMMYFUNCTION("GOOGLETRANSLATE(R361, ""fr"", ""nl"")"),"Katoen
Spandex")</f>
        <v>Katoen
Spandex</v>
      </c>
      <c r="T361" s="53" t="s">
        <v>32</v>
      </c>
      <c r="U361" s="54" t="str">
        <f ca="1">IFERROR(__xludf.DUMMYFUNCTION("GOOGLETRANSLATE(T361, ""fr"", ""nl"")"),"Op 30 ° C max
Gebruik geen bleekmiddel
Gebruik geen van de droger
Strijken op gemiddelde temperatuur
Niet stomen")</f>
        <v>Op 30 ° C max
Gebruik geen bleekmiddel
Gebruik geen van de droger
Strijken op gemiddelde temperatuur
Niet stomen</v>
      </c>
      <c r="V361" s="62" t="s">
        <v>1082</v>
      </c>
      <c r="W361" s="101"/>
    </row>
    <row r="362" spans="1:23" ht="15.75" customHeight="1">
      <c r="A362" s="214" t="s">
        <v>1354</v>
      </c>
      <c r="B362" s="182">
        <v>36</v>
      </c>
      <c r="C362" s="104"/>
      <c r="D362" s="104"/>
      <c r="E362" s="152"/>
      <c r="F362" s="159" t="s">
        <v>1078</v>
      </c>
      <c r="G362" s="153" t="s">
        <v>1265</v>
      </c>
      <c r="H362" s="44" t="s">
        <v>602</v>
      </c>
      <c r="I362" s="45"/>
      <c r="J362" s="99" t="s">
        <v>1355</v>
      </c>
      <c r="K362" s="141"/>
      <c r="L362" s="141"/>
      <c r="M362" s="48" t="str">
        <f ca="1">IFERROR(__xludf.DUMMYFUNCTION("googletranslate(L362, ""fr"", ""nl"")"),"#VALUE!")</f>
        <v>#VALUE!</v>
      </c>
      <c r="N362" s="215"/>
      <c r="O362" s="49" t="str">
        <f ca="1">IFERROR(__xludf.DUMMYFUNCTION("googletranslate(N362, ""fr"", ""nl"")"),"#VALUE!")</f>
        <v>#VALUE!</v>
      </c>
      <c r="P362" s="216"/>
      <c r="Q362" s="49" t="str">
        <f ca="1">IFERROR(__xludf.DUMMYFUNCTION("GOOGLETRANSLATE(P362, ""fr"", ""nl"")"),"#VALUE!")</f>
        <v>#VALUE!</v>
      </c>
      <c r="R362" s="213" t="s">
        <v>1343</v>
      </c>
      <c r="S362" s="52" t="str">
        <f ca="1">IFERROR(__xludf.DUMMYFUNCTION("GOOGLETRANSLATE(R362, ""fr"", ""nl"")"),"Katoen
Spandex")</f>
        <v>Katoen
Spandex</v>
      </c>
      <c r="T362" s="53" t="s">
        <v>32</v>
      </c>
      <c r="U362" s="54" t="str">
        <f ca="1">IFERROR(__xludf.DUMMYFUNCTION("GOOGLETRANSLATE(T362, ""fr"", ""nl"")"),"Op 30 ° C max
Gebruik geen bleekmiddel
Gebruik geen van de droger
Strijken op gemiddelde temperatuur
Niet stomen")</f>
        <v>Op 30 ° C max
Gebruik geen bleekmiddel
Gebruik geen van de droger
Strijken op gemiddelde temperatuur
Niet stomen</v>
      </c>
      <c r="V362" s="62" t="s">
        <v>1082</v>
      </c>
      <c r="W362" s="101"/>
    </row>
    <row r="363" spans="1:23" ht="15.75" customHeight="1">
      <c r="A363" s="84" t="s">
        <v>1356</v>
      </c>
      <c r="B363" s="85"/>
      <c r="C363" s="67"/>
      <c r="D363" s="86"/>
      <c r="E363" s="67"/>
      <c r="F363" s="87"/>
      <c r="G363" s="87"/>
      <c r="H363" s="87"/>
      <c r="I363" s="26"/>
      <c r="J363" s="88"/>
      <c r="K363" s="89"/>
      <c r="L363" s="89"/>
      <c r="M363" s="48" t="str">
        <f ca="1">IFERROR(__xludf.DUMMYFUNCTION("googletranslate(L363, ""fr"", ""nl"")"),"#VALUE!")</f>
        <v>#VALUE!</v>
      </c>
      <c r="N363" s="125"/>
      <c r="O363" s="49" t="str">
        <f ca="1">IFERROR(__xludf.DUMMYFUNCTION("googletranslate(N363, ""fr"", ""nl"")"),"#VALUE!")</f>
        <v>#VALUE!</v>
      </c>
      <c r="P363" s="91"/>
      <c r="Q363" s="49" t="str">
        <f ca="1">IFERROR(__xludf.DUMMYFUNCTION("GOOGLETRANSLATE(P363, ""fr"", ""nl"")"),"#VALUE!")</f>
        <v>#VALUE!</v>
      </c>
      <c r="R363" s="92"/>
      <c r="S363" s="52" t="str">
        <f ca="1">IFERROR(__xludf.DUMMYFUNCTION("GOOGLETRANSLATE(R363, ""fr"", ""nl"")"),"#VALUE!")</f>
        <v>#VALUE!</v>
      </c>
      <c r="T363" s="89"/>
      <c r="U363" s="54" t="str">
        <f ca="1">IFERROR(__xludf.DUMMYFUNCTION("GOOGLETRANSLATE(T363, ""fr"", ""nl"")"),"#VALUE!")</f>
        <v>#VALUE!</v>
      </c>
      <c r="V363" s="140"/>
      <c r="W363" s="38"/>
    </row>
    <row r="364" spans="1:23" ht="15.75" customHeight="1">
      <c r="A364" s="217" t="s">
        <v>1357</v>
      </c>
      <c r="B364" s="40">
        <v>40</v>
      </c>
      <c r="C364" s="218"/>
      <c r="D364" s="218"/>
      <c r="E364" s="98"/>
      <c r="F364" s="219" t="s">
        <v>1078</v>
      </c>
      <c r="G364" s="219" t="s">
        <v>1358</v>
      </c>
      <c r="H364" s="44" t="s">
        <v>1359</v>
      </c>
      <c r="I364" s="45"/>
      <c r="J364" s="98" t="s">
        <v>1360</v>
      </c>
      <c r="K364" s="178"/>
      <c r="L364" s="178" t="s">
        <v>1361</v>
      </c>
      <c r="M364" s="48" t="str">
        <f ca="1">IFERROR(__xludf.DUMMYFUNCTION("googletranslate(L364, ""fr"", ""nl"")")," :
- Lange Combinatie
- Korte mouwen
- Afneembare belt
- V-hals
- rits opening in de rug
- Gedrukte fabriek")</f>
        <v xml:space="preserve"> :
- Lange Combinatie
- Korte mouwen
- Afneembare belt
- V-hals
- rits opening in de rug
- Gedrukte fabriek</v>
      </c>
      <c r="N364" s="76" t="s">
        <v>1362</v>
      </c>
      <c r="O364" s="49" t="str">
        <f ca="1">IFERROR(__xludf.DUMMYFUNCTION("googletranslate(N364, ""fr"", ""nl"")"),"De perfecte combinatie? Het is deze! Zowel de klas en modern, deze zwarte jumpsuit met bedrukte groente kaki en roze is uw beste bondgenoot voor een look die opvalt. Om te dragen zonder matiging deze zomer als verfijnde versie met hakken en blazer in koel"&amp;"e manier met witte sneakers.")</f>
        <v>De perfecte combinatie? Het is deze! Zowel de klas en modern, deze zwarte jumpsuit met bedrukte groente kaki en roze is uw beste bondgenoot voor een look die opvalt. Om te dragen zonder matiging deze zomer als verfijnde versie met hakken en blazer in koele manier met witte sneakers.</v>
      </c>
      <c r="P364" s="100" t="s">
        <v>1186</v>
      </c>
      <c r="Q364" s="49" t="str">
        <f ca="1">IFERROR(__xludf.DUMMYFUNCTION("GOOGLETRANSLATE(P364, ""fr"", ""nl"")"),"zwart")</f>
        <v>zwart</v>
      </c>
      <c r="R364" s="220" t="s">
        <v>523</v>
      </c>
      <c r="S364" s="52" t="str">
        <f ca="1">IFERROR(__xludf.DUMMYFUNCTION("GOOGLETRANSLATE(R364, ""fr"", ""nl"")"),"100% Polyester")</f>
        <v>100% Polyester</v>
      </c>
      <c r="T364" s="53" t="s">
        <v>32</v>
      </c>
      <c r="U364" s="54" t="str">
        <f ca="1">IFERROR(__xludf.DUMMYFUNCTION("GOOGLETRANSLATE(T364, ""fr"", ""nl"")"),"Op 30 ° C max
Gebruik geen bleekmiddel
Gebruik geen van de droger
Strijken op gemiddelde temperatuur
Niet stomen")</f>
        <v>Op 30 ° C max
Gebruik geen bleekmiddel
Gebruik geen van de droger
Strijken op gemiddelde temperatuur
Niet stomen</v>
      </c>
      <c r="V364" s="62" t="s">
        <v>1082</v>
      </c>
      <c r="W364" s="101"/>
    </row>
    <row r="365" spans="1:23" ht="15.75" customHeight="1">
      <c r="A365" s="221" t="s">
        <v>1363</v>
      </c>
      <c r="B365" s="40">
        <v>40</v>
      </c>
      <c r="C365" s="218"/>
      <c r="D365" s="218"/>
      <c r="E365" s="98"/>
      <c r="F365" s="219" t="s">
        <v>1078</v>
      </c>
      <c r="G365" s="219" t="s">
        <v>1358</v>
      </c>
      <c r="H365" s="44" t="s">
        <v>1364</v>
      </c>
      <c r="I365" s="45"/>
      <c r="J365" s="98" t="s">
        <v>1365</v>
      </c>
      <c r="K365" s="222"/>
      <c r="L365" s="222" t="s">
        <v>1366</v>
      </c>
      <c r="M365" s="48" t="str">
        <f ca="1">IFERROR(__xludf.DUMMYFUNCTION("googletranslate(L365, ""fr"", ""nl"")")," :
- korte Combinaise
- Korte mouwen
- kraag
- Zakken op de borst
- Ritssluiting
- randen en zomen gestikt
- Afneembare belt
 ")</f>
        <v xml:space="preserve"> :
- korte Combinaise
- Korte mouwen
- kraag
- Zakken op de borst
- Ritssluiting
- randen en zomen gestikt
- Afneembare belt
 </v>
      </c>
      <c r="N365" s="76" t="s">
        <v>1367</v>
      </c>
      <c r="O365" s="49" t="str">
        <f ca="1">IFERROR(__xludf.DUMMYFUNCTION("googletranslate(N365, ""fr"", ""nl"")"),"Deze marineblauwe jumpsuit begeleidt u dit jaar! Soms bereik en meer geavanceerde versie, soms in een nogal casual look, het past zich aan uw stijl en je hoogtepunten in alle omstandigheden.")</f>
        <v>Deze marineblauwe jumpsuit begeleidt u dit jaar! Soms bereik en meer geavanceerde versie, soms in een nogal casual look, het past zich aan uw stijl en je hoogtepunten in alle omstandigheden.</v>
      </c>
      <c r="P365" s="223" t="s">
        <v>1065</v>
      </c>
      <c r="Q365" s="49" t="str">
        <f ca="1">IFERROR(__xludf.DUMMYFUNCTION("GOOGLETRANSLATE(P365, ""fr"", ""nl"")"),"Blauw")</f>
        <v>Blauw</v>
      </c>
      <c r="R365" s="224" t="s">
        <v>31</v>
      </c>
      <c r="S365" s="52" t="str">
        <f ca="1">IFERROR(__xludf.DUMMYFUNCTION("GOOGLETRANSLATE(R365, ""fr"", ""nl"")"),"100% katoen")</f>
        <v>100% katoen</v>
      </c>
      <c r="T365" s="53" t="s">
        <v>32</v>
      </c>
      <c r="U365" s="54" t="str">
        <f ca="1">IFERROR(__xludf.DUMMYFUNCTION("GOOGLETRANSLATE(T365, ""fr"", ""nl"")"),"Op 30 ° C max
Gebruik geen bleekmiddel
Gebruik geen van de droger
Strijken op gemiddelde temperatuur
Niet stomen")</f>
        <v>Op 30 ° C max
Gebruik geen bleekmiddel
Gebruik geen van de droger
Strijken op gemiddelde temperatuur
Niet stomen</v>
      </c>
      <c r="V365" s="62" t="s">
        <v>1082</v>
      </c>
      <c r="W365" s="101"/>
    </row>
    <row r="366" spans="1:23" ht="15.75" customHeight="1">
      <c r="A366" s="84" t="s">
        <v>1368</v>
      </c>
      <c r="B366" s="85"/>
      <c r="C366" s="67"/>
      <c r="D366" s="86"/>
      <c r="E366" s="67"/>
      <c r="F366" s="87"/>
      <c r="G366" s="87"/>
      <c r="H366" s="87"/>
      <c r="I366" s="26"/>
      <c r="J366" s="88" t="s">
        <v>677</v>
      </c>
      <c r="K366" s="89"/>
      <c r="L366" s="89"/>
      <c r="M366" s="48" t="str">
        <f ca="1">IFERROR(__xludf.DUMMYFUNCTION("googletranslate(L366, ""fr"", ""nl"")"),"#VALUE!")</f>
        <v>#VALUE!</v>
      </c>
      <c r="N366" s="125"/>
      <c r="O366" s="49" t="str">
        <f ca="1">IFERROR(__xludf.DUMMYFUNCTION("googletranslate(N366, ""fr"", ""nl"")"),"#VALUE!")</f>
        <v>#VALUE!</v>
      </c>
      <c r="P366" s="91"/>
      <c r="Q366" s="49" t="str">
        <f ca="1">IFERROR(__xludf.DUMMYFUNCTION("GOOGLETRANSLATE(P366, ""fr"", ""nl"")"),"#VALUE!")</f>
        <v>#VALUE!</v>
      </c>
      <c r="R366" s="92"/>
      <c r="S366" s="52" t="str">
        <f ca="1">IFERROR(__xludf.DUMMYFUNCTION("GOOGLETRANSLATE(R366, ""fr"", ""nl"")"),"#VALUE!")</f>
        <v>#VALUE!</v>
      </c>
      <c r="T366" s="89"/>
      <c r="U366" s="54" t="str">
        <f ca="1">IFERROR(__xludf.DUMMYFUNCTION("GOOGLETRANSLATE(T366, ""fr"", ""nl"")"),"#VALUE!")</f>
        <v>#VALUE!</v>
      </c>
      <c r="V366" s="140"/>
      <c r="W366" s="38"/>
    </row>
    <row r="367" spans="1:23" ht="15.75" customHeight="1">
      <c r="A367" s="225" t="s">
        <v>1369</v>
      </c>
      <c r="B367" s="40">
        <v>12</v>
      </c>
      <c r="C367" s="153"/>
      <c r="D367" s="218"/>
      <c r="E367" s="98"/>
      <c r="F367" s="219" t="s">
        <v>1078</v>
      </c>
      <c r="G367" s="219" t="s">
        <v>1370</v>
      </c>
      <c r="H367" s="44" t="s">
        <v>1371</v>
      </c>
      <c r="I367" s="45"/>
      <c r="J367" s="98" t="s">
        <v>1372</v>
      </c>
      <c r="K367" s="98"/>
      <c r="L367" s="98"/>
      <c r="M367" s="48" t="str">
        <f ca="1">IFERROR(__xludf.DUMMYFUNCTION("googletranslate(L367, ""fr"", ""nl"")"),"#VALUE!")</f>
        <v>#VALUE!</v>
      </c>
      <c r="N367" s="168"/>
      <c r="O367" s="49" t="str">
        <f ca="1">IFERROR(__xludf.DUMMYFUNCTION("googletranslate(N367, ""fr"", ""nl"")"),"#VALUE!")</f>
        <v>#VALUE!</v>
      </c>
      <c r="P367" s="169"/>
      <c r="Q367" s="49" t="str">
        <f ca="1">IFERROR(__xludf.DUMMYFUNCTION("GOOGLETRANSLATE(P367, ""fr"", ""nl"")"),"#VALUE!")</f>
        <v>#VALUE!</v>
      </c>
      <c r="R367" s="226"/>
      <c r="S367" s="52" t="str">
        <f ca="1">IFERROR(__xludf.DUMMYFUNCTION("GOOGLETRANSLATE(R367, ""fr"", ""nl"")"),"#VALUE!")</f>
        <v>#VALUE!</v>
      </c>
      <c r="T367" s="53" t="s">
        <v>32</v>
      </c>
      <c r="U367" s="54" t="str">
        <f ca="1">IFERROR(__xludf.DUMMYFUNCTION("GOOGLETRANSLATE(T367, ""fr"", ""nl"")"),"Op 30 ° C max
Gebruik geen bleekmiddel
Gebruik geen van de droger
Strijken op gemiddelde temperatuur
Niet stomen")</f>
        <v>Op 30 ° C max
Gebruik geen bleekmiddel
Gebruik geen van de droger
Strijken op gemiddelde temperatuur
Niet stomen</v>
      </c>
      <c r="V367" s="62" t="s">
        <v>1082</v>
      </c>
      <c r="W367" s="101"/>
    </row>
    <row r="368" spans="1:23" ht="15.75" customHeight="1">
      <c r="A368" s="227" t="s">
        <v>1373</v>
      </c>
      <c r="B368" s="40">
        <v>12</v>
      </c>
      <c r="C368" s="153"/>
      <c r="D368" s="218"/>
      <c r="E368" s="98"/>
      <c r="F368" s="219" t="s">
        <v>1078</v>
      </c>
      <c r="G368" s="219" t="s">
        <v>1370</v>
      </c>
      <c r="H368" s="44" t="s">
        <v>1374</v>
      </c>
      <c r="I368" s="45"/>
      <c r="J368" s="98" t="s">
        <v>1375</v>
      </c>
      <c r="K368" s="98"/>
      <c r="L368" s="98"/>
      <c r="M368" s="48" t="str">
        <f ca="1">IFERROR(__xludf.DUMMYFUNCTION("googletranslate(L368, ""fr"", ""nl"")"),"#VALUE!")</f>
        <v>#VALUE!</v>
      </c>
      <c r="N368" s="168"/>
      <c r="O368" s="49" t="str">
        <f ca="1">IFERROR(__xludf.DUMMYFUNCTION("googletranslate(N368, ""fr"", ""nl"")"),"#VALUE!")</f>
        <v>#VALUE!</v>
      </c>
      <c r="P368" s="169"/>
      <c r="Q368" s="49" t="str">
        <f ca="1">IFERROR(__xludf.DUMMYFUNCTION("GOOGLETRANSLATE(P368, ""fr"", ""nl"")"),"#VALUE!")</f>
        <v>#VALUE!</v>
      </c>
      <c r="R368" s="226"/>
      <c r="S368" s="52" t="str">
        <f ca="1">IFERROR(__xludf.DUMMYFUNCTION("GOOGLETRANSLATE(R368, ""fr"", ""nl"")"),"#VALUE!")</f>
        <v>#VALUE!</v>
      </c>
      <c r="T368" s="53" t="s">
        <v>32</v>
      </c>
      <c r="U368" s="54" t="str">
        <f ca="1">IFERROR(__xludf.DUMMYFUNCTION("GOOGLETRANSLATE(T368, ""fr"", ""nl"")"),"Op 30 ° C max
Gebruik geen bleekmiddel
Gebruik geen van de droger
Strijken op gemiddelde temperatuur
Niet stomen")</f>
        <v>Op 30 ° C max
Gebruik geen bleekmiddel
Gebruik geen van de droger
Strijken op gemiddelde temperatuur
Niet stomen</v>
      </c>
      <c r="V368" s="62" t="s">
        <v>1082</v>
      </c>
      <c r="W368" s="101"/>
    </row>
    <row r="369" spans="1:23" ht="15.75" customHeight="1">
      <c r="A369" s="84" t="s">
        <v>676</v>
      </c>
      <c r="B369" s="85"/>
      <c r="C369" s="67"/>
      <c r="D369" s="86"/>
      <c r="E369" s="67"/>
      <c r="F369" s="87"/>
      <c r="G369" s="87"/>
      <c r="H369" s="87"/>
      <c r="I369" s="26"/>
      <c r="J369" s="88" t="s">
        <v>677</v>
      </c>
      <c r="K369" s="89"/>
      <c r="L369" s="89"/>
      <c r="M369" s="48" t="str">
        <f ca="1">IFERROR(__xludf.DUMMYFUNCTION("googletranslate(L369, ""fr"", ""nl"")"),"#VALUE!")</f>
        <v>#VALUE!</v>
      </c>
      <c r="N369" s="125"/>
      <c r="O369" s="49" t="str">
        <f ca="1">IFERROR(__xludf.DUMMYFUNCTION("googletranslate(N369, ""fr"", ""nl"")"),"#VALUE!")</f>
        <v>#VALUE!</v>
      </c>
      <c r="P369" s="91"/>
      <c r="Q369" s="49" t="str">
        <f ca="1">IFERROR(__xludf.DUMMYFUNCTION("GOOGLETRANSLATE(P369, ""fr"", ""nl"")"),"#VALUE!")</f>
        <v>#VALUE!</v>
      </c>
      <c r="R369" s="92"/>
      <c r="S369" s="52" t="str">
        <f ca="1">IFERROR(__xludf.DUMMYFUNCTION("GOOGLETRANSLATE(R369, ""fr"", ""nl"")"),"#VALUE!")</f>
        <v>#VALUE!</v>
      </c>
      <c r="T369" s="89"/>
      <c r="U369" s="54" t="str">
        <f ca="1">IFERROR(__xludf.DUMMYFUNCTION("GOOGLETRANSLATE(T369, ""fr"", ""nl"")"),"#VALUE!")</f>
        <v>#VALUE!</v>
      </c>
      <c r="V369" s="140"/>
      <c r="W369" s="38"/>
    </row>
    <row r="370" spans="1:23" ht="15.75" customHeight="1">
      <c r="A370" s="108" t="s">
        <v>1376</v>
      </c>
      <c r="B370" s="179">
        <v>12</v>
      </c>
      <c r="C370" s="153"/>
      <c r="D370" s="218"/>
      <c r="E370" s="98"/>
      <c r="F370" s="219" t="s">
        <v>1078</v>
      </c>
      <c r="G370" s="219" t="s">
        <v>1377</v>
      </c>
      <c r="H370" s="44" t="s">
        <v>1378</v>
      </c>
      <c r="I370" s="45"/>
      <c r="J370" s="98" t="s">
        <v>1379</v>
      </c>
      <c r="K370" s="99"/>
      <c r="L370" s="124" t="s">
        <v>700</v>
      </c>
      <c r="M370" s="48" t="str">
        <f ca="1">IFERROR(__xludf.DUMMYFUNCTION("googletranslate(L370,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370" s="76" t="s">
        <v>1380</v>
      </c>
      <c r="O370" s="49" t="str">
        <f ca="1">IFERROR(__xludf.DUMMYFUNCTION("googletranslate(N370, ""fr"", ""nl"")"),"Deze roze cap is zeer comfortabel om te dragen. Zijn vizier beschermt je ogen tegen de zon, en zijn ventilatiegaten zijn handig voor u om te dragen in de zomer als de rest van het jaar.
Het belangrijkste: het uw look met stijl voltooit!")</f>
        <v>Deze roze cap is zeer comfortabel om te dragen. Zijn vizier beschermt je ogen tegen de zon, en zijn ventilatiegaten zijn handig voor u om te dragen in de zomer als de rest van het jaar.
Het belangrijkste: het uw look met stijl voltooit!</v>
      </c>
      <c r="P370" s="100" t="s">
        <v>61</v>
      </c>
      <c r="Q370" s="49" t="str">
        <f ca="1">IFERROR(__xludf.DUMMYFUNCTION("GOOGLETRANSLATE(P370, ""fr"", ""nl"")"),"roze")</f>
        <v>roze</v>
      </c>
      <c r="R370" s="123" t="s">
        <v>31</v>
      </c>
      <c r="S370" s="52" t="str">
        <f ca="1">IFERROR(__xludf.DUMMYFUNCTION("GOOGLETRANSLATE(R370, ""fr"", ""nl"")"),"100% katoen")</f>
        <v>100% katoen</v>
      </c>
      <c r="T370" s="53" t="s">
        <v>32</v>
      </c>
      <c r="U370" s="54" t="str">
        <f ca="1">IFERROR(__xludf.DUMMYFUNCTION("GOOGLETRANSLATE(T370, ""fr"", ""nl"")"),"Op 30 ° C max
Gebruik geen bleekmiddel
Gebruik geen van de droger
Strijken op gemiddelde temperatuur
Niet stomen")</f>
        <v>Op 30 ° C max
Gebruik geen bleekmiddel
Gebruik geen van de droger
Strijken op gemiddelde temperatuur
Niet stomen</v>
      </c>
      <c r="V370" s="62" t="s">
        <v>1082</v>
      </c>
      <c r="W370" s="101"/>
    </row>
    <row r="371" spans="1:23" ht="15.75" customHeight="1">
      <c r="A371" s="126" t="s">
        <v>1381</v>
      </c>
      <c r="B371" s="126"/>
      <c r="C371" s="126"/>
      <c r="D371" s="127"/>
      <c r="E371" s="16"/>
      <c r="F371" s="128"/>
      <c r="G371" s="128"/>
      <c r="H371" s="128"/>
      <c r="I371" s="128"/>
      <c r="J371" s="129"/>
      <c r="K371" s="129"/>
      <c r="L371" s="129"/>
      <c r="M371" s="48" t="str">
        <f ca="1">IFERROR(__xludf.DUMMYFUNCTION("googletranslate(L371, ""fr"", ""nl"")"),"#VALUE!")</f>
        <v>#VALUE!</v>
      </c>
      <c r="N371" s="130"/>
      <c r="O371" s="49" t="str">
        <f ca="1">IFERROR(__xludf.DUMMYFUNCTION("googletranslate(N371, ""fr"", ""nl"")"),"#VALUE!")</f>
        <v>#VALUE!</v>
      </c>
      <c r="P371" s="131"/>
      <c r="Q371" s="49" t="str">
        <f ca="1">IFERROR(__xludf.DUMMYFUNCTION("GOOGLETRANSLATE(P371, ""fr"", ""nl"")"),"#VALUE!")</f>
        <v>#VALUE!</v>
      </c>
      <c r="R371" s="132"/>
      <c r="S371" s="52" t="str">
        <f ca="1">IFERROR(__xludf.DUMMYFUNCTION("GOOGLETRANSLATE(R371, ""fr"", ""nl"")"),"#VALUE!")</f>
        <v>#VALUE!</v>
      </c>
      <c r="T371" s="133"/>
      <c r="U371" s="54" t="str">
        <f ca="1">IFERROR(__xludf.DUMMYFUNCTION("GOOGLETRANSLATE(T371, ""fr"", ""nl"")"),"#VALUE!")</f>
        <v>#VALUE!</v>
      </c>
      <c r="V371" s="18"/>
      <c r="W371" s="134"/>
    </row>
    <row r="372" spans="1:23" ht="15.75" customHeight="1">
      <c r="A372" s="21" t="s">
        <v>755</v>
      </c>
      <c r="B372" s="64"/>
      <c r="C372" s="65"/>
      <c r="D372" s="66"/>
      <c r="E372" s="67"/>
      <c r="F372" s="26"/>
      <c r="G372" s="26"/>
      <c r="H372" s="26"/>
      <c r="I372" s="26"/>
      <c r="J372" s="68"/>
      <c r="K372" s="69"/>
      <c r="L372" s="69"/>
      <c r="M372" s="48" t="str">
        <f ca="1">IFERROR(__xludf.DUMMYFUNCTION("googletranslate(L372, ""fr"", ""nl"")"),"#VALUE!")</f>
        <v>#VALUE!</v>
      </c>
      <c r="N372" s="135"/>
      <c r="O372" s="49" t="str">
        <f ca="1">IFERROR(__xludf.DUMMYFUNCTION("googletranslate(N372, ""fr"", ""nl"")"),"#VALUE!")</f>
        <v>#VALUE!</v>
      </c>
      <c r="P372" s="71"/>
      <c r="Q372" s="49" t="str">
        <f ca="1">IFERROR(__xludf.DUMMYFUNCTION("GOOGLETRANSLATE(P372, ""fr"", ""nl"")"),"#VALUE!")</f>
        <v>#VALUE!</v>
      </c>
      <c r="R372" s="72"/>
      <c r="S372" s="52" t="str">
        <f ca="1">IFERROR(__xludf.DUMMYFUNCTION("GOOGLETRANSLATE(R372, ""fr"", ""nl"")"),"#VALUE!")</f>
        <v>#VALUE!</v>
      </c>
      <c r="T372" s="69"/>
      <c r="U372" s="54" t="str">
        <f ca="1">IFERROR(__xludf.DUMMYFUNCTION("GOOGLETRANSLATE(T372, ""fr"", ""nl"")"),"#VALUE!")</f>
        <v>#VALUE!</v>
      </c>
      <c r="V372" s="37"/>
      <c r="W372" s="38"/>
    </row>
    <row r="373" spans="1:23" ht="15.75" customHeight="1">
      <c r="A373" s="211" t="s">
        <v>1382</v>
      </c>
      <c r="B373" s="93">
        <v>16</v>
      </c>
      <c r="C373" s="136"/>
      <c r="D373" s="136"/>
      <c r="E373" s="98"/>
      <c r="F373" s="219" t="s">
        <v>1383</v>
      </c>
      <c r="G373" s="219" t="s">
        <v>1384</v>
      </c>
      <c r="H373" s="44" t="s">
        <v>1087</v>
      </c>
      <c r="I373" s="45"/>
      <c r="J373" s="98" t="s">
        <v>1385</v>
      </c>
      <c r="K373" s="99"/>
      <c r="L373" s="99" t="s">
        <v>1386</v>
      </c>
      <c r="M373" s="48" t="str">
        <f ca="1">IFERROR(__xludf.DUMMYFUNCTION("googletranslate(L373, ""fr"", ""nl"")")," :
- Rechte snede
- geribbelde col
- Tape de kraag
- knoopsluiting met drie knoppen
- Korte mouwen
- Bottom geribde mouwen
- Gedrukte roze glittery getextureerde palm lichtjes aan de voorzijde
- Node vastklemmen in de lage
- Metal Badge J &amp; JOY in de bode"&amp;"m
")</f>
        <v xml:space="preserve"> :
- Rechte snede
- geribbelde col
- Tape de kraag
- knoopsluiting met drie knoppen
- Korte mouwen
- Bottom geribde mouwen
- Gedrukte roze glittery getextureerde palm lichtjes aan de voorzijde
- Node vastklemmen in de lage
- Metal Badge J &amp; JOY in de bodem
</v>
      </c>
      <c r="N373" s="58" t="s">
        <v>1387</v>
      </c>
      <c r="O373" s="49" t="str">
        <f ca="1">IFERROR(__xludf.DUMMYFUNCTION("googletranslate(N373, ""fr"", ""nl"")"),"De palmen van het strand in Byron Bay nodigen dit roze polo. Met zijn knooppunt, zijn redenen en zure kleur, deze polo is de perfecte stuk om een ​​frisse lente / zomerseizoen te genieten.")</f>
        <v>De palmen van het strand in Byron Bay nodigen dit roze polo. Met zijn knooppunt, zijn redenen en zure kleur, deze polo is de perfecte stuk om een ​​frisse lente / zomerseizoen te genieten.</v>
      </c>
      <c r="P373" s="100" t="s">
        <v>61</v>
      </c>
      <c r="Q373" s="49" t="str">
        <f ca="1">IFERROR(__xludf.DUMMYFUNCTION("GOOGLETRANSLATE(P373, ""fr"", ""nl"")"),"roze")</f>
        <v>roze</v>
      </c>
      <c r="R373" s="175" t="s">
        <v>31</v>
      </c>
      <c r="S373" s="52" t="str">
        <f ca="1">IFERROR(__xludf.DUMMYFUNCTION("GOOGLETRANSLATE(R373, ""fr"", ""nl"")"),"100% katoen")</f>
        <v>100% katoen</v>
      </c>
      <c r="T373" s="53" t="s">
        <v>32</v>
      </c>
      <c r="U373" s="54" t="str">
        <f ca="1">IFERROR(__xludf.DUMMYFUNCTION("GOOGLETRANSLATE(T373, ""fr"", ""nl"")"),"Op 30 ° C max
Gebruik geen bleekmiddel
Gebruik geen van de droger
Strijken op gemiddelde temperatuur
Niet stomen")</f>
        <v>Op 30 ° C max
Gebruik geen bleekmiddel
Gebruik geen van de droger
Strijken op gemiddelde temperatuur
Niet stomen</v>
      </c>
      <c r="V373" s="62" t="s">
        <v>1388</v>
      </c>
      <c r="W373" s="101"/>
    </row>
    <row r="374" spans="1:23" ht="15.75" customHeight="1">
      <c r="A374" s="164" t="s">
        <v>1389</v>
      </c>
      <c r="B374" s="93">
        <v>16</v>
      </c>
      <c r="C374" s="136"/>
      <c r="D374" s="136"/>
      <c r="E374" s="98"/>
      <c r="F374" s="219" t="s">
        <v>1383</v>
      </c>
      <c r="G374" s="219" t="s">
        <v>1384</v>
      </c>
      <c r="H374" s="44" t="s">
        <v>1080</v>
      </c>
      <c r="I374" s="45"/>
      <c r="J374" s="98" t="s">
        <v>1390</v>
      </c>
      <c r="K374" s="98"/>
      <c r="L374" s="98"/>
      <c r="M374" s="48" t="str">
        <f ca="1">IFERROR(__xludf.DUMMYFUNCTION("googletranslate(L374, ""fr"", ""nl"")"),"#VALUE!")</f>
        <v>#VALUE!</v>
      </c>
      <c r="N374" s="168"/>
      <c r="O374" s="49" t="str">
        <f ca="1">IFERROR(__xludf.DUMMYFUNCTION("googletranslate(N374, ""fr"", ""nl"")"),"#VALUE!")</f>
        <v>#VALUE!</v>
      </c>
      <c r="P374" s="169"/>
      <c r="Q374" s="49" t="str">
        <f ca="1">IFERROR(__xludf.DUMMYFUNCTION("GOOGLETRANSLATE(P374, ""fr"", ""nl"")"),"#VALUE!")</f>
        <v>#VALUE!</v>
      </c>
      <c r="R374" s="228"/>
      <c r="S374" s="52" t="str">
        <f ca="1">IFERROR(__xludf.DUMMYFUNCTION("GOOGLETRANSLATE(R374, ""fr"", ""nl"")"),"#VALUE!")</f>
        <v>#VALUE!</v>
      </c>
      <c r="T374" s="53" t="s">
        <v>32</v>
      </c>
      <c r="U374" s="54" t="str">
        <f ca="1">IFERROR(__xludf.DUMMYFUNCTION("GOOGLETRANSLATE(T374, ""fr"", ""nl"")"),"Op 30 ° C max
Gebruik geen bleekmiddel
Gebruik geen van de droger
Strijken op gemiddelde temperatuur
Niet stomen")</f>
        <v>Op 30 ° C max
Gebruik geen bleekmiddel
Gebruik geen van de droger
Strijken op gemiddelde temperatuur
Niet stomen</v>
      </c>
      <c r="V374" s="62" t="s">
        <v>1388</v>
      </c>
      <c r="W374" s="101"/>
    </row>
    <row r="375" spans="1:23" ht="15.75" customHeight="1">
      <c r="A375" s="84" t="s">
        <v>199</v>
      </c>
      <c r="B375" s="85"/>
      <c r="C375" s="67"/>
      <c r="D375" s="67"/>
      <c r="E375" s="67"/>
      <c r="F375" s="87"/>
      <c r="G375" s="87"/>
      <c r="H375" s="87"/>
      <c r="I375" s="26"/>
      <c r="J375" s="88" t="s">
        <v>677</v>
      </c>
      <c r="K375" s="89"/>
      <c r="L375" s="89"/>
      <c r="M375" s="48" t="str">
        <f ca="1">IFERROR(__xludf.DUMMYFUNCTION("googletranslate(L375, ""fr"", ""nl"")"),"#VALUE!")</f>
        <v>#VALUE!</v>
      </c>
      <c r="N375" s="125"/>
      <c r="O375" s="49" t="str">
        <f ca="1">IFERROR(__xludf.DUMMYFUNCTION("googletranslate(N375, ""fr"", ""nl"")"),"#VALUE!")</f>
        <v>#VALUE!</v>
      </c>
      <c r="P375" s="91"/>
      <c r="Q375" s="49" t="str">
        <f ca="1">IFERROR(__xludf.DUMMYFUNCTION("GOOGLETRANSLATE(P375, ""fr"", ""nl"")"),"#VALUE!")</f>
        <v>#VALUE!</v>
      </c>
      <c r="R375" s="92"/>
      <c r="S375" s="52" t="str">
        <f ca="1">IFERROR(__xludf.DUMMYFUNCTION("GOOGLETRANSLATE(R375, ""fr"", ""nl"")"),"#VALUE!")</f>
        <v>#VALUE!</v>
      </c>
      <c r="T375" s="69"/>
      <c r="U375" s="54" t="str">
        <f ca="1">IFERROR(__xludf.DUMMYFUNCTION("GOOGLETRANSLATE(T375, ""fr"", ""nl"")"),"#VALUE!")</f>
        <v>#VALUE!</v>
      </c>
      <c r="V375" s="140"/>
      <c r="W375" s="38"/>
    </row>
    <row r="376" spans="1:23" ht="15.75" customHeight="1">
      <c r="A376" s="180" t="s">
        <v>1391</v>
      </c>
      <c r="B376" s="93">
        <v>14</v>
      </c>
      <c r="C376" s="136"/>
      <c r="D376" s="136"/>
      <c r="E376" s="46"/>
      <c r="F376" s="170" t="s">
        <v>1383</v>
      </c>
      <c r="G376" s="170" t="s">
        <v>1392</v>
      </c>
      <c r="H376" s="44" t="s">
        <v>1128</v>
      </c>
      <c r="I376" s="45"/>
      <c r="J376" s="46" t="s">
        <v>1393</v>
      </c>
      <c r="K376" s="47"/>
      <c r="L376" s="47"/>
      <c r="M376" s="48" t="str">
        <f ca="1">IFERROR(__xludf.DUMMYFUNCTION("googletranslate(L376, ""fr"", ""nl"")"),"#VALUE!")</f>
        <v>#VALUE!</v>
      </c>
      <c r="N376" s="163"/>
      <c r="O376" s="49" t="str">
        <f ca="1">IFERROR(__xludf.DUMMYFUNCTION("googletranslate(N376, ""fr"", ""nl"")"),"#VALUE!")</f>
        <v>#VALUE!</v>
      </c>
      <c r="P376" s="94"/>
      <c r="Q376" s="49" t="str">
        <f ca="1">IFERROR(__xludf.DUMMYFUNCTION("GOOGLETRANSLATE(P376, ""fr"", ""nl"")"),"#VALUE!")</f>
        <v>#VALUE!</v>
      </c>
      <c r="R376" s="110"/>
      <c r="S376" s="52" t="str">
        <f ca="1">IFERROR(__xludf.DUMMYFUNCTION("GOOGLETRANSLATE(R376, ""fr"", ""nl"")"),"#VALUE!")</f>
        <v>#VALUE!</v>
      </c>
      <c r="T376" s="53" t="s">
        <v>32</v>
      </c>
      <c r="U376" s="54" t="str">
        <f ca="1">IFERROR(__xludf.DUMMYFUNCTION("GOOGLETRANSLATE(T376, ""fr"", ""nl"")"),"Op 30 ° C max
Gebruik geen bleekmiddel
Gebruik geen van de droger
Strijken op gemiddelde temperatuur
Niet stomen")</f>
        <v>Op 30 ° C max
Gebruik geen bleekmiddel
Gebruik geen van de droger
Strijken op gemiddelde temperatuur
Niet stomen</v>
      </c>
      <c r="V376" s="62" t="s">
        <v>1388</v>
      </c>
      <c r="W376" s="56"/>
    </row>
    <row r="377" spans="1:23" ht="15.75" customHeight="1">
      <c r="A377" s="167" t="s">
        <v>1394</v>
      </c>
      <c r="B377" s="93">
        <v>14</v>
      </c>
      <c r="C377" s="136"/>
      <c r="D377" s="136"/>
      <c r="E377" s="46"/>
      <c r="F377" s="170" t="s">
        <v>1383</v>
      </c>
      <c r="G377" s="170" t="s">
        <v>1392</v>
      </c>
      <c r="H377" s="44" t="s">
        <v>1097</v>
      </c>
      <c r="I377" s="45"/>
      <c r="J377" s="46" t="s">
        <v>1395</v>
      </c>
      <c r="K377" s="47"/>
      <c r="L377" s="47" t="s">
        <v>1396</v>
      </c>
      <c r="M377" s="48" t="str">
        <f ca="1">IFERROR(__xludf.DUMMYFUNCTION("googletranslate(L377, ""fr"", ""nl"")")," :
- Rechte snede
- Korte mouwen
- Ronde hals
- Pat op de kraag
- hem and gestikte randen
- Beaded Schrijven op de bovenkant van het formulier
- Gedrukt op de voorzijde
- Badge J &amp; JOY metaal op de bodem
- J &amp; JOY geborduurd logo op de hals")</f>
        <v xml:space="preserve"> :
- Rechte snede
- Korte mouwen
- Ronde hals
- Pat op de kraag
- hem and gestikte randen
- Beaded Schrijven op de bovenkant van het formulier
- Gedrukt op de voorzijde
- Badge J &amp; JOY metaal op de bodem
- J &amp; JOY geborduurd logo op de hals</v>
      </c>
      <c r="N377" s="58" t="s">
        <v>1397</v>
      </c>
      <c r="O377" s="49" t="str">
        <f ca="1">IFERROR(__xludf.DUMMYFUNCTION("googletranslate(N377, ""fr"", ""nl"")"),"Deze mooie witte t-shirt hoogtepunten een mooie kleurrijke illustratie geïnspireerd door de sfeer van Bondi Beach. Met de kleuren roze, paars en rood, is het zeer gemakkelijk om het overeenkomen met elke outfit. Een sleutel tot ons nemen om gelukkig ""zom"&amp;"ervakantie"" pass!")</f>
        <v>Deze mooie witte t-shirt hoogtepunten een mooie kleurrijke illustratie geïnspireerd door de sfeer van Bondi Beach. Met de kleuren roze, paars en rood, is het zeer gemakkelijk om het overeenkomen met elke outfit. Een sleutel tot ons nemen om gelukkig "zomervakantie" pass!</v>
      </c>
      <c r="P377" s="50" t="s">
        <v>752</v>
      </c>
      <c r="Q377" s="49" t="str">
        <f ca="1">IFERROR(__xludf.DUMMYFUNCTION("GOOGLETRANSLATE(P377, ""fr"", ""nl"")"),"Wit")</f>
        <v>Wit</v>
      </c>
      <c r="R377" s="229" t="s">
        <v>1398</v>
      </c>
      <c r="S377" s="52" t="str">
        <f ca="1">IFERROR(__xludf.DUMMYFUNCTION("GOOGLETRANSLATE(R377, ""fr"", ""nl"")"),"95% katoen
5% polyester")</f>
        <v>95% katoen
5% polyester</v>
      </c>
      <c r="T377" s="53" t="s">
        <v>32</v>
      </c>
      <c r="U377" s="54" t="str">
        <f ca="1">IFERROR(__xludf.DUMMYFUNCTION("GOOGLETRANSLATE(T377, ""fr"", ""nl"")"),"Op 30 ° C max
Gebruik geen bleekmiddel
Gebruik geen van de droger
Strijken op gemiddelde temperatuur
Niet stomen")</f>
        <v>Op 30 ° C max
Gebruik geen bleekmiddel
Gebruik geen van de droger
Strijken op gemiddelde temperatuur
Niet stomen</v>
      </c>
      <c r="V377" s="62" t="s">
        <v>1388</v>
      </c>
      <c r="W377" s="56"/>
    </row>
    <row r="378" spans="1:23" ht="15.75" customHeight="1">
      <c r="A378" s="167" t="s">
        <v>1399</v>
      </c>
      <c r="B378" s="93">
        <v>14</v>
      </c>
      <c r="C378" s="136"/>
      <c r="D378" s="136"/>
      <c r="E378" s="46"/>
      <c r="F378" s="170" t="s">
        <v>1383</v>
      </c>
      <c r="G378" s="170" t="s">
        <v>1392</v>
      </c>
      <c r="H378" s="44" t="s">
        <v>1103</v>
      </c>
      <c r="I378" s="45"/>
      <c r="J378" s="46" t="s">
        <v>1400</v>
      </c>
      <c r="K378" s="47"/>
      <c r="L378" s="47" t="s">
        <v>1401</v>
      </c>
      <c r="M378" s="48" t="str">
        <f ca="1">IFERROR(__xludf.DUMMYFUNCTION("googletranslate(L378, ""fr"", ""nl"")")," :
- Rechte snede
- Korte mouwen
- Ronde hals
- gevlochten rand en modieus in de kraag
- hem and gestikte randen
- Schrijven volledig afgedrukt op de borst met een licht getextureerde rand en glitter
- Badge J &amp; JOY metaal op de bodem")</f>
        <v xml:space="preserve"> :
- Rechte snede
- Korte mouwen
- Ronde hals
- gevlochten rand en modieus in de kraag
- hem and gestikte randen
- Schrijven volledig afgedrukt op de borst met een licht getextureerde rand en glitter
- Badge J &amp; JOY metaal op de bodem</v>
      </c>
      <c r="N378" s="58" t="s">
        <v>1402</v>
      </c>
      <c r="O378" s="49" t="str">
        <f ca="1">IFERROR(__xludf.DUMMYFUNCTION("googletranslate(N378, ""fr"", ""nl"")"),"""Liefde wint altijd!"" Dit shirt met gedrukte roze en opengewerkte schouders is zo sprankelend als pop.")</f>
        <v>"Liefde wint altijd!" Dit shirt met gedrukte roze en opengewerkte schouders is zo sprankelend als pop.</v>
      </c>
      <c r="P378" s="50" t="s">
        <v>752</v>
      </c>
      <c r="Q378" s="49" t="str">
        <f ca="1">IFERROR(__xludf.DUMMYFUNCTION("GOOGLETRANSLATE(P378, ""fr"", ""nl"")"),"Wit")</f>
        <v>Wit</v>
      </c>
      <c r="R378" s="75" t="s">
        <v>1398</v>
      </c>
      <c r="S378" s="52" t="str">
        <f ca="1">IFERROR(__xludf.DUMMYFUNCTION("GOOGLETRANSLATE(R378, ""fr"", ""nl"")"),"95% katoen
5% polyester")</f>
        <v>95% katoen
5% polyester</v>
      </c>
      <c r="T378" s="53" t="s">
        <v>32</v>
      </c>
      <c r="U378" s="54" t="str">
        <f ca="1">IFERROR(__xludf.DUMMYFUNCTION("GOOGLETRANSLATE(T378, ""fr"", ""nl"")"),"Op 30 ° C max
Gebruik geen bleekmiddel
Gebruik geen van de droger
Strijken op gemiddelde temperatuur
Niet stomen")</f>
        <v>Op 30 ° C max
Gebruik geen bleekmiddel
Gebruik geen van de droger
Strijken op gemiddelde temperatuur
Niet stomen</v>
      </c>
      <c r="V378" s="62" t="s">
        <v>1388</v>
      </c>
      <c r="W378" s="56"/>
    </row>
    <row r="379" spans="1:23" ht="15.75" customHeight="1">
      <c r="A379" s="173" t="s">
        <v>1403</v>
      </c>
      <c r="B379" s="93">
        <v>14</v>
      </c>
      <c r="C379" s="136"/>
      <c r="D379" s="136"/>
      <c r="E379" s="46"/>
      <c r="F379" s="170" t="s">
        <v>1383</v>
      </c>
      <c r="G379" s="170" t="s">
        <v>1392</v>
      </c>
      <c r="H379" s="44" t="s">
        <v>1404</v>
      </c>
      <c r="I379" s="45"/>
      <c r="J379" s="46" t="s">
        <v>1405</v>
      </c>
      <c r="K379" s="47"/>
      <c r="L379" s="47" t="s">
        <v>1406</v>
      </c>
      <c r="M379" s="48" t="str">
        <f ca="1">IFERROR(__xludf.DUMMYFUNCTION("googletranslate(L379, ""fr"", ""nl"")")," :
- Rechte snede
- Korte mouwen
- Ronde hals
- hem and gestikte randen
- bedrukt met plantaardige omkeerbare pailletten
- Bow Forward
- J &amp; JOY geborduurd logo op de hals
- Badge J &amp; JOY metaal op de bodem")</f>
        <v xml:space="preserve"> :
- Rechte snede
- Korte mouwen
- Ronde hals
- hem and gestikte randen
- bedrukt met plantaardige omkeerbare pailletten
- Bow Forward
- J &amp; JOY geborduurd logo op de hals
- Badge J &amp; JOY metaal op de bodem</v>
      </c>
      <c r="N379" s="58" t="s">
        <v>1407</v>
      </c>
      <c r="O379" s="49" t="str">
        <f ca="1">IFERROR(__xludf.DUMMYFUNCTION("googletranslate(N379, ""fr"", ""nl"")"),"Dit overhemd beige strakker om een ​​knoop, haar plantaardige gedrukt en omkeerbaar pailletten breng een weinig zoetheid aan uw garderobe!")</f>
        <v>Dit overhemd beige strakker om een ​​knoop, haar plantaardige gedrukt en omkeerbaar pailletten breng een weinig zoetheid aan uw garderobe!</v>
      </c>
      <c r="P379" s="50" t="s">
        <v>575</v>
      </c>
      <c r="Q379" s="49" t="str">
        <f ca="1">IFERROR(__xludf.DUMMYFUNCTION("GOOGLETRANSLATE(P379, ""fr"", ""nl"")"),"Beige")</f>
        <v>Beige</v>
      </c>
      <c r="R379" s="230" t="s">
        <v>1408</v>
      </c>
      <c r="S379" s="52" t="str">
        <f ca="1">IFERROR(__xludf.DUMMYFUNCTION("GOOGLETRANSLATE(R379, ""fr"", ""nl"")"),"Katoen
Spandex")</f>
        <v>Katoen
Spandex</v>
      </c>
      <c r="T379" s="53" t="s">
        <v>32</v>
      </c>
      <c r="U379" s="54" t="str">
        <f ca="1">IFERROR(__xludf.DUMMYFUNCTION("GOOGLETRANSLATE(T379, ""fr"", ""nl"")"),"Op 30 ° C max
Gebruik geen bleekmiddel
Gebruik geen van de droger
Strijken op gemiddelde temperatuur
Niet stomen")</f>
        <v>Op 30 ° C max
Gebruik geen bleekmiddel
Gebruik geen van de droger
Strijken op gemiddelde temperatuur
Niet stomen</v>
      </c>
      <c r="V379" s="62" t="s">
        <v>1388</v>
      </c>
      <c r="W379" s="56"/>
    </row>
    <row r="380" spans="1:23" ht="15.75" customHeight="1">
      <c r="A380" s="173" t="s">
        <v>1409</v>
      </c>
      <c r="B380" s="93">
        <v>14</v>
      </c>
      <c r="C380" s="136"/>
      <c r="D380" s="136"/>
      <c r="E380" s="46"/>
      <c r="F380" s="170" t="s">
        <v>1383</v>
      </c>
      <c r="G380" s="170" t="s">
        <v>1392</v>
      </c>
      <c r="H380" s="44" t="s">
        <v>1410</v>
      </c>
      <c r="I380" s="45"/>
      <c r="J380" s="46" t="s">
        <v>1411</v>
      </c>
      <c r="K380" s="47"/>
      <c r="L380" s="47" t="s">
        <v>1412</v>
      </c>
      <c r="M380" s="48" t="str">
        <f ca="1">IFERROR(__xludf.DUMMYFUNCTION("googletranslate(L380, ""fr"", ""nl"")")," :
- Rechte snede
- Korte mouwen
- Ronde hals
- Pat op de kraag
- hem and gestikte randen
- gedrukt en getextureerde patroon op de voorzijde en de reversibele pailletten
- Badge J &amp; JOY metaal op de bodem
- J &amp; JOY geborduurd logo op de hals")</f>
        <v xml:space="preserve"> :
- Rechte snede
- Korte mouwen
- Ronde hals
- Pat op de kraag
- hem and gestikte randen
- gedrukt en getextureerde patroon op de voorzijde en de reversibele pailletten
- Badge J &amp; JOY metaal op de bodem
- J &amp; JOY geborduurd logo op de hals</v>
      </c>
      <c r="N380" s="58" t="s">
        <v>1126</v>
      </c>
      <c r="O380" s="49" t="str">
        <f ca="1">IFERROR(__xludf.DUMMYFUNCTION("googletranslate(N380, ""fr"", ""nl"")"),"De rode rots monoliet Uluru is een van de meest indrukwekkende plaatsen en de magie van de Australische Outback, de woestijn regio en toch vol leven.
Dit overhemd illustreert dit natuurmonument met een mooie illustratie in verschillende pastelkleuren.")</f>
        <v>De rode rots monoliet Uluru is een van de meest indrukwekkende plaatsen en de magie van de Australische Outback, de woestijn regio en toch vol leven.
Dit overhemd illustreert dit natuurmonument met een mooie illustratie in verschillende pastelkleuren.</v>
      </c>
      <c r="P380" s="50" t="s">
        <v>752</v>
      </c>
      <c r="Q380" s="49" t="str">
        <f ca="1">IFERROR(__xludf.DUMMYFUNCTION("GOOGLETRANSLATE(P380, ""fr"", ""nl"")"),"Wit")</f>
        <v>Wit</v>
      </c>
      <c r="R380" s="50" t="s">
        <v>1115</v>
      </c>
      <c r="S380" s="52" t="str">
        <f ca="1">IFERROR(__xludf.DUMMYFUNCTION("GOOGLETRANSLATE(R380, ""fr"", ""nl"")"),"60% katoen
40% polyester")</f>
        <v>60% katoen
40% polyester</v>
      </c>
      <c r="T380" s="53" t="s">
        <v>32</v>
      </c>
      <c r="U380" s="54" t="str">
        <f ca="1">IFERROR(__xludf.DUMMYFUNCTION("GOOGLETRANSLATE(T380, ""fr"", ""nl"")"),"Op 30 ° C max
Gebruik geen bleekmiddel
Gebruik geen van de droger
Strijken op gemiddelde temperatuur
Niet stomen")</f>
        <v>Op 30 ° C max
Gebruik geen bleekmiddel
Gebruik geen van de droger
Strijken op gemiddelde temperatuur
Niet stomen</v>
      </c>
      <c r="V380" s="62" t="s">
        <v>1388</v>
      </c>
      <c r="W380" s="56"/>
    </row>
    <row r="381" spans="1:23" ht="15.75" customHeight="1">
      <c r="A381" s="57" t="s">
        <v>1413</v>
      </c>
      <c r="B381" s="93">
        <v>14</v>
      </c>
      <c r="C381" s="136"/>
      <c r="D381" s="136"/>
      <c r="E381" s="46"/>
      <c r="F381" s="170" t="s">
        <v>1383</v>
      </c>
      <c r="G381" s="170" t="s">
        <v>1392</v>
      </c>
      <c r="H381" s="44" t="s">
        <v>1414</v>
      </c>
      <c r="I381" s="45"/>
      <c r="J381" s="46" t="s">
        <v>1415</v>
      </c>
      <c r="K381" s="47"/>
      <c r="L381" s="47" t="s">
        <v>1416</v>
      </c>
      <c r="M381" s="48" t="str">
        <f ca="1">IFERROR(__xludf.DUMMYFUNCTION("googletranslate(L381, ""fr"", ""nl"")")," :
- Tie-dye pink
- Rechte snede
- Korte mouwen
- Ronde hals
- hem and gestikte randen
- Gedrukt geweven met licht glinsterende omzoomd tape
- Buig neer
- Badge J &amp; JOY metaal op de bodem")</f>
        <v xml:space="preserve"> :
- Tie-dye pink
- Rechte snede
- Korte mouwen
- Ronde hals
- hem and gestikte randen
- Gedrukt geweven met licht glinsterende omzoomd tape
- Buig neer
- Badge J &amp; JOY metaal op de bodem</v>
      </c>
      <c r="N381" s="58" t="s">
        <v>1417</v>
      </c>
      <c r="O381" s="49" t="str">
        <f ca="1">IFERROR(__xludf.DUMMYFUNCTION("googletranslate(N381, ""fr"", ""nl"")"),"Poeder roze, palmbomen, en het knooppunt voor zonsondergang: Welkom bij Bondi Beach! Klaar om te genieten van een mooie zomerse dag?")</f>
        <v>Poeder roze, palmbomen, en het knooppunt voor zonsondergang: Welkom bij Bondi Beach! Klaar om te genieten van een mooie zomerse dag?</v>
      </c>
      <c r="P381" s="50" t="s">
        <v>1121</v>
      </c>
      <c r="Q381" s="49" t="str">
        <f ca="1">IFERROR(__xludf.DUMMYFUNCTION("GOOGLETRANSLATE(P381, ""fr"", ""nl"")"),"Roze")</f>
        <v>Roze</v>
      </c>
      <c r="R381" s="50" t="s">
        <v>1115</v>
      </c>
      <c r="S381" s="52" t="str">
        <f ca="1">IFERROR(__xludf.DUMMYFUNCTION("GOOGLETRANSLATE(R381, ""fr"", ""nl"")"),"60% katoen
40% polyester")</f>
        <v>60% katoen
40% polyester</v>
      </c>
      <c r="T381" s="53" t="s">
        <v>32</v>
      </c>
      <c r="U381" s="54" t="str">
        <f ca="1">IFERROR(__xludf.DUMMYFUNCTION("GOOGLETRANSLATE(T381, ""fr"", ""nl"")"),"Op 30 ° C max
Gebruik geen bleekmiddel
Gebruik geen van de droger
Strijken op gemiddelde temperatuur
Niet stomen")</f>
        <v>Op 30 ° C max
Gebruik geen bleekmiddel
Gebruik geen van de droger
Strijken op gemiddelde temperatuur
Niet stomen</v>
      </c>
      <c r="V381" s="62" t="s">
        <v>1388</v>
      </c>
      <c r="W381" s="56"/>
    </row>
    <row r="382" spans="1:23" ht="15.75" customHeight="1">
      <c r="A382" s="57" t="s">
        <v>1418</v>
      </c>
      <c r="B382" s="93">
        <v>14</v>
      </c>
      <c r="C382" s="136"/>
      <c r="D382" s="136"/>
      <c r="E382" s="46"/>
      <c r="F382" s="170" t="s">
        <v>1383</v>
      </c>
      <c r="G382" s="170" t="s">
        <v>1392</v>
      </c>
      <c r="H382" s="44" t="s">
        <v>1111</v>
      </c>
      <c r="I382" s="45"/>
      <c r="J382" s="46" t="s">
        <v>1419</v>
      </c>
      <c r="K382" s="47"/>
      <c r="L382" s="47" t="s">
        <v>1420</v>
      </c>
      <c r="M382" s="48" t="str">
        <f ca="1">IFERROR(__xludf.DUMMYFUNCTION("googletranslate(L382, ""fr"", ""nl"")")," :
- rechts Coup
- Korte mouwen
- Printed gespikkelde
- Geweven Gedrukt op de voorzijde
- Ronde kraag
- geribde randen en encolore fluorescerend roze en wit
- Badge J &amp; JOY metallic onderaan
- J &amp; JOY geborduurd logo op de hals")</f>
        <v xml:space="preserve"> :
- rechts Coup
- Korte mouwen
- Printed gespikkelde
- Geweven Gedrukt op de voorzijde
- Ronde kraag
- geribde randen en encolore fluorescerend roze en wit
- Badge J &amp; JOY metallic onderaan
- J &amp; JOY geborduurd logo op de hals</v>
      </c>
      <c r="N382" s="58" t="s">
        <v>1421</v>
      </c>
      <c r="O382" s="49" t="str">
        <f ca="1">IFERROR(__xludf.DUMMYFUNCTION("googletranslate(N382, ""fr"", ""nl"")"),"Een prachtig gesneden overhemd met een blauwe stip patroon en goed geplaatste informatie rozen, zal ze houden om te dragen!")</f>
        <v>Een prachtig gesneden overhemd met een blauwe stip patroon en goed geplaatste informatie rozen, zal ze houden om te dragen!</v>
      </c>
      <c r="P382" s="50" t="s">
        <v>752</v>
      </c>
      <c r="Q382" s="49" t="str">
        <f ca="1">IFERROR(__xludf.DUMMYFUNCTION("GOOGLETRANSLATE(P382, ""fr"", ""nl"")"),"Wit")</f>
        <v>Wit</v>
      </c>
      <c r="R382" s="231" t="s">
        <v>1422</v>
      </c>
      <c r="S382" s="52" t="str">
        <f ca="1">IFERROR(__xludf.DUMMYFUNCTION("GOOGLETRANSLATE(R382, ""fr"", ""nl"")"),"Katoen?")</f>
        <v>Katoen?</v>
      </c>
      <c r="T382" s="53" t="s">
        <v>32</v>
      </c>
      <c r="U382" s="54" t="str">
        <f ca="1">IFERROR(__xludf.DUMMYFUNCTION("GOOGLETRANSLATE(T382, ""fr"", ""nl"")"),"Op 30 ° C max
Gebruik geen bleekmiddel
Gebruik geen van de droger
Strijken op gemiddelde temperatuur
Niet stomen")</f>
        <v>Op 30 ° C max
Gebruik geen bleekmiddel
Gebruik geen van de droger
Strijken op gemiddelde temperatuur
Niet stomen</v>
      </c>
      <c r="V382" s="62" t="s">
        <v>1388</v>
      </c>
      <c r="W382" s="56"/>
    </row>
    <row r="383" spans="1:23" ht="15.75" customHeight="1">
      <c r="A383" s="162" t="s">
        <v>1423</v>
      </c>
      <c r="B383" s="93">
        <v>14</v>
      </c>
      <c r="C383" s="136"/>
      <c r="D383" s="136"/>
      <c r="E383" s="46"/>
      <c r="F383" s="170" t="s">
        <v>1383</v>
      </c>
      <c r="G383" s="170" t="s">
        <v>1392</v>
      </c>
      <c r="H383" s="44" t="s">
        <v>1146</v>
      </c>
      <c r="I383" s="45"/>
      <c r="J383" s="46" t="s">
        <v>1424</v>
      </c>
      <c r="M383" s="48" t="str">
        <f ca="1">IFERROR(__xludf.DUMMYFUNCTION("googletranslate(L383, ""fr"", ""nl"")"),"#VALUE!")</f>
        <v>#VALUE!</v>
      </c>
      <c r="N383" s="163"/>
      <c r="O383" s="49" t="str">
        <f ca="1">IFERROR(__xludf.DUMMYFUNCTION("googletranslate(N383, ""fr"", ""nl"")"),"#VALUE!")</f>
        <v>#VALUE!</v>
      </c>
      <c r="P383" s="165"/>
      <c r="Q383" s="49" t="str">
        <f ca="1">IFERROR(__xludf.DUMMYFUNCTION("GOOGLETRANSLATE(P383, ""fr"", ""nl"")"),"#VALUE!")</f>
        <v>#VALUE!</v>
      </c>
      <c r="R383" s="94"/>
      <c r="S383" s="52" t="str">
        <f ca="1">IFERROR(__xludf.DUMMYFUNCTION("GOOGLETRANSLATE(R383, ""fr"", ""nl"")"),"#VALUE!")</f>
        <v>#VALUE!</v>
      </c>
      <c r="T383" s="53" t="s">
        <v>32</v>
      </c>
      <c r="U383" s="54" t="str">
        <f ca="1">IFERROR(__xludf.DUMMYFUNCTION("GOOGLETRANSLATE(T383, ""fr"", ""nl"")"),"Op 30 ° C max
Gebruik geen bleekmiddel
Gebruik geen van de droger
Strijken op gemiddelde temperatuur
Niet stomen")</f>
        <v>Op 30 ° C max
Gebruik geen bleekmiddel
Gebruik geen van de droger
Strijken op gemiddelde temperatuur
Niet stomen</v>
      </c>
      <c r="V383" s="62" t="s">
        <v>1388</v>
      </c>
      <c r="W383" s="56"/>
    </row>
    <row r="384" spans="1:23" ht="15.75" customHeight="1">
      <c r="A384" s="84" t="s">
        <v>1425</v>
      </c>
      <c r="B384" s="85"/>
      <c r="C384" s="67"/>
      <c r="D384" s="67"/>
      <c r="E384" s="67"/>
      <c r="F384" s="87"/>
      <c r="G384" s="87"/>
      <c r="H384" s="87"/>
      <c r="I384" s="26"/>
      <c r="J384" s="88" t="s">
        <v>677</v>
      </c>
      <c r="K384" s="89"/>
      <c r="L384" s="89"/>
      <c r="M384" s="48" t="str">
        <f ca="1">IFERROR(__xludf.DUMMYFUNCTION("googletranslate(L384, ""fr"", ""nl"")"),"#VALUE!")</f>
        <v>#VALUE!</v>
      </c>
      <c r="N384" s="125"/>
      <c r="O384" s="49" t="str">
        <f ca="1">IFERROR(__xludf.DUMMYFUNCTION("googletranslate(N384, ""fr"", ""nl"")"),"#VALUE!")</f>
        <v>#VALUE!</v>
      </c>
      <c r="P384" s="91"/>
      <c r="Q384" s="49" t="str">
        <f ca="1">IFERROR(__xludf.DUMMYFUNCTION("GOOGLETRANSLATE(P384, ""fr"", ""nl"")"),"#VALUE!")</f>
        <v>#VALUE!</v>
      </c>
      <c r="R384" s="92"/>
      <c r="S384" s="52" t="str">
        <f ca="1">IFERROR(__xludf.DUMMYFUNCTION("GOOGLETRANSLATE(R384, ""fr"", ""nl"")"),"#VALUE!")</f>
        <v>#VALUE!</v>
      </c>
      <c r="T384" s="89"/>
      <c r="U384" s="54" t="str">
        <f ca="1">IFERROR(__xludf.DUMMYFUNCTION("GOOGLETRANSLATE(T384, ""fr"", ""nl"")"),"#VALUE!")</f>
        <v>#VALUE!</v>
      </c>
      <c r="V384" s="140"/>
      <c r="W384" s="38"/>
    </row>
    <row r="385" spans="1:23" ht="15.75" customHeight="1">
      <c r="A385" s="211" t="s">
        <v>1426</v>
      </c>
      <c r="B385" s="93">
        <v>14</v>
      </c>
      <c r="C385" s="136"/>
      <c r="D385" s="136"/>
      <c r="E385" s="152"/>
      <c r="F385" s="153" t="s">
        <v>1383</v>
      </c>
      <c r="G385" s="153" t="s">
        <v>1427</v>
      </c>
      <c r="H385" s="44" t="s">
        <v>1171</v>
      </c>
      <c r="I385" s="45"/>
      <c r="J385" s="141" t="s">
        <v>1428</v>
      </c>
      <c r="K385" s="47"/>
      <c r="L385" s="47" t="s">
        <v>1173</v>
      </c>
      <c r="M385" s="48" t="str">
        <f ca="1">IFERROR(__xludf.DUMMYFUNCTION("googletranslate(L385, ""fr"", ""nl"")")," :
- Rechte snede
- Zonder mouwen
- Ronde hals
- hem and gestikte randen
- Pat op de kraag
- Strip op de borst gestikt
- Zijsplitten
- J &amp; JOY geborduurd logo op het hart
- J &amp; JOY geborduurd logo in de nek
- Metal Badge J &amp; JOY op de bodem")</f>
        <v xml:space="preserve"> :
- Rechte snede
- Zonder mouwen
- Ronde hals
- hem and gestikte randen
- Pat op de kraag
- Strip op de borst gestikt
- Zijsplitten
- J &amp; JOY geborduurd logo op het hart
- J &amp; JOY geborduurd logo in de nek
- Metal Badge J &amp; JOY op de bodem</v>
      </c>
      <c r="N385" s="232" t="s">
        <v>1429</v>
      </c>
      <c r="O385" s="49" t="str">
        <f ca="1">IFERROR(__xludf.DUMMYFUNCTION("googletranslate(N385, ""fr"", ""nl"")"),"Een elektrische blauwe bovenkant en goed gesneden voor een koele en levendige look!")</f>
        <v>Een elektrische blauwe bovenkant en goed gesneden voor een koele en levendige look!</v>
      </c>
      <c r="P385" s="100" t="s">
        <v>1065</v>
      </c>
      <c r="Q385" s="49" t="str">
        <f ca="1">IFERROR(__xludf.DUMMYFUNCTION("GOOGLETRANSLATE(P385, ""fr"", ""nl"")"),"Blauw")</f>
        <v>Blauw</v>
      </c>
      <c r="R385" s="123" t="s">
        <v>1430</v>
      </c>
      <c r="S385" s="52" t="str">
        <f ca="1">IFERROR(__xludf.DUMMYFUNCTION("GOOGLETRANSLATE(R385, ""fr"", ""nl"")"),"95% katoen
5% Eslasthanne")</f>
        <v>95% katoen
5% Eslasthanne</v>
      </c>
      <c r="T385" s="53" t="s">
        <v>32</v>
      </c>
      <c r="U385" s="54" t="str">
        <f ca="1">IFERROR(__xludf.DUMMYFUNCTION("GOOGLETRANSLATE(T385, ""fr"", ""nl"")"),"Op 30 ° C max
Gebruik geen bleekmiddel
Gebruik geen van de droger
Strijken op gemiddelde temperatuur
Niet stomen")</f>
        <v>Op 30 ° C max
Gebruik geen bleekmiddel
Gebruik geen van de droger
Strijken op gemiddelde temperatuur
Niet stomen</v>
      </c>
      <c r="V385" s="62" t="s">
        <v>1388</v>
      </c>
      <c r="W385" s="101"/>
    </row>
    <row r="386" spans="1:23" ht="15.75" customHeight="1">
      <c r="A386" s="172" t="s">
        <v>1431</v>
      </c>
      <c r="B386" s="93">
        <v>14</v>
      </c>
      <c r="C386" s="136"/>
      <c r="D386" s="136"/>
      <c r="E386" s="152"/>
      <c r="F386" s="153" t="s">
        <v>1383</v>
      </c>
      <c r="G386" s="153" t="s">
        <v>1427</v>
      </c>
      <c r="H386" s="44" t="s">
        <v>1146</v>
      </c>
      <c r="I386" s="45"/>
      <c r="J386" s="141" t="s">
        <v>1432</v>
      </c>
      <c r="K386" s="47"/>
      <c r="L386" s="47" t="s">
        <v>1433</v>
      </c>
      <c r="M386" s="48" t="str">
        <f ca="1">IFERROR(__xludf.DUMMYFUNCTION("googletranslate(L386, ""fr"", ""nl"")")," :
- uitlopende cut
- Dunne verstelbare banden
- ronde hals en ronde
- gestikte zomen en randen
- Badge J &amp; JOY metaal op de bodem
")</f>
        <v xml:space="preserve"> :
- uitlopende cut
- Dunne verstelbare banden
- ronde hals en ronde
- gestikte zomen en randen
- Badge J &amp; JOY metaal op de bodem
</v>
      </c>
      <c r="N386" s="233" t="s">
        <v>1434</v>
      </c>
      <c r="O386" s="49" t="str">
        <f ca="1">IFERROR(__xludf.DUMMYFUNCTION("googletranslate(N386, ""fr"", ""nl"")"),"Een top met smalle bandjes en de originele snit die zullen verrassen tijdens de zomer dagen!")</f>
        <v>Een top met smalle bandjes en de originele snit die zullen verrassen tijdens de zomer dagen!</v>
      </c>
      <c r="P386" s="100" t="s">
        <v>155</v>
      </c>
      <c r="Q386" s="49" t="str">
        <f ca="1">IFERROR(__xludf.DUMMYFUNCTION("GOOGLETRANSLATE(P386, ""fr"", ""nl"")"),"veelkleurig")</f>
        <v>veelkleurig</v>
      </c>
      <c r="R386" s="123" t="s">
        <v>1435</v>
      </c>
      <c r="S386" s="52" t="str">
        <f ca="1">IFERROR(__xludf.DUMMYFUNCTION("GOOGLETRANSLATE(R386, ""fr"", ""nl"")"),"viscose")</f>
        <v>viscose</v>
      </c>
      <c r="T386" s="53" t="s">
        <v>32</v>
      </c>
      <c r="U386" s="54" t="str">
        <f ca="1">IFERROR(__xludf.DUMMYFUNCTION("GOOGLETRANSLATE(T386, ""fr"", ""nl"")"),"Op 30 ° C max
Gebruik geen bleekmiddel
Gebruik geen van de droger
Strijken op gemiddelde temperatuur
Niet stomen")</f>
        <v>Op 30 ° C max
Gebruik geen bleekmiddel
Gebruik geen van de droger
Strijken op gemiddelde temperatuur
Niet stomen</v>
      </c>
      <c r="V386" s="62" t="s">
        <v>1388</v>
      </c>
      <c r="W386" s="101"/>
    </row>
    <row r="387" spans="1:23" ht="15.75" customHeight="1">
      <c r="A387" s="167" t="s">
        <v>1436</v>
      </c>
      <c r="B387" s="93">
        <v>14</v>
      </c>
      <c r="C387" s="136"/>
      <c r="D387" s="136"/>
      <c r="E387" s="152"/>
      <c r="F387" s="153" t="s">
        <v>1383</v>
      </c>
      <c r="G387" s="153" t="s">
        <v>1427</v>
      </c>
      <c r="H387" s="44" t="s">
        <v>1437</v>
      </c>
      <c r="I387" s="45"/>
      <c r="J387" s="141" t="s">
        <v>1438</v>
      </c>
      <c r="K387" s="178"/>
      <c r="L387" s="178" t="s">
        <v>1439</v>
      </c>
      <c r="M387" s="48" t="str">
        <f ca="1">IFERROR(__xludf.DUMMYFUNCTION("googletranslate(L387, ""fr"", ""nl"")")," :
- uitlopende cut
- Zonder mouwen
- Ronde hals
- hem and gestikte randen
- Kleine ruches op de top van de schouders
- Schrijven geweven gedrukt op de borst
- Printed Kangaroo licht glittery goud
- Metal Badge J &amp; JOY op de bodem")</f>
        <v xml:space="preserve"> :
- uitlopende cut
- Zonder mouwen
- Ronde hals
- hem and gestikte randen
- Kleine ruches op de top van de schouders
- Schrijven geweven gedrukt op de borst
- Printed Kangaroo licht glittery goud
- Metal Badge J &amp; JOY op de bodem</v>
      </c>
      <c r="N387" s="58" t="s">
        <v>1440</v>
      </c>
      <c r="O387" s="49" t="str">
        <f ca="1">IFERROR(__xludf.DUMMYFUNCTION("googletranslate(N387, ""fr"", ""nl"")"),"In Australië, kunt u genieten van de prachtige natuur, maar ontdekt ook de dieren die we niet vaak de gewoonte van de kruising. Hier zijn de kangoeroes die op de top in dit patroon verschijnen! Op een kaki achtergrond, ze lijken te race.
Deze top met bed"&amp;"rukte kleurrijke en zeer gewerkt bandjes zal bevallen amateurs van wilde dieren!")</f>
        <v>In Australië, kunt u genieten van de prachtige natuur, maar ontdekt ook de dieren die we niet vaak de gewoonte van de kruising. Hier zijn de kangoeroes die op de top in dit patroon verschijnen! Op een kaki achtergrond, ze lijken te race.
Deze top met bedrukte kleurrijke en zeer gewerkt bandjes zal bevallen amateurs van wilde dieren!</v>
      </c>
      <c r="P387" s="100" t="s">
        <v>1144</v>
      </c>
      <c r="Q387" s="49" t="str">
        <f ca="1">IFERROR(__xludf.DUMMYFUNCTION("GOOGLETRANSLATE(P387, ""fr"", ""nl"")"),"Khaki")</f>
        <v>Khaki</v>
      </c>
      <c r="R387" s="123" t="s">
        <v>31</v>
      </c>
      <c r="S387" s="52" t="str">
        <f ca="1">IFERROR(__xludf.DUMMYFUNCTION("GOOGLETRANSLATE(R387, ""fr"", ""nl"")"),"100% katoen")</f>
        <v>100% katoen</v>
      </c>
      <c r="T387" s="53" t="s">
        <v>32</v>
      </c>
      <c r="U387" s="54" t="str">
        <f ca="1">IFERROR(__xludf.DUMMYFUNCTION("GOOGLETRANSLATE(T387, ""fr"", ""nl"")"),"Op 30 ° C max
Gebruik geen bleekmiddel
Gebruik geen van de droger
Strijken op gemiddelde temperatuur
Niet stomen")</f>
        <v>Op 30 ° C max
Gebruik geen bleekmiddel
Gebruik geen van de droger
Strijken op gemiddelde temperatuur
Niet stomen</v>
      </c>
      <c r="V387" s="62" t="s">
        <v>1388</v>
      </c>
      <c r="W387" s="101"/>
    </row>
    <row r="388" spans="1:23" ht="15.75" customHeight="1">
      <c r="A388" s="173" t="s">
        <v>1441</v>
      </c>
      <c r="B388" s="93">
        <v>14</v>
      </c>
      <c r="C388" s="136"/>
      <c r="D388" s="136"/>
      <c r="E388" s="152"/>
      <c r="F388" s="153" t="s">
        <v>1383</v>
      </c>
      <c r="G388" s="153" t="s">
        <v>1427</v>
      </c>
      <c r="H388" s="44" t="s">
        <v>1442</v>
      </c>
      <c r="I388" s="45"/>
      <c r="J388" s="141" t="s">
        <v>1443</v>
      </c>
      <c r="K388" s="234"/>
      <c r="L388" s="234" t="s">
        <v>1444</v>
      </c>
      <c r="M388" s="48" t="str">
        <f ca="1">IFERROR(__xludf.DUMMYFUNCTION("googletranslate(L388, ""fr"", ""nl"")")," :
- Cup singlet
- Side Node
- Gedrukte tonale palm
- logo op de voorkant
- J &amp; JOY geborduurd logo op de hals")</f>
        <v xml:space="preserve"> :
- Cup singlet
- Side Node
- Gedrukte tonale palm
- logo op de voorkant
- J &amp; JOY geborduurd logo op de hals</v>
      </c>
      <c r="N388" s="58" t="s">
        <v>1445</v>
      </c>
      <c r="O388" s="49" t="str">
        <f ca="1">IFERROR(__xludf.DUMMYFUNCTION("googletranslate(N388, ""fr"", ""nl"")"),"Een donkerblauwe top, palmen patronen van alle kleuren en knopen aan de zijkanten: deze top heeft enig recht om u naar Bondi Beach, Australië!")</f>
        <v>Een donkerblauwe top, palmen patronen van alle kleuren en knopen aan de zijkanten: deze top heeft enig recht om u naar Bondi Beach, Australië!</v>
      </c>
      <c r="P388" s="100" t="s">
        <v>1446</v>
      </c>
      <c r="Q388" s="49" t="str">
        <f ca="1">IFERROR(__xludf.DUMMYFUNCTION("GOOGLETRANSLATE(P388, ""fr"", ""nl"")"),"Donkerblauw")</f>
        <v>Donkerblauw</v>
      </c>
      <c r="R388" s="123" t="s">
        <v>1343</v>
      </c>
      <c r="S388" s="52" t="str">
        <f ca="1">IFERROR(__xludf.DUMMYFUNCTION("GOOGLETRANSLATE(R388, ""fr"", ""nl"")"),"Katoen
Spandex")</f>
        <v>Katoen
Spandex</v>
      </c>
      <c r="T388" s="53" t="s">
        <v>32</v>
      </c>
      <c r="U388" s="54" t="str">
        <f ca="1">IFERROR(__xludf.DUMMYFUNCTION("GOOGLETRANSLATE(T388, ""fr"", ""nl"")"),"Op 30 ° C max
Gebruik geen bleekmiddel
Gebruik geen van de droger
Strijken op gemiddelde temperatuur
Niet stomen")</f>
        <v>Op 30 ° C max
Gebruik geen bleekmiddel
Gebruik geen van de droger
Strijken op gemiddelde temperatuur
Niet stomen</v>
      </c>
      <c r="V388" s="62" t="s">
        <v>1388</v>
      </c>
      <c r="W388" s="101"/>
    </row>
    <row r="389" spans="1:23" ht="15.75" customHeight="1">
      <c r="A389" s="84" t="s">
        <v>1179</v>
      </c>
      <c r="B389" s="85"/>
      <c r="C389" s="67"/>
      <c r="D389" s="67"/>
      <c r="E389" s="67"/>
      <c r="F389" s="87"/>
      <c r="G389" s="87"/>
      <c r="H389" s="87"/>
      <c r="I389" s="26"/>
      <c r="J389" s="88" t="s">
        <v>677</v>
      </c>
      <c r="K389" s="89"/>
      <c r="L389" s="89"/>
      <c r="M389" s="48" t="str">
        <f ca="1">IFERROR(__xludf.DUMMYFUNCTION("googletranslate(L389, ""fr"", ""nl"")"),"#VALUE!")</f>
        <v>#VALUE!</v>
      </c>
      <c r="N389" s="125"/>
      <c r="O389" s="49" t="str">
        <f ca="1">IFERROR(__xludf.DUMMYFUNCTION("googletranslate(N389, ""fr"", ""nl"")"),"#VALUE!")</f>
        <v>#VALUE!</v>
      </c>
      <c r="P389" s="91"/>
      <c r="Q389" s="49" t="str">
        <f ca="1">IFERROR(__xludf.DUMMYFUNCTION("GOOGLETRANSLATE(P389, ""fr"", ""nl"")"),"#VALUE!")</f>
        <v>#VALUE!</v>
      </c>
      <c r="R389" s="92"/>
      <c r="S389" s="52" t="str">
        <f ca="1">IFERROR(__xludf.DUMMYFUNCTION("GOOGLETRANSLATE(R389, ""fr"", ""nl"")"),"#VALUE!")</f>
        <v>#VALUE!</v>
      </c>
      <c r="T389" s="89"/>
      <c r="U389" s="54" t="str">
        <f ca="1">IFERROR(__xludf.DUMMYFUNCTION("GOOGLETRANSLATE(T389, ""fr"", ""nl"")"),"#VALUE!")</f>
        <v>#VALUE!</v>
      </c>
      <c r="V389" s="140"/>
      <c r="W389" s="38"/>
    </row>
    <row r="390" spans="1:23" ht="15.75" customHeight="1">
      <c r="A390" s="211" t="s">
        <v>1447</v>
      </c>
      <c r="B390" s="93">
        <v>24</v>
      </c>
      <c r="C390" s="136"/>
      <c r="D390" s="136"/>
      <c r="E390" s="158"/>
      <c r="F390" s="159" t="s">
        <v>1383</v>
      </c>
      <c r="G390" s="159" t="s">
        <v>1448</v>
      </c>
      <c r="H390" s="44" t="s">
        <v>1449</v>
      </c>
      <c r="I390" s="45"/>
      <c r="J390" s="137" t="s">
        <v>1450</v>
      </c>
      <c r="K390" s="47"/>
      <c r="L390" s="47" t="s">
        <v>1451</v>
      </c>
      <c r="M390" s="48" t="str">
        <f ca="1">IFERROR(__xludf.DUMMYFUNCTION("googletranslate(L390, ""fr"", ""nl"")")," :
- Crew Neck Sweat
- Rechte snede
- Lange mouwen
- Ronde kraag
- volledig geborduurd Writing
- Edge, elastische tailleband en rib boord
- Gedrukte blauwe thema ""surf""
- J &amp; JOY geborduurd logo op de hals
- Badge J &amp; JOY metaal op de bodem
")</f>
        <v xml:space="preserve"> :
- Crew Neck Sweat
- Rechte snede
- Lange mouwen
- Ronde kraag
- volledig geborduurd Writing
- Edge, elastische tailleband en rib boord
- Gedrukte blauwe thema "surf"
- J &amp; JOY geborduurd logo op de hals
- Badge J &amp; JOY metaal op de bodem
</v>
      </c>
      <c r="N390" s="58" t="s">
        <v>1452</v>
      </c>
      <c r="O390" s="49" t="str">
        <f ca="1">IFERROR(__xludf.DUMMYFUNCTION("googletranslate(N390, ""fr"", ""nl"")"),"Palmbomen, boemerangs, zonnebrillen en surfplanken: ja, men is in de stemming van Bondi Beach!
Geïnspireerd door de Australische surfer het leven, zeer comfortabel grijs zweet samen alle noodzakelijke elementen voor een perfecte dag met vrienden op het st"&amp;"rand!")</f>
        <v>Palmbomen, boemerangs, zonnebrillen en surfplanken: ja, men is in de stemming van Bondi Beach!
Geïnspireerd door de Australische surfer het leven, zeer comfortabel grijs zweet samen alle noodzakelijke elementen voor een perfecte dag met vrienden op het strand!</v>
      </c>
      <c r="P390" s="50" t="s">
        <v>1453</v>
      </c>
      <c r="Q390" s="49" t="str">
        <f ca="1">IFERROR(__xludf.DUMMYFUNCTION("GOOGLETRANSLATE(P390, ""fr"", ""nl"")"),"Grijs")</f>
        <v>Grijs</v>
      </c>
      <c r="R390" s="75" t="s">
        <v>1206</v>
      </c>
      <c r="S390" s="52" t="str">
        <f ca="1">IFERROR(__xludf.DUMMYFUNCTION("GOOGLETRANSLATE(R390, ""fr"", ""nl"")"),"88% katoen
12% polyester")</f>
        <v>88% katoen
12% polyester</v>
      </c>
      <c r="T390" s="53" t="s">
        <v>32</v>
      </c>
      <c r="U390" s="54" t="str">
        <f ca="1">IFERROR(__xludf.DUMMYFUNCTION("GOOGLETRANSLATE(T390, ""fr"", ""nl"")"),"Op 30 ° C max
Gebruik geen bleekmiddel
Gebruik geen van de droger
Strijken op gemiddelde temperatuur
Niet stomen")</f>
        <v>Op 30 ° C max
Gebruik geen bleekmiddel
Gebruik geen van de droger
Strijken op gemiddelde temperatuur
Niet stomen</v>
      </c>
      <c r="V390" s="62" t="s">
        <v>1388</v>
      </c>
      <c r="W390" s="56"/>
    </row>
    <row r="391" spans="1:23" ht="15.75" customHeight="1">
      <c r="A391" s="172" t="s">
        <v>1454</v>
      </c>
      <c r="B391" s="93">
        <v>26</v>
      </c>
      <c r="C391" s="136"/>
      <c r="D391" s="136"/>
      <c r="E391" s="158"/>
      <c r="F391" s="159" t="s">
        <v>1383</v>
      </c>
      <c r="G391" s="159" t="s">
        <v>1448</v>
      </c>
      <c r="H391" s="44" t="s">
        <v>1194</v>
      </c>
      <c r="I391" s="45"/>
      <c r="J391" s="137" t="s">
        <v>1455</v>
      </c>
      <c r="K391" s="47"/>
      <c r="L391" s="47" t="s">
        <v>1456</v>
      </c>
      <c r="M391" s="48" t="str">
        <f ca="1">IFERROR(__xludf.DUMMYFUNCTION("googletranslate(L391, ""fr"", ""nl"")")," :
- Crew Neck Sweat
- Rechte snede
- Lange mouwen
- Ronde kraag
- volledig geborduurd Writing
- Edge, nek, taille en elastische manchetten geribde
- Red contrasterende biezen
- Gedrukte fabriek
- Badge J &amp; JOY metaal op de bodem
- J &amp; JOY geborduurd logo"&amp;" op de hals
")</f>
        <v xml:space="preserve"> :
- Crew Neck Sweat
- Rechte snede
- Lange mouwen
- Ronde kraag
- volledig geborduurd Writing
- Edge, nek, taille en elastische manchetten geribde
- Red contrasterende biezen
- Gedrukte fabriek
- Badge J &amp; JOY metaal op de bodem
- J &amp; JOY geborduurd logo op de hals
</v>
      </c>
      <c r="N391" s="58" t="s">
        <v>1457</v>
      </c>
      <c r="O391" s="49" t="str">
        <f ca="1">IFERROR(__xludf.DUMMYFUNCTION("googletranslate(N391, ""fr"", ""nl"")"),"Een gedrukte ""jungle"" en een roze achtergrond, dit is de winnende combinatie voor een sweatshirt die willen alle zomeravonden dragen!
Een sweatshirt warm en comfortabel om te dragen ... Een aanrader!")</f>
        <v>Een gedrukte "jungle" en een roze achtergrond, dit is de winnende combinatie voor een sweatshirt die willen alle zomeravonden dragen!
Een sweatshirt warm en comfortabel om te dragen ... Een aanrader!</v>
      </c>
      <c r="P391" s="50" t="s">
        <v>1121</v>
      </c>
      <c r="Q391" s="49" t="str">
        <f ca="1">IFERROR(__xludf.DUMMYFUNCTION("GOOGLETRANSLATE(P391, ""fr"", ""nl"")"),"Roze")</f>
        <v>Roze</v>
      </c>
      <c r="R391" s="75" t="s">
        <v>31</v>
      </c>
      <c r="S391" s="52" t="str">
        <f ca="1">IFERROR(__xludf.DUMMYFUNCTION("GOOGLETRANSLATE(R391, ""fr"", ""nl"")"),"100% katoen")</f>
        <v>100% katoen</v>
      </c>
      <c r="T391" s="53" t="s">
        <v>32</v>
      </c>
      <c r="U391" s="54" t="str">
        <f ca="1">IFERROR(__xludf.DUMMYFUNCTION("GOOGLETRANSLATE(T391, ""fr"", ""nl"")"),"Op 30 ° C max
Gebruik geen bleekmiddel
Gebruik geen van de droger
Strijken op gemiddelde temperatuur
Niet stomen")</f>
        <v>Op 30 ° C max
Gebruik geen bleekmiddel
Gebruik geen van de droger
Strijken op gemiddelde temperatuur
Niet stomen</v>
      </c>
      <c r="V391" s="62" t="s">
        <v>1388</v>
      </c>
      <c r="W391" s="56"/>
    </row>
    <row r="392" spans="1:23" ht="15.75" customHeight="1">
      <c r="A392" s="167" t="s">
        <v>1458</v>
      </c>
      <c r="B392" s="93">
        <v>26</v>
      </c>
      <c r="C392" s="136"/>
      <c r="D392" s="136"/>
      <c r="E392" s="158"/>
      <c r="F392" s="159" t="s">
        <v>1383</v>
      </c>
      <c r="G392" s="159" t="s">
        <v>1448</v>
      </c>
      <c r="H392" s="44" t="s">
        <v>1459</v>
      </c>
      <c r="I392" s="45"/>
      <c r="J392" s="137" t="s">
        <v>1460</v>
      </c>
      <c r="K392" s="47"/>
      <c r="L392" s="47" t="s">
        <v>1461</v>
      </c>
      <c r="M392" s="48" t="str">
        <f ca="1">IFERROR(__xludf.DUMMYFUNCTION("googletranslate(L392, ""fr"", ""nl"")")," :
- Crew Neck Sweat
- Rechte snede
- Lange mouwen
- Ronde kraag
- Het schrijven van contrasterende geweven gedrukt in goud
- Edge, elastische tailleband en rib boord
- Gradient kleuren van wit tot koraal
- Badge J &amp; JOY metaal op de bodem
- Logo J &amp; JOY "&amp;"goud genaaid op de bodem
- J &amp; JOY geborduurd logo op de hals")</f>
        <v xml:space="preserve"> :
- Crew Neck Sweat
- Rechte snede
- Lange mouwen
- Ronde kraag
- Het schrijven van contrasterende geweven gedrukt in goud
- Edge, elastische tailleband en rib boord
- Gradient kleuren van wit tot koraal
- Badge J &amp; JOY metaal op de bodem
- Logo J &amp; JOY goud genaaid op de bodem
- J &amp; JOY geborduurd logo op de hals</v>
      </c>
      <c r="N392" s="58" t="s">
        <v>1462</v>
      </c>
      <c r="O392" s="49" t="str">
        <f ca="1">IFERROR(__xludf.DUMMYFUNCTION("googletranslate(N392, ""fr"", ""nl"")"),"Het werd geïnspireerd door de sfeer van de stad van Sydney naar dit sweatshirt stel 100% good vibes. Een gradiënt van witte en roze, een ronde hals en een super wearable materiaal: je zult het geweldig vinden!
Dynamiek, zoetheid en vreugde van het leven o"&amp;"p de agenda van onze collectie inspireren door deze hoek van de wereld.")</f>
        <v>Het werd geïnspireerd door de sfeer van de stad van Sydney naar dit sweatshirt stel 100% good vibes. Een gradiënt van witte en roze, een ronde hals en een super wearable materiaal: je zult het geweldig vinden!
Dynamiek, zoetheid en vreugde van het leven op de agenda van onze collectie inspireren door deze hoek van de wereld.</v>
      </c>
      <c r="P392" s="50" t="s">
        <v>1121</v>
      </c>
      <c r="Q392" s="49" t="str">
        <f ca="1">IFERROR(__xludf.DUMMYFUNCTION("GOOGLETRANSLATE(P392, ""fr"", ""nl"")"),"Roze")</f>
        <v>Roze</v>
      </c>
      <c r="R392" s="175" t="s">
        <v>31</v>
      </c>
      <c r="S392" s="52" t="str">
        <f ca="1">IFERROR(__xludf.DUMMYFUNCTION("GOOGLETRANSLATE(R392, ""fr"", ""nl"")"),"100% katoen")</f>
        <v>100% katoen</v>
      </c>
      <c r="T392" s="53" t="s">
        <v>32</v>
      </c>
      <c r="U392" s="54" t="str">
        <f ca="1">IFERROR(__xludf.DUMMYFUNCTION("GOOGLETRANSLATE(T392, ""fr"", ""nl"")"),"Op 30 ° C max
Gebruik geen bleekmiddel
Gebruik geen van de droger
Strijken op gemiddelde temperatuur
Niet stomen")</f>
        <v>Op 30 ° C max
Gebruik geen bleekmiddel
Gebruik geen van de droger
Strijken op gemiddelde temperatuur
Niet stomen</v>
      </c>
      <c r="V392" s="62" t="s">
        <v>1388</v>
      </c>
      <c r="W392" s="56"/>
    </row>
    <row r="393" spans="1:23" ht="15.75" customHeight="1">
      <c r="A393" s="164" t="s">
        <v>1463</v>
      </c>
      <c r="B393" s="93">
        <v>24</v>
      </c>
      <c r="C393" s="136"/>
      <c r="D393" s="136"/>
      <c r="E393" s="158"/>
      <c r="F393" s="159" t="s">
        <v>1383</v>
      </c>
      <c r="G393" s="159" t="s">
        <v>1448</v>
      </c>
      <c r="H393" s="44" t="s">
        <v>1226</v>
      </c>
      <c r="I393" s="45"/>
      <c r="J393" s="137" t="s">
        <v>1464</v>
      </c>
      <c r="K393" s="47"/>
      <c r="L393" s="47"/>
      <c r="M393" s="48" t="str">
        <f ca="1">IFERROR(__xludf.DUMMYFUNCTION("googletranslate(L393, ""fr"", ""nl"")"),"#VALUE!")</f>
        <v>#VALUE!</v>
      </c>
      <c r="N393" s="163"/>
      <c r="O393" s="49" t="str">
        <f ca="1">IFERROR(__xludf.DUMMYFUNCTION("googletranslate(N393, ""fr"", ""nl"")"),"#VALUE!")</f>
        <v>#VALUE!</v>
      </c>
      <c r="P393" s="94"/>
      <c r="Q393" s="49" t="str">
        <f ca="1">IFERROR(__xludf.DUMMYFUNCTION("GOOGLETRANSLATE(P393, ""fr"", ""nl"")"),"#VALUE!")</f>
        <v>#VALUE!</v>
      </c>
      <c r="R393" s="161"/>
      <c r="S393" s="52" t="str">
        <f ca="1">IFERROR(__xludf.DUMMYFUNCTION("GOOGLETRANSLATE(R393, ""fr"", ""nl"")"),"#VALUE!")</f>
        <v>#VALUE!</v>
      </c>
      <c r="T393" s="53" t="s">
        <v>32</v>
      </c>
      <c r="U393" s="54" t="str">
        <f ca="1">IFERROR(__xludf.DUMMYFUNCTION("GOOGLETRANSLATE(T393, ""fr"", ""nl"")"),"Op 30 ° C max
Gebruik geen bleekmiddel
Gebruik geen van de droger
Strijken op gemiddelde temperatuur
Niet stomen")</f>
        <v>Op 30 ° C max
Gebruik geen bleekmiddel
Gebruik geen van de droger
Strijken op gemiddelde temperatuur
Niet stomen</v>
      </c>
      <c r="V393" s="62" t="s">
        <v>1388</v>
      </c>
      <c r="W393" s="56"/>
    </row>
    <row r="394" spans="1:23" ht="15.75" customHeight="1">
      <c r="A394" s="167" t="s">
        <v>1465</v>
      </c>
      <c r="B394" s="93">
        <v>28</v>
      </c>
      <c r="C394" s="136"/>
      <c r="D394" s="136"/>
      <c r="E394" s="158"/>
      <c r="F394" s="159" t="s">
        <v>1383</v>
      </c>
      <c r="G394" s="159" t="s">
        <v>1448</v>
      </c>
      <c r="H394" s="44" t="s">
        <v>1466</v>
      </c>
      <c r="I394" s="45"/>
      <c r="J394" s="137" t="s">
        <v>1467</v>
      </c>
      <c r="K394" s="178"/>
      <c r="L394" s="178" t="s">
        <v>1468</v>
      </c>
      <c r="M394" s="48" t="str">
        <f ca="1">IFERROR(__xludf.DUMMYFUNCTION("googletranslate(L394, ""fr"", ""nl"")")," :
- Recht model jacket
- Lange mouwen
- Met rits opening
- Capuchon met contrast koord
- manchetten, tailleband en geribde randen stretch
- Kangaroo pocket
- Kanten contrasterende boorden
- uitsluitend gedrukt geborduurd achterin
- J &amp; JOY geborduurd log"&amp;"o op het hart")</f>
        <v xml:space="preserve"> :
- Recht model jacket
- Lange mouwen
- Met rits opening
- Capuchon met contrast koord
- manchetten, tailleband en geribde randen stretch
- Kangaroo pocket
- Kanten contrasterende boorden
- uitsluitend gedrukt geborduurd achterin
- J &amp; JOY geborduurd logo op het hart</v>
      </c>
      <c r="N394" s="58" t="s">
        <v>1469</v>
      </c>
      <c r="O394" s="49" t="str">
        <f ca="1">IFERROR(__xludf.DUMMYFUNCTION("googletranslate(N394, ""fr"", ""nl"")"),"Met zijn hoge kraag en gedrukte palmen in de rug, blauw sweatshirt met navy veel details roze twister gewoon onze looks!
Draag het met een wit t-shirt of roze jeans en sneakers voor een total look bij de Australische!")</f>
        <v>Met zijn hoge kraag en gedrukte palmen in de rug, blauw sweatshirt met navy veel details roze twister gewoon onze looks!
Draag het met een wit t-shirt of roze jeans en sneakers voor een total look bij de Australische!</v>
      </c>
      <c r="P394" s="50" t="s">
        <v>1065</v>
      </c>
      <c r="Q394" s="49" t="str">
        <f ca="1">IFERROR(__xludf.DUMMYFUNCTION("GOOGLETRANSLATE(P394, ""fr"", ""nl"")"),"Blauw")</f>
        <v>Blauw</v>
      </c>
      <c r="R394" s="175" t="s">
        <v>31</v>
      </c>
      <c r="S394" s="52" t="str">
        <f ca="1">IFERROR(__xludf.DUMMYFUNCTION("GOOGLETRANSLATE(R394, ""fr"", ""nl"")"),"100% katoen")</f>
        <v>100% katoen</v>
      </c>
      <c r="T394" s="53" t="s">
        <v>32</v>
      </c>
      <c r="U394" s="54" t="str">
        <f ca="1">IFERROR(__xludf.DUMMYFUNCTION("GOOGLETRANSLATE(T394, ""fr"", ""nl"")"),"Op 30 ° C max
Gebruik geen bleekmiddel
Gebruik geen van de droger
Strijken op gemiddelde temperatuur
Niet stomen")</f>
        <v>Op 30 ° C max
Gebruik geen bleekmiddel
Gebruik geen van de droger
Strijken op gemiddelde temperatuur
Niet stomen</v>
      </c>
      <c r="V394" s="62" t="s">
        <v>1388</v>
      </c>
      <c r="W394" s="56"/>
    </row>
    <row r="395" spans="1:23" ht="15.75" customHeight="1">
      <c r="A395" s="167" t="s">
        <v>1470</v>
      </c>
      <c r="B395" s="93">
        <v>26</v>
      </c>
      <c r="C395" s="136"/>
      <c r="D395" s="136"/>
      <c r="E395" s="158"/>
      <c r="F395" s="159" t="s">
        <v>1383</v>
      </c>
      <c r="G395" s="159" t="s">
        <v>1448</v>
      </c>
      <c r="H395" s="44" t="s">
        <v>1471</v>
      </c>
      <c r="I395" s="45"/>
      <c r="J395" s="137" t="s">
        <v>1472</v>
      </c>
      <c r="K395" s="178"/>
      <c r="L395" s="178" t="s">
        <v>1473</v>
      </c>
      <c r="M395" s="48" t="str">
        <f ca="1">IFERROR(__xludf.DUMMYFUNCTION("googletranslate(L395, ""fr"", ""nl"")")," :
- Tricolor
- Recht model, met een kap omdoen
- Lange mouwen
- Het schrijven van omkeerbare pailletten op de borst
- Kap met gestreepte koordjes in contrasterende
- Geribbelde manchetten stretch
- Koord contratsé in de lage
- Metal Badge J &amp; JOY
")</f>
        <v xml:space="preserve"> :
- Tricolor
- Recht model, met een kap omdoen
- Lange mouwen
- Het schrijven van omkeerbare pailletten op de borst
- Kap met gestreepte koordjes in contrasterende
- Geribbelde manchetten stretch
- Koord contratsé in de lage
- Metal Badge J &amp; JOY
</v>
      </c>
      <c r="N395" s="58" t="s">
        <v>1474</v>
      </c>
      <c r="O395" s="49" t="str">
        <f ca="1">IFERROR(__xludf.DUMMYFUNCTION("googletranslate(N395, ""fr"", ""nl"")"),"Dit sweatshirt roze en rood is absoluut het sterkste deel van onze collectie geïnspireerd Sydney! Beperk op de bodem, het belooft een quickdraw 100% cool. De koele kinderen zullen dragen zonder mate dit seizoen!")</f>
        <v>Dit sweatshirt roze en rood is absoluut het sterkste deel van onze collectie geïnspireerd Sydney! Beperk op de bodem, het belooft een quickdraw 100% cool. De koele kinderen zullen dragen zonder mate dit seizoen!</v>
      </c>
      <c r="P395" s="50" t="s">
        <v>323</v>
      </c>
      <c r="Q395" s="49" t="str">
        <f ca="1">IFERROR(__xludf.DUMMYFUNCTION("GOOGLETRANSLATE(P395, ""fr"", ""nl"")"),"veelkleurig")</f>
        <v>veelkleurig</v>
      </c>
      <c r="R395" s="175" t="s">
        <v>31</v>
      </c>
      <c r="S395" s="52" t="str">
        <f ca="1">IFERROR(__xludf.DUMMYFUNCTION("GOOGLETRANSLATE(R395, ""fr"", ""nl"")"),"100% katoen")</f>
        <v>100% katoen</v>
      </c>
      <c r="T395" s="53" t="s">
        <v>32</v>
      </c>
      <c r="U395" s="54" t="str">
        <f ca="1">IFERROR(__xludf.DUMMYFUNCTION("GOOGLETRANSLATE(T395, ""fr"", ""nl"")"),"Op 30 ° C max
Gebruik geen bleekmiddel
Gebruik geen van de droger
Strijken op gemiddelde temperatuur
Niet stomen")</f>
        <v>Op 30 ° C max
Gebruik geen bleekmiddel
Gebruik geen van de droger
Strijken op gemiddelde temperatuur
Niet stomen</v>
      </c>
      <c r="V395" s="62" t="s">
        <v>1388</v>
      </c>
      <c r="W395" s="56"/>
    </row>
    <row r="396" spans="1:23" ht="15.75" customHeight="1">
      <c r="A396" s="167" t="s">
        <v>1475</v>
      </c>
      <c r="B396" s="93">
        <v>28</v>
      </c>
      <c r="C396" s="136"/>
      <c r="D396" s="136"/>
      <c r="E396" s="158"/>
      <c r="F396" s="159" t="s">
        <v>1383</v>
      </c>
      <c r="G396" s="159" t="s">
        <v>1448</v>
      </c>
      <c r="H396" s="44" t="s">
        <v>1476</v>
      </c>
      <c r="I396" s="45"/>
      <c r="J396" s="137" t="s">
        <v>1477</v>
      </c>
      <c r="K396" s="178"/>
      <c r="L396" s="178" t="s">
        <v>1478</v>
      </c>
      <c r="M396" s="48" t="str">
        <f ca="1">IFERROR(__xludf.DUMMYFUNCTION("googletranslate(L396, ""fr"", ""nl"")")," :
- Recht model jacket
- Lange mouwen
- Met rits opening met contrasterende afwerking
- Kap met valse koordjes in contrasterende
- Interieur kap bedrukt met plantaardige
- manchetten, tailleband en geribde randen stretch
- Kangaroo pocket
- Langzaam met "&amp;"horten en contrasterende sinaasappelen
- Schrijven met plantaardige patroon uitgeplaat in de rug
- J &amp; JOY geborduurd logo op het hart")</f>
        <v xml:space="preserve"> :
- Recht model jacket
- Lange mouwen
- Met rits opening met contrasterende afwerking
- Kap met valse koordjes in contrasterende
- Interieur kap bedrukt met plantaardige
- manchetten, tailleband en geribde randen stretch
- Kangaroo pocket
- Langzaam met horten en contrasterende sinaasappelen
- Schrijven met plantaardige patroon uitgeplaat in de rug
- J &amp; JOY geborduurd logo op het hart</v>
      </c>
      <c r="N396" s="58" t="s">
        <v>1479</v>
      </c>
      <c r="O396" s="49" t="str">
        <f ca="1">IFERROR(__xludf.DUMMYFUNCTION("googletranslate(N396, ""fr"", ""nl"")"),"Geïnspireerd door de Australische stad ""Yulura"" geïsoleerd desert maar de betoverende schoonheid, deze roze trui heeft een inscriptie op de achterkant en een gedrukt ""jungle"" in de kap. Roze, paars en rood: deze tonen worden gecombineerd in deze sweat"&amp;"er te stimuleren onze mousserende outfits dit seizoen!")</f>
        <v>Geïnspireerd door de Australische stad "Yulura" geïsoleerd desert maar de betoverende schoonheid, deze roze trui heeft een inscriptie op de achterkant en een gedrukt "jungle" in de kap. Roze, paars en rood: deze tonen worden gecombineerd in deze sweater te stimuleren onze mousserende outfits dit seizoen!</v>
      </c>
      <c r="P396" s="50"/>
      <c r="Q396" s="49" t="str">
        <f ca="1">IFERROR(__xludf.DUMMYFUNCTION("GOOGLETRANSLATE(P396, ""fr"", ""nl"")"),"#VALUE!")</f>
        <v>#VALUE!</v>
      </c>
      <c r="R396" s="63" t="s">
        <v>31</v>
      </c>
      <c r="S396" s="52" t="str">
        <f ca="1">IFERROR(__xludf.DUMMYFUNCTION("GOOGLETRANSLATE(R396, ""fr"", ""nl"")"),"100% katoen")</f>
        <v>100% katoen</v>
      </c>
      <c r="T396" s="53" t="s">
        <v>32</v>
      </c>
      <c r="U396" s="54" t="str">
        <f ca="1">IFERROR(__xludf.DUMMYFUNCTION("GOOGLETRANSLATE(T396, ""fr"", ""nl"")"),"Op 30 ° C max
Gebruik geen bleekmiddel
Gebruik geen van de droger
Strijken op gemiddelde temperatuur
Niet stomen")</f>
        <v>Op 30 ° C max
Gebruik geen bleekmiddel
Gebruik geen van de droger
Strijken op gemiddelde temperatuur
Niet stomen</v>
      </c>
      <c r="V396" s="62" t="s">
        <v>1388</v>
      </c>
      <c r="W396" s="56"/>
    </row>
    <row r="397" spans="1:23" ht="15.75" customHeight="1">
      <c r="A397" s="235" t="s">
        <v>1337</v>
      </c>
      <c r="B397" s="236"/>
      <c r="C397" s="67"/>
      <c r="D397" s="67"/>
      <c r="E397" s="67"/>
      <c r="F397" s="237"/>
      <c r="G397" s="237"/>
      <c r="H397" s="238"/>
      <c r="I397" s="238"/>
      <c r="J397" s="88"/>
      <c r="K397" s="89"/>
      <c r="L397" s="89"/>
      <c r="M397" s="48" t="str">
        <f ca="1">IFERROR(__xludf.DUMMYFUNCTION("googletranslate(L397, ""fr"", ""nl"")"),"#VALUE!")</f>
        <v>#VALUE!</v>
      </c>
      <c r="N397" s="125"/>
      <c r="O397" s="49" t="str">
        <f ca="1">IFERROR(__xludf.DUMMYFUNCTION("googletranslate(N397, ""fr"", ""nl"")"),"#VALUE!")</f>
        <v>#VALUE!</v>
      </c>
      <c r="P397" s="91"/>
      <c r="Q397" s="49" t="str">
        <f ca="1">IFERROR(__xludf.DUMMYFUNCTION("GOOGLETRANSLATE(P397, ""fr"", ""nl"")"),"#VALUE!")</f>
        <v>#VALUE!</v>
      </c>
      <c r="R397" s="239"/>
      <c r="S397" s="52" t="str">
        <f ca="1">IFERROR(__xludf.DUMMYFUNCTION("GOOGLETRANSLATE(R397, ""fr"", ""nl"")"),"#VALUE!")</f>
        <v>#VALUE!</v>
      </c>
      <c r="T397" s="89"/>
      <c r="U397" s="54" t="str">
        <f ca="1">IFERROR(__xludf.DUMMYFUNCTION("GOOGLETRANSLATE(T397, ""fr"", ""nl"")"),"#VALUE!")</f>
        <v>#VALUE!</v>
      </c>
      <c r="V397" s="140"/>
      <c r="W397" s="240"/>
    </row>
    <row r="398" spans="1:23" ht="15.75" customHeight="1">
      <c r="A398" s="241" t="s">
        <v>1480</v>
      </c>
      <c r="B398" s="106">
        <v>26</v>
      </c>
      <c r="C398" s="104"/>
      <c r="D398" s="104"/>
      <c r="E398" s="152"/>
      <c r="F398" s="242" t="s">
        <v>1383</v>
      </c>
      <c r="G398" s="243" t="s">
        <v>1481</v>
      </c>
      <c r="H398" s="44" t="s">
        <v>602</v>
      </c>
      <c r="I398" s="45"/>
      <c r="J398" s="99" t="s">
        <v>1340</v>
      </c>
      <c r="K398" s="116"/>
      <c r="L398" s="116" t="s">
        <v>1341</v>
      </c>
      <c r="M398" s="48" t="str">
        <f ca="1">IFERROR(__xludf.DUMMYFUNCTION("googletranslate(L398, ""fr"", ""nl"")")," :
- Lange slim fit
- Smal gesneden en aangepast
- Hoog
- Ritssluiting
- 5-pocket-stijl
- Semi-stretch
- Jacron zwarte tape back riem")</f>
        <v xml:space="preserve"> :
- Lange slim fit
- Smal gesneden en aangepast
- Hoog
- Ritssluiting
- 5-pocket-stijl
- Semi-stretch
- Jacron zwarte tape back riem</v>
      </c>
      <c r="N398" s="58" t="s">
        <v>1342</v>
      </c>
      <c r="O398" s="49" t="str">
        <f ca="1">IFERROR(__xludf.DUMMYFUNCTION("googletranslate(N398, ""fr"", ""nl"")"),"Slim en licht elastisch materiaal maken deze heldere blauwe jeans een must voor je garderobe. Zo mooi als het is comfortabel!")</f>
        <v>Slim en licht elastisch materiaal maken deze heldere blauwe jeans een must voor je garderobe. Zo mooi als het is comfortabel!</v>
      </c>
      <c r="P398" s="103" t="s">
        <v>1482</v>
      </c>
      <c r="Q398" s="49" t="str">
        <f ca="1">IFERROR(__xludf.DUMMYFUNCTION("GOOGLETRANSLATE(P398, ""fr"", ""nl"")"),"Lichtblauw")</f>
        <v>Lichtblauw</v>
      </c>
      <c r="R398" s="213" t="s">
        <v>1343</v>
      </c>
      <c r="S398" s="52" t="str">
        <f ca="1">IFERROR(__xludf.DUMMYFUNCTION("GOOGLETRANSLATE(R398, ""fr"", ""nl"")"),"Katoen
Spandex")</f>
        <v>Katoen
Spandex</v>
      </c>
      <c r="T398" s="53" t="s">
        <v>32</v>
      </c>
      <c r="U398" s="54" t="str">
        <f ca="1">IFERROR(__xludf.DUMMYFUNCTION("GOOGLETRANSLATE(T398, ""fr"", ""nl"")"),"Op 30 ° C max
Gebruik geen bleekmiddel
Gebruik geen van de droger
Strijken op gemiddelde temperatuur
Niet stomen")</f>
        <v>Op 30 ° C max
Gebruik geen bleekmiddel
Gebruik geen van de droger
Strijken op gemiddelde temperatuur
Niet stomen</v>
      </c>
      <c r="V398" s="62" t="s">
        <v>1388</v>
      </c>
      <c r="W398" s="101"/>
    </row>
    <row r="399" spans="1:23" ht="15.75" customHeight="1">
      <c r="A399" s="241" t="s">
        <v>1483</v>
      </c>
      <c r="B399" s="106">
        <v>26</v>
      </c>
      <c r="C399" s="104"/>
      <c r="D399" s="104"/>
      <c r="E399" s="152"/>
      <c r="F399" s="242" t="s">
        <v>1383</v>
      </c>
      <c r="G399" s="243" t="s">
        <v>1481</v>
      </c>
      <c r="H399" s="44" t="s">
        <v>602</v>
      </c>
      <c r="I399" s="45"/>
      <c r="J399" s="99" t="s">
        <v>1345</v>
      </c>
      <c r="K399" s="116"/>
      <c r="L399" s="116" t="s">
        <v>1341</v>
      </c>
      <c r="M399" s="48" t="str">
        <f ca="1">IFERROR(__xludf.DUMMYFUNCTION("googletranslate(L399, ""fr"", ""nl"")")," :
- Lange slim fit
- Smal gesneden en aangepast
- Hoog
- Ritssluiting
- 5-pocket-stijl
- Semi-stretch
- Jacron zwarte tape back riem")</f>
        <v xml:space="preserve"> :
- Lange slim fit
- Smal gesneden en aangepast
- Hoog
- Ritssluiting
- 5-pocket-stijl
- Semi-stretch
- Jacron zwarte tape back riem</v>
      </c>
      <c r="N399" s="58" t="s">
        <v>1346</v>
      </c>
      <c r="O399" s="49" t="str">
        <f ca="1">IFERROR(__xludf.DUMMYFUNCTION("googletranslate(N399, ""fr"", ""nl"")"),"Slim en licht elastisch materiaal maken deze donkerblauwe jeans een must voor je garderobe. Zo mooi als het is comfortabel!")</f>
        <v>Slim en licht elastisch materiaal maken deze donkerblauwe jeans een must voor je garderobe. Zo mooi als het is comfortabel!</v>
      </c>
      <c r="P399" s="103" t="s">
        <v>1065</v>
      </c>
      <c r="Q399" s="49" t="str">
        <f ca="1">IFERROR(__xludf.DUMMYFUNCTION("GOOGLETRANSLATE(P399, ""fr"", ""nl"")"),"Blauw")</f>
        <v>Blauw</v>
      </c>
      <c r="R399" s="213" t="s">
        <v>1343</v>
      </c>
      <c r="S399" s="52" t="str">
        <f ca="1">IFERROR(__xludf.DUMMYFUNCTION("GOOGLETRANSLATE(R399, ""fr"", ""nl"")"),"Katoen
Spandex")</f>
        <v>Katoen
Spandex</v>
      </c>
      <c r="T399" s="53" t="s">
        <v>32</v>
      </c>
      <c r="U399" s="54" t="str">
        <f ca="1">IFERROR(__xludf.DUMMYFUNCTION("GOOGLETRANSLATE(T399, ""fr"", ""nl"")"),"Op 30 ° C max
Gebruik geen bleekmiddel
Gebruik geen van de droger
Strijken op gemiddelde temperatuur
Niet stomen")</f>
        <v>Op 30 ° C max
Gebruik geen bleekmiddel
Gebruik geen van de droger
Strijken op gemiddelde temperatuur
Niet stomen</v>
      </c>
      <c r="V399" s="62" t="s">
        <v>1388</v>
      </c>
      <c r="W399" s="101"/>
    </row>
    <row r="400" spans="1:23" ht="15.75" customHeight="1">
      <c r="A400" s="241" t="s">
        <v>1484</v>
      </c>
      <c r="B400" s="106">
        <v>26</v>
      </c>
      <c r="C400" s="104"/>
      <c r="D400" s="104"/>
      <c r="E400" s="152"/>
      <c r="F400" s="242" t="s">
        <v>1383</v>
      </c>
      <c r="G400" s="243" t="s">
        <v>1481</v>
      </c>
      <c r="H400" s="44" t="s">
        <v>602</v>
      </c>
      <c r="I400" s="45"/>
      <c r="J400" s="99" t="s">
        <v>1348</v>
      </c>
      <c r="K400" s="116"/>
      <c r="L400" s="116" t="s">
        <v>1485</v>
      </c>
      <c r="M400" s="48" t="str">
        <f ca="1">IFERROR(__xludf.DUMMYFUNCTION("googletranslate(L400, ""fr"", ""nl"")")," :
- Vintage Cup met een vleiende hoge taille
- Conische de poten
- verwijderbare Ceiture
- Hoog
- Ritssluiting
- 5-pocket-stijl
- Semi-stretch
- Jacron zwarte tape back riem")</f>
        <v xml:space="preserve"> :
- Vintage Cup met een vleiende hoge taille
- Conische de poten
- verwijderbare Ceiture
- Hoog
- Ritssluiting
- 5-pocket-stijl
- Semi-stretch
- Jacron zwarte tape back riem</v>
      </c>
      <c r="N400" s="58" t="s">
        <v>1350</v>
      </c>
      <c r="O400" s="49" t="str">
        <f ca="1">IFERROR(__xludf.DUMMYFUNCTION("googletranslate(N400, ""fr"", ""nl"")"),"Rechte snit en licht elastisch materiaal maken deze heldere blauwe jeans een must voor je garderobe. Zo mooi als het is comfortabel!")</f>
        <v>Rechte snit en licht elastisch materiaal maken deze heldere blauwe jeans een must voor je garderobe. Zo mooi als het is comfortabel!</v>
      </c>
      <c r="P400" s="103" t="s">
        <v>1065</v>
      </c>
      <c r="Q400" s="49" t="str">
        <f ca="1">IFERROR(__xludf.DUMMYFUNCTION("GOOGLETRANSLATE(P400, ""fr"", ""nl"")"),"Blauw")</f>
        <v>Blauw</v>
      </c>
      <c r="R400" s="213" t="s">
        <v>1343</v>
      </c>
      <c r="S400" s="52" t="str">
        <f ca="1">IFERROR(__xludf.DUMMYFUNCTION("GOOGLETRANSLATE(R400, ""fr"", ""nl"")"),"Katoen
Spandex")</f>
        <v>Katoen
Spandex</v>
      </c>
      <c r="T400" s="53" t="s">
        <v>32</v>
      </c>
      <c r="U400" s="54" t="str">
        <f ca="1">IFERROR(__xludf.DUMMYFUNCTION("GOOGLETRANSLATE(T400, ""fr"", ""nl"")"),"Op 30 ° C max
Gebruik geen bleekmiddel
Gebruik geen van de droger
Strijken op gemiddelde temperatuur
Niet stomen")</f>
        <v>Op 30 ° C max
Gebruik geen bleekmiddel
Gebruik geen van de droger
Strijken op gemiddelde temperatuur
Niet stomen</v>
      </c>
      <c r="V400" s="62" t="s">
        <v>1388</v>
      </c>
      <c r="W400" s="101"/>
    </row>
    <row r="401" spans="1:23" ht="15.75" customHeight="1">
      <c r="A401" s="241" t="s">
        <v>1486</v>
      </c>
      <c r="B401" s="106">
        <v>26</v>
      </c>
      <c r="C401" s="104"/>
      <c r="D401" s="104"/>
      <c r="E401" s="152"/>
      <c r="F401" s="242" t="s">
        <v>1383</v>
      </c>
      <c r="G401" s="243" t="s">
        <v>1481</v>
      </c>
      <c r="H401" s="44" t="s">
        <v>602</v>
      </c>
      <c r="I401" s="45"/>
      <c r="J401" s="99" t="s">
        <v>1352</v>
      </c>
      <c r="K401" s="116"/>
      <c r="L401" s="116" t="s">
        <v>1485</v>
      </c>
      <c r="M401" s="48" t="str">
        <f ca="1">IFERROR(__xludf.DUMMYFUNCTION("googletranslate(L401, ""fr"", ""nl"")")," :
- Vintage Cup met een vleiende hoge taille
- Conische de poten
- verwijderbare Ceiture
- Hoog
- Ritssluiting
- 5-pocket-stijl
- Semi-stretch
- Jacron zwarte tape back riem")</f>
        <v xml:space="preserve"> :
- Vintage Cup met een vleiende hoge taille
- Conische de poten
- verwijderbare Ceiture
- Hoog
- Ritssluiting
- 5-pocket-stijl
- Semi-stretch
- Jacron zwarte tape back riem</v>
      </c>
      <c r="N401" s="58" t="s">
        <v>1353</v>
      </c>
      <c r="O401" s="49" t="str">
        <f ca="1">IFERROR(__xludf.DUMMYFUNCTION("googletranslate(N401, ""fr"", ""nl"")"),"Rechte snit en licht elastische jeans maken dit een must voor je garderobe. Zo mooi als het is comfortabel!")</f>
        <v>Rechte snit en licht elastische jeans maken dit een must voor je garderobe. Zo mooi als het is comfortabel!</v>
      </c>
      <c r="P401" s="103" t="s">
        <v>1065</v>
      </c>
      <c r="Q401" s="49" t="str">
        <f ca="1">IFERROR(__xludf.DUMMYFUNCTION("GOOGLETRANSLATE(P401, ""fr"", ""nl"")"),"Blauw")</f>
        <v>Blauw</v>
      </c>
      <c r="R401" s="213" t="s">
        <v>1343</v>
      </c>
      <c r="S401" s="52" t="str">
        <f ca="1">IFERROR(__xludf.DUMMYFUNCTION("GOOGLETRANSLATE(R401, ""fr"", ""nl"")"),"Katoen
Spandex")</f>
        <v>Katoen
Spandex</v>
      </c>
      <c r="T401" s="53" t="s">
        <v>32</v>
      </c>
      <c r="U401" s="54" t="str">
        <f ca="1">IFERROR(__xludf.DUMMYFUNCTION("GOOGLETRANSLATE(T401, ""fr"", ""nl"")"),"Op 30 ° C max
Gebruik geen bleekmiddel
Gebruik geen van de droger
Strijken op gemiddelde temperatuur
Niet stomen")</f>
        <v>Op 30 ° C max
Gebruik geen bleekmiddel
Gebruik geen van de droger
Strijken op gemiddelde temperatuur
Niet stomen</v>
      </c>
      <c r="V401" s="62" t="s">
        <v>1388</v>
      </c>
      <c r="W401" s="101"/>
    </row>
    <row r="402" spans="1:23" ht="15.75" customHeight="1">
      <c r="A402" s="84" t="s">
        <v>1263</v>
      </c>
      <c r="B402" s="85"/>
      <c r="C402" s="67"/>
      <c r="D402" s="67"/>
      <c r="E402" s="67"/>
      <c r="F402" s="87"/>
      <c r="G402" s="87"/>
      <c r="H402" s="87"/>
      <c r="I402" s="26"/>
      <c r="J402" s="88" t="s">
        <v>677</v>
      </c>
      <c r="K402" s="89"/>
      <c r="L402" s="89"/>
      <c r="M402" s="48" t="str">
        <f ca="1">IFERROR(__xludf.DUMMYFUNCTION("googletranslate(L402, ""fr"", ""nl"")"),"#VALUE!")</f>
        <v>#VALUE!</v>
      </c>
      <c r="N402" s="125"/>
      <c r="O402" s="49" t="str">
        <f ca="1">IFERROR(__xludf.DUMMYFUNCTION("googletranslate(N402, ""fr"", ""nl"")"),"#VALUE!")</f>
        <v>#VALUE!</v>
      </c>
      <c r="P402" s="91"/>
      <c r="Q402" s="49" t="str">
        <f ca="1">IFERROR(__xludf.DUMMYFUNCTION("GOOGLETRANSLATE(P402, ""fr"", ""nl"")"),"#VALUE!")</f>
        <v>#VALUE!</v>
      </c>
      <c r="R402" s="92"/>
      <c r="S402" s="52" t="str">
        <f ca="1">IFERROR(__xludf.DUMMYFUNCTION("GOOGLETRANSLATE(R402, ""fr"", ""nl"")"),"#VALUE!")</f>
        <v>#VALUE!</v>
      </c>
      <c r="T402" s="89"/>
      <c r="U402" s="54" t="str">
        <f ca="1">IFERROR(__xludf.DUMMYFUNCTION("GOOGLETRANSLATE(T402, ""fr"", ""nl"")"),"#VALUE!")</f>
        <v>#VALUE!</v>
      </c>
      <c r="V402" s="140"/>
      <c r="W402" s="38"/>
    </row>
    <row r="403" spans="1:23" ht="15.75" customHeight="1">
      <c r="A403" s="180" t="s">
        <v>1487</v>
      </c>
      <c r="B403" s="93">
        <v>24</v>
      </c>
      <c r="C403" s="136"/>
      <c r="D403" s="136"/>
      <c r="E403" s="158"/>
      <c r="F403" s="159" t="s">
        <v>1383</v>
      </c>
      <c r="G403" s="159" t="s">
        <v>1481</v>
      </c>
      <c r="H403" s="44" t="s">
        <v>1266</v>
      </c>
      <c r="I403" s="45"/>
      <c r="J403" s="137" t="s">
        <v>1488</v>
      </c>
      <c r="K403" s="137"/>
      <c r="L403" s="137"/>
      <c r="M403" s="48" t="str">
        <f ca="1">IFERROR(__xludf.DUMMYFUNCTION("googletranslate(L403, ""fr"", ""nl"")"),"#VALUE!")</f>
        <v>#VALUE!</v>
      </c>
      <c r="N403" s="163"/>
      <c r="O403" s="49" t="str">
        <f ca="1">IFERROR(__xludf.DUMMYFUNCTION("googletranslate(N403, ""fr"", ""nl"")"),"#VALUE!")</f>
        <v>#VALUE!</v>
      </c>
      <c r="P403" s="94"/>
      <c r="Q403" s="49" t="str">
        <f ca="1">IFERROR(__xludf.DUMMYFUNCTION("GOOGLETRANSLATE(P403, ""fr"", ""nl"")"),"#VALUE!")</f>
        <v>#VALUE!</v>
      </c>
      <c r="R403" s="110"/>
      <c r="S403" s="52" t="str">
        <f ca="1">IFERROR(__xludf.DUMMYFUNCTION("GOOGLETRANSLATE(R403, ""fr"", ""nl"")"),"#VALUE!")</f>
        <v>#VALUE!</v>
      </c>
      <c r="T403" s="53" t="s">
        <v>32</v>
      </c>
      <c r="U403" s="54" t="str">
        <f ca="1">IFERROR(__xludf.DUMMYFUNCTION("GOOGLETRANSLATE(T403, ""fr"", ""nl"")"),"Op 30 ° C max
Gebruik geen bleekmiddel
Gebruik geen van de droger
Strijken op gemiddelde temperatuur
Niet stomen")</f>
        <v>Op 30 ° C max
Gebruik geen bleekmiddel
Gebruik geen van de droger
Strijken op gemiddelde temperatuur
Niet stomen</v>
      </c>
      <c r="V403" s="62" t="s">
        <v>1388</v>
      </c>
      <c r="W403" s="56"/>
    </row>
    <row r="404" spans="1:23" ht="15.75" customHeight="1">
      <c r="A404" s="164" t="s">
        <v>1489</v>
      </c>
      <c r="B404" s="136"/>
      <c r="C404" s="136"/>
      <c r="D404" s="136"/>
      <c r="E404" s="158"/>
      <c r="F404" s="159" t="s">
        <v>1383</v>
      </c>
      <c r="G404" s="159" t="s">
        <v>1481</v>
      </c>
      <c r="H404" s="44" t="s">
        <v>1269</v>
      </c>
      <c r="I404" s="45"/>
      <c r="J404" s="137" t="s">
        <v>1490</v>
      </c>
      <c r="K404" s="46"/>
      <c r="L404" s="46"/>
      <c r="M404" s="48" t="str">
        <f ca="1">IFERROR(__xludf.DUMMYFUNCTION("googletranslate(L404, ""fr"", ""nl"")"),"#VALUE!")</f>
        <v>#VALUE!</v>
      </c>
      <c r="N404" s="58" t="s">
        <v>1491</v>
      </c>
      <c r="O404" s="49" t="str">
        <f ca="1">IFERROR(__xludf.DUMMYFUNCTION("googletranslate(N404, ""fr"", ""nl"")"),"In de voorhoede van de mode, de losse broek en een krachtige roze is het middelpunt van een succesvolle look. Met een t-shirt, shirt of trui, deze broek maakt elk feit, elke keer weer. En bovendien, het is super comfortabel en draagbaar in alle situaties.")</f>
        <v>In de voorhoede van de mode, de losse broek en een krachtige roze is het middelpunt van een succesvolle look. Met een t-shirt, shirt of trui, deze broek maakt elk feit, elke keer weer. En bovendien, het is super comfortabel en draagbaar in alle situaties.</v>
      </c>
      <c r="P404" s="94"/>
      <c r="Q404" s="49" t="str">
        <f ca="1">IFERROR(__xludf.DUMMYFUNCTION("GOOGLETRANSLATE(P404, ""fr"", ""nl"")"),"#VALUE!")</f>
        <v>#VALUE!</v>
      </c>
      <c r="R404" s="110"/>
      <c r="S404" s="52" t="str">
        <f ca="1">IFERROR(__xludf.DUMMYFUNCTION("GOOGLETRANSLATE(R404, ""fr"", ""nl"")"),"#VALUE!")</f>
        <v>#VALUE!</v>
      </c>
      <c r="T404" s="53" t="s">
        <v>32</v>
      </c>
      <c r="U404" s="54" t="str">
        <f ca="1">IFERROR(__xludf.DUMMYFUNCTION("GOOGLETRANSLATE(T404, ""fr"", ""nl"")"),"Op 30 ° C max
Gebruik geen bleekmiddel
Gebruik geen van de droger
Strijken op gemiddelde temperatuur
Niet stomen")</f>
        <v>Op 30 ° C max
Gebruik geen bleekmiddel
Gebruik geen van de droger
Strijken op gemiddelde temperatuur
Niet stomen</v>
      </c>
      <c r="V404" s="62" t="s">
        <v>1388</v>
      </c>
      <c r="W404" s="56"/>
    </row>
    <row r="405" spans="1:23" ht="15.75" customHeight="1">
      <c r="A405" s="84" t="s">
        <v>1356</v>
      </c>
      <c r="B405" s="85"/>
      <c r="C405" s="67"/>
      <c r="D405" s="67"/>
      <c r="E405" s="67"/>
      <c r="F405" s="87"/>
      <c r="G405" s="87"/>
      <c r="H405" s="87"/>
      <c r="I405" s="26"/>
      <c r="J405" s="88" t="s">
        <v>677</v>
      </c>
      <c r="K405" s="89"/>
      <c r="L405" s="89"/>
      <c r="M405" s="48" t="str">
        <f ca="1">IFERROR(__xludf.DUMMYFUNCTION("googletranslate(L405, ""fr"", ""nl"")"),"#VALUE!")</f>
        <v>#VALUE!</v>
      </c>
      <c r="N405" s="125"/>
      <c r="O405" s="49" t="str">
        <f ca="1">IFERROR(__xludf.DUMMYFUNCTION("googletranslate(N405, ""fr"", ""nl"")"),"#VALUE!")</f>
        <v>#VALUE!</v>
      </c>
      <c r="P405" s="91"/>
      <c r="Q405" s="49" t="str">
        <f ca="1">IFERROR(__xludf.DUMMYFUNCTION("GOOGLETRANSLATE(P405, ""fr"", ""nl"")"),"#VALUE!")</f>
        <v>#VALUE!</v>
      </c>
      <c r="R405" s="92"/>
      <c r="S405" s="52" t="str">
        <f ca="1">IFERROR(__xludf.DUMMYFUNCTION("GOOGLETRANSLATE(R405, ""fr"", ""nl"")"),"#VALUE!")</f>
        <v>#VALUE!</v>
      </c>
      <c r="T405" s="89"/>
      <c r="U405" s="54" t="str">
        <f ca="1">IFERROR(__xludf.DUMMYFUNCTION("GOOGLETRANSLATE(T405, ""fr"", ""nl"")"),"#VALUE!")</f>
        <v>#VALUE!</v>
      </c>
      <c r="V405" s="140"/>
      <c r="W405" s="38"/>
    </row>
    <row r="406" spans="1:23" ht="15.75" customHeight="1">
      <c r="A406" s="39" t="s">
        <v>1492</v>
      </c>
      <c r="B406" s="93">
        <v>24</v>
      </c>
      <c r="C406" s="136"/>
      <c r="D406" s="136"/>
      <c r="E406" s="158"/>
      <c r="F406" s="159" t="s">
        <v>1383</v>
      </c>
      <c r="G406" s="159" t="s">
        <v>1493</v>
      </c>
      <c r="H406" s="44" t="s">
        <v>1359</v>
      </c>
      <c r="I406" s="45"/>
      <c r="J406" s="137" t="s">
        <v>1494</v>
      </c>
      <c r="K406" s="178"/>
      <c r="L406" s="178" t="s">
        <v>1495</v>
      </c>
      <c r="M406" s="48" t="str">
        <f ca="1">IFERROR(__xludf.DUMMYFUNCTION("googletranslate(L406, ""fr"", ""nl"")")," :
- Combinatie met asymmetrische short wheel
- Elastiek in de taille
- Afneembare belt
- Rits aan de zijkant
- elastische band")</f>
        <v xml:space="preserve"> :
- Combinatie met asymmetrische short wheel
- Elastiek in de taille
- Afneembare belt
- Rits aan de zijkant
- elastische band</v>
      </c>
      <c r="N406" s="58" t="s">
        <v>1496</v>
      </c>
      <c r="O406" s="49" t="str">
        <f ca="1">IFERROR(__xludf.DUMMYFUNCTION("googletranslate(N406, ""fr"", ""nl"")"),"Deze combinatie shorts is zo mooi als comfortabel om te dragen. Een dunne flens aan één zijde een schouder met ruches anderzijds, en een jungle motief met roze details ... A must!")</f>
        <v>Deze combinatie shorts is zo mooi als comfortabel om te dragen. Een dunne flens aan één zijde een schouder met ruches anderzijds, en een jungle motief met roze details ... A must!</v>
      </c>
      <c r="P406" s="50" t="s">
        <v>1186</v>
      </c>
      <c r="Q406" s="49" t="str">
        <f ca="1">IFERROR(__xludf.DUMMYFUNCTION("GOOGLETRANSLATE(P406, ""fr"", ""nl"")"),"zwart")</f>
        <v>zwart</v>
      </c>
      <c r="R406" s="75" t="s">
        <v>31</v>
      </c>
      <c r="S406" s="52" t="str">
        <f ca="1">IFERROR(__xludf.DUMMYFUNCTION("GOOGLETRANSLATE(R406, ""fr"", ""nl"")"),"100% katoen")</f>
        <v>100% katoen</v>
      </c>
      <c r="T406" s="53" t="s">
        <v>32</v>
      </c>
      <c r="U406" s="54" t="str">
        <f ca="1">IFERROR(__xludf.DUMMYFUNCTION("GOOGLETRANSLATE(T406, ""fr"", ""nl"")"),"Op 30 ° C max
Gebruik geen bleekmiddel
Gebruik geen van de droger
Strijken op gemiddelde temperatuur
Niet stomen")</f>
        <v>Op 30 ° C max
Gebruik geen bleekmiddel
Gebruik geen van de droger
Strijken op gemiddelde temperatuur
Niet stomen</v>
      </c>
      <c r="V406" s="62" t="s">
        <v>1388</v>
      </c>
      <c r="W406" s="56"/>
    </row>
    <row r="407" spans="1:23" ht="15.75" customHeight="1">
      <c r="A407" s="172" t="s">
        <v>1497</v>
      </c>
      <c r="B407" s="93">
        <v>24</v>
      </c>
      <c r="C407" s="136"/>
      <c r="D407" s="136"/>
      <c r="E407" s="158"/>
      <c r="F407" s="159" t="s">
        <v>1383</v>
      </c>
      <c r="G407" s="159" t="s">
        <v>1493</v>
      </c>
      <c r="H407" s="44" t="s">
        <v>1364</v>
      </c>
      <c r="I407" s="45"/>
      <c r="J407" s="137" t="s">
        <v>1498</v>
      </c>
      <c r="K407" s="178"/>
      <c r="L407" s="178" t="s">
        <v>1499</v>
      </c>
      <c r="M407" s="48" t="str">
        <f ca="1">IFERROR(__xludf.DUMMYFUNCTION("googletranslate(L407, ""fr"", ""nl"")")," :
- Shorty
- Grootte contrasterende elastische
- Borduren op het hart
- Open terug met knooppunt
- Zijzakken
")</f>
        <v xml:space="preserve"> :
- Shorty
- Grootte contrasterende elastische
- Borduren op het hart
- Open terug met knooppunt
- Zijzakken
</v>
      </c>
      <c r="N407" s="58" t="s">
        <v>1500</v>
      </c>
      <c r="O407" s="49" t="str">
        <f ca="1">IFERROR(__xludf.DUMMYFUNCTION("googletranslate(N407, ""fr"", ""nl"")"),"De gebogen blauwe playsuit is trendy en super leuk! Wear met sneakers of sandalen, het is een onmisbaar onderdeel voor een kleedkamer in de voorhoede van de mode!")</f>
        <v>De gebogen blauwe playsuit is trendy en super leuk! Wear met sneakers of sandalen, het is een onmisbaar onderdeel voor een kleedkamer in de voorhoede van de mode!</v>
      </c>
      <c r="P407" s="50" t="s">
        <v>1065</v>
      </c>
      <c r="Q407" s="49" t="str">
        <f ca="1">IFERROR(__xludf.DUMMYFUNCTION("GOOGLETRANSLATE(P407, ""fr"", ""nl"")"),"Blauw")</f>
        <v>Blauw</v>
      </c>
      <c r="R407" s="50" t="s">
        <v>1175</v>
      </c>
      <c r="S407" s="52" t="str">
        <f ca="1">IFERROR(__xludf.DUMMYFUNCTION("GOOGLETRANSLATE(R407, ""fr"", ""nl"")"),"95% katoen
5% Spandex")</f>
        <v>95% katoen
5% Spandex</v>
      </c>
      <c r="T407" s="53" t="s">
        <v>32</v>
      </c>
      <c r="U407" s="54" t="str">
        <f ca="1">IFERROR(__xludf.DUMMYFUNCTION("GOOGLETRANSLATE(T407, ""fr"", ""nl"")"),"Op 30 ° C max
Gebruik geen bleekmiddel
Gebruik geen van de droger
Strijken op gemiddelde temperatuur
Niet stomen")</f>
        <v>Op 30 ° C max
Gebruik geen bleekmiddel
Gebruik geen van de droger
Strijken op gemiddelde temperatuur
Niet stomen</v>
      </c>
      <c r="V407" s="62" t="s">
        <v>1388</v>
      </c>
      <c r="W407" s="56"/>
    </row>
    <row r="408" spans="1:23" ht="15.75" customHeight="1">
      <c r="A408" s="84" t="s">
        <v>1282</v>
      </c>
      <c r="B408" s="85"/>
      <c r="C408" s="67"/>
      <c r="D408" s="67"/>
      <c r="E408" s="67"/>
      <c r="F408" s="87"/>
      <c r="G408" s="87"/>
      <c r="H408" s="87"/>
      <c r="I408" s="26"/>
      <c r="J408" s="88" t="s">
        <v>677</v>
      </c>
      <c r="K408" s="89"/>
      <c r="L408" s="89"/>
      <c r="M408" s="48" t="str">
        <f ca="1">IFERROR(__xludf.DUMMYFUNCTION("googletranslate(L408, ""fr"", ""nl"")"),"#VALUE!")</f>
        <v>#VALUE!</v>
      </c>
      <c r="N408" s="125"/>
      <c r="O408" s="49" t="str">
        <f ca="1">IFERROR(__xludf.DUMMYFUNCTION("googletranslate(N408, ""fr"", ""nl"")"),"#VALUE!")</f>
        <v>#VALUE!</v>
      </c>
      <c r="P408" s="91"/>
      <c r="Q408" s="49" t="str">
        <f ca="1">IFERROR(__xludf.DUMMYFUNCTION("GOOGLETRANSLATE(P408, ""fr"", ""nl"")"),"#VALUE!")</f>
        <v>#VALUE!</v>
      </c>
      <c r="R408" s="92"/>
      <c r="S408" s="52" t="str">
        <f ca="1">IFERROR(__xludf.DUMMYFUNCTION("GOOGLETRANSLATE(R408, ""fr"", ""nl"")"),"#VALUE!")</f>
        <v>#VALUE!</v>
      </c>
      <c r="T408" s="89"/>
      <c r="U408" s="54" t="str">
        <f ca="1">IFERROR(__xludf.DUMMYFUNCTION("GOOGLETRANSLATE(T408, ""fr"", ""nl"")"),"#VALUE!")</f>
        <v>#VALUE!</v>
      </c>
      <c r="V408" s="140"/>
      <c r="W408" s="38"/>
    </row>
    <row r="409" spans="1:23" ht="15.75" customHeight="1">
      <c r="A409" s="180" t="s">
        <v>1501</v>
      </c>
      <c r="B409" s="93">
        <v>22</v>
      </c>
      <c r="C409" s="136"/>
      <c r="D409" s="136"/>
      <c r="E409" s="158"/>
      <c r="F409" s="159" t="s">
        <v>1383</v>
      </c>
      <c r="G409" s="159" t="s">
        <v>1502</v>
      </c>
      <c r="H409" s="44" t="s">
        <v>1290</v>
      </c>
      <c r="I409" s="45"/>
      <c r="J409" s="137" t="s">
        <v>1503</v>
      </c>
      <c r="K409" s="46"/>
      <c r="L409" s="46"/>
      <c r="M409" s="48" t="str">
        <f ca="1">IFERROR(__xludf.DUMMYFUNCTION("googletranslate(L409, ""fr"", ""nl"")"),"#VALUE!")</f>
        <v>#VALUE!</v>
      </c>
      <c r="N409" s="163"/>
      <c r="O409" s="49" t="str">
        <f ca="1">IFERROR(__xludf.DUMMYFUNCTION("googletranslate(N409, ""fr"", ""nl"")"),"#VALUE!")</f>
        <v>#VALUE!</v>
      </c>
      <c r="P409" s="94"/>
      <c r="Q409" s="49" t="str">
        <f ca="1">IFERROR(__xludf.DUMMYFUNCTION("GOOGLETRANSLATE(P409, ""fr"", ""nl"")"),"#VALUE!")</f>
        <v>#VALUE!</v>
      </c>
      <c r="R409" s="94"/>
      <c r="S409" s="52" t="str">
        <f ca="1">IFERROR(__xludf.DUMMYFUNCTION("GOOGLETRANSLATE(R409, ""fr"", ""nl"")"),"#VALUE!")</f>
        <v>#VALUE!</v>
      </c>
      <c r="T409" s="53" t="s">
        <v>32</v>
      </c>
      <c r="U409" s="54" t="str">
        <f ca="1">IFERROR(__xludf.DUMMYFUNCTION("GOOGLETRANSLATE(T409, ""fr"", ""nl"")"),"Op 30 ° C max
Gebruik geen bleekmiddel
Gebruik geen van de droger
Strijken op gemiddelde temperatuur
Niet stomen")</f>
        <v>Op 30 ° C max
Gebruik geen bleekmiddel
Gebruik geen van de droger
Strijken op gemiddelde temperatuur
Niet stomen</v>
      </c>
      <c r="V409" s="62" t="s">
        <v>1388</v>
      </c>
      <c r="W409" s="56"/>
    </row>
    <row r="410" spans="1:23" ht="15.75" customHeight="1">
      <c r="A410" s="167" t="s">
        <v>1504</v>
      </c>
      <c r="B410" s="93">
        <v>20</v>
      </c>
      <c r="C410" s="136"/>
      <c r="D410" s="136"/>
      <c r="E410" s="158"/>
      <c r="F410" s="159" t="s">
        <v>1383</v>
      </c>
      <c r="G410" s="159" t="s">
        <v>1502</v>
      </c>
      <c r="H410" s="44" t="s">
        <v>1177</v>
      </c>
      <c r="I410" s="45"/>
      <c r="J410" s="137" t="s">
        <v>1505</v>
      </c>
      <c r="K410" s="178"/>
      <c r="L410" s="178" t="s">
        <v>1506</v>
      </c>
      <c r="M410" s="48" t="str">
        <f ca="1">IFERROR(__xludf.DUMMYFUNCTION("googletranslate(L410, ""fr"", ""nl"")")," :
- knie-lange, gebogen top en uitlopende onderaan
- Zonder mouwen
- Geleid Pattern
- Lichte opening kruis in de rug
- ritssluiting zijopening
- J &amp; JOY geborduurd logo op het hart")</f>
        <v xml:space="preserve"> :
- knie-lange, gebogen top en uitlopende onderaan
- Zonder mouwen
- Geleid Pattern
- Lichte opening kruis in de rug
- ritssluiting zijopening
- J &amp; JOY geborduurd logo op het hart</v>
      </c>
      <c r="N410" s="48" t="s">
        <v>1507</v>
      </c>
      <c r="O410" s="49" t="str">
        <f ca="1">IFERROR(__xludf.DUMMYFUNCTION("googletranslate(N410, ""fr"", ""nl"")"),"Met gestippelde motieven geïnspireerd door de Australische Aboriginal kunst, dat rode jurk is perfect voor de zomer plezier! De cut ""skater"" en terug werkte resoluut origineel. Deze jurk past op alle omstandigheden en kan gedragen worden met sneakers al"&amp;"s sandalen.")</f>
        <v>Met gestippelde motieven geïnspireerd door de Australische Aboriginal kunst, dat rode jurk is perfect voor de zomer plezier! De cut "skater" en terug werkte resoluut origineel. Deze jurk past op alle omstandigheden en kan gedragen worden met sneakers als sandalen.</v>
      </c>
      <c r="P410" s="50" t="s">
        <v>1121</v>
      </c>
      <c r="Q410" s="49" t="str">
        <f ca="1">IFERROR(__xludf.DUMMYFUNCTION("GOOGLETRANSLATE(P410, ""fr"", ""nl"")"),"Roze")</f>
        <v>Roze</v>
      </c>
      <c r="R410" s="50" t="s">
        <v>31</v>
      </c>
      <c r="S410" s="52" t="str">
        <f ca="1">IFERROR(__xludf.DUMMYFUNCTION("GOOGLETRANSLATE(R410, ""fr"", ""nl"")"),"100% katoen")</f>
        <v>100% katoen</v>
      </c>
      <c r="T410" s="53" t="s">
        <v>32</v>
      </c>
      <c r="U410" s="54" t="str">
        <f ca="1">IFERROR(__xludf.DUMMYFUNCTION("GOOGLETRANSLATE(T410, ""fr"", ""nl"")"),"Op 30 ° C max
Gebruik geen bleekmiddel
Gebruik geen van de droger
Strijken op gemiddelde temperatuur
Niet stomen")</f>
        <v>Op 30 ° C max
Gebruik geen bleekmiddel
Gebruik geen van de droger
Strijken op gemiddelde temperatuur
Niet stomen</v>
      </c>
      <c r="V410" s="62" t="s">
        <v>1388</v>
      </c>
      <c r="W410" s="56"/>
    </row>
    <row r="411" spans="1:23" ht="15.75" customHeight="1">
      <c r="A411" s="167" t="s">
        <v>1508</v>
      </c>
      <c r="B411" s="93">
        <v>26</v>
      </c>
      <c r="C411" s="136"/>
      <c r="D411" s="136"/>
      <c r="E411" s="158"/>
      <c r="F411" s="159" t="s">
        <v>1383</v>
      </c>
      <c r="G411" s="159" t="s">
        <v>1502</v>
      </c>
      <c r="H411" s="44" t="s">
        <v>1285</v>
      </c>
      <c r="I411" s="45"/>
      <c r="J411" s="137" t="s">
        <v>1509</v>
      </c>
      <c r="K411" s="204"/>
      <c r="L411" s="204" t="s">
        <v>1287</v>
      </c>
      <c r="M411" s="48" t="str">
        <f ca="1">IFERROR(__xludf.DUMMYFUNCTION("googletranslate(L411, ""fr"", ""nl"")")," :
- Lange uitlopende jurk
- Korte mouwen
- kraag
- Zakken op de borst
- Afneembare belt
- Closing dichtgeknoopt
- Side slots in Las laag
")</f>
        <v xml:space="preserve"> :
- Lange uitlopende jurk
- Korte mouwen
- kraag
- Zakken op de borst
- Afneembare belt
- Closing dichtgeknoopt
- Side slots in Las laag
</v>
      </c>
      <c r="N411" s="58" t="s">
        <v>1510</v>
      </c>
      <c r="O411" s="49" t="str">
        <f ca="1">IFERROR(__xludf.DUMMYFUNCTION("googletranslate(N411, ""fr"", ""nl"")"),"Dit is de favoriete jurk van onze garderobe dit seizoen! Met zijn kleurrijke patroon als best leuk, dit kleed is zowel een tijdloze klassieker en trendy model. We nooit moe!
Dragen sportschoenen met witte of gekleurde Converse voor een blik van 100% cool!")</f>
        <v>Dit is de favoriete jurk van onze garderobe dit seizoen! Met zijn kleurrijke patroon als best leuk, dit kleed is zowel een tijdloze klassieker en trendy model. We nooit moe!
Dragen sportschoenen met witte of gekleurde Converse voor een blik van 100% cool!</v>
      </c>
      <c r="P411" s="50" t="s">
        <v>1121</v>
      </c>
      <c r="Q411" s="49" t="str">
        <f ca="1">IFERROR(__xludf.DUMMYFUNCTION("GOOGLETRANSLATE(P411, ""fr"", ""nl"")"),"Roze")</f>
        <v>Roze</v>
      </c>
      <c r="R411" s="50" t="s">
        <v>1246</v>
      </c>
      <c r="S411" s="52" t="str">
        <f ca="1">IFERROR(__xludf.DUMMYFUNCTION("GOOGLETRANSLATE(R411, ""fr"", ""nl"")"),"100% viscose")</f>
        <v>100% viscose</v>
      </c>
      <c r="T411" s="53" t="s">
        <v>32</v>
      </c>
      <c r="U411" s="54" t="str">
        <f ca="1">IFERROR(__xludf.DUMMYFUNCTION("GOOGLETRANSLATE(T411, ""fr"", ""nl"")"),"Op 30 ° C max
Gebruik geen bleekmiddel
Gebruik geen van de droger
Strijken op gemiddelde temperatuur
Niet stomen")</f>
        <v>Op 30 ° C max
Gebruik geen bleekmiddel
Gebruik geen van de droger
Strijken op gemiddelde temperatuur
Niet stomen</v>
      </c>
      <c r="V411" s="62" t="s">
        <v>1388</v>
      </c>
      <c r="W411" s="56"/>
    </row>
    <row r="412" spans="1:23" ht="15.75" customHeight="1">
      <c r="A412" s="167" t="s">
        <v>1511</v>
      </c>
      <c r="B412" s="93">
        <v>20</v>
      </c>
      <c r="C412" s="136"/>
      <c r="D412" s="136"/>
      <c r="E412" s="158"/>
      <c r="F412" s="159" t="s">
        <v>1383</v>
      </c>
      <c r="G412" s="159" t="s">
        <v>1502</v>
      </c>
      <c r="H412" s="44" t="s">
        <v>1512</v>
      </c>
      <c r="I412" s="45"/>
      <c r="J412" s="137" t="s">
        <v>1513</v>
      </c>
      <c r="K412" s="178"/>
      <c r="L412" s="178" t="s">
        <v>1514</v>
      </c>
      <c r="M412" s="48" t="str">
        <f ca="1">IFERROR(__xludf.DUMMYFUNCTION("googletranslate(L412, ""fr"", ""nl"")")," :
- knie-lange, gebogen top en uitlopende onderaan
- Stretch Cotton Piqué, rood
- Zonder mouwen
- Borduren op top
- J &amp; JOY geborduurd logo op het hart
- Badge J &amp; JOY metaal op de bodem
- Effect 2 in 1
- Top met knooppunt
- sluiten van band knoopsgat aa"&amp;"n de achterkant")</f>
        <v xml:space="preserve"> :
- knie-lange, gebogen top en uitlopende onderaan
- Stretch Cotton Piqué, rood
- Zonder mouwen
- Borduren op top
- J &amp; JOY geborduurd logo op het hart
- Badge J &amp; JOY metaal op de bodem
- Effect 2 in 1
- Top met knooppunt
- sluiten van band knoopsgat aan de achterkant</v>
      </c>
      <c r="N412" s="58" t="s">
        <v>1515</v>
      </c>
      <c r="O412" s="49" t="str">
        <f ca="1">IFERROR(__xludf.DUMMYFUNCTION("googletranslate(N412, ""fr"", ""nl"")"),"Een fonkelende rode jurk met een strik aan de voorkant dat meisjes zal verrukken deze zomer!")</f>
        <v>Een fonkelende rode jurk met een strik aan de voorkant dat meisjes zal verrukken deze zomer!</v>
      </c>
      <c r="P412" s="50" t="s">
        <v>585</v>
      </c>
      <c r="Q412" s="49" t="str">
        <f ca="1">IFERROR(__xludf.DUMMYFUNCTION("GOOGLETRANSLATE(P412, ""fr"", ""nl"")"),"Rood")</f>
        <v>Rood</v>
      </c>
      <c r="R412" s="50" t="s">
        <v>31</v>
      </c>
      <c r="S412" s="52" t="str">
        <f ca="1">IFERROR(__xludf.DUMMYFUNCTION("GOOGLETRANSLATE(R412, ""fr"", ""nl"")"),"100% katoen")</f>
        <v>100% katoen</v>
      </c>
      <c r="T412" s="53" t="s">
        <v>32</v>
      </c>
      <c r="U412" s="54" t="str">
        <f ca="1">IFERROR(__xludf.DUMMYFUNCTION("GOOGLETRANSLATE(T412, ""fr"", ""nl"")"),"Op 30 ° C max
Gebruik geen bleekmiddel
Gebruik geen van de droger
Strijken op gemiddelde temperatuur
Niet stomen")</f>
        <v>Op 30 ° C max
Gebruik geen bleekmiddel
Gebruik geen van de droger
Strijken op gemiddelde temperatuur
Niet stomen</v>
      </c>
      <c r="V412" s="62" t="s">
        <v>1388</v>
      </c>
      <c r="W412" s="56"/>
    </row>
    <row r="413" spans="1:23" ht="15.75" customHeight="1">
      <c r="A413" s="84" t="s">
        <v>1320</v>
      </c>
      <c r="B413" s="85"/>
      <c r="C413" s="67"/>
      <c r="D413" s="67"/>
      <c r="E413" s="67"/>
      <c r="F413" s="87"/>
      <c r="G413" s="87"/>
      <c r="H413" s="87"/>
      <c r="I413" s="26"/>
      <c r="J413" s="88" t="s">
        <v>677</v>
      </c>
      <c r="K413" s="89"/>
      <c r="L413" s="89"/>
      <c r="M413" s="48" t="str">
        <f ca="1">IFERROR(__xludf.DUMMYFUNCTION("googletranslate(L413, ""fr"", ""nl"")"),"#VALUE!")</f>
        <v>#VALUE!</v>
      </c>
      <c r="N413" s="125"/>
      <c r="O413" s="49" t="str">
        <f ca="1">IFERROR(__xludf.DUMMYFUNCTION("googletranslate(N413, ""fr"", ""nl"")"),"#VALUE!")</f>
        <v>#VALUE!</v>
      </c>
      <c r="P413" s="91"/>
      <c r="Q413" s="49" t="str">
        <f ca="1">IFERROR(__xludf.DUMMYFUNCTION("GOOGLETRANSLATE(P413, ""fr"", ""nl"")"),"#VALUE!")</f>
        <v>#VALUE!</v>
      </c>
      <c r="R413" s="92"/>
      <c r="S413" s="52" t="str">
        <f ca="1">IFERROR(__xludf.DUMMYFUNCTION("GOOGLETRANSLATE(R413, ""fr"", ""nl"")"),"#VALUE!")</f>
        <v>#VALUE!</v>
      </c>
      <c r="T413" s="89"/>
      <c r="U413" s="54" t="str">
        <f ca="1">IFERROR(__xludf.DUMMYFUNCTION("GOOGLETRANSLATE(T413, ""fr"", ""nl"")"),"#VALUE!")</f>
        <v>#VALUE!</v>
      </c>
      <c r="V413" s="140"/>
      <c r="W413" s="38"/>
    </row>
    <row r="414" spans="1:23" ht="15.75" customHeight="1">
      <c r="A414" s="211" t="s">
        <v>1516</v>
      </c>
      <c r="B414" s="93">
        <v>34</v>
      </c>
      <c r="C414" s="136"/>
      <c r="D414" s="136"/>
      <c r="E414" s="152"/>
      <c r="F414" s="153" t="s">
        <v>1383</v>
      </c>
      <c r="G414" s="153" t="s">
        <v>1517</v>
      </c>
      <c r="H414" s="44" t="s">
        <v>1518</v>
      </c>
      <c r="I414" s="45"/>
      <c r="J414" s="141" t="s">
        <v>1519</v>
      </c>
      <c r="K414" s="178"/>
      <c r="L414" s="178" t="s">
        <v>1520</v>
      </c>
      <c r="M414" s="48" t="str">
        <f ca="1">IFERROR(__xludf.DUMMYFUNCTION("googletranslate(L414, ""fr"", ""nl"")"),"  :
- denim fabric
- Rechte snede
- Met rits opening
- kraag
- Lange mouwen en manchetten
- Borstzakken
- Geweven Gedrukt op de rug een beetje glitter
- zijdelingse klemlijsten in de onderste")</f>
        <v xml:space="preserve">  :
- denim fabric
- Rechte snede
- Met rits opening
- kraag
- Lange mouwen en manchetten
- Borstzakken
- Geweven Gedrukt op de rug een beetje glitter
- zijdelingse klemlijsten in de onderste</v>
      </c>
      <c r="N414" s="76" t="s">
        <v>1521</v>
      </c>
      <c r="O414" s="49" t="str">
        <f ca="1">IFERROR(__xludf.DUMMYFUNCTION("googletranslate(N414, ""fr"", ""nl"")"),"Dit is de jas trend dit seizoen voor de meisjes! White denim stof, deze lichtgewicht jas gaat met alles: een jurk, een rok of jeans!
In de rug, een mooie illustratie rood, roze en paars vertegenwoordigt de Australische Outback en landschappen terracotta a"&amp;"dembenemend.
")</f>
        <v xml:space="preserve">Dit is de jas trend dit seizoen voor de meisjes! White denim stof, deze lichtgewicht jas gaat met alles: een jurk, een rok of jeans!
In de rug, een mooie illustratie rood, roze en paars vertegenwoordigt de Australische Outback en landschappen terracotta adembenemend.
</v>
      </c>
      <c r="P414" s="100" t="s">
        <v>752</v>
      </c>
      <c r="Q414" s="49" t="str">
        <f ca="1">IFERROR(__xludf.DUMMYFUNCTION("GOOGLETRANSLATE(P414, ""fr"", ""nl"")"),"Wit")</f>
        <v>Wit</v>
      </c>
      <c r="R414" s="123" t="s">
        <v>31</v>
      </c>
      <c r="S414" s="52" t="str">
        <f ca="1">IFERROR(__xludf.DUMMYFUNCTION("GOOGLETRANSLATE(R414, ""fr"", ""nl"")"),"100% katoen")</f>
        <v>100% katoen</v>
      </c>
      <c r="T414" s="53" t="s">
        <v>32</v>
      </c>
      <c r="U414" s="54" t="str">
        <f ca="1">IFERROR(__xludf.DUMMYFUNCTION("GOOGLETRANSLATE(T414, ""fr"", ""nl"")"),"Op 30 ° C max
Gebruik geen bleekmiddel
Gebruik geen van de droger
Strijken op gemiddelde temperatuur
Niet stomen")</f>
        <v>Op 30 ° C max
Gebruik geen bleekmiddel
Gebruik geen van de droger
Strijken op gemiddelde temperatuur
Niet stomen</v>
      </c>
      <c r="V414" s="62" t="s">
        <v>1388</v>
      </c>
      <c r="W414" s="101"/>
    </row>
    <row r="415" spans="1:23" ht="15.75" customHeight="1">
      <c r="A415" s="172" t="s">
        <v>1522</v>
      </c>
      <c r="B415" s="93">
        <v>36</v>
      </c>
      <c r="C415" s="136"/>
      <c r="D415" s="136"/>
      <c r="E415" s="152"/>
      <c r="F415" s="153" t="s">
        <v>1383</v>
      </c>
      <c r="G415" s="153" t="s">
        <v>1517</v>
      </c>
      <c r="H415" s="44" t="s">
        <v>1523</v>
      </c>
      <c r="I415" s="45"/>
      <c r="J415" s="141" t="s">
        <v>1524</v>
      </c>
      <c r="K415" s="204"/>
      <c r="L415" s="204" t="s">
        <v>1525</v>
      </c>
      <c r="M415" s="48" t="str">
        <f ca="1">IFERROR(__xludf.DUMMYFUNCTION("googletranslate(L415, ""fr"", ""nl"")")," :
- bomber Cup
- Lange mouwen
- hals, elastische manchetten en ceiture
- Verdubbelde
-Imrpimé en borduren op het hart
- Gedrukt op de rug
- Met rits opening met contrasterende afwerking
- gestileerde rand in de nek
- Zijzakken
- J &amp; JOY geborduurd logo o"&amp;"p het hart
")</f>
        <v xml:space="preserve"> :
- bomber Cup
- Lange mouwen
- hals, elastische manchetten en ceiture
- Verdubbelde
-Imrpimé en borduren op het hart
- Gedrukt op de rug
- Met rits opening met contrasterende afwerking
- gestileerde rand in de nek
- Zijzakken
- J &amp; JOY geborduurd logo op het hart
</v>
      </c>
      <c r="N415" s="76" t="s">
        <v>1526</v>
      </c>
      <c r="O415" s="49" t="str">
        <f ca="1">IFERROR(__xludf.DUMMYFUNCTION("googletranslate(N415, ""fr"", ""nl"")"),"Deze jas bommenwerper naar de jungle af te drukken blauwe en roze, is de sterke stuk voor dit seizoen, en is het zinvol!")</f>
        <v>Deze jas bommenwerper naar de jungle af te drukken blauwe en roze, is de sterke stuk voor dit seizoen, en is het zinvol!</v>
      </c>
      <c r="P415" s="100" t="s">
        <v>1065</v>
      </c>
      <c r="Q415" s="49" t="str">
        <f ca="1">IFERROR(__xludf.DUMMYFUNCTION("GOOGLETRANSLATE(P415, ""fr"", ""nl"")"),"Blauw")</f>
        <v>Blauw</v>
      </c>
      <c r="R415" s="123" t="s">
        <v>523</v>
      </c>
      <c r="S415" s="52" t="str">
        <f ca="1">IFERROR(__xludf.DUMMYFUNCTION("GOOGLETRANSLATE(R415, ""fr"", ""nl"")"),"100% Polyester")</f>
        <v>100% Polyester</v>
      </c>
      <c r="T415" s="53" t="s">
        <v>32</v>
      </c>
      <c r="U415" s="54" t="str">
        <f ca="1">IFERROR(__xludf.DUMMYFUNCTION("GOOGLETRANSLATE(T415, ""fr"", ""nl"")"),"Op 30 ° C max
Gebruik geen bleekmiddel
Gebruik geen van de droger
Strijken op gemiddelde temperatuur
Niet stomen")</f>
        <v>Op 30 ° C max
Gebruik geen bleekmiddel
Gebruik geen van de droger
Strijken op gemiddelde temperatuur
Niet stomen</v>
      </c>
      <c r="V415" s="62" t="s">
        <v>1388</v>
      </c>
      <c r="W415" s="101"/>
    </row>
    <row r="416" spans="1:23" ht="15.75" customHeight="1">
      <c r="A416" s="84" t="s">
        <v>1313</v>
      </c>
      <c r="B416" s="85"/>
      <c r="C416" s="67"/>
      <c r="D416" s="67"/>
      <c r="E416" s="67"/>
      <c r="F416" s="87"/>
      <c r="G416" s="87"/>
      <c r="H416" s="87"/>
      <c r="I416" s="26"/>
      <c r="J416" s="88" t="s">
        <v>677</v>
      </c>
      <c r="K416" s="89"/>
      <c r="L416" s="89"/>
      <c r="M416" s="48" t="str">
        <f ca="1">IFERROR(__xludf.DUMMYFUNCTION("googletranslate(L416, ""fr"", ""nl"")"),"#VALUE!")</f>
        <v>#VALUE!</v>
      </c>
      <c r="N416" s="125"/>
      <c r="O416" s="49" t="str">
        <f ca="1">IFERROR(__xludf.DUMMYFUNCTION("googletranslate(N416, ""fr"", ""nl"")"),"#VALUE!")</f>
        <v>#VALUE!</v>
      </c>
      <c r="P416" s="91"/>
      <c r="Q416" s="49" t="str">
        <f ca="1">IFERROR(__xludf.DUMMYFUNCTION("GOOGLETRANSLATE(P416, ""fr"", ""nl"")"),"#VALUE!")</f>
        <v>#VALUE!</v>
      </c>
      <c r="R416" s="92"/>
      <c r="S416" s="52" t="str">
        <f ca="1">IFERROR(__xludf.DUMMYFUNCTION("GOOGLETRANSLATE(R416, ""fr"", ""nl"")"),"#VALUE!")</f>
        <v>#VALUE!</v>
      </c>
      <c r="T416" s="89"/>
      <c r="U416" s="54" t="str">
        <f ca="1">IFERROR(__xludf.DUMMYFUNCTION("GOOGLETRANSLATE(T416, ""fr"", ""nl"")"),"#VALUE!")</f>
        <v>#VALUE!</v>
      </c>
      <c r="V416" s="140"/>
      <c r="W416" s="38"/>
    </row>
    <row r="417" spans="1:23" ht="15.75" customHeight="1">
      <c r="A417" s="244" t="s">
        <v>1527</v>
      </c>
      <c r="B417" s="93">
        <v>20</v>
      </c>
      <c r="C417" s="136"/>
      <c r="D417" s="136"/>
      <c r="E417" s="98"/>
      <c r="F417" s="219" t="s">
        <v>1383</v>
      </c>
      <c r="G417" s="219" t="s">
        <v>1528</v>
      </c>
      <c r="H417" s="44" t="s">
        <v>1316</v>
      </c>
      <c r="I417" s="45"/>
      <c r="J417" s="98" t="s">
        <v>1529</v>
      </c>
      <c r="K417" s="178"/>
      <c r="L417" s="178" t="s">
        <v>1318</v>
      </c>
      <c r="M417" s="48" t="str">
        <f ca="1">IFERROR(__xludf.DUMMYFUNCTION("googletranslate(L417, ""fr"", ""nl"")")," :
- Printed Plooirok
- rok met elastische taille
- Verdubbelde")</f>
        <v xml:space="preserve"> :
- Printed Plooirok
- rok met elastische taille
- Verdubbelde</v>
      </c>
      <c r="N417" s="58" t="s">
        <v>1319</v>
      </c>
      <c r="O417" s="49" t="str">
        <f ca="1">IFERROR(__xludf.DUMMYFUNCTION("googletranslate(N417, ""fr"", ""nl"")"),"Zonder twijfel een van de sterkste delen van onze collectie! Deze lange rok met bloemenprint geplooid roze is onmisbaar in je garderobe. Het wordt gedragen in de zomer met een shirt of blouse, en ook later in het jaar met een grote trui breien! Perfect.")</f>
        <v>Zonder twijfel een van de sterkste delen van onze collectie! Deze lange rok met bloemenprint geplooid roze is onmisbaar in je garderobe. Het wordt gedragen in de zomer met een shirt of blouse, en ook later in het jaar met een grote trui breien! Perfect.</v>
      </c>
      <c r="P417" s="50" t="s">
        <v>1121</v>
      </c>
      <c r="Q417" s="49" t="str">
        <f ca="1">IFERROR(__xludf.DUMMYFUNCTION("GOOGLETRANSLATE(P417, ""fr"", ""nl"")"),"Roze")</f>
        <v>Roze</v>
      </c>
      <c r="R417" s="75" t="s">
        <v>523</v>
      </c>
      <c r="S417" s="52" t="str">
        <f ca="1">IFERROR(__xludf.DUMMYFUNCTION("GOOGLETRANSLATE(R417, ""fr"", ""nl"")"),"100% Polyester")</f>
        <v>100% Polyester</v>
      </c>
      <c r="T417" s="53" t="s">
        <v>32</v>
      </c>
      <c r="U417" s="54" t="str">
        <f ca="1">IFERROR(__xludf.DUMMYFUNCTION("GOOGLETRANSLATE(T417, ""fr"", ""nl"")"),"Op 30 ° C max
Gebruik geen bleekmiddel
Gebruik geen van de droger
Strijken op gemiddelde temperatuur
Niet stomen")</f>
        <v>Op 30 ° C max
Gebruik geen bleekmiddel
Gebruik geen van de droger
Strijken op gemiddelde temperatuur
Niet stomen</v>
      </c>
      <c r="V417" s="62" t="s">
        <v>1388</v>
      </c>
      <c r="W417" s="101"/>
    </row>
    <row r="418" spans="1:23" ht="15.75" customHeight="1">
      <c r="A418" s="245" t="s">
        <v>1530</v>
      </c>
      <c r="B418" s="93">
        <v>24</v>
      </c>
      <c r="C418" s="136"/>
      <c r="D418" s="136"/>
      <c r="E418" s="98"/>
      <c r="F418" s="219" t="s">
        <v>1383</v>
      </c>
      <c r="G418" s="219" t="s">
        <v>1528</v>
      </c>
      <c r="H418" s="44" t="s">
        <v>1374</v>
      </c>
      <c r="I418" s="45"/>
      <c r="J418" s="98" t="s">
        <v>1531</v>
      </c>
      <c r="K418" s="98"/>
      <c r="L418" s="98"/>
      <c r="M418" s="48" t="str">
        <f ca="1">IFERROR(__xludf.DUMMYFUNCTION("googletranslate(L418, ""fr"", ""nl"")"),"#VALUE!")</f>
        <v>#VALUE!</v>
      </c>
      <c r="N418" s="76" t="s">
        <v>1532</v>
      </c>
      <c r="O418" s="49" t="str">
        <f ca="1">IFERROR(__xludf.DUMMYFUNCTION("googletranslate(N418, ""fr"", ""nl"")"),"Met deze mooie rok met rode en witte bloemen patronen, het is het missen van een overhemd en veilig het is om een ​​mooie uitstraling hebben.
Perfect voor naar school te gaan of om de dag door te brengen met familie of vrienden in het weekend!")</f>
        <v>Met deze mooie rok met rode en witte bloemen patronen, het is het missen van een overhemd en veilig het is om een ​​mooie uitstraling hebben.
Perfect voor naar school te gaan of om de dag door te brengen met familie of vrienden in het weekend!</v>
      </c>
      <c r="P418" s="169"/>
      <c r="Q418" s="49" t="str">
        <f ca="1">IFERROR(__xludf.DUMMYFUNCTION("GOOGLETRANSLATE(P418, ""fr"", ""nl"")"),"#VALUE!")</f>
        <v>#VALUE!</v>
      </c>
      <c r="R418" s="226"/>
      <c r="S418" s="52" t="str">
        <f ca="1">IFERROR(__xludf.DUMMYFUNCTION("GOOGLETRANSLATE(R418, ""fr"", ""nl"")"),"#VALUE!")</f>
        <v>#VALUE!</v>
      </c>
      <c r="T418" s="53" t="s">
        <v>32</v>
      </c>
      <c r="U418" s="54" t="str">
        <f ca="1">IFERROR(__xludf.DUMMYFUNCTION("GOOGLETRANSLATE(T418, ""fr"", ""nl"")"),"Op 30 ° C max
Gebruik geen bleekmiddel
Gebruik geen van de droger
Strijken op gemiddelde temperatuur
Niet stomen")</f>
        <v>Op 30 ° C max
Gebruik geen bleekmiddel
Gebruik geen van de droger
Strijken op gemiddelde temperatuur
Niet stomen</v>
      </c>
      <c r="V418" s="62" t="s">
        <v>1388</v>
      </c>
      <c r="W418" s="101"/>
    </row>
    <row r="419" spans="1:23" ht="15.75" customHeight="1">
      <c r="A419" s="84" t="s">
        <v>1228</v>
      </c>
      <c r="B419" s="85"/>
      <c r="C419" s="67"/>
      <c r="D419" s="67"/>
      <c r="E419" s="67"/>
      <c r="F419" s="87"/>
      <c r="G419" s="87"/>
      <c r="H419" s="87"/>
      <c r="I419" s="26"/>
      <c r="J419" s="88"/>
      <c r="K419" s="89"/>
      <c r="L419" s="89"/>
      <c r="M419" s="48" t="str">
        <f ca="1">IFERROR(__xludf.DUMMYFUNCTION("googletranslate(L419, ""fr"", ""nl"")"),"#VALUE!")</f>
        <v>#VALUE!</v>
      </c>
      <c r="N419" s="125"/>
      <c r="O419" s="49" t="str">
        <f ca="1">IFERROR(__xludf.DUMMYFUNCTION("googletranslate(N419, ""fr"", ""nl"")"),"#VALUE!")</f>
        <v>#VALUE!</v>
      </c>
      <c r="P419" s="91"/>
      <c r="Q419" s="49" t="str">
        <f ca="1">IFERROR(__xludf.DUMMYFUNCTION("GOOGLETRANSLATE(P419, ""fr"", ""nl"")"),"#VALUE!")</f>
        <v>#VALUE!</v>
      </c>
      <c r="R419" s="92"/>
      <c r="S419" s="52" t="str">
        <f ca="1">IFERROR(__xludf.DUMMYFUNCTION("GOOGLETRANSLATE(R419, ""fr"", ""nl"")"),"#VALUE!")</f>
        <v>#VALUE!</v>
      </c>
      <c r="T419" s="89"/>
      <c r="U419" s="54" t="str">
        <f ca="1">IFERROR(__xludf.DUMMYFUNCTION("GOOGLETRANSLATE(T419, ""fr"", ""nl"")"),"#VALUE!")</f>
        <v>#VALUE!</v>
      </c>
      <c r="V419" s="140"/>
      <c r="W419" s="38"/>
    </row>
    <row r="420" spans="1:23" ht="15.75" customHeight="1">
      <c r="A420" s="184" t="s">
        <v>1533</v>
      </c>
      <c r="B420" s="93">
        <v>20</v>
      </c>
      <c r="C420" s="136"/>
      <c r="D420" s="136"/>
      <c r="E420" s="98"/>
      <c r="F420" s="219" t="s">
        <v>1383</v>
      </c>
      <c r="G420" s="219" t="s">
        <v>1534</v>
      </c>
      <c r="H420" s="44" t="s">
        <v>1535</v>
      </c>
      <c r="I420" s="45"/>
      <c r="J420" s="141" t="s">
        <v>1536</v>
      </c>
      <c r="K420" s="98"/>
      <c r="L420" s="98"/>
      <c r="M420" s="48" t="str">
        <f ca="1">IFERROR(__xludf.DUMMYFUNCTION("googletranslate(L420, ""fr"", ""nl"")"),"#VALUE!")</f>
        <v>#VALUE!</v>
      </c>
      <c r="N420" s="168"/>
      <c r="O420" s="49" t="str">
        <f ca="1">IFERROR(__xludf.DUMMYFUNCTION("googletranslate(N420, ""fr"", ""nl"")"),"#VALUE!")</f>
        <v>#VALUE!</v>
      </c>
      <c r="P420" s="169"/>
      <c r="Q420" s="49" t="str">
        <f ca="1">IFERROR(__xludf.DUMMYFUNCTION("GOOGLETRANSLATE(P420, ""fr"", ""nl"")"),"#VALUE!")</f>
        <v>#VALUE!</v>
      </c>
      <c r="R420" s="226"/>
      <c r="S420" s="52" t="str">
        <f ca="1">IFERROR(__xludf.DUMMYFUNCTION("GOOGLETRANSLATE(R420, ""fr"", ""nl"")"),"#VALUE!")</f>
        <v>#VALUE!</v>
      </c>
      <c r="T420" s="53" t="s">
        <v>32</v>
      </c>
      <c r="U420" s="54" t="str">
        <f ca="1">IFERROR(__xludf.DUMMYFUNCTION("GOOGLETRANSLATE(T420, ""fr"", ""nl"")"),"Op 30 ° C max
Gebruik geen bleekmiddel
Gebruik geen van de droger
Strijken op gemiddelde temperatuur
Niet stomen")</f>
        <v>Op 30 ° C max
Gebruik geen bleekmiddel
Gebruik geen van de droger
Strijken op gemiddelde temperatuur
Niet stomen</v>
      </c>
      <c r="V420" s="62" t="s">
        <v>1388</v>
      </c>
      <c r="W420" s="101"/>
    </row>
    <row r="421" spans="1:23" ht="15.75" customHeight="1">
      <c r="A421" s="84" t="s">
        <v>1368</v>
      </c>
      <c r="B421" s="85"/>
      <c r="C421" s="67"/>
      <c r="D421" s="67"/>
      <c r="E421" s="67"/>
      <c r="F421" s="87"/>
      <c r="G421" s="87"/>
      <c r="H421" s="87"/>
      <c r="I421" s="26"/>
      <c r="J421" s="88" t="s">
        <v>677</v>
      </c>
      <c r="K421" s="89"/>
      <c r="L421" s="89"/>
      <c r="M421" s="48" t="str">
        <f ca="1">IFERROR(__xludf.DUMMYFUNCTION("googletranslate(L421, ""fr"", ""nl"")"),"#VALUE!")</f>
        <v>#VALUE!</v>
      </c>
      <c r="N421" s="125"/>
      <c r="O421" s="49" t="str">
        <f ca="1">IFERROR(__xludf.DUMMYFUNCTION("googletranslate(N421, ""fr"", ""nl"")"),"#VALUE!")</f>
        <v>#VALUE!</v>
      </c>
      <c r="P421" s="91"/>
      <c r="Q421" s="49" t="str">
        <f ca="1">IFERROR(__xludf.DUMMYFUNCTION("GOOGLETRANSLATE(P421, ""fr"", ""nl"")"),"#VALUE!")</f>
        <v>#VALUE!</v>
      </c>
      <c r="R421" s="92"/>
      <c r="S421" s="52" t="str">
        <f ca="1">IFERROR(__xludf.DUMMYFUNCTION("GOOGLETRANSLATE(R421, ""fr"", ""nl"")"),"#VALUE!")</f>
        <v>#VALUE!</v>
      </c>
      <c r="T421" s="89"/>
      <c r="U421" s="54" t="str">
        <f ca="1">IFERROR(__xludf.DUMMYFUNCTION("GOOGLETRANSLATE(T421, ""fr"", ""nl"")"),"#VALUE!")</f>
        <v>#VALUE!</v>
      </c>
      <c r="V421" s="140"/>
      <c r="W421" s="38"/>
    </row>
    <row r="422" spans="1:23" ht="15.75" customHeight="1">
      <c r="A422" s="225" t="s">
        <v>1537</v>
      </c>
      <c r="B422" s="246">
        <v>10</v>
      </c>
      <c r="C422" s="136"/>
      <c r="D422" s="136"/>
      <c r="E422" s="152"/>
      <c r="F422" s="153" t="s">
        <v>1383</v>
      </c>
      <c r="G422" s="153" t="s">
        <v>1538</v>
      </c>
      <c r="H422" s="44" t="s">
        <v>1371</v>
      </c>
      <c r="I422" s="45"/>
      <c r="J422" s="98" t="s">
        <v>1539</v>
      </c>
      <c r="K422" s="141"/>
      <c r="L422" s="141"/>
      <c r="M422" s="48" t="str">
        <f ca="1">IFERROR(__xludf.DUMMYFUNCTION("googletranslate(L422, ""fr"", ""nl"")"),"#VALUE!")</f>
        <v>#VALUE!</v>
      </c>
      <c r="N422" s="247"/>
      <c r="O422" s="49" t="str">
        <f ca="1">IFERROR(__xludf.DUMMYFUNCTION("googletranslate(N422, ""fr"", ""nl"")"),"#VALUE!")</f>
        <v>#VALUE!</v>
      </c>
      <c r="Q422" s="49" t="str">
        <f ca="1">IFERROR(__xludf.DUMMYFUNCTION("GOOGLETRANSLATE(P422, ""fr"", ""nl"")"),"#VALUE!")</f>
        <v>#VALUE!</v>
      </c>
      <c r="R422" s="248"/>
      <c r="S422" s="52" t="str">
        <f ca="1">IFERROR(__xludf.DUMMYFUNCTION("GOOGLETRANSLATE(R422, ""fr"", ""nl"")"),"#VALUE!")</f>
        <v>#VALUE!</v>
      </c>
      <c r="T422" s="53" t="s">
        <v>32</v>
      </c>
      <c r="U422" s="54" t="str">
        <f ca="1">IFERROR(__xludf.DUMMYFUNCTION("GOOGLETRANSLATE(T422, ""fr"", ""nl"")"),"Op 30 ° C max
Gebruik geen bleekmiddel
Gebruik geen van de droger
Strijken op gemiddelde temperatuur
Niet stomen")</f>
        <v>Op 30 ° C max
Gebruik geen bleekmiddel
Gebruik geen van de droger
Strijken op gemiddelde temperatuur
Niet stomen</v>
      </c>
      <c r="V422" s="62" t="s">
        <v>1388</v>
      </c>
      <c r="W422" s="101"/>
    </row>
    <row r="423" spans="1:23" ht="15.75" customHeight="1">
      <c r="A423" s="227" t="s">
        <v>1540</v>
      </c>
      <c r="B423" s="246">
        <v>10</v>
      </c>
      <c r="C423" s="136"/>
      <c r="D423" s="136"/>
      <c r="E423" s="152"/>
      <c r="F423" s="153" t="s">
        <v>1383</v>
      </c>
      <c r="G423" s="153" t="s">
        <v>1541</v>
      </c>
      <c r="H423" s="44" t="s">
        <v>1374</v>
      </c>
      <c r="I423" s="45"/>
      <c r="J423" s="98" t="s">
        <v>1542</v>
      </c>
      <c r="K423" s="141"/>
      <c r="L423" s="141"/>
      <c r="M423" s="48" t="str">
        <f ca="1">IFERROR(__xludf.DUMMYFUNCTION("googletranslate(L423, ""fr"", ""nl"")"),"#VALUE!")</f>
        <v>#VALUE!</v>
      </c>
      <c r="N423" s="247"/>
      <c r="O423" s="49" t="str">
        <f ca="1">IFERROR(__xludf.DUMMYFUNCTION("googletranslate(N423, ""fr"", ""nl"")"),"#VALUE!")</f>
        <v>#VALUE!</v>
      </c>
      <c r="Q423" s="49" t="str">
        <f ca="1">IFERROR(__xludf.DUMMYFUNCTION("GOOGLETRANSLATE(P423, ""fr"", ""nl"")"),"#VALUE!")</f>
        <v>#VALUE!</v>
      </c>
      <c r="R423" s="248"/>
      <c r="S423" s="52" t="str">
        <f ca="1">IFERROR(__xludf.DUMMYFUNCTION("GOOGLETRANSLATE(R423, ""fr"", ""nl"")"),"#VALUE!")</f>
        <v>#VALUE!</v>
      </c>
      <c r="T423" s="53" t="s">
        <v>32</v>
      </c>
      <c r="U423" s="54" t="str">
        <f ca="1">IFERROR(__xludf.DUMMYFUNCTION("GOOGLETRANSLATE(T423, ""fr"", ""nl"")"),"Op 30 ° C max
Gebruik geen bleekmiddel
Gebruik geen van de droger
Strijken op gemiddelde temperatuur
Niet stomen")</f>
        <v>Op 30 ° C max
Gebruik geen bleekmiddel
Gebruik geen van de droger
Strijken op gemiddelde temperatuur
Niet stomen</v>
      </c>
      <c r="V423" s="62" t="s">
        <v>1388</v>
      </c>
      <c r="W423" s="101"/>
    </row>
    <row r="424" spans="1:23" ht="15.75" customHeight="1">
      <c r="A424" s="84" t="s">
        <v>676</v>
      </c>
      <c r="B424" s="85"/>
      <c r="C424" s="67"/>
      <c r="D424" s="67"/>
      <c r="E424" s="67"/>
      <c r="F424" s="87"/>
      <c r="G424" s="87"/>
      <c r="H424" s="87"/>
      <c r="I424" s="26"/>
      <c r="J424" s="88" t="s">
        <v>677</v>
      </c>
      <c r="K424" s="89"/>
      <c r="L424" s="89"/>
      <c r="M424" s="48" t="str">
        <f ca="1">IFERROR(__xludf.DUMMYFUNCTION("googletranslate(L424, ""fr"", ""nl"")"),"#VALUE!")</f>
        <v>#VALUE!</v>
      </c>
      <c r="N424" s="125"/>
      <c r="O424" s="49" t="str">
        <f ca="1">IFERROR(__xludf.DUMMYFUNCTION("googletranslate(N424, ""fr"", ""nl"")"),"#VALUE!")</f>
        <v>#VALUE!</v>
      </c>
      <c r="P424" s="91"/>
      <c r="Q424" s="49" t="str">
        <f ca="1">IFERROR(__xludf.DUMMYFUNCTION("GOOGLETRANSLATE(P424, ""fr"", ""nl"")"),"#VALUE!")</f>
        <v>#VALUE!</v>
      </c>
      <c r="R424" s="92"/>
      <c r="S424" s="52" t="str">
        <f ca="1">IFERROR(__xludf.DUMMYFUNCTION("GOOGLETRANSLATE(R424, ""fr"", ""nl"")"),"#VALUE!")</f>
        <v>#VALUE!</v>
      </c>
      <c r="T424" s="89"/>
      <c r="U424" s="54" t="str">
        <f ca="1">IFERROR(__xludf.DUMMYFUNCTION("GOOGLETRANSLATE(T424, ""fr"", ""nl"")"),"#VALUE!")</f>
        <v>#VALUE!</v>
      </c>
      <c r="V424" s="140"/>
      <c r="W424" s="38"/>
    </row>
    <row r="425" spans="1:23" ht="15.75" customHeight="1">
      <c r="A425" s="108" t="s">
        <v>1543</v>
      </c>
      <c r="B425" s="143">
        <v>12</v>
      </c>
      <c r="C425" s="136"/>
      <c r="D425" s="136"/>
      <c r="E425" s="152"/>
      <c r="F425" s="153" t="s">
        <v>1383</v>
      </c>
      <c r="G425" s="153" t="s">
        <v>1544</v>
      </c>
      <c r="H425" s="44" t="s">
        <v>1378</v>
      </c>
      <c r="I425" s="45"/>
      <c r="J425" s="98" t="s">
        <v>1545</v>
      </c>
      <c r="K425" s="116"/>
      <c r="L425" s="249" t="s">
        <v>700</v>
      </c>
      <c r="M425" s="48" t="str">
        <f ca="1">IFERROR(__xludf.DUMMYFUNCTION("googletranslate(L425, ""fr"", ""nl"")"),"
- Model baseball cap verenigd
- afgeronde en versterkte visor corduroy
- Geborduurde oogjes voor ventilatie van het hoofd
- nektape
- Verstelbare metalen sluiting achteraan
- J &amp; JOY patch geborduurd op de voorkant")</f>
        <v xml:space="preserve">
- Model baseball cap verenigd
- afgeronde en versterkte visor corduroy
- Geborduurde oogjes voor ventilatie van het hoofd
- nektape
- Verstelbare metalen sluiting achteraan
- J &amp; JOY patch geborduurd op de voorkant</v>
      </c>
      <c r="N425" s="76" t="s">
        <v>1546</v>
      </c>
      <c r="O425" s="49" t="str">
        <f ca="1">IFERROR(__xludf.DUMMYFUNCTION("googletranslate(N425, ""fr"", ""nl"")"),"Deze roze cap is zeer comfortabel om te dragen.
Zijn vizier beschermt de ogen tegen de zon en de ventilatiegaten zijn handig omdat ze allebei kunnen dragen in de zomer dan in de rest van het jaar.
Het belangrijkste: het uw look met stijl voltooit!")</f>
        <v>Deze roze cap is zeer comfortabel om te dragen.
Zijn vizier beschermt de ogen tegen de zon en de ventilatiegaten zijn handig omdat ze allebei kunnen dragen in de zomer dan in de rest van het jaar.
Het belangrijkste: het uw look met stijl voltooit!</v>
      </c>
      <c r="P425" s="103" t="s">
        <v>61</v>
      </c>
      <c r="Q425" s="49" t="str">
        <f ca="1">IFERROR(__xludf.DUMMYFUNCTION("GOOGLETRANSLATE(P425, ""fr"", ""nl"")"),"roze")</f>
        <v>roze</v>
      </c>
      <c r="R425" s="117" t="s">
        <v>31</v>
      </c>
      <c r="S425" s="52" t="str">
        <f ca="1">IFERROR(__xludf.DUMMYFUNCTION("GOOGLETRANSLATE(R425, ""fr"", ""nl"")"),"100% katoen")</f>
        <v>100% katoen</v>
      </c>
      <c r="T425" s="53" t="s">
        <v>32</v>
      </c>
      <c r="U425" s="54" t="str">
        <f ca="1">IFERROR(__xludf.DUMMYFUNCTION("GOOGLETRANSLATE(T425, ""fr"", ""nl"")"),"Op 30 ° C max
Gebruik geen bleekmiddel
Gebruik geen van de droger
Strijken op gemiddelde temperatuur
Niet stomen")</f>
        <v>Op 30 ° C max
Gebruik geen bleekmiddel
Gebruik geen van de droger
Strijken op gemiddelde temperatuur
Niet stomen</v>
      </c>
      <c r="V425" s="62" t="s">
        <v>1388</v>
      </c>
      <c r="W425" s="101"/>
    </row>
    <row r="426" spans="1:23" ht="15.75" customHeight="1">
      <c r="A426" s="56"/>
      <c r="B426" s="56"/>
      <c r="C426" s="56"/>
      <c r="D426" s="56"/>
      <c r="E426" s="250"/>
      <c r="F426" s="251"/>
      <c r="G426" s="251"/>
      <c r="H426" s="251"/>
      <c r="I426" s="56"/>
      <c r="J426" s="56"/>
      <c r="K426" s="56"/>
      <c r="L426" s="56"/>
      <c r="M426" s="160"/>
      <c r="N426" s="160"/>
      <c r="O426" s="251"/>
      <c r="P426" s="251"/>
      <c r="Q426" s="251"/>
      <c r="R426" s="56"/>
      <c r="S426" s="56"/>
      <c r="T426" s="56"/>
      <c r="U426" s="56"/>
      <c r="V426" s="250"/>
      <c r="W426" s="56"/>
    </row>
    <row r="427" spans="1:23" ht="15.75" customHeight="1">
      <c r="A427" s="56"/>
      <c r="B427" s="56"/>
      <c r="C427" s="56"/>
      <c r="D427" s="56"/>
      <c r="E427" s="252"/>
      <c r="F427" s="251"/>
      <c r="G427" s="251"/>
      <c r="H427" s="251"/>
      <c r="I427" s="56"/>
      <c r="J427" s="56"/>
      <c r="K427" s="56"/>
      <c r="L427" s="56"/>
      <c r="M427" s="160"/>
      <c r="N427" s="160"/>
      <c r="O427" s="251"/>
      <c r="P427" s="251"/>
      <c r="Q427" s="251"/>
      <c r="R427" s="56"/>
      <c r="S427" s="56"/>
      <c r="T427" s="56"/>
      <c r="U427" s="56"/>
      <c r="V427" s="250"/>
      <c r="W427" s="56"/>
    </row>
    <row r="428" spans="1:23" ht="15.75" customHeight="1">
      <c r="A428" s="56"/>
      <c r="B428" s="56"/>
      <c r="C428" s="56"/>
      <c r="D428" s="56"/>
      <c r="E428" s="56"/>
      <c r="F428" s="251"/>
      <c r="G428" s="251"/>
      <c r="H428" s="251"/>
      <c r="I428" s="56"/>
      <c r="J428" s="56"/>
      <c r="K428" s="56"/>
      <c r="L428" s="56"/>
      <c r="M428" s="160"/>
      <c r="N428" s="160"/>
      <c r="O428" s="251"/>
      <c r="P428" s="251"/>
      <c r="Q428" s="251"/>
      <c r="R428" s="56"/>
      <c r="S428" s="56"/>
      <c r="T428" s="56"/>
      <c r="U428" s="56"/>
      <c r="V428" s="250"/>
      <c r="W428" s="56"/>
    </row>
    <row r="429" spans="1:23" ht="15.75" customHeight="1">
      <c r="A429" s="56"/>
      <c r="B429" s="56"/>
      <c r="C429" s="56"/>
      <c r="D429" s="56"/>
      <c r="E429" s="56"/>
      <c r="F429" s="251"/>
      <c r="G429" s="251"/>
      <c r="H429" s="251"/>
      <c r="I429" s="56"/>
      <c r="J429" s="56"/>
      <c r="K429" s="56"/>
      <c r="L429" s="56"/>
      <c r="M429" s="160"/>
      <c r="N429" s="160"/>
      <c r="O429" s="251"/>
      <c r="P429" s="251"/>
      <c r="Q429" s="251"/>
      <c r="R429" s="56"/>
      <c r="S429" s="56"/>
      <c r="T429" s="56"/>
      <c r="U429" s="56"/>
      <c r="V429" s="250"/>
      <c r="W429" s="56"/>
    </row>
    <row r="430" spans="1:23" ht="15.75" customHeight="1">
      <c r="A430" s="56"/>
      <c r="B430" s="56"/>
      <c r="C430" s="56"/>
      <c r="D430" s="56"/>
      <c r="E430" s="56"/>
      <c r="F430" s="251"/>
      <c r="G430" s="251"/>
      <c r="H430" s="251"/>
      <c r="I430" s="56"/>
      <c r="J430" s="56"/>
      <c r="K430" s="56"/>
      <c r="L430" s="56"/>
      <c r="M430" s="160"/>
      <c r="N430" s="160"/>
      <c r="O430" s="251"/>
      <c r="P430" s="251"/>
      <c r="Q430" s="251"/>
      <c r="R430" s="56"/>
      <c r="S430" s="56"/>
      <c r="T430" s="56"/>
      <c r="U430" s="56"/>
      <c r="V430" s="250"/>
      <c r="W430" s="56"/>
    </row>
    <row r="431" spans="1:23" ht="15.75" customHeight="1">
      <c r="A431" s="56"/>
      <c r="B431" s="56"/>
      <c r="C431" s="56"/>
      <c r="D431" s="56"/>
      <c r="E431" s="56"/>
      <c r="F431" s="251"/>
      <c r="G431" s="251"/>
      <c r="H431" s="251"/>
      <c r="I431" s="56"/>
      <c r="J431" s="56"/>
      <c r="K431" s="56"/>
      <c r="L431" s="56"/>
      <c r="M431" s="160"/>
      <c r="N431" s="160"/>
      <c r="O431" s="251"/>
      <c r="P431" s="251"/>
      <c r="Q431" s="251"/>
      <c r="R431" s="56"/>
      <c r="S431" s="56"/>
      <c r="T431" s="56"/>
      <c r="U431" s="56"/>
      <c r="V431" s="250"/>
      <c r="W431" s="56"/>
    </row>
    <row r="432" spans="1:23" ht="15.75" customHeight="1">
      <c r="A432" s="56"/>
      <c r="B432" s="56"/>
      <c r="C432" s="56"/>
      <c r="D432" s="56"/>
      <c r="E432" s="56"/>
      <c r="F432" s="251"/>
      <c r="G432" s="251"/>
      <c r="H432" s="251"/>
      <c r="I432" s="56"/>
      <c r="J432" s="56"/>
      <c r="K432" s="56"/>
      <c r="L432" s="56"/>
      <c r="M432" s="160"/>
      <c r="N432" s="160"/>
      <c r="O432" s="251"/>
      <c r="P432" s="251"/>
      <c r="Q432" s="251"/>
      <c r="R432" s="56"/>
      <c r="S432" s="56"/>
      <c r="T432" s="56"/>
      <c r="U432" s="56"/>
      <c r="V432" s="250"/>
      <c r="W432" s="56"/>
    </row>
    <row r="433" spans="1:23" ht="15.75" customHeight="1">
      <c r="A433" s="56"/>
      <c r="B433" s="56"/>
      <c r="C433" s="56"/>
      <c r="D433" s="56"/>
      <c r="E433" s="56"/>
      <c r="F433" s="251"/>
      <c r="G433" s="251"/>
      <c r="H433" s="251"/>
      <c r="I433" s="56"/>
      <c r="J433" s="56"/>
      <c r="K433" s="56"/>
      <c r="L433" s="56"/>
      <c r="M433" s="160"/>
      <c r="N433" s="160"/>
      <c r="O433" s="251"/>
      <c r="P433" s="251"/>
      <c r="Q433" s="251"/>
      <c r="R433" s="56"/>
      <c r="S433" s="56"/>
      <c r="T433" s="56"/>
      <c r="U433" s="56"/>
      <c r="V433" s="250"/>
      <c r="W433" s="56"/>
    </row>
    <row r="434" spans="1:23" ht="15.75" customHeight="1">
      <c r="A434" s="56"/>
      <c r="B434" s="56"/>
      <c r="C434" s="56"/>
      <c r="D434" s="56"/>
      <c r="E434" s="56"/>
      <c r="F434" s="251"/>
      <c r="G434" s="251"/>
      <c r="H434" s="251"/>
      <c r="I434" s="56"/>
      <c r="J434" s="56"/>
      <c r="K434" s="56"/>
      <c r="L434" s="56"/>
      <c r="M434" s="160"/>
      <c r="N434" s="160"/>
      <c r="O434" s="251"/>
      <c r="P434" s="251"/>
      <c r="Q434" s="251"/>
      <c r="R434" s="56"/>
      <c r="S434" s="56"/>
      <c r="T434" s="56"/>
      <c r="U434" s="56"/>
      <c r="V434" s="250"/>
      <c r="W434" s="56"/>
    </row>
    <row r="435" spans="1:23" ht="15.75" customHeight="1">
      <c r="A435" s="56"/>
      <c r="B435" s="56"/>
      <c r="C435" s="56"/>
      <c r="D435" s="56"/>
      <c r="E435" s="56"/>
      <c r="F435" s="251"/>
      <c r="G435" s="251"/>
      <c r="H435" s="251"/>
      <c r="I435" s="56"/>
      <c r="J435" s="56"/>
      <c r="K435" s="56"/>
      <c r="L435" s="56"/>
      <c r="M435" s="232"/>
      <c r="N435" s="232"/>
      <c r="O435" s="251"/>
      <c r="P435" s="251"/>
      <c r="Q435" s="251"/>
      <c r="R435" s="56"/>
      <c r="S435" s="56"/>
      <c r="T435" s="56"/>
      <c r="U435" s="56"/>
      <c r="V435" s="250"/>
      <c r="W435" s="56"/>
    </row>
    <row r="436" spans="1:23" ht="15.75" customHeight="1">
      <c r="A436" s="56"/>
      <c r="B436" s="56"/>
      <c r="C436" s="56"/>
      <c r="D436" s="56"/>
      <c r="E436" s="56"/>
      <c r="F436" s="251"/>
      <c r="G436" s="251"/>
      <c r="H436" s="251"/>
      <c r="I436" s="56"/>
      <c r="J436" s="56"/>
      <c r="K436" s="56"/>
      <c r="L436" s="56"/>
      <c r="M436" s="160"/>
      <c r="N436" s="160"/>
      <c r="O436" s="251"/>
      <c r="P436" s="251"/>
      <c r="Q436" s="251"/>
      <c r="R436" s="56"/>
      <c r="S436" s="56"/>
      <c r="T436" s="56"/>
      <c r="U436" s="56"/>
      <c r="V436" s="250"/>
      <c r="W436" s="56"/>
    </row>
    <row r="437" spans="1:23" ht="15.75" customHeight="1">
      <c r="A437" s="56"/>
      <c r="B437" s="56"/>
      <c r="C437" s="56"/>
      <c r="D437" s="56"/>
      <c r="E437" s="56"/>
      <c r="F437" s="251"/>
      <c r="G437" s="251"/>
      <c r="H437" s="251"/>
      <c r="I437" s="56"/>
      <c r="J437" s="56"/>
      <c r="K437" s="56"/>
      <c r="L437" s="56"/>
      <c r="M437" s="160"/>
      <c r="N437" s="160"/>
      <c r="O437" s="251"/>
      <c r="P437" s="251"/>
      <c r="Q437" s="251"/>
      <c r="R437" s="56"/>
      <c r="S437" s="56"/>
      <c r="T437" s="56"/>
      <c r="U437" s="56"/>
      <c r="V437" s="250"/>
      <c r="W437" s="56"/>
    </row>
    <row r="438" spans="1:23" ht="15.75" customHeight="1">
      <c r="A438" s="56"/>
      <c r="B438" s="56"/>
      <c r="C438" s="56"/>
      <c r="D438" s="56"/>
      <c r="E438" s="56"/>
      <c r="F438" s="251"/>
      <c r="G438" s="251"/>
      <c r="H438" s="251"/>
      <c r="I438" s="56"/>
      <c r="J438" s="56"/>
      <c r="K438" s="56"/>
      <c r="L438" s="56"/>
      <c r="M438" s="160"/>
      <c r="N438" s="160"/>
      <c r="O438" s="251"/>
      <c r="P438" s="251"/>
      <c r="Q438" s="251"/>
      <c r="R438" s="56"/>
      <c r="S438" s="56"/>
      <c r="T438" s="56"/>
      <c r="U438" s="56"/>
      <c r="V438" s="250"/>
      <c r="W438" s="56"/>
    </row>
    <row r="439" spans="1:23" ht="15.75" customHeight="1">
      <c r="A439" s="56"/>
      <c r="B439" s="56"/>
      <c r="C439" s="56"/>
      <c r="D439" s="56"/>
      <c r="E439" s="56"/>
      <c r="F439" s="251"/>
      <c r="G439" s="251"/>
      <c r="H439" s="251"/>
      <c r="I439" s="56"/>
      <c r="J439" s="56"/>
      <c r="K439" s="56"/>
      <c r="L439" s="56"/>
      <c r="M439" s="160"/>
      <c r="N439" s="160"/>
      <c r="O439" s="251"/>
      <c r="P439" s="251"/>
      <c r="Q439" s="251"/>
      <c r="R439" s="56"/>
      <c r="S439" s="56"/>
      <c r="T439" s="56"/>
      <c r="U439" s="56"/>
      <c r="V439" s="250"/>
      <c r="W439" s="56"/>
    </row>
    <row r="440" spans="1:23" ht="15.75" customHeight="1">
      <c r="A440" s="56"/>
      <c r="B440" s="56"/>
      <c r="C440" s="56"/>
      <c r="D440" s="56"/>
      <c r="E440" s="56"/>
      <c r="F440" s="251"/>
      <c r="G440" s="251"/>
      <c r="H440" s="251"/>
      <c r="I440" s="56"/>
      <c r="J440" s="56"/>
      <c r="K440" s="56"/>
      <c r="L440" s="56"/>
      <c r="M440" s="160"/>
      <c r="N440" s="160"/>
      <c r="O440" s="251"/>
      <c r="P440" s="251"/>
      <c r="Q440" s="251"/>
      <c r="R440" s="56"/>
      <c r="S440" s="56"/>
      <c r="T440" s="56"/>
      <c r="U440" s="56"/>
      <c r="V440" s="250"/>
      <c r="W440" s="56"/>
    </row>
    <row r="441" spans="1:23" ht="15.75" customHeight="1">
      <c r="A441" s="56"/>
      <c r="B441" s="56"/>
      <c r="C441" s="56"/>
      <c r="D441" s="56"/>
      <c r="E441" s="56"/>
      <c r="F441" s="251"/>
      <c r="G441" s="251"/>
      <c r="H441" s="251"/>
      <c r="I441" s="56"/>
      <c r="J441" s="56"/>
      <c r="K441" s="56"/>
      <c r="L441" s="56"/>
      <c r="M441" s="160"/>
      <c r="N441" s="160"/>
      <c r="O441" s="251"/>
      <c r="P441" s="251"/>
      <c r="Q441" s="251"/>
      <c r="R441" s="56"/>
      <c r="S441" s="56"/>
      <c r="T441" s="56"/>
      <c r="U441" s="56"/>
      <c r="V441" s="250"/>
      <c r="W441" s="56"/>
    </row>
    <row r="442" spans="1:23" ht="15.75" customHeight="1">
      <c r="A442" s="56"/>
      <c r="B442" s="56"/>
      <c r="C442" s="56"/>
      <c r="D442" s="56"/>
      <c r="E442" s="56"/>
      <c r="F442" s="251"/>
      <c r="G442" s="251"/>
      <c r="H442" s="251"/>
      <c r="I442" s="56"/>
      <c r="J442" s="56"/>
      <c r="K442" s="56"/>
      <c r="L442" s="56"/>
      <c r="M442" s="160"/>
      <c r="N442" s="160"/>
      <c r="O442" s="251"/>
      <c r="P442" s="251"/>
      <c r="Q442" s="251"/>
      <c r="R442" s="56"/>
      <c r="S442" s="56"/>
      <c r="T442" s="56"/>
      <c r="U442" s="56"/>
      <c r="V442" s="250"/>
      <c r="W442" s="56"/>
    </row>
    <row r="443" spans="1:23" ht="15.75" customHeight="1">
      <c r="A443" s="56"/>
      <c r="B443" s="56"/>
      <c r="C443" s="56"/>
      <c r="D443" s="56"/>
      <c r="E443" s="56"/>
      <c r="F443" s="251"/>
      <c r="G443" s="251"/>
      <c r="H443" s="251"/>
      <c r="I443" s="56"/>
      <c r="J443" s="56"/>
      <c r="K443" s="56"/>
      <c r="L443" s="56"/>
      <c r="M443" s="160"/>
      <c r="N443" s="160"/>
      <c r="O443" s="251"/>
      <c r="P443" s="251"/>
      <c r="Q443" s="251"/>
      <c r="R443" s="56"/>
      <c r="S443" s="56"/>
      <c r="T443" s="56"/>
      <c r="U443" s="56"/>
      <c r="V443" s="250"/>
      <c r="W443" s="56"/>
    </row>
    <row r="444" spans="1:23" ht="15.75" customHeight="1">
      <c r="A444" s="56"/>
      <c r="B444" s="56"/>
      <c r="C444" s="56"/>
      <c r="D444" s="56"/>
      <c r="E444" s="56"/>
      <c r="F444" s="251"/>
      <c r="G444" s="251"/>
      <c r="H444" s="251"/>
      <c r="I444" s="56"/>
      <c r="J444" s="56"/>
      <c r="K444" s="56"/>
      <c r="L444" s="56"/>
      <c r="M444" s="160"/>
      <c r="N444" s="160"/>
      <c r="O444" s="251"/>
      <c r="P444" s="251"/>
      <c r="Q444" s="251"/>
      <c r="R444" s="56"/>
      <c r="S444" s="56"/>
      <c r="T444" s="56"/>
      <c r="U444" s="56"/>
      <c r="V444" s="250"/>
      <c r="W444" s="56"/>
    </row>
    <row r="445" spans="1:23" ht="15.75" customHeight="1">
      <c r="A445" s="56"/>
      <c r="B445" s="56"/>
      <c r="C445" s="56"/>
      <c r="D445" s="56"/>
      <c r="E445" s="56"/>
      <c r="F445" s="251"/>
      <c r="G445" s="251"/>
      <c r="H445" s="251"/>
      <c r="I445" s="56"/>
      <c r="J445" s="56"/>
      <c r="K445" s="56"/>
      <c r="L445" s="56"/>
      <c r="M445" s="160"/>
      <c r="N445" s="160"/>
      <c r="O445" s="251"/>
      <c r="P445" s="251"/>
      <c r="Q445" s="251"/>
      <c r="R445" s="56"/>
      <c r="S445" s="56"/>
      <c r="T445" s="56"/>
      <c r="U445" s="56"/>
      <c r="V445" s="250"/>
      <c r="W445" s="56"/>
    </row>
    <row r="446" spans="1:23" ht="15.75" customHeight="1">
      <c r="A446" s="56"/>
      <c r="B446" s="56"/>
      <c r="C446" s="56"/>
      <c r="D446" s="56"/>
      <c r="E446" s="56"/>
      <c r="F446" s="251"/>
      <c r="G446" s="251"/>
      <c r="H446" s="251"/>
      <c r="I446" s="56"/>
      <c r="J446" s="56"/>
      <c r="K446" s="56"/>
      <c r="L446" s="56"/>
      <c r="M446" s="160"/>
      <c r="N446" s="160"/>
      <c r="O446" s="251"/>
      <c r="P446" s="251"/>
      <c r="Q446" s="251"/>
      <c r="R446" s="56"/>
      <c r="S446" s="56"/>
      <c r="T446" s="56"/>
      <c r="U446" s="56"/>
      <c r="V446" s="250"/>
      <c r="W446" s="56"/>
    </row>
    <row r="447" spans="1:23" ht="15.75" customHeight="1">
      <c r="A447" s="56"/>
      <c r="B447" s="56"/>
      <c r="C447" s="56"/>
      <c r="D447" s="56"/>
      <c r="E447" s="56"/>
      <c r="F447" s="251"/>
      <c r="G447" s="251"/>
      <c r="H447" s="251"/>
      <c r="I447" s="56"/>
      <c r="J447" s="56"/>
      <c r="K447" s="56"/>
      <c r="L447" s="56"/>
      <c r="M447" s="160"/>
      <c r="N447" s="160"/>
      <c r="O447" s="251"/>
      <c r="P447" s="251"/>
      <c r="Q447" s="251"/>
      <c r="R447" s="56"/>
      <c r="S447" s="56"/>
      <c r="T447" s="56"/>
      <c r="U447" s="56"/>
      <c r="V447" s="250"/>
      <c r="W447" s="56"/>
    </row>
    <row r="448" spans="1:23" ht="15.75" customHeight="1">
      <c r="A448" s="56"/>
      <c r="B448" s="56"/>
      <c r="C448" s="56"/>
      <c r="D448" s="56"/>
      <c r="E448" s="56"/>
      <c r="F448" s="251"/>
      <c r="G448" s="251"/>
      <c r="H448" s="251"/>
      <c r="I448" s="56"/>
      <c r="J448" s="56"/>
      <c r="K448" s="56"/>
      <c r="L448" s="56"/>
      <c r="M448" s="160"/>
      <c r="N448" s="160"/>
      <c r="O448" s="251"/>
      <c r="P448" s="251"/>
      <c r="Q448" s="251"/>
      <c r="R448" s="56"/>
      <c r="S448" s="56"/>
      <c r="T448" s="56"/>
      <c r="U448" s="56"/>
      <c r="V448" s="250"/>
      <c r="W448" s="56"/>
    </row>
    <row r="449" spans="1:23" ht="15.75" customHeight="1">
      <c r="A449" s="56"/>
      <c r="B449" s="56"/>
      <c r="C449" s="56"/>
      <c r="D449" s="56"/>
      <c r="E449" s="56"/>
      <c r="F449" s="251"/>
      <c r="G449" s="251"/>
      <c r="H449" s="251"/>
      <c r="I449" s="56"/>
      <c r="J449" s="56"/>
      <c r="K449" s="56"/>
      <c r="L449" s="56"/>
      <c r="M449" s="160"/>
      <c r="N449" s="160"/>
      <c r="O449" s="251"/>
      <c r="P449" s="251"/>
      <c r="Q449" s="251"/>
      <c r="R449" s="56"/>
      <c r="S449" s="56"/>
      <c r="T449" s="56"/>
      <c r="U449" s="56"/>
      <c r="V449" s="250"/>
      <c r="W449" s="56"/>
    </row>
    <row r="450" spans="1:23" ht="15.75" customHeight="1">
      <c r="A450" s="56"/>
      <c r="B450" s="56"/>
      <c r="C450" s="56"/>
      <c r="D450" s="56"/>
      <c r="E450" s="56"/>
      <c r="F450" s="251"/>
      <c r="G450" s="251"/>
      <c r="H450" s="251"/>
      <c r="I450" s="56"/>
      <c r="J450" s="56"/>
      <c r="K450" s="56"/>
      <c r="L450" s="56"/>
      <c r="M450" s="160"/>
      <c r="N450" s="160"/>
      <c r="O450" s="251"/>
      <c r="P450" s="251"/>
      <c r="Q450" s="251"/>
      <c r="R450" s="56"/>
      <c r="S450" s="56"/>
      <c r="T450" s="56"/>
      <c r="U450" s="56"/>
      <c r="V450" s="250"/>
      <c r="W450" s="56"/>
    </row>
    <row r="451" spans="1:23" ht="15.75" customHeight="1">
      <c r="A451" s="56"/>
      <c r="B451" s="56"/>
      <c r="C451" s="56"/>
      <c r="D451" s="56"/>
      <c r="E451" s="56"/>
      <c r="F451" s="251"/>
      <c r="G451" s="251"/>
      <c r="H451" s="251"/>
      <c r="I451" s="56"/>
      <c r="J451" s="56"/>
      <c r="K451" s="56"/>
      <c r="L451" s="56"/>
      <c r="M451" s="160"/>
      <c r="N451" s="160"/>
      <c r="O451" s="251"/>
      <c r="P451" s="251"/>
      <c r="Q451" s="251"/>
      <c r="R451" s="56"/>
      <c r="S451" s="56"/>
      <c r="T451" s="56"/>
      <c r="U451" s="56"/>
      <c r="V451" s="250"/>
      <c r="W451" s="56"/>
    </row>
    <row r="452" spans="1:23" ht="15.75" customHeight="1">
      <c r="A452" s="56"/>
      <c r="B452" s="56"/>
      <c r="C452" s="56"/>
      <c r="D452" s="56"/>
      <c r="E452" s="56"/>
      <c r="F452" s="251"/>
      <c r="G452" s="251"/>
      <c r="H452" s="251"/>
      <c r="I452" s="56"/>
      <c r="J452" s="56"/>
      <c r="K452" s="56"/>
      <c r="L452" s="56"/>
      <c r="M452" s="160"/>
      <c r="N452" s="160"/>
      <c r="O452" s="251"/>
      <c r="P452" s="251"/>
      <c r="Q452" s="251"/>
      <c r="R452" s="56"/>
      <c r="S452" s="56"/>
      <c r="T452" s="56"/>
      <c r="U452" s="56"/>
      <c r="V452" s="250"/>
      <c r="W452" s="56"/>
    </row>
    <row r="453" spans="1:23" ht="15.75" customHeight="1">
      <c r="A453" s="56"/>
      <c r="B453" s="56"/>
      <c r="C453" s="56"/>
      <c r="D453" s="56"/>
      <c r="E453" s="56"/>
      <c r="F453" s="251"/>
      <c r="G453" s="251"/>
      <c r="H453" s="251"/>
      <c r="I453" s="56"/>
      <c r="J453" s="56"/>
      <c r="K453" s="56"/>
      <c r="L453" s="56"/>
      <c r="M453" s="160"/>
      <c r="N453" s="160"/>
      <c r="O453" s="251"/>
      <c r="P453" s="251"/>
      <c r="Q453" s="251"/>
      <c r="R453" s="56"/>
      <c r="S453" s="56"/>
      <c r="T453" s="56"/>
      <c r="U453" s="56"/>
      <c r="V453" s="250"/>
      <c r="W453" s="56"/>
    </row>
    <row r="454" spans="1:23" ht="15.75" customHeight="1">
      <c r="A454" s="56"/>
      <c r="B454" s="56"/>
      <c r="C454" s="56"/>
      <c r="D454" s="56"/>
      <c r="E454" s="56"/>
      <c r="F454" s="251"/>
      <c r="G454" s="251"/>
      <c r="H454" s="251"/>
      <c r="I454" s="56"/>
      <c r="J454" s="56"/>
      <c r="K454" s="56"/>
      <c r="L454" s="56"/>
      <c r="M454" s="160"/>
      <c r="N454" s="160"/>
      <c r="O454" s="251"/>
      <c r="P454" s="251"/>
      <c r="Q454" s="251"/>
      <c r="R454" s="56"/>
      <c r="S454" s="56"/>
      <c r="T454" s="56"/>
      <c r="U454" s="56"/>
      <c r="V454" s="250"/>
      <c r="W454" s="56"/>
    </row>
    <row r="455" spans="1:23" ht="15.75" customHeight="1">
      <c r="A455" s="56"/>
      <c r="B455" s="56"/>
      <c r="C455" s="56"/>
      <c r="D455" s="56"/>
      <c r="E455" s="56"/>
      <c r="F455" s="251"/>
      <c r="G455" s="251"/>
      <c r="H455" s="251"/>
      <c r="I455" s="56"/>
      <c r="J455" s="56"/>
      <c r="K455" s="56"/>
      <c r="L455" s="56"/>
      <c r="M455" s="160"/>
      <c r="N455" s="160"/>
      <c r="O455" s="251"/>
      <c r="P455" s="251"/>
      <c r="Q455" s="251"/>
      <c r="R455" s="56"/>
      <c r="S455" s="56"/>
      <c r="T455" s="56"/>
      <c r="U455" s="56"/>
      <c r="V455" s="250"/>
      <c r="W455" s="56"/>
    </row>
    <row r="456" spans="1:23" ht="15.75" customHeight="1">
      <c r="A456" s="56"/>
      <c r="B456" s="56"/>
      <c r="C456" s="56"/>
      <c r="D456" s="56"/>
      <c r="E456" s="56"/>
      <c r="F456" s="251"/>
      <c r="G456" s="251"/>
      <c r="H456" s="251"/>
      <c r="I456" s="56"/>
      <c r="J456" s="56"/>
      <c r="K456" s="56"/>
      <c r="L456" s="56"/>
      <c r="M456" s="160"/>
      <c r="N456" s="160"/>
      <c r="O456" s="251"/>
      <c r="P456" s="251"/>
      <c r="Q456" s="251"/>
      <c r="R456" s="56"/>
      <c r="S456" s="56"/>
      <c r="T456" s="56"/>
      <c r="U456" s="56"/>
      <c r="V456" s="250"/>
      <c r="W456" s="56"/>
    </row>
    <row r="457" spans="1:23" ht="15.75" customHeight="1">
      <c r="A457" s="56"/>
      <c r="B457" s="56"/>
      <c r="C457" s="56"/>
      <c r="D457" s="56"/>
      <c r="E457" s="56"/>
      <c r="F457" s="251"/>
      <c r="G457" s="251"/>
      <c r="H457" s="251"/>
      <c r="I457" s="56"/>
      <c r="J457" s="56"/>
      <c r="K457" s="56"/>
      <c r="L457" s="56"/>
      <c r="M457" s="160"/>
      <c r="N457" s="160"/>
      <c r="O457" s="251"/>
      <c r="P457" s="251"/>
      <c r="Q457" s="251"/>
      <c r="R457" s="56"/>
      <c r="S457" s="56"/>
      <c r="T457" s="56"/>
      <c r="U457" s="56"/>
      <c r="V457" s="250"/>
      <c r="W457" s="56"/>
    </row>
    <row r="458" spans="1:23" ht="15.75" customHeight="1">
      <c r="A458" s="56"/>
      <c r="B458" s="56"/>
      <c r="C458" s="56"/>
      <c r="D458" s="56"/>
      <c r="E458" s="56"/>
      <c r="F458" s="251"/>
      <c r="G458" s="251"/>
      <c r="H458" s="251"/>
      <c r="I458" s="56"/>
      <c r="J458" s="56"/>
      <c r="K458" s="56"/>
      <c r="L458" s="56"/>
      <c r="M458" s="160"/>
      <c r="N458" s="160"/>
      <c r="O458" s="251"/>
      <c r="P458" s="251"/>
      <c r="Q458" s="251"/>
      <c r="R458" s="56"/>
      <c r="S458" s="56"/>
      <c r="T458" s="56"/>
      <c r="U458" s="56"/>
      <c r="V458" s="250"/>
      <c r="W458" s="56"/>
    </row>
    <row r="459" spans="1:23" ht="15.75" customHeight="1">
      <c r="A459" s="56"/>
      <c r="B459" s="56"/>
      <c r="C459" s="56"/>
      <c r="D459" s="56"/>
      <c r="E459" s="56"/>
      <c r="F459" s="251"/>
      <c r="G459" s="251"/>
      <c r="H459" s="251"/>
      <c r="I459" s="56"/>
      <c r="J459" s="56"/>
      <c r="K459" s="56"/>
      <c r="L459" s="56"/>
      <c r="M459" s="160"/>
      <c r="N459" s="160"/>
      <c r="O459" s="251"/>
      <c r="P459" s="251"/>
      <c r="Q459" s="251"/>
      <c r="R459" s="56"/>
      <c r="S459" s="56"/>
      <c r="T459" s="56"/>
      <c r="U459" s="56"/>
      <c r="V459" s="250"/>
      <c r="W459" s="56"/>
    </row>
    <row r="460" spans="1:23" ht="15.75" customHeight="1">
      <c r="A460" s="56"/>
      <c r="B460" s="56"/>
      <c r="C460" s="56"/>
      <c r="D460" s="56"/>
      <c r="E460" s="56"/>
      <c r="F460" s="251"/>
      <c r="G460" s="251"/>
      <c r="H460" s="251"/>
      <c r="I460" s="56"/>
      <c r="J460" s="56"/>
      <c r="K460" s="56"/>
      <c r="L460" s="56"/>
      <c r="M460" s="160"/>
      <c r="N460" s="160"/>
      <c r="O460" s="251"/>
      <c r="P460" s="251"/>
      <c r="Q460" s="251"/>
      <c r="R460" s="56"/>
      <c r="S460" s="56"/>
      <c r="T460" s="56"/>
      <c r="U460" s="56"/>
      <c r="V460" s="250"/>
      <c r="W460" s="56"/>
    </row>
    <row r="461" spans="1:23" ht="15.75" customHeight="1">
      <c r="A461" s="56"/>
      <c r="B461" s="56"/>
      <c r="C461" s="56"/>
      <c r="D461" s="56"/>
      <c r="E461" s="56"/>
      <c r="F461" s="251"/>
      <c r="G461" s="251"/>
      <c r="H461" s="251"/>
      <c r="I461" s="56"/>
      <c r="J461" s="56"/>
      <c r="K461" s="56"/>
      <c r="L461" s="56"/>
      <c r="M461" s="160"/>
      <c r="N461" s="160"/>
      <c r="O461" s="251"/>
      <c r="P461" s="251"/>
      <c r="Q461" s="251"/>
      <c r="R461" s="56"/>
      <c r="S461" s="56"/>
      <c r="T461" s="56"/>
      <c r="U461" s="56"/>
      <c r="V461" s="250"/>
      <c r="W461" s="56"/>
    </row>
    <row r="462" spans="1:23" ht="15.75" customHeight="1">
      <c r="A462" s="56"/>
      <c r="B462" s="56"/>
      <c r="C462" s="56"/>
      <c r="D462" s="56"/>
      <c r="E462" s="56"/>
      <c r="F462" s="251"/>
      <c r="G462" s="251"/>
      <c r="H462" s="251"/>
      <c r="I462" s="56"/>
      <c r="J462" s="56"/>
      <c r="K462" s="56"/>
      <c r="L462" s="56"/>
      <c r="M462" s="160"/>
      <c r="N462" s="160"/>
      <c r="O462" s="251"/>
      <c r="P462" s="251"/>
      <c r="Q462" s="251"/>
      <c r="R462" s="56"/>
      <c r="S462" s="56"/>
      <c r="T462" s="56"/>
      <c r="U462" s="56"/>
      <c r="V462" s="250"/>
      <c r="W462" s="56"/>
    </row>
    <row r="463" spans="1:23" ht="15.75" customHeight="1">
      <c r="A463" s="56"/>
      <c r="B463" s="56"/>
      <c r="C463" s="56"/>
      <c r="D463" s="56"/>
      <c r="E463" s="56"/>
      <c r="F463" s="251"/>
      <c r="G463" s="251"/>
      <c r="H463" s="251"/>
      <c r="I463" s="56"/>
      <c r="J463" s="56"/>
      <c r="K463" s="56"/>
      <c r="L463" s="56"/>
      <c r="M463" s="160"/>
      <c r="N463" s="160"/>
      <c r="O463" s="251"/>
      <c r="P463" s="251"/>
      <c r="Q463" s="251"/>
      <c r="R463" s="56"/>
      <c r="S463" s="56"/>
      <c r="T463" s="56"/>
      <c r="U463" s="56"/>
      <c r="V463" s="250"/>
      <c r="W463" s="56"/>
    </row>
    <row r="464" spans="1:23" ht="15.75" customHeight="1">
      <c r="A464" s="56"/>
      <c r="B464" s="56"/>
      <c r="C464" s="56"/>
      <c r="D464" s="56"/>
      <c r="E464" s="56"/>
      <c r="F464" s="251"/>
      <c r="G464" s="251"/>
      <c r="H464" s="251"/>
      <c r="I464" s="56"/>
      <c r="J464" s="56"/>
      <c r="K464" s="56"/>
      <c r="L464" s="56"/>
      <c r="M464" s="160"/>
      <c r="N464" s="160"/>
      <c r="O464" s="251"/>
      <c r="P464" s="251"/>
      <c r="Q464" s="251"/>
      <c r="R464" s="56"/>
      <c r="S464" s="56"/>
      <c r="T464" s="56"/>
      <c r="U464" s="56"/>
      <c r="V464" s="250"/>
      <c r="W464" s="56"/>
    </row>
    <row r="465" spans="1:23" ht="15.75" customHeight="1">
      <c r="A465" s="56"/>
      <c r="B465" s="56"/>
      <c r="C465" s="56"/>
      <c r="D465" s="56"/>
      <c r="E465" s="56"/>
      <c r="F465" s="251"/>
      <c r="G465" s="251"/>
      <c r="H465" s="251"/>
      <c r="I465" s="56"/>
      <c r="J465" s="56"/>
      <c r="K465" s="56"/>
      <c r="L465" s="56"/>
      <c r="M465" s="160"/>
      <c r="N465" s="160"/>
      <c r="O465" s="251"/>
      <c r="P465" s="251"/>
      <c r="Q465" s="251"/>
      <c r="R465" s="56"/>
      <c r="S465" s="56"/>
      <c r="T465" s="56"/>
      <c r="U465" s="56"/>
      <c r="V465" s="250"/>
      <c r="W465" s="56"/>
    </row>
    <row r="466" spans="1:23" ht="15.75" customHeight="1">
      <c r="A466" s="56"/>
      <c r="B466" s="56"/>
      <c r="C466" s="56"/>
      <c r="D466" s="56"/>
      <c r="E466" s="56"/>
      <c r="F466" s="251"/>
      <c r="G466" s="251"/>
      <c r="H466" s="251"/>
      <c r="I466" s="56"/>
      <c r="J466" s="56"/>
      <c r="K466" s="56"/>
      <c r="L466" s="56"/>
      <c r="M466" s="160"/>
      <c r="N466" s="160"/>
      <c r="O466" s="251"/>
      <c r="P466" s="251"/>
      <c r="Q466" s="251"/>
      <c r="R466" s="56"/>
      <c r="S466" s="56"/>
      <c r="T466" s="56"/>
      <c r="U466" s="56"/>
      <c r="V466" s="250"/>
      <c r="W466" s="56"/>
    </row>
    <row r="467" spans="1:23" ht="15.75" customHeight="1">
      <c r="A467" s="56"/>
      <c r="B467" s="56"/>
      <c r="C467" s="56"/>
      <c r="D467" s="56"/>
      <c r="E467" s="56"/>
      <c r="F467" s="251"/>
      <c r="G467" s="251"/>
      <c r="H467" s="251"/>
      <c r="I467" s="56"/>
      <c r="J467" s="56"/>
      <c r="K467" s="56"/>
      <c r="L467" s="56"/>
      <c r="M467" s="160"/>
      <c r="N467" s="160"/>
      <c r="O467" s="251"/>
      <c r="P467" s="251"/>
      <c r="Q467" s="251"/>
      <c r="R467" s="56"/>
      <c r="S467" s="56"/>
      <c r="T467" s="56"/>
      <c r="U467" s="56"/>
      <c r="V467" s="250"/>
      <c r="W467" s="56"/>
    </row>
    <row r="468" spans="1:23" ht="15.75" customHeight="1">
      <c r="A468" s="56"/>
      <c r="B468" s="56"/>
      <c r="C468" s="56"/>
      <c r="D468" s="56"/>
      <c r="E468" s="56"/>
      <c r="F468" s="251"/>
      <c r="G468" s="251"/>
      <c r="H468" s="251"/>
      <c r="I468" s="56"/>
      <c r="J468" s="56"/>
      <c r="K468" s="56"/>
      <c r="L468" s="56"/>
      <c r="M468" s="160"/>
      <c r="N468" s="160"/>
      <c r="O468" s="251"/>
      <c r="P468" s="251"/>
      <c r="Q468" s="251"/>
      <c r="R468" s="56"/>
      <c r="S468" s="56"/>
      <c r="T468" s="56"/>
      <c r="U468" s="56"/>
      <c r="V468" s="250"/>
      <c r="W468" s="56"/>
    </row>
    <row r="469" spans="1:23" ht="15.75" customHeight="1">
      <c r="A469" s="56"/>
      <c r="B469" s="56"/>
      <c r="C469" s="56"/>
      <c r="D469" s="56"/>
      <c r="E469" s="56"/>
      <c r="F469" s="251"/>
      <c r="G469" s="251"/>
      <c r="H469" s="251"/>
      <c r="I469" s="56"/>
      <c r="J469" s="56"/>
      <c r="K469" s="56"/>
      <c r="L469" s="56"/>
      <c r="M469" s="160"/>
      <c r="N469" s="160"/>
      <c r="O469" s="251"/>
      <c r="P469" s="251"/>
      <c r="Q469" s="251"/>
      <c r="R469" s="56"/>
      <c r="S469" s="56"/>
      <c r="T469" s="56"/>
      <c r="U469" s="56"/>
      <c r="V469" s="250"/>
      <c r="W469" s="56"/>
    </row>
    <row r="470" spans="1:23" ht="15.75" customHeight="1">
      <c r="A470" s="56"/>
      <c r="B470" s="56"/>
      <c r="C470" s="56"/>
      <c r="D470" s="56"/>
      <c r="E470" s="56"/>
      <c r="F470" s="251"/>
      <c r="G470" s="251"/>
      <c r="H470" s="251"/>
      <c r="I470" s="56"/>
      <c r="J470" s="56"/>
      <c r="K470" s="56"/>
      <c r="L470" s="56"/>
      <c r="M470" s="160"/>
      <c r="N470" s="160"/>
      <c r="O470" s="251"/>
      <c r="P470" s="251"/>
      <c r="Q470" s="251"/>
      <c r="R470" s="56"/>
      <c r="S470" s="56"/>
      <c r="T470" s="56"/>
      <c r="U470" s="56"/>
      <c r="V470" s="250"/>
      <c r="W470" s="56"/>
    </row>
    <row r="471" spans="1:23" ht="15.75" customHeight="1">
      <c r="A471" s="56"/>
      <c r="B471" s="56"/>
      <c r="C471" s="56"/>
      <c r="D471" s="56"/>
      <c r="E471" s="56"/>
      <c r="F471" s="251"/>
      <c r="G471" s="251"/>
      <c r="H471" s="251"/>
      <c r="I471" s="56"/>
      <c r="J471" s="56"/>
      <c r="K471" s="56"/>
      <c r="L471" s="56"/>
      <c r="M471" s="160"/>
      <c r="N471" s="160"/>
      <c r="O471" s="251"/>
      <c r="P471" s="251"/>
      <c r="Q471" s="251"/>
      <c r="R471" s="56"/>
      <c r="S471" s="56"/>
      <c r="T471" s="56"/>
      <c r="U471" s="56"/>
      <c r="V471" s="250"/>
      <c r="W471" s="56"/>
    </row>
    <row r="472" spans="1:23" ht="15.75" customHeight="1">
      <c r="A472" s="56"/>
      <c r="B472" s="56"/>
      <c r="C472" s="56"/>
      <c r="D472" s="56"/>
      <c r="E472" s="56"/>
      <c r="F472" s="251"/>
      <c r="G472" s="251"/>
      <c r="H472" s="251"/>
      <c r="I472" s="56"/>
      <c r="J472" s="56"/>
      <c r="K472" s="56"/>
      <c r="L472" s="56"/>
      <c r="M472" s="160"/>
      <c r="N472" s="160"/>
      <c r="O472" s="251"/>
      <c r="P472" s="251"/>
      <c r="Q472" s="251"/>
      <c r="R472" s="56"/>
      <c r="S472" s="56"/>
      <c r="T472" s="56"/>
      <c r="U472" s="56"/>
      <c r="V472" s="250"/>
      <c r="W472" s="56"/>
    </row>
    <row r="473" spans="1:23" ht="15.75" customHeight="1">
      <c r="A473" s="56"/>
      <c r="B473" s="56"/>
      <c r="C473" s="56"/>
      <c r="D473" s="56"/>
      <c r="E473" s="56"/>
      <c r="F473" s="251"/>
      <c r="G473" s="251"/>
      <c r="H473" s="251"/>
      <c r="I473" s="56"/>
      <c r="J473" s="56"/>
      <c r="K473" s="56"/>
      <c r="L473" s="56"/>
      <c r="M473" s="160"/>
      <c r="N473" s="160"/>
      <c r="O473" s="251"/>
      <c r="P473" s="251"/>
      <c r="Q473" s="251"/>
      <c r="R473" s="56"/>
      <c r="S473" s="56"/>
      <c r="T473" s="56"/>
      <c r="U473" s="56"/>
      <c r="V473" s="250"/>
      <c r="W473" s="56"/>
    </row>
    <row r="474" spans="1:23" ht="15.75" customHeight="1">
      <c r="A474" s="56"/>
      <c r="B474" s="56"/>
      <c r="C474" s="56"/>
      <c r="D474" s="56"/>
      <c r="E474" s="56"/>
      <c r="F474" s="251"/>
      <c r="G474" s="251"/>
      <c r="H474" s="251"/>
      <c r="I474" s="56"/>
      <c r="J474" s="56"/>
      <c r="K474" s="56"/>
      <c r="L474" s="56"/>
      <c r="M474" s="160"/>
      <c r="N474" s="160"/>
      <c r="O474" s="251"/>
      <c r="P474" s="251"/>
      <c r="Q474" s="251"/>
      <c r="R474" s="56"/>
      <c r="S474" s="56"/>
      <c r="T474" s="56"/>
      <c r="U474" s="56"/>
      <c r="V474" s="250"/>
      <c r="W474" s="56"/>
    </row>
    <row r="475" spans="1:23" ht="15.75" customHeight="1">
      <c r="A475" s="56"/>
      <c r="B475" s="56"/>
      <c r="C475" s="56"/>
      <c r="D475" s="56"/>
      <c r="E475" s="56"/>
      <c r="F475" s="251"/>
      <c r="G475" s="251"/>
      <c r="H475" s="251"/>
      <c r="I475" s="56"/>
      <c r="J475" s="56"/>
      <c r="K475" s="56"/>
      <c r="L475" s="56"/>
      <c r="M475" s="160"/>
      <c r="N475" s="160"/>
      <c r="O475" s="251"/>
      <c r="P475" s="251"/>
      <c r="Q475" s="251"/>
      <c r="R475" s="56"/>
      <c r="S475" s="56"/>
      <c r="T475" s="56"/>
      <c r="U475" s="56"/>
      <c r="V475" s="250"/>
      <c r="W475" s="56"/>
    </row>
    <row r="476" spans="1:23" ht="15.75" customHeight="1">
      <c r="A476" s="56"/>
      <c r="B476" s="56"/>
      <c r="C476" s="56"/>
      <c r="D476" s="56"/>
      <c r="E476" s="56"/>
      <c r="F476" s="251"/>
      <c r="G476" s="251"/>
      <c r="H476" s="251"/>
      <c r="I476" s="56"/>
      <c r="J476" s="56"/>
      <c r="K476" s="56"/>
      <c r="L476" s="56"/>
      <c r="M476" s="160"/>
      <c r="N476" s="160"/>
      <c r="O476" s="251"/>
      <c r="P476" s="251"/>
      <c r="Q476" s="251"/>
      <c r="R476" s="56"/>
      <c r="S476" s="56"/>
      <c r="T476" s="56"/>
      <c r="U476" s="56"/>
      <c r="V476" s="250"/>
      <c r="W476" s="56"/>
    </row>
    <row r="477" spans="1:23" ht="15.75" customHeight="1">
      <c r="A477" s="56"/>
      <c r="B477" s="56"/>
      <c r="C477" s="56"/>
      <c r="D477" s="56"/>
      <c r="E477" s="56"/>
      <c r="F477" s="251"/>
      <c r="G477" s="251"/>
      <c r="H477" s="251"/>
      <c r="I477" s="56"/>
      <c r="J477" s="56"/>
      <c r="K477" s="56"/>
      <c r="L477" s="56"/>
      <c r="M477" s="160"/>
      <c r="N477" s="160"/>
      <c r="O477" s="251"/>
      <c r="P477" s="251"/>
      <c r="Q477" s="251"/>
      <c r="R477" s="56"/>
      <c r="S477" s="56"/>
      <c r="T477" s="56"/>
      <c r="U477" s="56"/>
      <c r="V477" s="250"/>
      <c r="W477" s="56"/>
    </row>
    <row r="478" spans="1:23" ht="15.75" customHeight="1">
      <c r="A478" s="56"/>
      <c r="B478" s="56"/>
      <c r="C478" s="56"/>
      <c r="D478" s="56"/>
      <c r="E478" s="56"/>
      <c r="F478" s="251"/>
      <c r="G478" s="251"/>
      <c r="H478" s="251"/>
      <c r="I478" s="56"/>
      <c r="J478" s="56"/>
      <c r="K478" s="56"/>
      <c r="L478" s="56"/>
      <c r="M478" s="160"/>
      <c r="N478" s="160"/>
      <c r="O478" s="251"/>
      <c r="P478" s="251"/>
      <c r="Q478" s="251"/>
      <c r="R478" s="56"/>
      <c r="S478" s="56"/>
      <c r="T478" s="56"/>
      <c r="U478" s="56"/>
      <c r="V478" s="250"/>
      <c r="W478" s="56"/>
    </row>
    <row r="479" spans="1:23" ht="15.75" customHeight="1">
      <c r="A479" s="56"/>
      <c r="B479" s="56"/>
      <c r="C479" s="56"/>
      <c r="D479" s="56"/>
      <c r="E479" s="56"/>
      <c r="F479" s="251"/>
      <c r="G479" s="251"/>
      <c r="H479" s="251"/>
      <c r="I479" s="56"/>
      <c r="J479" s="56"/>
      <c r="K479" s="56"/>
      <c r="L479" s="56"/>
      <c r="M479" s="160"/>
      <c r="N479" s="160"/>
      <c r="O479" s="251"/>
      <c r="P479" s="251"/>
      <c r="Q479" s="251"/>
      <c r="R479" s="56"/>
      <c r="S479" s="56"/>
      <c r="T479" s="56"/>
      <c r="U479" s="56"/>
      <c r="V479" s="250"/>
      <c r="W479" s="56"/>
    </row>
    <row r="480" spans="1:23" ht="15.75" customHeight="1">
      <c r="A480" s="56"/>
      <c r="B480" s="56"/>
      <c r="C480" s="56"/>
      <c r="D480" s="56"/>
      <c r="E480" s="56"/>
      <c r="F480" s="251"/>
      <c r="G480" s="251"/>
      <c r="H480" s="251"/>
      <c r="I480" s="56"/>
      <c r="J480" s="56"/>
      <c r="K480" s="56"/>
      <c r="L480" s="56"/>
      <c r="M480" s="160"/>
      <c r="N480" s="160"/>
      <c r="O480" s="251"/>
      <c r="P480" s="251"/>
      <c r="Q480" s="251"/>
      <c r="R480" s="56"/>
      <c r="S480" s="56"/>
      <c r="T480" s="56"/>
      <c r="U480" s="56"/>
      <c r="V480" s="250"/>
      <c r="W480" s="56"/>
    </row>
    <row r="481" spans="1:23" ht="15.75" customHeight="1">
      <c r="A481" s="56"/>
      <c r="B481" s="56"/>
      <c r="C481" s="56"/>
      <c r="D481" s="56"/>
      <c r="E481" s="56"/>
      <c r="F481" s="251"/>
      <c r="G481" s="251"/>
      <c r="H481" s="251"/>
      <c r="I481" s="56"/>
      <c r="J481" s="56"/>
      <c r="K481" s="56"/>
      <c r="L481" s="56"/>
      <c r="M481" s="160"/>
      <c r="N481" s="160"/>
      <c r="O481" s="251"/>
      <c r="P481" s="251"/>
      <c r="Q481" s="251"/>
      <c r="R481" s="56"/>
      <c r="S481" s="56"/>
      <c r="T481" s="56"/>
      <c r="U481" s="56"/>
      <c r="V481" s="250"/>
      <c r="W481" s="56"/>
    </row>
    <row r="482" spans="1:23" ht="15.75" customHeight="1">
      <c r="A482" s="56"/>
      <c r="B482" s="56"/>
      <c r="C482" s="56"/>
      <c r="D482" s="56"/>
      <c r="E482" s="56"/>
      <c r="F482" s="251"/>
      <c r="G482" s="251"/>
      <c r="H482" s="251"/>
      <c r="I482" s="56"/>
      <c r="J482" s="56"/>
      <c r="K482" s="56"/>
      <c r="L482" s="56"/>
      <c r="M482" s="160"/>
      <c r="N482" s="160"/>
      <c r="O482" s="251"/>
      <c r="P482" s="251"/>
      <c r="Q482" s="251"/>
      <c r="R482" s="56"/>
      <c r="S482" s="56"/>
      <c r="T482" s="56"/>
      <c r="U482" s="56"/>
      <c r="V482" s="250"/>
      <c r="W482" s="56"/>
    </row>
    <row r="483" spans="1:23" ht="15.75" customHeight="1">
      <c r="A483" s="56"/>
      <c r="B483" s="56"/>
      <c r="C483" s="56"/>
      <c r="D483" s="56"/>
      <c r="E483" s="56"/>
      <c r="F483" s="251"/>
      <c r="G483" s="251"/>
      <c r="H483" s="251"/>
      <c r="I483" s="56"/>
      <c r="J483" s="56"/>
      <c r="K483" s="56"/>
      <c r="L483" s="56"/>
      <c r="M483" s="160"/>
      <c r="N483" s="160"/>
      <c r="O483" s="251"/>
      <c r="P483" s="251"/>
      <c r="Q483" s="251"/>
      <c r="R483" s="56"/>
      <c r="S483" s="56"/>
      <c r="T483" s="56"/>
      <c r="U483" s="56"/>
      <c r="V483" s="250"/>
      <c r="W483" s="56"/>
    </row>
    <row r="484" spans="1:23" ht="15.75" customHeight="1">
      <c r="A484" s="56"/>
      <c r="B484" s="56"/>
      <c r="C484" s="56"/>
      <c r="D484" s="56"/>
      <c r="E484" s="56"/>
      <c r="F484" s="251"/>
      <c r="G484" s="251"/>
      <c r="H484" s="251"/>
      <c r="I484" s="56"/>
      <c r="J484" s="56"/>
      <c r="K484" s="56"/>
      <c r="L484" s="56"/>
      <c r="M484" s="160"/>
      <c r="N484" s="160"/>
      <c r="O484" s="251"/>
      <c r="P484" s="251"/>
      <c r="Q484" s="251"/>
      <c r="R484" s="56"/>
      <c r="S484" s="56"/>
      <c r="T484" s="56"/>
      <c r="U484" s="56"/>
      <c r="V484" s="250"/>
      <c r="W484" s="56"/>
    </row>
    <row r="485" spans="1:23" ht="15.75" customHeight="1">
      <c r="A485" s="56"/>
      <c r="B485" s="56"/>
      <c r="C485" s="56"/>
      <c r="D485" s="56"/>
      <c r="E485" s="56"/>
      <c r="F485" s="251"/>
      <c r="G485" s="251"/>
      <c r="H485" s="251"/>
      <c r="I485" s="56"/>
      <c r="J485" s="56"/>
      <c r="K485" s="56"/>
      <c r="L485" s="56"/>
      <c r="M485" s="160"/>
      <c r="N485" s="160"/>
      <c r="O485" s="251"/>
      <c r="P485" s="251"/>
      <c r="Q485" s="251"/>
      <c r="R485" s="56"/>
      <c r="S485" s="56"/>
      <c r="T485" s="56"/>
      <c r="U485" s="56"/>
      <c r="V485" s="250"/>
      <c r="W485" s="56"/>
    </row>
    <row r="486" spans="1:23" ht="15.75" customHeight="1">
      <c r="A486" s="56"/>
      <c r="B486" s="56"/>
      <c r="C486" s="56"/>
      <c r="D486" s="56"/>
      <c r="E486" s="56"/>
      <c r="F486" s="251"/>
      <c r="G486" s="251"/>
      <c r="H486" s="251"/>
      <c r="I486" s="56"/>
      <c r="J486" s="56"/>
      <c r="K486" s="56"/>
      <c r="L486" s="56"/>
      <c r="M486" s="160"/>
      <c r="N486" s="160"/>
      <c r="O486" s="251"/>
      <c r="P486" s="251"/>
      <c r="Q486" s="251"/>
      <c r="R486" s="56"/>
      <c r="S486" s="56"/>
      <c r="T486" s="56"/>
      <c r="U486" s="56"/>
      <c r="V486" s="250"/>
      <c r="W486" s="56"/>
    </row>
    <row r="487" spans="1:23" ht="15.75" customHeight="1">
      <c r="A487" s="56"/>
      <c r="B487" s="56"/>
      <c r="C487" s="56"/>
      <c r="D487" s="56"/>
      <c r="E487" s="56"/>
      <c r="F487" s="251"/>
      <c r="G487" s="251"/>
      <c r="H487" s="251"/>
      <c r="I487" s="56"/>
      <c r="J487" s="56"/>
      <c r="K487" s="56"/>
      <c r="L487" s="56"/>
      <c r="M487" s="160"/>
      <c r="N487" s="160"/>
      <c r="O487" s="251"/>
      <c r="P487" s="251"/>
      <c r="Q487" s="251"/>
      <c r="R487" s="56"/>
      <c r="S487" s="56"/>
      <c r="T487" s="56"/>
      <c r="U487" s="56"/>
      <c r="V487" s="250"/>
      <c r="W487" s="56"/>
    </row>
    <row r="488" spans="1:23" ht="15.75" customHeight="1">
      <c r="A488" s="56"/>
      <c r="B488" s="56"/>
      <c r="C488" s="56"/>
      <c r="D488" s="56"/>
      <c r="E488" s="56"/>
      <c r="F488" s="251"/>
      <c r="G488" s="251"/>
      <c r="H488" s="251"/>
      <c r="I488" s="56"/>
      <c r="J488" s="56"/>
      <c r="K488" s="56"/>
      <c r="L488" s="56"/>
      <c r="M488" s="160"/>
      <c r="N488" s="160"/>
      <c r="O488" s="251"/>
      <c r="P488" s="251"/>
      <c r="Q488" s="251"/>
      <c r="R488" s="56"/>
      <c r="S488" s="56"/>
      <c r="T488" s="56"/>
      <c r="U488" s="56"/>
      <c r="V488" s="250"/>
      <c r="W488" s="56"/>
    </row>
    <row r="489" spans="1:23" ht="15.75" customHeight="1">
      <c r="A489" s="56"/>
      <c r="B489" s="56"/>
      <c r="C489" s="56"/>
      <c r="D489" s="56"/>
      <c r="E489" s="56"/>
      <c r="F489" s="251"/>
      <c r="G489" s="251"/>
      <c r="H489" s="251"/>
      <c r="I489" s="56"/>
      <c r="J489" s="56"/>
      <c r="K489" s="56"/>
      <c r="L489" s="56"/>
      <c r="M489" s="160"/>
      <c r="N489" s="160"/>
      <c r="O489" s="251"/>
      <c r="P489" s="251"/>
      <c r="Q489" s="251"/>
      <c r="R489" s="56"/>
      <c r="S489" s="56"/>
      <c r="T489" s="56"/>
      <c r="U489" s="56"/>
      <c r="V489" s="250"/>
      <c r="W489" s="56"/>
    </row>
    <row r="490" spans="1:23" ht="15.75" customHeight="1">
      <c r="A490" s="56"/>
      <c r="B490" s="56"/>
      <c r="C490" s="56"/>
      <c r="D490" s="56"/>
      <c r="E490" s="56"/>
      <c r="F490" s="251"/>
      <c r="G490" s="251"/>
      <c r="H490" s="251"/>
      <c r="I490" s="56"/>
      <c r="J490" s="56"/>
      <c r="K490" s="56"/>
      <c r="L490" s="56"/>
      <c r="M490" s="160"/>
      <c r="N490" s="160"/>
      <c r="O490" s="251"/>
      <c r="P490" s="251"/>
      <c r="Q490" s="251"/>
      <c r="R490" s="56"/>
      <c r="S490" s="56"/>
      <c r="T490" s="56"/>
      <c r="U490" s="56"/>
      <c r="V490" s="250"/>
      <c r="W490" s="56"/>
    </row>
    <row r="491" spans="1:23" ht="15.75" customHeight="1">
      <c r="A491" s="56"/>
      <c r="B491" s="56"/>
      <c r="C491" s="56"/>
      <c r="D491" s="56"/>
      <c r="E491" s="56"/>
      <c r="F491" s="251"/>
      <c r="G491" s="251"/>
      <c r="H491" s="251"/>
      <c r="I491" s="56"/>
      <c r="J491" s="56"/>
      <c r="K491" s="56"/>
      <c r="L491" s="56"/>
      <c r="M491" s="160"/>
      <c r="N491" s="160"/>
      <c r="O491" s="251"/>
      <c r="P491" s="251"/>
      <c r="Q491" s="251"/>
      <c r="R491" s="56"/>
      <c r="S491" s="56"/>
      <c r="T491" s="56"/>
      <c r="U491" s="56"/>
      <c r="V491" s="250"/>
      <c r="W491" s="56"/>
    </row>
    <row r="492" spans="1:23" ht="15.75" customHeight="1">
      <c r="A492" s="56"/>
      <c r="B492" s="56"/>
      <c r="C492" s="56"/>
      <c r="D492" s="56"/>
      <c r="E492" s="56"/>
      <c r="F492" s="251"/>
      <c r="G492" s="251"/>
      <c r="H492" s="251"/>
      <c r="I492" s="56"/>
      <c r="J492" s="56"/>
      <c r="K492" s="56"/>
      <c r="L492" s="56"/>
      <c r="M492" s="160"/>
      <c r="N492" s="160"/>
      <c r="O492" s="251"/>
      <c r="P492" s="251"/>
      <c r="Q492" s="251"/>
      <c r="R492" s="56"/>
      <c r="S492" s="56"/>
      <c r="T492" s="56"/>
      <c r="U492" s="56"/>
      <c r="V492" s="250"/>
      <c r="W492" s="56"/>
    </row>
    <row r="493" spans="1:23" ht="15.75" customHeight="1">
      <c r="A493" s="56"/>
      <c r="B493" s="56"/>
      <c r="C493" s="56"/>
      <c r="D493" s="56"/>
      <c r="E493" s="56"/>
      <c r="F493" s="251"/>
      <c r="G493" s="251"/>
      <c r="H493" s="251"/>
      <c r="I493" s="56"/>
      <c r="J493" s="56"/>
      <c r="K493" s="56"/>
      <c r="L493" s="56"/>
      <c r="M493" s="160"/>
      <c r="N493" s="160"/>
      <c r="O493" s="251"/>
      <c r="P493" s="251"/>
      <c r="Q493" s="251"/>
      <c r="R493" s="56"/>
      <c r="S493" s="56"/>
      <c r="T493" s="56"/>
      <c r="U493" s="56"/>
      <c r="V493" s="250"/>
      <c r="W493" s="56"/>
    </row>
    <row r="494" spans="1:23" ht="15.75" customHeight="1">
      <c r="A494" s="56"/>
      <c r="B494" s="56"/>
      <c r="C494" s="56"/>
      <c r="D494" s="56"/>
      <c r="E494" s="56"/>
      <c r="F494" s="251"/>
      <c r="G494" s="251"/>
      <c r="H494" s="251"/>
      <c r="I494" s="56"/>
      <c r="J494" s="56"/>
      <c r="K494" s="56"/>
      <c r="L494" s="56"/>
      <c r="M494" s="160"/>
      <c r="N494" s="160"/>
      <c r="O494" s="251"/>
      <c r="P494" s="251"/>
      <c r="Q494" s="251"/>
      <c r="R494" s="56"/>
      <c r="S494" s="56"/>
      <c r="T494" s="56"/>
      <c r="U494" s="56"/>
      <c r="V494" s="250"/>
      <c r="W494" s="56"/>
    </row>
    <row r="495" spans="1:23" ht="15.75" customHeight="1">
      <c r="A495" s="56"/>
      <c r="B495" s="56"/>
      <c r="C495" s="56"/>
      <c r="D495" s="56"/>
      <c r="E495" s="56"/>
      <c r="F495" s="251"/>
      <c r="G495" s="251"/>
      <c r="H495" s="251"/>
      <c r="I495" s="56"/>
      <c r="J495" s="56"/>
      <c r="K495" s="56"/>
      <c r="L495" s="56"/>
      <c r="M495" s="160"/>
      <c r="N495" s="160"/>
      <c r="O495" s="251"/>
      <c r="P495" s="251"/>
      <c r="Q495" s="251"/>
      <c r="R495" s="56"/>
      <c r="S495" s="56"/>
      <c r="T495" s="56"/>
      <c r="U495" s="56"/>
      <c r="V495" s="250"/>
      <c r="W495" s="56"/>
    </row>
    <row r="496" spans="1:23" ht="15.75" customHeight="1">
      <c r="A496" s="56"/>
      <c r="B496" s="56"/>
      <c r="C496" s="56"/>
      <c r="D496" s="56"/>
      <c r="E496" s="56"/>
      <c r="F496" s="251"/>
      <c r="G496" s="251"/>
      <c r="H496" s="251"/>
      <c r="I496" s="56"/>
      <c r="J496" s="56"/>
      <c r="K496" s="56"/>
      <c r="L496" s="56"/>
      <c r="M496" s="160"/>
      <c r="N496" s="160"/>
      <c r="O496" s="251"/>
      <c r="P496" s="251"/>
      <c r="Q496" s="251"/>
      <c r="R496" s="56"/>
      <c r="S496" s="56"/>
      <c r="T496" s="56"/>
      <c r="U496" s="56"/>
      <c r="V496" s="250"/>
      <c r="W496" s="56"/>
    </row>
    <row r="497" spans="1:23" ht="15.75" customHeight="1">
      <c r="A497" s="56"/>
      <c r="B497" s="56"/>
      <c r="C497" s="56"/>
      <c r="D497" s="56"/>
      <c r="E497" s="56"/>
      <c r="F497" s="251"/>
      <c r="G497" s="251"/>
      <c r="H497" s="251"/>
      <c r="I497" s="56"/>
      <c r="J497" s="56"/>
      <c r="K497" s="56"/>
      <c r="L497" s="56"/>
      <c r="M497" s="160"/>
      <c r="N497" s="160"/>
      <c r="O497" s="251"/>
      <c r="P497" s="251"/>
      <c r="Q497" s="251"/>
      <c r="R497" s="56"/>
      <c r="S497" s="56"/>
      <c r="T497" s="56"/>
      <c r="U497" s="56"/>
      <c r="V497" s="250"/>
      <c r="W497" s="56"/>
    </row>
    <row r="498" spans="1:23" ht="15.75" customHeight="1">
      <c r="A498" s="56"/>
      <c r="B498" s="56"/>
      <c r="C498" s="56"/>
      <c r="D498" s="56"/>
      <c r="E498" s="56"/>
      <c r="F498" s="251"/>
      <c r="G498" s="251"/>
      <c r="H498" s="251"/>
      <c r="I498" s="56"/>
      <c r="J498" s="56"/>
      <c r="K498" s="56"/>
      <c r="L498" s="56"/>
      <c r="M498" s="160"/>
      <c r="N498" s="160"/>
      <c r="O498" s="251"/>
      <c r="P498" s="251"/>
      <c r="Q498" s="251"/>
      <c r="R498" s="56"/>
      <c r="S498" s="56"/>
      <c r="T498" s="56"/>
      <c r="U498" s="56"/>
      <c r="V498" s="250"/>
      <c r="W498" s="56"/>
    </row>
    <row r="499" spans="1:23" ht="15.75" customHeight="1">
      <c r="A499" s="56"/>
      <c r="B499" s="56"/>
      <c r="C499" s="56"/>
      <c r="D499" s="56"/>
      <c r="E499" s="56"/>
      <c r="F499" s="251"/>
      <c r="G499" s="251"/>
      <c r="H499" s="251"/>
      <c r="I499" s="56"/>
      <c r="J499" s="56"/>
      <c r="K499" s="56"/>
      <c r="L499" s="56"/>
      <c r="M499" s="160"/>
      <c r="N499" s="160"/>
      <c r="O499" s="251"/>
      <c r="P499" s="251"/>
      <c r="Q499" s="251"/>
      <c r="R499" s="56"/>
      <c r="S499" s="56"/>
      <c r="T499" s="56"/>
      <c r="U499" s="56"/>
      <c r="V499" s="250"/>
      <c r="W499" s="56"/>
    </row>
    <row r="500" spans="1:23" ht="15.75" customHeight="1">
      <c r="A500" s="56"/>
      <c r="B500" s="56"/>
      <c r="C500" s="56"/>
      <c r="D500" s="56"/>
      <c r="E500" s="56"/>
      <c r="F500" s="251"/>
      <c r="G500" s="251"/>
      <c r="H500" s="251"/>
      <c r="I500" s="56"/>
      <c r="J500" s="56"/>
      <c r="K500" s="56"/>
      <c r="L500" s="56"/>
      <c r="M500" s="160"/>
      <c r="N500" s="160"/>
      <c r="O500" s="251"/>
      <c r="P500" s="251"/>
      <c r="Q500" s="251"/>
      <c r="R500" s="56"/>
      <c r="S500" s="56"/>
      <c r="T500" s="56"/>
      <c r="U500" s="56"/>
      <c r="V500" s="250"/>
      <c r="W500" s="56"/>
    </row>
    <row r="501" spans="1:23" ht="15.75" customHeight="1">
      <c r="A501" s="56"/>
      <c r="B501" s="56"/>
      <c r="C501" s="56"/>
      <c r="D501" s="56"/>
      <c r="E501" s="56"/>
      <c r="F501" s="251"/>
      <c r="G501" s="251"/>
      <c r="H501" s="251"/>
      <c r="I501" s="56"/>
      <c r="J501" s="56"/>
      <c r="K501" s="56"/>
      <c r="L501" s="56"/>
      <c r="M501" s="160"/>
      <c r="N501" s="160"/>
      <c r="O501" s="251"/>
      <c r="P501" s="251"/>
      <c r="Q501" s="251"/>
      <c r="R501" s="56"/>
      <c r="S501" s="56"/>
      <c r="T501" s="56"/>
      <c r="U501" s="56"/>
      <c r="V501" s="250"/>
      <c r="W501" s="56"/>
    </row>
    <row r="502" spans="1:23" ht="15.75" customHeight="1">
      <c r="A502" s="56"/>
      <c r="B502" s="56"/>
      <c r="C502" s="56"/>
      <c r="D502" s="56"/>
      <c r="E502" s="56"/>
      <c r="F502" s="251"/>
      <c r="G502" s="251"/>
      <c r="H502" s="251"/>
      <c r="I502" s="56"/>
      <c r="J502" s="56"/>
      <c r="K502" s="56"/>
      <c r="L502" s="56"/>
      <c r="M502" s="160"/>
      <c r="N502" s="160"/>
      <c r="O502" s="251"/>
      <c r="P502" s="251"/>
      <c r="Q502" s="251"/>
      <c r="R502" s="56"/>
      <c r="S502" s="56"/>
      <c r="T502" s="56"/>
      <c r="U502" s="56"/>
      <c r="V502" s="250"/>
      <c r="W502" s="56"/>
    </row>
    <row r="503" spans="1:23" ht="15.75" customHeight="1">
      <c r="A503" s="56"/>
      <c r="B503" s="56"/>
      <c r="C503" s="56"/>
      <c r="D503" s="56"/>
      <c r="E503" s="56"/>
      <c r="F503" s="251"/>
      <c r="G503" s="251"/>
      <c r="H503" s="251"/>
      <c r="I503" s="56"/>
      <c r="J503" s="56"/>
      <c r="K503" s="56"/>
      <c r="L503" s="56"/>
      <c r="M503" s="160"/>
      <c r="N503" s="160"/>
      <c r="O503" s="251"/>
      <c r="P503" s="251"/>
      <c r="Q503" s="251"/>
      <c r="R503" s="56"/>
      <c r="S503" s="56"/>
      <c r="T503" s="56"/>
      <c r="U503" s="56"/>
      <c r="V503" s="250"/>
      <c r="W503" s="56"/>
    </row>
    <row r="504" spans="1:23" ht="15.75" customHeight="1">
      <c r="A504" s="56"/>
      <c r="B504" s="56"/>
      <c r="C504" s="56"/>
      <c r="D504" s="56"/>
      <c r="E504" s="56"/>
      <c r="F504" s="251"/>
      <c r="G504" s="251"/>
      <c r="H504" s="251"/>
      <c r="I504" s="56"/>
      <c r="J504" s="56"/>
      <c r="K504" s="56"/>
      <c r="L504" s="56"/>
      <c r="M504" s="160"/>
      <c r="N504" s="160"/>
      <c r="O504" s="251"/>
      <c r="P504" s="251"/>
      <c r="Q504" s="251"/>
      <c r="R504" s="56"/>
      <c r="S504" s="56"/>
      <c r="T504" s="56"/>
      <c r="U504" s="56"/>
      <c r="V504" s="250"/>
      <c r="W504" s="56"/>
    </row>
    <row r="505" spans="1:23" ht="15.75" customHeight="1">
      <c r="A505" s="56"/>
      <c r="B505" s="56"/>
      <c r="C505" s="56"/>
      <c r="D505" s="56"/>
      <c r="E505" s="56"/>
      <c r="F505" s="251"/>
      <c r="G505" s="251"/>
      <c r="H505" s="251"/>
      <c r="I505" s="56"/>
      <c r="J505" s="56"/>
      <c r="K505" s="56"/>
      <c r="L505" s="56"/>
      <c r="M505" s="160"/>
      <c r="N505" s="160"/>
      <c r="O505" s="251"/>
      <c r="P505" s="251"/>
      <c r="Q505" s="251"/>
      <c r="R505" s="56"/>
      <c r="S505" s="56"/>
      <c r="T505" s="56"/>
      <c r="U505" s="56"/>
      <c r="V505" s="250"/>
      <c r="W505" s="56"/>
    </row>
    <row r="506" spans="1:23" ht="15.75" customHeight="1">
      <c r="A506" s="56"/>
      <c r="B506" s="56"/>
      <c r="C506" s="56"/>
      <c r="D506" s="56"/>
      <c r="E506" s="56"/>
      <c r="F506" s="251"/>
      <c r="G506" s="251"/>
      <c r="H506" s="251"/>
      <c r="I506" s="56"/>
      <c r="J506" s="56"/>
      <c r="K506" s="56"/>
      <c r="L506" s="56"/>
      <c r="M506" s="160"/>
      <c r="N506" s="160"/>
      <c r="O506" s="251"/>
      <c r="P506" s="251"/>
      <c r="Q506" s="251"/>
      <c r="R506" s="56"/>
      <c r="S506" s="56"/>
      <c r="T506" s="56"/>
      <c r="U506" s="56"/>
      <c r="V506" s="250"/>
      <c r="W506" s="56"/>
    </row>
    <row r="507" spans="1:23" ht="15.75" customHeight="1">
      <c r="A507" s="56"/>
      <c r="B507" s="56"/>
      <c r="C507" s="56"/>
      <c r="D507" s="56"/>
      <c r="E507" s="56"/>
      <c r="F507" s="251"/>
      <c r="G507" s="251"/>
      <c r="H507" s="251"/>
      <c r="I507" s="56"/>
      <c r="J507" s="56"/>
      <c r="K507" s="56"/>
      <c r="L507" s="56"/>
      <c r="M507" s="160"/>
      <c r="N507" s="160"/>
      <c r="O507" s="251"/>
      <c r="P507" s="251"/>
      <c r="Q507" s="251"/>
      <c r="R507" s="56"/>
      <c r="S507" s="56"/>
      <c r="T507" s="56"/>
      <c r="U507" s="56"/>
      <c r="V507" s="250"/>
      <c r="W507" s="56"/>
    </row>
    <row r="508" spans="1:23" ht="15.75" customHeight="1">
      <c r="A508" s="56"/>
      <c r="B508" s="56"/>
      <c r="C508" s="56"/>
      <c r="D508" s="56"/>
      <c r="E508" s="56"/>
      <c r="F508" s="251"/>
      <c r="G508" s="251"/>
      <c r="H508" s="251"/>
      <c r="I508" s="56"/>
      <c r="J508" s="56"/>
      <c r="K508" s="56"/>
      <c r="L508" s="56"/>
      <c r="M508" s="160"/>
      <c r="N508" s="160"/>
      <c r="O508" s="251"/>
      <c r="P508" s="251"/>
      <c r="Q508" s="251"/>
      <c r="R508" s="56"/>
      <c r="S508" s="56"/>
      <c r="T508" s="56"/>
      <c r="U508" s="56"/>
      <c r="V508" s="250"/>
      <c r="W508" s="56"/>
    </row>
    <row r="509" spans="1:23" ht="15.75" customHeight="1">
      <c r="A509" s="56"/>
      <c r="B509" s="56"/>
      <c r="C509" s="56"/>
      <c r="D509" s="56"/>
      <c r="E509" s="56"/>
      <c r="F509" s="251"/>
      <c r="G509" s="251"/>
      <c r="H509" s="251"/>
      <c r="I509" s="56"/>
      <c r="J509" s="56"/>
      <c r="K509" s="56"/>
      <c r="L509" s="56"/>
      <c r="M509" s="160"/>
      <c r="N509" s="160"/>
      <c r="O509" s="251"/>
      <c r="P509" s="251"/>
      <c r="Q509" s="251"/>
      <c r="R509" s="56"/>
      <c r="S509" s="56"/>
      <c r="T509" s="56"/>
      <c r="U509" s="56"/>
      <c r="V509" s="250"/>
      <c r="W509" s="56"/>
    </row>
    <row r="510" spans="1:23" ht="15.75" customHeight="1">
      <c r="A510" s="56"/>
      <c r="B510" s="56"/>
      <c r="C510" s="56"/>
      <c r="D510" s="56"/>
      <c r="E510" s="56"/>
      <c r="F510" s="251"/>
      <c r="G510" s="251"/>
      <c r="H510" s="251"/>
      <c r="I510" s="56"/>
      <c r="J510" s="56"/>
      <c r="K510" s="56"/>
      <c r="L510" s="56"/>
      <c r="M510" s="160"/>
      <c r="N510" s="160"/>
      <c r="O510" s="251"/>
      <c r="P510" s="251"/>
      <c r="Q510" s="251"/>
      <c r="R510" s="56"/>
      <c r="S510" s="56"/>
      <c r="T510" s="56"/>
      <c r="U510" s="56"/>
      <c r="V510" s="250"/>
      <c r="W510" s="56"/>
    </row>
    <row r="511" spans="1:23" ht="15.75" customHeight="1">
      <c r="A511" s="56"/>
      <c r="B511" s="56"/>
      <c r="C511" s="56"/>
      <c r="D511" s="56"/>
      <c r="E511" s="56"/>
      <c r="F511" s="251"/>
      <c r="G511" s="251"/>
      <c r="H511" s="251"/>
      <c r="I511" s="56"/>
      <c r="J511" s="56"/>
      <c r="K511" s="56"/>
      <c r="L511" s="56"/>
      <c r="M511" s="160"/>
      <c r="N511" s="160"/>
      <c r="O511" s="251"/>
      <c r="P511" s="251"/>
      <c r="Q511" s="251"/>
      <c r="R511" s="56"/>
      <c r="S511" s="56"/>
      <c r="T511" s="56"/>
      <c r="U511" s="56"/>
      <c r="V511" s="250"/>
      <c r="W511" s="56"/>
    </row>
    <row r="512" spans="1:23" ht="15.75" customHeight="1">
      <c r="A512" s="56"/>
      <c r="B512" s="56"/>
      <c r="C512" s="56"/>
      <c r="D512" s="56"/>
      <c r="E512" s="56"/>
      <c r="F512" s="251"/>
      <c r="G512" s="251"/>
      <c r="H512" s="251"/>
      <c r="I512" s="56"/>
      <c r="J512" s="56"/>
      <c r="K512" s="56"/>
      <c r="L512" s="56"/>
      <c r="M512" s="160"/>
      <c r="N512" s="160"/>
      <c r="O512" s="251"/>
      <c r="P512" s="251"/>
      <c r="Q512" s="251"/>
      <c r="R512" s="56"/>
      <c r="S512" s="56"/>
      <c r="T512" s="56"/>
      <c r="U512" s="56"/>
      <c r="V512" s="250"/>
      <c r="W512" s="56"/>
    </row>
    <row r="513" spans="1:23" ht="15.75" customHeight="1">
      <c r="A513" s="56"/>
      <c r="B513" s="56"/>
      <c r="C513" s="56"/>
      <c r="D513" s="56"/>
      <c r="E513" s="56"/>
      <c r="F513" s="251"/>
      <c r="G513" s="251"/>
      <c r="H513" s="251"/>
      <c r="I513" s="56"/>
      <c r="J513" s="56"/>
      <c r="K513" s="56"/>
      <c r="L513" s="56"/>
      <c r="M513" s="160"/>
      <c r="N513" s="160"/>
      <c r="O513" s="251"/>
      <c r="P513" s="251"/>
      <c r="Q513" s="251"/>
      <c r="R513" s="56"/>
      <c r="S513" s="56"/>
      <c r="T513" s="56"/>
      <c r="U513" s="56"/>
      <c r="V513" s="250"/>
      <c r="W513" s="56"/>
    </row>
    <row r="514" spans="1:23" ht="15.75" customHeight="1">
      <c r="A514" s="56"/>
      <c r="B514" s="56"/>
      <c r="C514" s="56"/>
      <c r="D514" s="56"/>
      <c r="E514" s="56"/>
      <c r="F514" s="251"/>
      <c r="G514" s="251"/>
      <c r="H514" s="251"/>
      <c r="I514" s="56"/>
      <c r="J514" s="56"/>
      <c r="K514" s="56"/>
      <c r="L514" s="56"/>
      <c r="M514" s="160"/>
      <c r="N514" s="160"/>
      <c r="O514" s="251"/>
      <c r="P514" s="251"/>
      <c r="Q514" s="251"/>
      <c r="R514" s="56"/>
      <c r="S514" s="56"/>
      <c r="T514" s="56"/>
      <c r="U514" s="56"/>
      <c r="V514" s="250"/>
      <c r="W514" s="56"/>
    </row>
    <row r="515" spans="1:23" ht="15.75" customHeight="1">
      <c r="A515" s="56"/>
      <c r="B515" s="56"/>
      <c r="C515" s="56"/>
      <c r="D515" s="56"/>
      <c r="E515" s="56"/>
      <c r="F515" s="251"/>
      <c r="G515" s="251"/>
      <c r="H515" s="251"/>
      <c r="I515" s="56"/>
      <c r="J515" s="56"/>
      <c r="K515" s="56"/>
      <c r="L515" s="56"/>
      <c r="M515" s="160"/>
      <c r="N515" s="160"/>
      <c r="O515" s="251"/>
      <c r="P515" s="251"/>
      <c r="Q515" s="251"/>
      <c r="R515" s="56"/>
      <c r="S515" s="56"/>
      <c r="T515" s="56"/>
      <c r="U515" s="56"/>
      <c r="V515" s="250"/>
      <c r="W515" s="56"/>
    </row>
    <row r="516" spans="1:23" ht="15.75" customHeight="1">
      <c r="A516" s="56"/>
      <c r="B516" s="56"/>
      <c r="C516" s="56"/>
      <c r="D516" s="56"/>
      <c r="E516" s="56"/>
      <c r="F516" s="251"/>
      <c r="G516" s="251"/>
      <c r="H516" s="251"/>
      <c r="I516" s="56"/>
      <c r="J516" s="56"/>
      <c r="K516" s="56"/>
      <c r="L516" s="56"/>
      <c r="M516" s="160"/>
      <c r="N516" s="160"/>
      <c r="O516" s="251"/>
      <c r="P516" s="251"/>
      <c r="Q516" s="251"/>
      <c r="R516" s="56"/>
      <c r="S516" s="56"/>
      <c r="T516" s="56"/>
      <c r="U516" s="56"/>
      <c r="V516" s="250"/>
      <c r="W516" s="56"/>
    </row>
    <row r="517" spans="1:23" ht="15.75" customHeight="1">
      <c r="A517" s="56"/>
      <c r="B517" s="56"/>
      <c r="C517" s="56"/>
      <c r="D517" s="56"/>
      <c r="E517" s="56"/>
      <c r="F517" s="251"/>
      <c r="G517" s="251"/>
      <c r="H517" s="251"/>
      <c r="I517" s="56"/>
      <c r="J517" s="56"/>
      <c r="K517" s="56"/>
      <c r="L517" s="56"/>
      <c r="M517" s="160"/>
      <c r="N517" s="160"/>
      <c r="O517" s="251"/>
      <c r="P517" s="251"/>
      <c r="Q517" s="251"/>
      <c r="R517" s="56"/>
      <c r="S517" s="56"/>
      <c r="T517" s="56"/>
      <c r="U517" s="56"/>
      <c r="V517" s="250"/>
      <c r="W517" s="56"/>
    </row>
    <row r="518" spans="1:23" ht="15.75" customHeight="1">
      <c r="A518" s="56"/>
      <c r="B518" s="56"/>
      <c r="C518" s="56"/>
      <c r="D518" s="56"/>
      <c r="E518" s="56"/>
      <c r="F518" s="251"/>
      <c r="G518" s="251"/>
      <c r="H518" s="251"/>
      <c r="I518" s="56"/>
      <c r="J518" s="56"/>
      <c r="K518" s="56"/>
      <c r="L518" s="56"/>
      <c r="M518" s="160"/>
      <c r="N518" s="160"/>
      <c r="O518" s="251"/>
      <c r="P518" s="251"/>
      <c r="Q518" s="251"/>
      <c r="R518" s="56"/>
      <c r="S518" s="56"/>
      <c r="T518" s="56"/>
      <c r="U518" s="56"/>
      <c r="V518" s="250"/>
      <c r="W518" s="56"/>
    </row>
    <row r="519" spans="1:23" ht="15.75" customHeight="1">
      <c r="A519" s="56"/>
      <c r="B519" s="56"/>
      <c r="C519" s="56"/>
      <c r="D519" s="56"/>
      <c r="E519" s="56"/>
      <c r="F519" s="251"/>
      <c r="G519" s="251"/>
      <c r="H519" s="251"/>
      <c r="I519" s="56"/>
      <c r="J519" s="56"/>
      <c r="K519" s="56"/>
      <c r="L519" s="56"/>
      <c r="M519" s="160"/>
      <c r="N519" s="160"/>
      <c r="O519" s="251"/>
      <c r="P519" s="251"/>
      <c r="Q519" s="251"/>
      <c r="R519" s="56"/>
      <c r="S519" s="56"/>
      <c r="T519" s="56"/>
      <c r="U519" s="56"/>
      <c r="V519" s="250"/>
      <c r="W519" s="56"/>
    </row>
    <row r="520" spans="1:23" ht="15.75" customHeight="1">
      <c r="A520" s="56"/>
      <c r="B520" s="56"/>
      <c r="C520" s="56"/>
      <c r="D520" s="56"/>
      <c r="E520" s="56"/>
      <c r="F520" s="251"/>
      <c r="G520" s="251"/>
      <c r="H520" s="251"/>
      <c r="I520" s="56"/>
      <c r="J520" s="56"/>
      <c r="K520" s="56"/>
      <c r="L520" s="56"/>
      <c r="M520" s="160"/>
      <c r="N520" s="160"/>
      <c r="O520" s="251"/>
      <c r="P520" s="251"/>
      <c r="Q520" s="251"/>
      <c r="R520" s="56"/>
      <c r="S520" s="56"/>
      <c r="T520" s="56"/>
      <c r="U520" s="56"/>
      <c r="V520" s="250"/>
      <c r="W520" s="56"/>
    </row>
    <row r="521" spans="1:23" ht="15.75" customHeight="1">
      <c r="A521" s="56"/>
      <c r="B521" s="56"/>
      <c r="C521" s="56"/>
      <c r="D521" s="56"/>
      <c r="E521" s="56"/>
      <c r="F521" s="251"/>
      <c r="G521" s="251"/>
      <c r="H521" s="251"/>
      <c r="I521" s="56"/>
      <c r="J521" s="56"/>
      <c r="K521" s="56"/>
      <c r="L521" s="56"/>
      <c r="M521" s="160"/>
      <c r="N521" s="160"/>
      <c r="O521" s="251"/>
      <c r="P521" s="251"/>
      <c r="Q521" s="251"/>
      <c r="R521" s="56"/>
      <c r="S521" s="56"/>
      <c r="T521" s="56"/>
      <c r="U521" s="56"/>
      <c r="V521" s="250"/>
      <c r="W521" s="56"/>
    </row>
    <row r="522" spans="1:23" ht="15.75" customHeight="1">
      <c r="A522" s="56"/>
      <c r="B522" s="56"/>
      <c r="C522" s="56"/>
      <c r="D522" s="56"/>
      <c r="E522" s="56"/>
      <c r="F522" s="251"/>
      <c r="G522" s="251"/>
      <c r="H522" s="251"/>
      <c r="I522" s="56"/>
      <c r="J522" s="56"/>
      <c r="K522" s="56"/>
      <c r="L522" s="56"/>
      <c r="M522" s="160"/>
      <c r="N522" s="160"/>
      <c r="O522" s="251"/>
      <c r="P522" s="251"/>
      <c r="Q522" s="251"/>
      <c r="R522" s="56"/>
      <c r="S522" s="56"/>
      <c r="T522" s="56"/>
      <c r="U522" s="56"/>
      <c r="V522" s="250"/>
      <c r="W522" s="56"/>
    </row>
    <row r="523" spans="1:23" ht="15.75" customHeight="1">
      <c r="A523" s="56"/>
      <c r="B523" s="56"/>
      <c r="C523" s="56"/>
      <c r="D523" s="56"/>
      <c r="E523" s="56"/>
      <c r="F523" s="251"/>
      <c r="G523" s="251"/>
      <c r="H523" s="251"/>
      <c r="I523" s="56"/>
      <c r="J523" s="56"/>
      <c r="K523" s="56"/>
      <c r="L523" s="56"/>
      <c r="M523" s="160"/>
      <c r="N523" s="160"/>
      <c r="O523" s="251"/>
      <c r="P523" s="251"/>
      <c r="Q523" s="251"/>
      <c r="R523" s="56"/>
      <c r="S523" s="56"/>
      <c r="T523" s="56"/>
      <c r="U523" s="56"/>
      <c r="V523" s="250"/>
      <c r="W523" s="56"/>
    </row>
    <row r="524" spans="1:23" ht="15.75" customHeight="1">
      <c r="A524" s="56"/>
      <c r="B524" s="56"/>
      <c r="C524" s="56"/>
      <c r="D524" s="56"/>
      <c r="E524" s="56"/>
      <c r="F524" s="251"/>
      <c r="G524" s="251"/>
      <c r="H524" s="251"/>
      <c r="I524" s="56"/>
      <c r="J524" s="56"/>
      <c r="K524" s="56"/>
      <c r="L524" s="56"/>
      <c r="M524" s="160"/>
      <c r="N524" s="160"/>
      <c r="O524" s="251"/>
      <c r="P524" s="251"/>
      <c r="Q524" s="251"/>
      <c r="R524" s="56"/>
      <c r="S524" s="56"/>
      <c r="T524" s="56"/>
      <c r="U524" s="56"/>
      <c r="V524" s="250"/>
      <c r="W524" s="56"/>
    </row>
    <row r="525" spans="1:23" ht="15.75" customHeight="1">
      <c r="A525" s="56"/>
      <c r="B525" s="56"/>
      <c r="C525" s="56"/>
      <c r="D525" s="56"/>
      <c r="E525" s="56"/>
      <c r="F525" s="251"/>
      <c r="G525" s="251"/>
      <c r="H525" s="251"/>
      <c r="I525" s="56"/>
      <c r="J525" s="56"/>
      <c r="K525" s="56"/>
      <c r="L525" s="56"/>
      <c r="M525" s="160"/>
      <c r="N525" s="160"/>
      <c r="O525" s="251"/>
      <c r="P525" s="251"/>
      <c r="Q525" s="251"/>
      <c r="R525" s="56"/>
      <c r="S525" s="56"/>
      <c r="T525" s="56"/>
      <c r="U525" s="56"/>
      <c r="V525" s="250"/>
      <c r="W525" s="56"/>
    </row>
    <row r="526" spans="1:23" ht="15.75" customHeight="1">
      <c r="A526" s="56"/>
      <c r="B526" s="56"/>
      <c r="C526" s="56"/>
      <c r="D526" s="56"/>
      <c r="E526" s="56"/>
      <c r="F526" s="251"/>
      <c r="G526" s="251"/>
      <c r="H526" s="251"/>
      <c r="I526" s="56"/>
      <c r="J526" s="56"/>
      <c r="K526" s="56"/>
      <c r="L526" s="56"/>
      <c r="M526" s="160"/>
      <c r="N526" s="160"/>
      <c r="O526" s="251"/>
      <c r="P526" s="251"/>
      <c r="Q526" s="251"/>
      <c r="R526" s="56"/>
      <c r="S526" s="56"/>
      <c r="T526" s="56"/>
      <c r="U526" s="56"/>
      <c r="V526" s="250"/>
      <c r="W526" s="56"/>
    </row>
    <row r="527" spans="1:23" ht="15.75" customHeight="1">
      <c r="A527" s="56"/>
      <c r="B527" s="56"/>
      <c r="C527" s="56"/>
      <c r="D527" s="56"/>
      <c r="E527" s="56"/>
      <c r="F527" s="251"/>
      <c r="G527" s="251"/>
      <c r="H527" s="251"/>
      <c r="I527" s="56"/>
      <c r="J527" s="56"/>
      <c r="K527" s="56"/>
      <c r="L527" s="56"/>
      <c r="M527" s="160"/>
      <c r="N527" s="160"/>
      <c r="O527" s="251"/>
      <c r="P527" s="251"/>
      <c r="Q527" s="251"/>
      <c r="R527" s="56"/>
      <c r="S527" s="56"/>
      <c r="T527" s="56"/>
      <c r="U527" s="56"/>
      <c r="V527" s="250"/>
      <c r="W527" s="56"/>
    </row>
    <row r="528" spans="1:23" ht="15.75" customHeight="1">
      <c r="A528" s="56"/>
      <c r="B528" s="56"/>
      <c r="C528" s="56"/>
      <c r="D528" s="56"/>
      <c r="E528" s="56"/>
      <c r="F528" s="251"/>
      <c r="G528" s="251"/>
      <c r="H528" s="251"/>
      <c r="I528" s="56"/>
      <c r="J528" s="56"/>
      <c r="K528" s="56"/>
      <c r="L528" s="56"/>
      <c r="M528" s="160"/>
      <c r="N528" s="160"/>
      <c r="O528" s="251"/>
      <c r="P528" s="251"/>
      <c r="Q528" s="251"/>
      <c r="R528" s="56"/>
      <c r="S528" s="56"/>
      <c r="T528" s="56"/>
      <c r="U528" s="56"/>
      <c r="V528" s="250"/>
      <c r="W528" s="56"/>
    </row>
    <row r="529" spans="1:23" ht="15.75" customHeight="1">
      <c r="A529" s="56"/>
      <c r="B529" s="56"/>
      <c r="C529" s="56"/>
      <c r="D529" s="56"/>
      <c r="E529" s="56"/>
      <c r="F529" s="251"/>
      <c r="G529" s="251"/>
      <c r="H529" s="251"/>
      <c r="I529" s="56"/>
      <c r="J529" s="56"/>
      <c r="K529" s="56"/>
      <c r="L529" s="56"/>
      <c r="M529" s="160"/>
      <c r="N529" s="160"/>
      <c r="O529" s="251"/>
      <c r="P529" s="251"/>
      <c r="Q529" s="251"/>
      <c r="R529" s="56"/>
      <c r="S529" s="56"/>
      <c r="T529" s="56"/>
      <c r="U529" s="56"/>
      <c r="V529" s="250"/>
      <c r="W529" s="56"/>
    </row>
    <row r="530" spans="1:23" ht="15.75" customHeight="1">
      <c r="A530" s="56"/>
      <c r="B530" s="56"/>
      <c r="C530" s="56"/>
      <c r="D530" s="56"/>
      <c r="E530" s="56"/>
      <c r="F530" s="251"/>
      <c r="G530" s="251"/>
      <c r="H530" s="251"/>
      <c r="I530" s="56"/>
      <c r="J530" s="56"/>
      <c r="K530" s="56"/>
      <c r="L530" s="56"/>
      <c r="M530" s="160"/>
      <c r="N530" s="160"/>
      <c r="O530" s="251"/>
      <c r="P530" s="251"/>
      <c r="Q530" s="251"/>
      <c r="R530" s="56"/>
      <c r="S530" s="56"/>
      <c r="T530" s="56"/>
      <c r="U530" s="56"/>
      <c r="V530" s="250"/>
      <c r="W530" s="56"/>
    </row>
    <row r="531" spans="1:23" ht="15.75" customHeight="1">
      <c r="A531" s="56"/>
      <c r="B531" s="56"/>
      <c r="C531" s="56"/>
      <c r="D531" s="56"/>
      <c r="E531" s="56"/>
      <c r="F531" s="251"/>
      <c r="G531" s="251"/>
      <c r="H531" s="251"/>
      <c r="I531" s="56"/>
      <c r="J531" s="56"/>
      <c r="K531" s="56"/>
      <c r="L531" s="56"/>
      <c r="M531" s="160"/>
      <c r="N531" s="160"/>
      <c r="O531" s="251"/>
      <c r="P531" s="251"/>
      <c r="Q531" s="251"/>
      <c r="R531" s="56"/>
      <c r="S531" s="56"/>
      <c r="T531" s="56"/>
      <c r="U531" s="56"/>
      <c r="V531" s="250"/>
      <c r="W531" s="56"/>
    </row>
    <row r="532" spans="1:23" ht="15.75" customHeight="1">
      <c r="A532" s="56"/>
      <c r="B532" s="56"/>
      <c r="C532" s="56"/>
      <c r="D532" s="56"/>
      <c r="E532" s="56"/>
      <c r="F532" s="251"/>
      <c r="G532" s="251"/>
      <c r="H532" s="251"/>
      <c r="I532" s="56"/>
      <c r="J532" s="56"/>
      <c r="K532" s="56"/>
      <c r="L532" s="56"/>
      <c r="M532" s="160"/>
      <c r="N532" s="160"/>
      <c r="O532" s="251"/>
      <c r="P532" s="251"/>
      <c r="Q532" s="251"/>
      <c r="R532" s="56"/>
      <c r="S532" s="56"/>
      <c r="T532" s="56"/>
      <c r="U532" s="56"/>
      <c r="V532" s="250"/>
      <c r="W532" s="56"/>
    </row>
    <row r="533" spans="1:23" ht="15.75" customHeight="1">
      <c r="A533" s="56"/>
      <c r="B533" s="56"/>
      <c r="C533" s="56"/>
      <c r="D533" s="56"/>
      <c r="E533" s="56"/>
      <c r="F533" s="251"/>
      <c r="G533" s="251"/>
      <c r="H533" s="251"/>
      <c r="I533" s="56"/>
      <c r="J533" s="56"/>
      <c r="K533" s="56"/>
      <c r="L533" s="56"/>
      <c r="M533" s="160"/>
      <c r="N533" s="160"/>
      <c r="O533" s="251"/>
      <c r="P533" s="251"/>
      <c r="Q533" s="251"/>
      <c r="R533" s="56"/>
      <c r="S533" s="56"/>
      <c r="T533" s="56"/>
      <c r="U533" s="56"/>
      <c r="V533" s="250"/>
      <c r="W533" s="56"/>
    </row>
    <row r="534" spans="1:23" ht="15.75" customHeight="1">
      <c r="A534" s="56"/>
      <c r="B534" s="56"/>
      <c r="C534" s="56"/>
      <c r="D534" s="56"/>
      <c r="E534" s="56"/>
      <c r="F534" s="251"/>
      <c r="G534" s="251"/>
      <c r="H534" s="251"/>
      <c r="I534" s="56"/>
      <c r="J534" s="56"/>
      <c r="K534" s="56"/>
      <c r="L534" s="56"/>
      <c r="M534" s="160"/>
      <c r="N534" s="160"/>
      <c r="O534" s="251"/>
      <c r="P534" s="251"/>
      <c r="Q534" s="251"/>
      <c r="R534" s="56"/>
      <c r="S534" s="56"/>
      <c r="T534" s="56"/>
      <c r="U534" s="56"/>
      <c r="V534" s="250"/>
      <c r="W534" s="56"/>
    </row>
    <row r="535" spans="1:23" ht="15.75" customHeight="1">
      <c r="A535" s="56"/>
      <c r="B535" s="56"/>
      <c r="C535" s="56"/>
      <c r="D535" s="56"/>
      <c r="E535" s="56"/>
      <c r="F535" s="251"/>
      <c r="G535" s="251"/>
      <c r="H535" s="251"/>
      <c r="I535" s="56"/>
      <c r="J535" s="56"/>
      <c r="K535" s="56"/>
      <c r="L535" s="56"/>
      <c r="M535" s="160"/>
      <c r="N535" s="160"/>
      <c r="O535" s="251"/>
      <c r="P535" s="251"/>
      <c r="Q535" s="251"/>
      <c r="R535" s="56"/>
      <c r="S535" s="56"/>
      <c r="T535" s="56"/>
      <c r="U535" s="56"/>
      <c r="V535" s="250"/>
      <c r="W535" s="56"/>
    </row>
    <row r="536" spans="1:23" ht="15.75" customHeight="1">
      <c r="A536" s="56"/>
      <c r="B536" s="56"/>
      <c r="C536" s="56"/>
      <c r="D536" s="56"/>
      <c r="E536" s="56"/>
      <c r="F536" s="251"/>
      <c r="G536" s="251"/>
      <c r="H536" s="251"/>
      <c r="I536" s="56"/>
      <c r="J536" s="56"/>
      <c r="K536" s="56"/>
      <c r="L536" s="56"/>
      <c r="M536" s="160"/>
      <c r="N536" s="160"/>
      <c r="O536" s="251"/>
      <c r="P536" s="251"/>
      <c r="Q536" s="251"/>
      <c r="R536" s="56"/>
      <c r="S536" s="56"/>
      <c r="T536" s="56"/>
      <c r="U536" s="56"/>
      <c r="V536" s="250"/>
      <c r="W536" s="56"/>
    </row>
    <row r="537" spans="1:23" ht="15.75" customHeight="1">
      <c r="A537" s="56"/>
      <c r="B537" s="56"/>
      <c r="C537" s="56"/>
      <c r="D537" s="56"/>
      <c r="E537" s="56"/>
      <c r="F537" s="251"/>
      <c r="G537" s="251"/>
      <c r="H537" s="251"/>
      <c r="I537" s="56"/>
      <c r="J537" s="56"/>
      <c r="K537" s="56"/>
      <c r="L537" s="56"/>
      <c r="M537" s="160"/>
      <c r="N537" s="160"/>
      <c r="O537" s="251"/>
      <c r="P537" s="251"/>
      <c r="Q537" s="251"/>
      <c r="R537" s="56"/>
      <c r="S537" s="56"/>
      <c r="T537" s="56"/>
      <c r="U537" s="56"/>
      <c r="V537" s="250"/>
      <c r="W537" s="56"/>
    </row>
    <row r="538" spans="1:23" ht="15.75" customHeight="1">
      <c r="A538" s="56"/>
      <c r="B538" s="56"/>
      <c r="C538" s="56"/>
      <c r="D538" s="56"/>
      <c r="E538" s="56"/>
      <c r="F538" s="251"/>
      <c r="G538" s="251"/>
      <c r="H538" s="251"/>
      <c r="I538" s="56"/>
      <c r="J538" s="56"/>
      <c r="K538" s="56"/>
      <c r="L538" s="56"/>
      <c r="M538" s="160"/>
      <c r="N538" s="160"/>
      <c r="O538" s="251"/>
      <c r="P538" s="251"/>
      <c r="Q538" s="251"/>
      <c r="R538" s="56"/>
      <c r="S538" s="56"/>
      <c r="T538" s="56"/>
      <c r="U538" s="56"/>
      <c r="V538" s="250"/>
      <c r="W538" s="56"/>
    </row>
    <row r="539" spans="1:23" ht="15.75" customHeight="1">
      <c r="A539" s="56"/>
      <c r="B539" s="56"/>
      <c r="C539" s="56"/>
      <c r="D539" s="56"/>
      <c r="E539" s="56"/>
      <c r="F539" s="251"/>
      <c r="G539" s="251"/>
      <c r="H539" s="251"/>
      <c r="I539" s="56"/>
      <c r="J539" s="56"/>
      <c r="K539" s="56"/>
      <c r="L539" s="56"/>
      <c r="M539" s="160"/>
      <c r="N539" s="160"/>
      <c r="O539" s="251"/>
      <c r="P539" s="251"/>
      <c r="Q539" s="251"/>
      <c r="R539" s="56"/>
      <c r="S539" s="56"/>
      <c r="T539" s="56"/>
      <c r="U539" s="56"/>
      <c r="V539" s="250"/>
      <c r="W539" s="56"/>
    </row>
    <row r="540" spans="1:23" ht="15.75" customHeight="1">
      <c r="A540" s="56"/>
      <c r="B540" s="56"/>
      <c r="C540" s="56"/>
      <c r="D540" s="56"/>
      <c r="E540" s="56"/>
      <c r="F540" s="251"/>
      <c r="G540" s="251"/>
      <c r="H540" s="251"/>
      <c r="I540" s="56"/>
      <c r="J540" s="56"/>
      <c r="K540" s="56"/>
      <c r="L540" s="56"/>
      <c r="M540" s="160"/>
      <c r="N540" s="160"/>
      <c r="O540" s="251"/>
      <c r="P540" s="251"/>
      <c r="Q540" s="251"/>
      <c r="R540" s="56"/>
      <c r="S540" s="56"/>
      <c r="T540" s="56"/>
      <c r="U540" s="56"/>
      <c r="V540" s="250"/>
      <c r="W540" s="56"/>
    </row>
    <row r="541" spans="1:23" ht="15.75" customHeight="1">
      <c r="A541" s="56"/>
      <c r="B541" s="56"/>
      <c r="C541" s="56"/>
      <c r="D541" s="56"/>
      <c r="E541" s="56"/>
      <c r="F541" s="251"/>
      <c r="G541" s="251"/>
      <c r="H541" s="251"/>
      <c r="I541" s="56"/>
      <c r="J541" s="56"/>
      <c r="K541" s="56"/>
      <c r="L541" s="56"/>
      <c r="M541" s="160"/>
      <c r="N541" s="160"/>
      <c r="O541" s="251"/>
      <c r="P541" s="251"/>
      <c r="Q541" s="251"/>
      <c r="R541" s="56"/>
      <c r="S541" s="56"/>
      <c r="T541" s="56"/>
      <c r="U541" s="56"/>
      <c r="V541" s="250"/>
      <c r="W541" s="56"/>
    </row>
    <row r="542" spans="1:23" ht="15.75" customHeight="1">
      <c r="A542" s="56"/>
      <c r="B542" s="56"/>
      <c r="C542" s="56"/>
      <c r="D542" s="56"/>
      <c r="E542" s="56"/>
      <c r="F542" s="251"/>
      <c r="G542" s="251"/>
      <c r="H542" s="251"/>
      <c r="I542" s="56"/>
      <c r="J542" s="56"/>
      <c r="K542" s="56"/>
      <c r="L542" s="56"/>
      <c r="M542" s="160"/>
      <c r="N542" s="160"/>
      <c r="O542" s="251"/>
      <c r="P542" s="251"/>
      <c r="Q542" s="251"/>
      <c r="R542" s="56"/>
      <c r="S542" s="56"/>
      <c r="T542" s="56"/>
      <c r="U542" s="56"/>
      <c r="V542" s="250"/>
      <c r="W542" s="56"/>
    </row>
    <row r="543" spans="1:23" ht="15.75" customHeight="1">
      <c r="A543" s="56"/>
      <c r="B543" s="56"/>
      <c r="C543" s="56"/>
      <c r="D543" s="56"/>
      <c r="E543" s="56"/>
      <c r="F543" s="251"/>
      <c r="G543" s="251"/>
      <c r="H543" s="251"/>
      <c r="I543" s="56"/>
      <c r="J543" s="56"/>
      <c r="K543" s="56"/>
      <c r="L543" s="56"/>
      <c r="M543" s="160"/>
      <c r="N543" s="160"/>
      <c r="O543" s="251"/>
      <c r="P543" s="251"/>
      <c r="Q543" s="251"/>
      <c r="R543" s="56"/>
      <c r="S543" s="56"/>
      <c r="T543" s="56"/>
      <c r="U543" s="56"/>
      <c r="V543" s="250"/>
      <c r="W543" s="56"/>
    </row>
    <row r="544" spans="1:23" ht="15.75" customHeight="1">
      <c r="A544" s="56"/>
      <c r="B544" s="56"/>
      <c r="C544" s="56"/>
      <c r="D544" s="56"/>
      <c r="E544" s="56"/>
      <c r="F544" s="251"/>
      <c r="G544" s="251"/>
      <c r="H544" s="251"/>
      <c r="I544" s="56"/>
      <c r="J544" s="56"/>
      <c r="K544" s="56"/>
      <c r="L544" s="56"/>
      <c r="M544" s="160"/>
      <c r="N544" s="160"/>
      <c r="O544" s="251"/>
      <c r="P544" s="251"/>
      <c r="Q544" s="251"/>
      <c r="R544" s="56"/>
      <c r="S544" s="56"/>
      <c r="T544" s="56"/>
      <c r="U544" s="56"/>
      <c r="V544" s="250"/>
      <c r="W544" s="56"/>
    </row>
    <row r="545" spans="1:23" ht="15.75" customHeight="1">
      <c r="A545" s="56"/>
      <c r="B545" s="56"/>
      <c r="C545" s="56"/>
      <c r="D545" s="56"/>
      <c r="E545" s="56"/>
      <c r="F545" s="251"/>
      <c r="G545" s="251"/>
      <c r="H545" s="251"/>
      <c r="I545" s="56"/>
      <c r="J545" s="56"/>
      <c r="K545" s="56"/>
      <c r="L545" s="56"/>
      <c r="M545" s="160"/>
      <c r="N545" s="160"/>
      <c r="O545" s="251"/>
      <c r="P545" s="251"/>
      <c r="Q545" s="251"/>
      <c r="R545" s="56"/>
      <c r="S545" s="56"/>
      <c r="T545" s="56"/>
      <c r="U545" s="56"/>
      <c r="V545" s="250"/>
      <c r="W545" s="56"/>
    </row>
    <row r="546" spans="1:23" ht="15.75" customHeight="1">
      <c r="A546" s="56"/>
      <c r="B546" s="56"/>
      <c r="C546" s="56"/>
      <c r="D546" s="56"/>
      <c r="E546" s="56"/>
      <c r="F546" s="251"/>
      <c r="G546" s="251"/>
      <c r="H546" s="251"/>
      <c r="I546" s="56"/>
      <c r="J546" s="56"/>
      <c r="K546" s="56"/>
      <c r="L546" s="56"/>
      <c r="M546" s="160"/>
      <c r="N546" s="160"/>
      <c r="O546" s="251"/>
      <c r="P546" s="251"/>
      <c r="Q546" s="251"/>
      <c r="R546" s="56"/>
      <c r="S546" s="56"/>
      <c r="T546" s="56"/>
      <c r="U546" s="56"/>
      <c r="V546" s="250"/>
      <c r="W546" s="56"/>
    </row>
    <row r="547" spans="1:23" ht="15.75" customHeight="1">
      <c r="A547" s="56"/>
      <c r="B547" s="56"/>
      <c r="C547" s="56"/>
      <c r="D547" s="56"/>
      <c r="E547" s="56"/>
      <c r="F547" s="251"/>
      <c r="G547" s="251"/>
      <c r="H547" s="251"/>
      <c r="I547" s="56"/>
      <c r="J547" s="56"/>
      <c r="K547" s="56"/>
      <c r="L547" s="56"/>
      <c r="M547" s="160"/>
      <c r="N547" s="160"/>
      <c r="O547" s="251"/>
      <c r="P547" s="251"/>
      <c r="Q547" s="251"/>
      <c r="R547" s="56"/>
      <c r="S547" s="56"/>
      <c r="T547" s="56"/>
      <c r="U547" s="56"/>
      <c r="V547" s="250"/>
      <c r="W547" s="56"/>
    </row>
    <row r="548" spans="1:23" ht="15.75" customHeight="1">
      <c r="A548" s="56"/>
      <c r="B548" s="56"/>
      <c r="C548" s="56"/>
      <c r="D548" s="56"/>
      <c r="E548" s="56"/>
      <c r="F548" s="251"/>
      <c r="G548" s="251"/>
      <c r="H548" s="251"/>
      <c r="I548" s="56"/>
      <c r="J548" s="56"/>
      <c r="K548" s="56"/>
      <c r="L548" s="56"/>
      <c r="M548" s="160"/>
      <c r="N548" s="160"/>
      <c r="O548" s="251"/>
      <c r="P548" s="251"/>
      <c r="Q548" s="251"/>
      <c r="R548" s="56"/>
      <c r="S548" s="56"/>
      <c r="T548" s="56"/>
      <c r="U548" s="56"/>
      <c r="V548" s="250"/>
      <c r="W548" s="56"/>
    </row>
    <row r="549" spans="1:23" ht="15.75" customHeight="1">
      <c r="A549" s="56"/>
      <c r="B549" s="56"/>
      <c r="C549" s="56"/>
      <c r="D549" s="56"/>
      <c r="E549" s="56"/>
      <c r="F549" s="251"/>
      <c r="G549" s="251"/>
      <c r="H549" s="251"/>
      <c r="I549" s="56"/>
      <c r="J549" s="56"/>
      <c r="K549" s="56"/>
      <c r="L549" s="56"/>
      <c r="M549" s="160"/>
      <c r="N549" s="160"/>
      <c r="O549" s="251"/>
      <c r="P549" s="251"/>
      <c r="Q549" s="251"/>
      <c r="R549" s="56"/>
      <c r="S549" s="56"/>
      <c r="T549" s="56"/>
      <c r="U549" s="56"/>
      <c r="V549" s="250"/>
      <c r="W549" s="56"/>
    </row>
    <row r="550" spans="1:23" ht="15.75" customHeight="1">
      <c r="A550" s="56"/>
      <c r="B550" s="56"/>
      <c r="C550" s="56"/>
      <c r="D550" s="56"/>
      <c r="E550" s="56"/>
      <c r="F550" s="251"/>
      <c r="G550" s="251"/>
      <c r="H550" s="251"/>
      <c r="I550" s="56"/>
      <c r="J550" s="56"/>
      <c r="K550" s="56"/>
      <c r="L550" s="56"/>
      <c r="M550" s="160"/>
      <c r="N550" s="160"/>
      <c r="O550" s="251"/>
      <c r="P550" s="251"/>
      <c r="Q550" s="251"/>
      <c r="R550" s="56"/>
      <c r="S550" s="56"/>
      <c r="T550" s="56"/>
      <c r="U550" s="56"/>
      <c r="V550" s="250"/>
      <c r="W550" s="56"/>
    </row>
    <row r="551" spans="1:23" ht="15.75" customHeight="1">
      <c r="A551" s="56"/>
      <c r="B551" s="56"/>
      <c r="C551" s="56"/>
      <c r="D551" s="56"/>
      <c r="E551" s="56"/>
      <c r="F551" s="251"/>
      <c r="G551" s="251"/>
      <c r="H551" s="251"/>
      <c r="I551" s="56"/>
      <c r="J551" s="56"/>
      <c r="K551" s="56"/>
      <c r="L551" s="56"/>
      <c r="M551" s="160"/>
      <c r="N551" s="160"/>
      <c r="O551" s="251"/>
      <c r="P551" s="251"/>
      <c r="Q551" s="251"/>
      <c r="R551" s="56"/>
      <c r="S551" s="56"/>
      <c r="T551" s="56"/>
      <c r="U551" s="56"/>
      <c r="V551" s="250"/>
      <c r="W551" s="56"/>
    </row>
    <row r="552" spans="1:23" ht="15.75" customHeight="1">
      <c r="A552" s="56"/>
      <c r="B552" s="56"/>
      <c r="C552" s="56"/>
      <c r="D552" s="56"/>
      <c r="E552" s="56"/>
      <c r="F552" s="251"/>
      <c r="G552" s="251"/>
      <c r="H552" s="251"/>
      <c r="I552" s="56"/>
      <c r="J552" s="56"/>
      <c r="K552" s="56"/>
      <c r="L552" s="56"/>
      <c r="M552" s="160"/>
      <c r="N552" s="160"/>
      <c r="O552" s="251"/>
      <c r="P552" s="251"/>
      <c r="Q552" s="251"/>
      <c r="R552" s="56"/>
      <c r="S552" s="56"/>
      <c r="T552" s="56"/>
      <c r="U552" s="56"/>
      <c r="V552" s="250"/>
      <c r="W552" s="56"/>
    </row>
    <row r="553" spans="1:23" ht="15.75" customHeight="1">
      <c r="A553" s="56"/>
      <c r="B553" s="56"/>
      <c r="C553" s="56"/>
      <c r="D553" s="56"/>
      <c r="E553" s="56"/>
      <c r="F553" s="251"/>
      <c r="G553" s="251"/>
      <c r="H553" s="251"/>
      <c r="I553" s="56"/>
      <c r="J553" s="56"/>
      <c r="K553" s="56"/>
      <c r="L553" s="56"/>
      <c r="M553" s="160"/>
      <c r="N553" s="160"/>
      <c r="O553" s="251"/>
      <c r="P553" s="251"/>
      <c r="Q553" s="251"/>
      <c r="R553" s="56"/>
      <c r="S553" s="56"/>
      <c r="T553" s="56"/>
      <c r="U553" s="56"/>
      <c r="V553" s="250"/>
      <c r="W553" s="56"/>
    </row>
    <row r="554" spans="1:23" ht="15.75" customHeight="1">
      <c r="A554" s="56"/>
      <c r="B554" s="56"/>
      <c r="C554" s="56"/>
      <c r="D554" s="56"/>
      <c r="E554" s="56"/>
      <c r="F554" s="251"/>
      <c r="G554" s="251"/>
      <c r="H554" s="251"/>
      <c r="I554" s="56"/>
      <c r="J554" s="56"/>
      <c r="K554" s="56"/>
      <c r="L554" s="56"/>
      <c r="M554" s="160"/>
      <c r="N554" s="160"/>
      <c r="O554" s="251"/>
      <c r="P554" s="251"/>
      <c r="Q554" s="251"/>
      <c r="R554" s="56"/>
      <c r="S554" s="56"/>
      <c r="T554" s="56"/>
      <c r="U554" s="56"/>
      <c r="V554" s="250"/>
      <c r="W554" s="56"/>
    </row>
    <row r="555" spans="1:23" ht="15.75" customHeight="1">
      <c r="A555" s="56"/>
      <c r="B555" s="56"/>
      <c r="C555" s="56"/>
      <c r="D555" s="56"/>
      <c r="E555" s="56"/>
      <c r="F555" s="251"/>
      <c r="G555" s="251"/>
      <c r="H555" s="251"/>
      <c r="I555" s="56"/>
      <c r="J555" s="56"/>
      <c r="K555" s="56"/>
      <c r="L555" s="56"/>
      <c r="M555" s="160"/>
      <c r="N555" s="160"/>
      <c r="O555" s="251"/>
      <c r="P555" s="251"/>
      <c r="Q555" s="251"/>
      <c r="R555" s="56"/>
      <c r="S555" s="56"/>
      <c r="T555" s="56"/>
      <c r="U555" s="56"/>
      <c r="V555" s="250"/>
      <c r="W555" s="56"/>
    </row>
    <row r="556" spans="1:23" ht="15.75" customHeight="1">
      <c r="A556" s="56"/>
      <c r="B556" s="56"/>
      <c r="C556" s="56"/>
      <c r="D556" s="56"/>
      <c r="E556" s="56"/>
      <c r="F556" s="251"/>
      <c r="G556" s="251"/>
      <c r="H556" s="251"/>
      <c r="I556" s="56"/>
      <c r="J556" s="56"/>
      <c r="K556" s="56"/>
      <c r="L556" s="56"/>
      <c r="M556" s="160"/>
      <c r="N556" s="160"/>
      <c r="O556" s="251"/>
      <c r="P556" s="251"/>
      <c r="Q556" s="251"/>
      <c r="R556" s="56"/>
      <c r="S556" s="56"/>
      <c r="T556" s="56"/>
      <c r="U556" s="56"/>
      <c r="V556" s="250"/>
      <c r="W556" s="56"/>
    </row>
    <row r="557" spans="1:23" ht="15.75" customHeight="1">
      <c r="A557" s="56"/>
      <c r="B557" s="56"/>
      <c r="C557" s="56"/>
      <c r="D557" s="56"/>
      <c r="E557" s="56"/>
      <c r="F557" s="251"/>
      <c r="G557" s="251"/>
      <c r="H557" s="251"/>
      <c r="I557" s="56"/>
      <c r="J557" s="56"/>
      <c r="K557" s="56"/>
      <c r="L557" s="56"/>
      <c r="M557" s="160"/>
      <c r="N557" s="160"/>
      <c r="O557" s="251"/>
      <c r="P557" s="251"/>
      <c r="Q557" s="251"/>
      <c r="R557" s="56"/>
      <c r="S557" s="56"/>
      <c r="T557" s="56"/>
      <c r="U557" s="56"/>
      <c r="V557" s="250"/>
      <c r="W557" s="56"/>
    </row>
    <row r="558" spans="1:23" ht="15.75" customHeight="1">
      <c r="A558" s="56"/>
      <c r="B558" s="56"/>
      <c r="C558" s="56"/>
      <c r="D558" s="56"/>
      <c r="E558" s="56"/>
      <c r="F558" s="251"/>
      <c r="G558" s="251"/>
      <c r="H558" s="251"/>
      <c r="I558" s="56"/>
      <c r="J558" s="56"/>
      <c r="K558" s="56"/>
      <c r="L558" s="56"/>
      <c r="M558" s="160"/>
      <c r="N558" s="160"/>
      <c r="O558" s="251"/>
      <c r="P558" s="251"/>
      <c r="Q558" s="251"/>
      <c r="R558" s="56"/>
      <c r="S558" s="56"/>
      <c r="T558" s="56"/>
      <c r="U558" s="56"/>
      <c r="V558" s="250"/>
      <c r="W558" s="56"/>
    </row>
    <row r="559" spans="1:23" ht="15.75" customHeight="1">
      <c r="A559" s="56"/>
      <c r="B559" s="56"/>
      <c r="C559" s="56"/>
      <c r="D559" s="56"/>
      <c r="E559" s="56"/>
      <c r="F559" s="251"/>
      <c r="G559" s="251"/>
      <c r="H559" s="251"/>
      <c r="I559" s="56"/>
      <c r="J559" s="56"/>
      <c r="K559" s="56"/>
      <c r="L559" s="56"/>
      <c r="M559" s="160"/>
      <c r="N559" s="160"/>
      <c r="O559" s="251"/>
      <c r="P559" s="251"/>
      <c r="Q559" s="251"/>
      <c r="R559" s="56"/>
      <c r="S559" s="56"/>
      <c r="T559" s="56"/>
      <c r="U559" s="56"/>
      <c r="V559" s="250"/>
      <c r="W559" s="56"/>
    </row>
    <row r="560" spans="1:23" ht="15.75" customHeight="1">
      <c r="A560" s="56"/>
      <c r="B560" s="56"/>
      <c r="C560" s="56"/>
      <c r="D560" s="56"/>
      <c r="E560" s="56"/>
      <c r="F560" s="251"/>
      <c r="G560" s="251"/>
      <c r="H560" s="251"/>
      <c r="I560" s="56"/>
      <c r="J560" s="56"/>
      <c r="K560" s="56"/>
      <c r="L560" s="56"/>
      <c r="M560" s="160"/>
      <c r="N560" s="160"/>
      <c r="O560" s="251"/>
      <c r="P560" s="251"/>
      <c r="Q560" s="251"/>
      <c r="R560" s="56"/>
      <c r="S560" s="56"/>
      <c r="T560" s="56"/>
      <c r="U560" s="56"/>
      <c r="V560" s="250"/>
      <c r="W560" s="56"/>
    </row>
    <row r="561" spans="1:23" ht="15.75" customHeight="1">
      <c r="A561" s="56"/>
      <c r="B561" s="56"/>
      <c r="C561" s="56"/>
      <c r="D561" s="56"/>
      <c r="E561" s="56"/>
      <c r="F561" s="251"/>
      <c r="G561" s="251"/>
      <c r="H561" s="251"/>
      <c r="I561" s="56"/>
      <c r="J561" s="56"/>
      <c r="K561" s="56"/>
      <c r="L561" s="56"/>
      <c r="M561" s="160"/>
      <c r="N561" s="160"/>
      <c r="O561" s="251"/>
      <c r="P561" s="251"/>
      <c r="Q561" s="251"/>
      <c r="R561" s="56"/>
      <c r="S561" s="56"/>
      <c r="T561" s="56"/>
      <c r="U561" s="56"/>
      <c r="V561" s="250"/>
      <c r="W561" s="56"/>
    </row>
    <row r="562" spans="1:23" ht="15.75" customHeight="1">
      <c r="A562" s="56"/>
      <c r="B562" s="56"/>
      <c r="C562" s="56"/>
      <c r="D562" s="56"/>
      <c r="E562" s="56"/>
      <c r="F562" s="251"/>
      <c r="G562" s="251"/>
      <c r="H562" s="251"/>
      <c r="I562" s="56"/>
      <c r="J562" s="56"/>
      <c r="K562" s="56"/>
      <c r="L562" s="56"/>
      <c r="M562" s="160"/>
      <c r="N562" s="160"/>
      <c r="O562" s="251"/>
      <c r="P562" s="251"/>
      <c r="Q562" s="251"/>
      <c r="R562" s="56"/>
      <c r="S562" s="56"/>
      <c r="T562" s="56"/>
      <c r="U562" s="56"/>
      <c r="V562" s="250"/>
      <c r="W562" s="56"/>
    </row>
    <row r="563" spans="1:23" ht="15.75" customHeight="1">
      <c r="A563" s="56"/>
      <c r="B563" s="56"/>
      <c r="C563" s="56"/>
      <c r="D563" s="56"/>
      <c r="E563" s="56"/>
      <c r="F563" s="251"/>
      <c r="G563" s="251"/>
      <c r="H563" s="251"/>
      <c r="I563" s="56"/>
      <c r="J563" s="56"/>
      <c r="K563" s="56"/>
      <c r="L563" s="56"/>
      <c r="M563" s="160"/>
      <c r="N563" s="160"/>
      <c r="O563" s="251"/>
      <c r="P563" s="251"/>
      <c r="Q563" s="251"/>
      <c r="R563" s="56"/>
      <c r="S563" s="56"/>
      <c r="T563" s="56"/>
      <c r="U563" s="56"/>
      <c r="V563" s="250"/>
      <c r="W563" s="56"/>
    </row>
    <row r="564" spans="1:23" ht="15.75" customHeight="1">
      <c r="A564" s="56"/>
      <c r="B564" s="56"/>
      <c r="C564" s="56"/>
      <c r="D564" s="56"/>
      <c r="E564" s="56"/>
      <c r="F564" s="251"/>
      <c r="G564" s="251"/>
      <c r="H564" s="251"/>
      <c r="I564" s="56"/>
      <c r="J564" s="56"/>
      <c r="K564" s="56"/>
      <c r="L564" s="56"/>
      <c r="M564" s="160"/>
      <c r="N564" s="160"/>
      <c r="O564" s="251"/>
      <c r="P564" s="251"/>
      <c r="Q564" s="251"/>
      <c r="R564" s="56"/>
      <c r="S564" s="56"/>
      <c r="T564" s="56"/>
      <c r="U564" s="56"/>
      <c r="V564" s="250"/>
      <c r="W564" s="56"/>
    </row>
    <row r="565" spans="1:23" ht="15.75" customHeight="1">
      <c r="A565" s="56"/>
      <c r="B565" s="56"/>
      <c r="C565" s="56"/>
      <c r="D565" s="56"/>
      <c r="E565" s="56"/>
      <c r="F565" s="251"/>
      <c r="G565" s="251"/>
      <c r="H565" s="251"/>
      <c r="I565" s="56"/>
      <c r="J565" s="56"/>
      <c r="K565" s="56"/>
      <c r="L565" s="56"/>
      <c r="M565" s="160"/>
      <c r="N565" s="160"/>
      <c r="O565" s="251"/>
      <c r="P565" s="251"/>
      <c r="Q565" s="251"/>
      <c r="R565" s="56"/>
      <c r="S565" s="56"/>
      <c r="T565" s="56"/>
      <c r="U565" s="56"/>
      <c r="V565" s="250"/>
      <c r="W565" s="56"/>
    </row>
    <row r="566" spans="1:23" ht="15.75" customHeight="1">
      <c r="A566" s="56"/>
      <c r="B566" s="56"/>
      <c r="C566" s="56"/>
      <c r="D566" s="56"/>
      <c r="E566" s="56"/>
      <c r="F566" s="251"/>
      <c r="G566" s="251"/>
      <c r="H566" s="251"/>
      <c r="I566" s="56"/>
      <c r="J566" s="56"/>
      <c r="K566" s="56"/>
      <c r="L566" s="56"/>
      <c r="M566" s="160"/>
      <c r="N566" s="160"/>
      <c r="O566" s="251"/>
      <c r="P566" s="251"/>
      <c r="Q566" s="251"/>
      <c r="R566" s="56"/>
      <c r="S566" s="56"/>
      <c r="T566" s="56"/>
      <c r="U566" s="56"/>
      <c r="V566" s="250"/>
      <c r="W566" s="56"/>
    </row>
    <row r="567" spans="1:23" ht="15.75" customHeight="1">
      <c r="A567" s="56"/>
      <c r="B567" s="56"/>
      <c r="C567" s="56"/>
      <c r="D567" s="56"/>
      <c r="E567" s="56"/>
      <c r="F567" s="251"/>
      <c r="G567" s="251"/>
      <c r="H567" s="251"/>
      <c r="I567" s="56"/>
      <c r="J567" s="56"/>
      <c r="K567" s="56"/>
      <c r="L567" s="56"/>
      <c r="M567" s="160"/>
      <c r="N567" s="160"/>
      <c r="O567" s="251"/>
      <c r="P567" s="251"/>
      <c r="Q567" s="251"/>
      <c r="R567" s="56"/>
      <c r="S567" s="56"/>
      <c r="T567" s="56"/>
      <c r="U567" s="56"/>
      <c r="V567" s="250"/>
      <c r="W567" s="56"/>
    </row>
    <row r="568" spans="1:23" ht="15.75" customHeight="1">
      <c r="A568" s="56"/>
      <c r="B568" s="56"/>
      <c r="C568" s="56"/>
      <c r="D568" s="56"/>
      <c r="E568" s="56"/>
      <c r="F568" s="251"/>
      <c r="G568" s="251"/>
      <c r="H568" s="251"/>
      <c r="I568" s="56"/>
      <c r="J568" s="56"/>
      <c r="K568" s="56"/>
      <c r="L568" s="56"/>
      <c r="M568" s="160"/>
      <c r="N568" s="160"/>
      <c r="O568" s="251"/>
      <c r="P568" s="251"/>
      <c r="Q568" s="251"/>
      <c r="R568" s="56"/>
      <c r="S568" s="56"/>
      <c r="T568" s="56"/>
      <c r="U568" s="56"/>
      <c r="V568" s="250"/>
      <c r="W568" s="56"/>
    </row>
    <row r="569" spans="1:23" ht="15.75" customHeight="1">
      <c r="A569" s="56"/>
      <c r="B569" s="56"/>
      <c r="C569" s="56"/>
      <c r="D569" s="56"/>
      <c r="E569" s="56"/>
      <c r="F569" s="251"/>
      <c r="G569" s="251"/>
      <c r="H569" s="251"/>
      <c r="I569" s="56"/>
      <c r="J569" s="56"/>
      <c r="K569" s="56"/>
      <c r="L569" s="56"/>
      <c r="M569" s="160"/>
      <c r="N569" s="160"/>
      <c r="O569" s="251"/>
      <c r="P569" s="251"/>
      <c r="Q569" s="251"/>
      <c r="R569" s="56"/>
      <c r="S569" s="56"/>
      <c r="T569" s="56"/>
      <c r="U569" s="56"/>
      <c r="V569" s="250"/>
      <c r="W569" s="56"/>
    </row>
    <row r="570" spans="1:23" ht="15.75" customHeight="1">
      <c r="A570" s="56"/>
      <c r="B570" s="56"/>
      <c r="C570" s="56"/>
      <c r="D570" s="56"/>
      <c r="E570" s="56"/>
      <c r="F570" s="251"/>
      <c r="G570" s="251"/>
      <c r="H570" s="251"/>
      <c r="I570" s="56"/>
      <c r="J570" s="56"/>
      <c r="K570" s="56"/>
      <c r="L570" s="56"/>
      <c r="M570" s="160"/>
      <c r="N570" s="160"/>
      <c r="O570" s="251"/>
      <c r="P570" s="251"/>
      <c r="Q570" s="251"/>
      <c r="R570" s="56"/>
      <c r="S570" s="56"/>
      <c r="T570" s="56"/>
      <c r="U570" s="56"/>
      <c r="V570" s="250"/>
      <c r="W570" s="56"/>
    </row>
    <row r="571" spans="1:23" ht="15.75" customHeight="1">
      <c r="A571" s="56"/>
      <c r="B571" s="56"/>
      <c r="C571" s="56"/>
      <c r="D571" s="56"/>
      <c r="E571" s="56"/>
      <c r="F571" s="251"/>
      <c r="G571" s="251"/>
      <c r="H571" s="251"/>
      <c r="I571" s="56"/>
      <c r="J571" s="56"/>
      <c r="K571" s="56"/>
      <c r="L571" s="56"/>
      <c r="M571" s="160"/>
      <c r="N571" s="160"/>
      <c r="O571" s="251"/>
      <c r="P571" s="251"/>
      <c r="Q571" s="251"/>
      <c r="R571" s="56"/>
      <c r="S571" s="56"/>
      <c r="T571" s="56"/>
      <c r="U571" s="56"/>
      <c r="V571" s="250"/>
      <c r="W571" s="56"/>
    </row>
    <row r="572" spans="1:23" ht="15.75" customHeight="1">
      <c r="A572" s="56"/>
      <c r="B572" s="56"/>
      <c r="C572" s="56"/>
      <c r="D572" s="56"/>
      <c r="E572" s="56"/>
      <c r="F572" s="251"/>
      <c r="G572" s="251"/>
      <c r="H572" s="251"/>
      <c r="I572" s="56"/>
      <c r="J572" s="56"/>
      <c r="K572" s="56"/>
      <c r="L572" s="56"/>
      <c r="M572" s="160"/>
      <c r="N572" s="160"/>
      <c r="O572" s="251"/>
      <c r="P572" s="251"/>
      <c r="Q572" s="251"/>
      <c r="R572" s="56"/>
      <c r="S572" s="56"/>
      <c r="T572" s="56"/>
      <c r="U572" s="56"/>
      <c r="V572" s="250"/>
      <c r="W572" s="56"/>
    </row>
    <row r="573" spans="1:23" ht="15.75" customHeight="1">
      <c r="A573" s="56"/>
      <c r="B573" s="56"/>
      <c r="C573" s="56"/>
      <c r="D573" s="56"/>
      <c r="E573" s="56"/>
      <c r="F573" s="251"/>
      <c r="G573" s="251"/>
      <c r="H573" s="251"/>
      <c r="I573" s="56"/>
      <c r="J573" s="56"/>
      <c r="K573" s="56"/>
      <c r="L573" s="56"/>
      <c r="M573" s="160"/>
      <c r="N573" s="160"/>
      <c r="O573" s="251"/>
      <c r="P573" s="251"/>
      <c r="Q573" s="251"/>
      <c r="R573" s="56"/>
      <c r="S573" s="56"/>
      <c r="T573" s="56"/>
      <c r="U573" s="56"/>
      <c r="V573" s="250"/>
      <c r="W573" s="56"/>
    </row>
    <row r="574" spans="1:23" ht="15.75" customHeight="1">
      <c r="A574" s="56"/>
      <c r="B574" s="56"/>
      <c r="C574" s="56"/>
      <c r="D574" s="56"/>
      <c r="E574" s="56"/>
      <c r="F574" s="251"/>
      <c r="G574" s="251"/>
      <c r="H574" s="251"/>
      <c r="I574" s="56"/>
      <c r="J574" s="56"/>
      <c r="K574" s="56"/>
      <c r="L574" s="56"/>
      <c r="M574" s="160"/>
      <c r="N574" s="160"/>
      <c r="O574" s="251"/>
      <c r="P574" s="251"/>
      <c r="Q574" s="251"/>
      <c r="R574" s="56"/>
      <c r="S574" s="56"/>
      <c r="T574" s="56"/>
      <c r="U574" s="56"/>
      <c r="V574" s="250"/>
      <c r="W574" s="56"/>
    </row>
    <row r="575" spans="1:23" ht="15.75" customHeight="1">
      <c r="A575" s="56"/>
      <c r="B575" s="56"/>
      <c r="C575" s="56"/>
      <c r="D575" s="56"/>
      <c r="E575" s="56"/>
      <c r="F575" s="251"/>
      <c r="G575" s="251"/>
      <c r="H575" s="251"/>
      <c r="I575" s="56"/>
      <c r="J575" s="56"/>
      <c r="K575" s="56"/>
      <c r="L575" s="56"/>
      <c r="M575" s="160"/>
      <c r="N575" s="160"/>
      <c r="O575" s="251"/>
      <c r="P575" s="251"/>
      <c r="Q575" s="251"/>
      <c r="R575" s="56"/>
      <c r="S575" s="56"/>
      <c r="T575" s="56"/>
      <c r="U575" s="56"/>
      <c r="V575" s="250"/>
      <c r="W575" s="56"/>
    </row>
    <row r="576" spans="1:23" ht="15.75" customHeight="1">
      <c r="A576" s="56"/>
      <c r="B576" s="56"/>
      <c r="C576" s="56"/>
      <c r="D576" s="56"/>
      <c r="E576" s="56"/>
      <c r="F576" s="251"/>
      <c r="G576" s="251"/>
      <c r="H576" s="251"/>
      <c r="I576" s="56"/>
      <c r="J576" s="56"/>
      <c r="K576" s="56"/>
      <c r="L576" s="56"/>
      <c r="M576" s="160"/>
      <c r="N576" s="160"/>
      <c r="O576" s="251"/>
      <c r="P576" s="251"/>
      <c r="Q576" s="251"/>
      <c r="R576" s="56"/>
      <c r="S576" s="56"/>
      <c r="T576" s="56"/>
      <c r="U576" s="56"/>
      <c r="V576" s="250"/>
      <c r="W576" s="56"/>
    </row>
    <row r="577" spans="1:23" ht="15.75" customHeight="1">
      <c r="A577" s="56"/>
      <c r="B577" s="56"/>
      <c r="C577" s="56"/>
      <c r="D577" s="56"/>
      <c r="E577" s="56"/>
      <c r="F577" s="251"/>
      <c r="G577" s="251"/>
      <c r="H577" s="251"/>
      <c r="I577" s="56"/>
      <c r="J577" s="56"/>
      <c r="K577" s="56"/>
      <c r="L577" s="56"/>
      <c r="M577" s="160"/>
      <c r="N577" s="160"/>
      <c r="O577" s="251"/>
      <c r="P577" s="251"/>
      <c r="Q577" s="251"/>
      <c r="R577" s="56"/>
      <c r="S577" s="56"/>
      <c r="T577" s="56"/>
      <c r="U577" s="56"/>
      <c r="V577" s="250"/>
      <c r="W577" s="56"/>
    </row>
    <row r="578" spans="1:23" ht="15.75" customHeight="1">
      <c r="A578" s="56"/>
      <c r="B578" s="56"/>
      <c r="C578" s="56"/>
      <c r="D578" s="56"/>
      <c r="E578" s="56"/>
      <c r="F578" s="251"/>
      <c r="G578" s="251"/>
      <c r="H578" s="251"/>
      <c r="I578" s="56"/>
      <c r="J578" s="56"/>
      <c r="K578" s="56"/>
      <c r="L578" s="56"/>
      <c r="M578" s="160"/>
      <c r="N578" s="160"/>
      <c r="O578" s="251"/>
      <c r="P578" s="251"/>
      <c r="Q578" s="251"/>
      <c r="R578" s="56"/>
      <c r="S578" s="56"/>
      <c r="T578" s="56"/>
      <c r="U578" s="56"/>
      <c r="V578" s="250"/>
      <c r="W578" s="56"/>
    </row>
    <row r="579" spans="1:23" ht="15.75" customHeight="1">
      <c r="A579" s="56"/>
      <c r="B579" s="56"/>
      <c r="C579" s="56"/>
      <c r="D579" s="56"/>
      <c r="E579" s="56"/>
      <c r="F579" s="251"/>
      <c r="G579" s="251"/>
      <c r="H579" s="251"/>
      <c r="I579" s="56"/>
      <c r="J579" s="56"/>
      <c r="K579" s="56"/>
      <c r="L579" s="56"/>
      <c r="M579" s="160"/>
      <c r="N579" s="160"/>
      <c r="O579" s="251"/>
      <c r="P579" s="251"/>
      <c r="Q579" s="251"/>
      <c r="R579" s="56"/>
      <c r="S579" s="56"/>
      <c r="T579" s="56"/>
      <c r="U579" s="56"/>
      <c r="V579" s="250"/>
      <c r="W579" s="56"/>
    </row>
    <row r="580" spans="1:23" ht="15.75" customHeight="1">
      <c r="A580" s="56"/>
      <c r="B580" s="56"/>
      <c r="C580" s="56"/>
      <c r="D580" s="56"/>
      <c r="E580" s="56"/>
      <c r="F580" s="251"/>
      <c r="G580" s="251"/>
      <c r="H580" s="251"/>
      <c r="I580" s="56"/>
      <c r="J580" s="56"/>
      <c r="K580" s="56"/>
      <c r="L580" s="56"/>
      <c r="M580" s="160"/>
      <c r="N580" s="160"/>
      <c r="O580" s="251"/>
      <c r="P580" s="251"/>
      <c r="Q580" s="251"/>
      <c r="R580" s="56"/>
      <c r="S580" s="56"/>
      <c r="T580" s="56"/>
      <c r="U580" s="56"/>
      <c r="V580" s="250"/>
      <c r="W580" s="56"/>
    </row>
    <row r="581" spans="1:23" ht="15.75" customHeight="1">
      <c r="A581" s="56"/>
      <c r="B581" s="56"/>
      <c r="C581" s="56"/>
      <c r="D581" s="56"/>
      <c r="E581" s="56"/>
      <c r="F581" s="251"/>
      <c r="G581" s="251"/>
      <c r="H581" s="251"/>
      <c r="I581" s="56"/>
      <c r="J581" s="56"/>
      <c r="K581" s="56"/>
      <c r="L581" s="56"/>
      <c r="M581" s="160"/>
      <c r="N581" s="160"/>
      <c r="O581" s="251"/>
      <c r="P581" s="251"/>
      <c r="Q581" s="251"/>
      <c r="R581" s="56"/>
      <c r="S581" s="56"/>
      <c r="T581" s="56"/>
      <c r="U581" s="56"/>
      <c r="V581" s="250"/>
      <c r="W581" s="56"/>
    </row>
    <row r="582" spans="1:23" ht="15.75" customHeight="1">
      <c r="A582" s="56"/>
      <c r="B582" s="56"/>
      <c r="C582" s="56"/>
      <c r="D582" s="56"/>
      <c r="E582" s="56"/>
      <c r="F582" s="251"/>
      <c r="G582" s="251"/>
      <c r="H582" s="251"/>
      <c r="I582" s="56"/>
      <c r="J582" s="56"/>
      <c r="K582" s="56"/>
      <c r="L582" s="56"/>
      <c r="M582" s="160"/>
      <c r="N582" s="160"/>
      <c r="O582" s="251"/>
      <c r="P582" s="251"/>
      <c r="Q582" s="251"/>
      <c r="R582" s="56"/>
      <c r="S582" s="56"/>
      <c r="T582" s="56"/>
      <c r="U582" s="56"/>
      <c r="V582" s="250"/>
      <c r="W582" s="56"/>
    </row>
    <row r="583" spans="1:23" ht="15.75" customHeight="1">
      <c r="A583" s="56"/>
      <c r="B583" s="56"/>
      <c r="C583" s="56"/>
      <c r="D583" s="56"/>
      <c r="E583" s="56"/>
      <c r="F583" s="251"/>
      <c r="G583" s="251"/>
      <c r="H583" s="251"/>
      <c r="I583" s="56"/>
      <c r="J583" s="56"/>
      <c r="K583" s="56"/>
      <c r="L583" s="56"/>
      <c r="M583" s="160"/>
      <c r="N583" s="160"/>
      <c r="O583" s="251"/>
      <c r="P583" s="251"/>
      <c r="Q583" s="251"/>
      <c r="R583" s="56"/>
      <c r="S583" s="56"/>
      <c r="T583" s="56"/>
      <c r="U583" s="56"/>
      <c r="V583" s="250"/>
      <c r="W583" s="56"/>
    </row>
    <row r="584" spans="1:23" ht="15.75" customHeight="1">
      <c r="A584" s="56"/>
      <c r="B584" s="56"/>
      <c r="C584" s="56"/>
      <c r="D584" s="56"/>
      <c r="E584" s="56"/>
      <c r="F584" s="251"/>
      <c r="G584" s="251"/>
      <c r="H584" s="251"/>
      <c r="I584" s="56"/>
      <c r="J584" s="56"/>
      <c r="K584" s="56"/>
      <c r="L584" s="56"/>
      <c r="M584" s="160"/>
      <c r="N584" s="160"/>
      <c r="O584" s="251"/>
      <c r="P584" s="251"/>
      <c r="Q584" s="251"/>
      <c r="R584" s="56"/>
      <c r="S584" s="56"/>
      <c r="T584" s="56"/>
      <c r="U584" s="56"/>
      <c r="V584" s="250"/>
      <c r="W584" s="56"/>
    </row>
    <row r="585" spans="1:23" ht="15.75" customHeight="1">
      <c r="A585" s="56"/>
      <c r="B585" s="56"/>
      <c r="C585" s="56"/>
      <c r="D585" s="56"/>
      <c r="E585" s="56"/>
      <c r="F585" s="251"/>
      <c r="G585" s="251"/>
      <c r="H585" s="251"/>
      <c r="I585" s="56"/>
      <c r="J585" s="56"/>
      <c r="K585" s="56"/>
      <c r="L585" s="56"/>
      <c r="M585" s="160"/>
      <c r="N585" s="160"/>
      <c r="O585" s="251"/>
      <c r="P585" s="251"/>
      <c r="Q585" s="251"/>
      <c r="R585" s="56"/>
      <c r="S585" s="56"/>
      <c r="T585" s="56"/>
      <c r="U585" s="56"/>
      <c r="V585" s="250"/>
      <c r="W585" s="56"/>
    </row>
    <row r="586" spans="1:23" ht="15.75" customHeight="1">
      <c r="A586" s="56"/>
      <c r="B586" s="56"/>
      <c r="C586" s="56"/>
      <c r="D586" s="56"/>
      <c r="E586" s="56"/>
      <c r="F586" s="251"/>
      <c r="G586" s="251"/>
      <c r="H586" s="251"/>
      <c r="I586" s="56"/>
      <c r="J586" s="56"/>
      <c r="K586" s="56"/>
      <c r="L586" s="56"/>
      <c r="M586" s="160"/>
      <c r="N586" s="160"/>
      <c r="O586" s="251"/>
      <c r="P586" s="251"/>
      <c r="Q586" s="251"/>
      <c r="R586" s="56"/>
      <c r="S586" s="56"/>
      <c r="T586" s="56"/>
      <c r="U586" s="56"/>
      <c r="V586" s="250"/>
      <c r="W586" s="56"/>
    </row>
    <row r="587" spans="1:23" ht="15.75" customHeight="1">
      <c r="A587" s="56"/>
      <c r="B587" s="56"/>
      <c r="C587" s="56"/>
      <c r="D587" s="56"/>
      <c r="E587" s="56"/>
      <c r="F587" s="251"/>
      <c r="G587" s="251"/>
      <c r="H587" s="251"/>
      <c r="I587" s="56"/>
      <c r="J587" s="56"/>
      <c r="K587" s="56"/>
      <c r="L587" s="56"/>
      <c r="M587" s="160"/>
      <c r="N587" s="160"/>
      <c r="O587" s="251"/>
      <c r="P587" s="251"/>
      <c r="Q587" s="251"/>
      <c r="R587" s="56"/>
      <c r="S587" s="56"/>
      <c r="T587" s="56"/>
      <c r="U587" s="56"/>
      <c r="V587" s="250"/>
      <c r="W587" s="56"/>
    </row>
    <row r="588" spans="1:23" ht="15.75" customHeight="1">
      <c r="A588" s="56"/>
      <c r="B588" s="56"/>
      <c r="C588" s="56"/>
      <c r="D588" s="56"/>
      <c r="E588" s="56"/>
      <c r="F588" s="251"/>
      <c r="G588" s="251"/>
      <c r="H588" s="251"/>
      <c r="I588" s="56"/>
      <c r="J588" s="56"/>
      <c r="K588" s="56"/>
      <c r="L588" s="56"/>
      <c r="M588" s="160"/>
      <c r="N588" s="160"/>
      <c r="O588" s="251"/>
      <c r="P588" s="251"/>
      <c r="Q588" s="251"/>
      <c r="R588" s="56"/>
      <c r="S588" s="56"/>
      <c r="T588" s="56"/>
      <c r="U588" s="56"/>
      <c r="V588" s="250"/>
      <c r="W588" s="56"/>
    </row>
    <row r="589" spans="1:23" ht="15.75" customHeight="1">
      <c r="A589" s="56"/>
      <c r="B589" s="56"/>
      <c r="C589" s="56"/>
      <c r="D589" s="56"/>
      <c r="E589" s="56"/>
      <c r="F589" s="251"/>
      <c r="G589" s="251"/>
      <c r="H589" s="251"/>
      <c r="I589" s="56"/>
      <c r="J589" s="56"/>
      <c r="K589" s="56"/>
      <c r="L589" s="56"/>
      <c r="M589" s="160"/>
      <c r="N589" s="160"/>
      <c r="O589" s="251"/>
      <c r="P589" s="251"/>
      <c r="Q589" s="251"/>
      <c r="R589" s="56"/>
      <c r="S589" s="56"/>
      <c r="T589" s="56"/>
      <c r="U589" s="56"/>
      <c r="V589" s="250"/>
      <c r="W589" s="56"/>
    </row>
    <row r="590" spans="1:23" ht="15.75" customHeight="1">
      <c r="A590" s="56"/>
      <c r="B590" s="56"/>
      <c r="C590" s="56"/>
      <c r="D590" s="56"/>
      <c r="E590" s="56"/>
      <c r="F590" s="251"/>
      <c r="G590" s="251"/>
      <c r="H590" s="251"/>
      <c r="I590" s="56"/>
      <c r="J590" s="56"/>
      <c r="K590" s="56"/>
      <c r="L590" s="56"/>
      <c r="M590" s="160"/>
      <c r="N590" s="160"/>
      <c r="O590" s="251"/>
      <c r="P590" s="251"/>
      <c r="Q590" s="251"/>
      <c r="R590" s="56"/>
      <c r="S590" s="56"/>
      <c r="T590" s="56"/>
      <c r="U590" s="56"/>
      <c r="V590" s="250"/>
      <c r="W590" s="56"/>
    </row>
    <row r="591" spans="1:23" ht="15.75" customHeight="1">
      <c r="A591" s="56"/>
      <c r="B591" s="56"/>
      <c r="C591" s="56"/>
      <c r="D591" s="56"/>
      <c r="E591" s="56"/>
      <c r="F591" s="251"/>
      <c r="G591" s="251"/>
      <c r="H591" s="251"/>
      <c r="I591" s="56"/>
      <c r="J591" s="56"/>
      <c r="K591" s="56"/>
      <c r="L591" s="56"/>
      <c r="M591" s="160"/>
      <c r="N591" s="160"/>
      <c r="O591" s="251"/>
      <c r="P591" s="251"/>
      <c r="Q591" s="251"/>
      <c r="R591" s="56"/>
      <c r="S591" s="56"/>
      <c r="T591" s="56"/>
      <c r="U591" s="56"/>
      <c r="V591" s="250"/>
      <c r="W591" s="56"/>
    </row>
    <row r="592" spans="1:23" ht="15.75" customHeight="1">
      <c r="A592" s="56"/>
      <c r="B592" s="56"/>
      <c r="C592" s="56"/>
      <c r="D592" s="56"/>
      <c r="E592" s="56"/>
      <c r="F592" s="251"/>
      <c r="G592" s="251"/>
      <c r="H592" s="251"/>
      <c r="I592" s="56"/>
      <c r="J592" s="56"/>
      <c r="K592" s="56"/>
      <c r="L592" s="56"/>
      <c r="M592" s="160"/>
      <c r="N592" s="160"/>
      <c r="O592" s="251"/>
      <c r="P592" s="251"/>
      <c r="Q592" s="251"/>
      <c r="R592" s="56"/>
      <c r="S592" s="56"/>
      <c r="T592" s="56"/>
      <c r="U592" s="56"/>
      <c r="V592" s="250"/>
      <c r="W592" s="56"/>
    </row>
    <row r="593" spans="1:23" ht="15.75" customHeight="1">
      <c r="A593" s="56"/>
      <c r="B593" s="56"/>
      <c r="C593" s="56"/>
      <c r="D593" s="56"/>
      <c r="E593" s="56"/>
      <c r="F593" s="251"/>
      <c r="G593" s="251"/>
      <c r="H593" s="251"/>
      <c r="I593" s="56"/>
      <c r="J593" s="56"/>
      <c r="K593" s="56"/>
      <c r="L593" s="56"/>
      <c r="M593" s="160"/>
      <c r="N593" s="160"/>
      <c r="O593" s="251"/>
      <c r="P593" s="251"/>
      <c r="Q593" s="251"/>
      <c r="R593" s="56"/>
      <c r="S593" s="56"/>
      <c r="T593" s="56"/>
      <c r="U593" s="56"/>
      <c r="V593" s="250"/>
      <c r="W593" s="56"/>
    </row>
    <row r="594" spans="1:23" ht="15.75" customHeight="1">
      <c r="A594" s="56"/>
      <c r="B594" s="56"/>
      <c r="C594" s="56"/>
      <c r="D594" s="56"/>
      <c r="E594" s="56"/>
      <c r="F594" s="251"/>
      <c r="G594" s="251"/>
      <c r="H594" s="251"/>
      <c r="I594" s="56"/>
      <c r="J594" s="56"/>
      <c r="K594" s="56"/>
      <c r="L594" s="56"/>
      <c r="M594" s="160"/>
      <c r="N594" s="160"/>
      <c r="O594" s="251"/>
      <c r="P594" s="251"/>
      <c r="Q594" s="251"/>
      <c r="R594" s="56"/>
      <c r="S594" s="56"/>
      <c r="T594" s="56"/>
      <c r="U594" s="56"/>
      <c r="V594" s="250"/>
      <c r="W594" s="56"/>
    </row>
    <row r="595" spans="1:23" ht="15.75" customHeight="1">
      <c r="A595" s="56"/>
      <c r="B595" s="56"/>
      <c r="C595" s="56"/>
      <c r="D595" s="56"/>
      <c r="E595" s="56"/>
      <c r="F595" s="251"/>
      <c r="G595" s="251"/>
      <c r="H595" s="251"/>
      <c r="I595" s="56"/>
      <c r="J595" s="56"/>
      <c r="K595" s="56"/>
      <c r="L595" s="56"/>
      <c r="M595" s="160"/>
      <c r="N595" s="160"/>
      <c r="O595" s="251"/>
      <c r="P595" s="251"/>
      <c r="Q595" s="251"/>
      <c r="R595" s="56"/>
      <c r="S595" s="56"/>
      <c r="T595" s="56"/>
      <c r="U595" s="56"/>
      <c r="V595" s="250"/>
      <c r="W595" s="56"/>
    </row>
    <row r="596" spans="1:23" ht="15.75" customHeight="1">
      <c r="A596" s="56"/>
      <c r="B596" s="56"/>
      <c r="C596" s="56"/>
      <c r="D596" s="56"/>
      <c r="E596" s="56"/>
      <c r="F596" s="251"/>
      <c r="G596" s="251"/>
      <c r="H596" s="251"/>
      <c r="I596" s="56"/>
      <c r="J596" s="56"/>
      <c r="K596" s="56"/>
      <c r="L596" s="56"/>
      <c r="M596" s="160"/>
      <c r="N596" s="160"/>
      <c r="O596" s="251"/>
      <c r="P596" s="251"/>
      <c r="Q596" s="251"/>
      <c r="R596" s="56"/>
      <c r="S596" s="56"/>
      <c r="T596" s="56"/>
      <c r="U596" s="56"/>
      <c r="V596" s="250"/>
      <c r="W596" s="56"/>
    </row>
    <row r="597" spans="1:23" ht="15.75" customHeight="1">
      <c r="A597" s="56"/>
      <c r="B597" s="56"/>
      <c r="C597" s="56"/>
      <c r="D597" s="56"/>
      <c r="E597" s="56"/>
      <c r="F597" s="251"/>
      <c r="G597" s="251"/>
      <c r="H597" s="251"/>
      <c r="I597" s="56"/>
      <c r="J597" s="56"/>
      <c r="K597" s="56"/>
      <c r="L597" s="56"/>
      <c r="M597" s="160"/>
      <c r="N597" s="160"/>
      <c r="O597" s="251"/>
      <c r="P597" s="251"/>
      <c r="Q597" s="251"/>
      <c r="R597" s="56"/>
      <c r="S597" s="56"/>
      <c r="T597" s="56"/>
      <c r="U597" s="56"/>
      <c r="V597" s="250"/>
      <c r="W597" s="56"/>
    </row>
    <row r="598" spans="1:23" ht="15.75" customHeight="1">
      <c r="A598" s="56"/>
      <c r="B598" s="56"/>
      <c r="C598" s="56"/>
      <c r="D598" s="56"/>
      <c r="E598" s="56"/>
      <c r="F598" s="251"/>
      <c r="G598" s="251"/>
      <c r="H598" s="251"/>
      <c r="I598" s="56"/>
      <c r="J598" s="56"/>
      <c r="K598" s="56"/>
      <c r="L598" s="56"/>
      <c r="M598" s="160"/>
      <c r="N598" s="160"/>
      <c r="O598" s="251"/>
      <c r="P598" s="251"/>
      <c r="Q598" s="251"/>
      <c r="R598" s="56"/>
      <c r="S598" s="56"/>
      <c r="T598" s="56"/>
      <c r="U598" s="56"/>
      <c r="V598" s="250"/>
      <c r="W598" s="56"/>
    </row>
    <row r="599" spans="1:23" ht="15.75" customHeight="1">
      <c r="A599" s="56"/>
      <c r="B599" s="56"/>
      <c r="C599" s="56"/>
      <c r="D599" s="56"/>
      <c r="E599" s="56"/>
      <c r="F599" s="251"/>
      <c r="G599" s="251"/>
      <c r="H599" s="251"/>
      <c r="I599" s="56"/>
      <c r="J599" s="56"/>
      <c r="K599" s="56"/>
      <c r="L599" s="56"/>
      <c r="M599" s="160"/>
      <c r="N599" s="160"/>
      <c r="O599" s="251"/>
      <c r="P599" s="251"/>
      <c r="Q599" s="251"/>
      <c r="R599" s="56"/>
      <c r="S599" s="56"/>
      <c r="T599" s="56"/>
      <c r="U599" s="56"/>
      <c r="V599" s="250"/>
      <c r="W599" s="56"/>
    </row>
    <row r="600" spans="1:23" ht="15.75" customHeight="1">
      <c r="A600" s="56"/>
      <c r="B600" s="56"/>
      <c r="C600" s="56"/>
      <c r="D600" s="56"/>
      <c r="E600" s="56"/>
      <c r="F600" s="251"/>
      <c r="G600" s="251"/>
      <c r="H600" s="251"/>
      <c r="I600" s="56"/>
      <c r="J600" s="56"/>
      <c r="K600" s="56"/>
      <c r="L600" s="56"/>
      <c r="M600" s="160"/>
      <c r="N600" s="160"/>
      <c r="O600" s="251"/>
      <c r="P600" s="251"/>
      <c r="Q600" s="251"/>
      <c r="R600" s="56"/>
      <c r="S600" s="56"/>
      <c r="T600" s="56"/>
      <c r="U600" s="56"/>
      <c r="V600" s="250"/>
      <c r="W600" s="56"/>
    </row>
    <row r="601" spans="1:23" ht="15.75" customHeight="1">
      <c r="A601" s="56"/>
      <c r="B601" s="56"/>
      <c r="C601" s="56"/>
      <c r="D601" s="56"/>
      <c r="E601" s="56"/>
      <c r="F601" s="251"/>
      <c r="G601" s="251"/>
      <c r="H601" s="251"/>
      <c r="I601" s="56"/>
      <c r="J601" s="56"/>
      <c r="K601" s="56"/>
      <c r="L601" s="56"/>
      <c r="M601" s="160"/>
      <c r="N601" s="160"/>
      <c r="O601" s="251"/>
      <c r="P601" s="251"/>
      <c r="Q601" s="251"/>
      <c r="R601" s="56"/>
      <c r="S601" s="56"/>
      <c r="T601" s="56"/>
      <c r="U601" s="56"/>
      <c r="V601" s="250"/>
      <c r="W601" s="56"/>
    </row>
    <row r="602" spans="1:23" ht="15.75" customHeight="1">
      <c r="A602" s="56"/>
      <c r="B602" s="56"/>
      <c r="C602" s="56"/>
      <c r="D602" s="56"/>
      <c r="E602" s="56"/>
      <c r="F602" s="251"/>
      <c r="G602" s="251"/>
      <c r="H602" s="251"/>
      <c r="I602" s="56"/>
      <c r="J602" s="56"/>
      <c r="K602" s="56"/>
      <c r="L602" s="56"/>
      <c r="M602" s="160"/>
      <c r="N602" s="160"/>
      <c r="O602" s="251"/>
      <c r="P602" s="251"/>
      <c r="Q602" s="251"/>
      <c r="R602" s="56"/>
      <c r="S602" s="56"/>
      <c r="T602" s="56"/>
      <c r="U602" s="56"/>
      <c r="V602" s="250"/>
      <c r="W602" s="56"/>
    </row>
    <row r="603" spans="1:23" ht="15.75" customHeight="1">
      <c r="A603" s="56"/>
      <c r="B603" s="56"/>
      <c r="C603" s="56"/>
      <c r="D603" s="56"/>
      <c r="E603" s="56"/>
      <c r="F603" s="251"/>
      <c r="G603" s="251"/>
      <c r="H603" s="251"/>
      <c r="I603" s="56"/>
      <c r="J603" s="56"/>
      <c r="K603" s="56"/>
      <c r="L603" s="56"/>
      <c r="M603" s="160"/>
      <c r="N603" s="160"/>
      <c r="O603" s="251"/>
      <c r="P603" s="251"/>
      <c r="Q603" s="251"/>
      <c r="R603" s="56"/>
      <c r="S603" s="56"/>
      <c r="T603" s="56"/>
      <c r="U603" s="56"/>
      <c r="V603" s="250"/>
      <c r="W603" s="56"/>
    </row>
    <row r="604" spans="1:23" ht="15.75" customHeight="1">
      <c r="A604" s="56"/>
      <c r="B604" s="56"/>
      <c r="C604" s="56"/>
      <c r="D604" s="56"/>
      <c r="E604" s="56"/>
      <c r="F604" s="251"/>
      <c r="G604" s="251"/>
      <c r="H604" s="251"/>
      <c r="I604" s="56"/>
      <c r="J604" s="56"/>
      <c r="K604" s="56"/>
      <c r="L604" s="56"/>
      <c r="M604" s="160"/>
      <c r="N604" s="160"/>
      <c r="O604" s="251"/>
      <c r="P604" s="251"/>
      <c r="Q604" s="251"/>
      <c r="R604" s="56"/>
      <c r="S604" s="56"/>
      <c r="T604" s="56"/>
      <c r="U604" s="56"/>
      <c r="V604" s="250"/>
      <c r="W604" s="56"/>
    </row>
    <row r="605" spans="1:23" ht="15.75" customHeight="1">
      <c r="A605" s="56"/>
      <c r="B605" s="56"/>
      <c r="C605" s="56"/>
      <c r="D605" s="56"/>
      <c r="E605" s="56"/>
      <c r="F605" s="251"/>
      <c r="G605" s="251"/>
      <c r="H605" s="251"/>
      <c r="I605" s="56"/>
      <c r="J605" s="56"/>
      <c r="K605" s="56"/>
      <c r="L605" s="56"/>
      <c r="M605" s="160"/>
      <c r="N605" s="160"/>
      <c r="O605" s="251"/>
      <c r="P605" s="251"/>
      <c r="Q605" s="251"/>
      <c r="R605" s="56"/>
      <c r="S605" s="56"/>
      <c r="T605" s="56"/>
      <c r="U605" s="56"/>
      <c r="V605" s="250"/>
      <c r="W605" s="56"/>
    </row>
    <row r="606" spans="1:23" ht="15.75" customHeight="1">
      <c r="A606" s="56"/>
      <c r="B606" s="56"/>
      <c r="C606" s="56"/>
      <c r="D606" s="56"/>
      <c r="E606" s="56"/>
      <c r="F606" s="251"/>
      <c r="G606" s="251"/>
      <c r="H606" s="251"/>
      <c r="I606" s="56"/>
      <c r="J606" s="56"/>
      <c r="K606" s="56"/>
      <c r="L606" s="56"/>
      <c r="M606" s="160"/>
      <c r="N606" s="160"/>
      <c r="O606" s="251"/>
      <c r="P606" s="251"/>
      <c r="Q606" s="251"/>
      <c r="R606" s="56"/>
      <c r="S606" s="56"/>
      <c r="T606" s="56"/>
      <c r="U606" s="56"/>
      <c r="V606" s="250"/>
      <c r="W606" s="56"/>
    </row>
    <row r="607" spans="1:23" ht="15.75" customHeight="1">
      <c r="A607" s="56"/>
      <c r="B607" s="56"/>
      <c r="C607" s="56"/>
      <c r="D607" s="56"/>
      <c r="E607" s="56"/>
      <c r="F607" s="251"/>
      <c r="G607" s="251"/>
      <c r="H607" s="251"/>
      <c r="I607" s="56"/>
      <c r="J607" s="56"/>
      <c r="K607" s="56"/>
      <c r="L607" s="56"/>
      <c r="M607" s="160"/>
      <c r="N607" s="160"/>
      <c r="O607" s="251"/>
      <c r="P607" s="251"/>
      <c r="Q607" s="251"/>
      <c r="R607" s="56"/>
      <c r="S607" s="56"/>
      <c r="T607" s="56"/>
      <c r="U607" s="56"/>
      <c r="V607" s="250"/>
      <c r="W607" s="56"/>
    </row>
    <row r="608" spans="1:23" ht="15.75" customHeight="1">
      <c r="A608" s="56"/>
      <c r="B608" s="56"/>
      <c r="C608" s="56"/>
      <c r="D608" s="56"/>
      <c r="E608" s="56"/>
      <c r="F608" s="251"/>
      <c r="G608" s="251"/>
      <c r="H608" s="251"/>
      <c r="I608" s="56"/>
      <c r="J608" s="56"/>
      <c r="K608" s="56"/>
      <c r="L608" s="56"/>
      <c r="M608" s="160"/>
      <c r="N608" s="160"/>
      <c r="O608" s="251"/>
      <c r="P608" s="251"/>
      <c r="Q608" s="251"/>
      <c r="R608" s="56"/>
      <c r="S608" s="56"/>
      <c r="T608" s="56"/>
      <c r="U608" s="56"/>
      <c r="V608" s="250"/>
      <c r="W608" s="56"/>
    </row>
    <row r="609" spans="1:23" ht="15.75" customHeight="1">
      <c r="A609" s="56"/>
      <c r="B609" s="56"/>
      <c r="C609" s="56"/>
      <c r="D609" s="56"/>
      <c r="E609" s="56"/>
      <c r="F609" s="251"/>
      <c r="G609" s="251"/>
      <c r="H609" s="251"/>
      <c r="I609" s="56"/>
      <c r="J609" s="56"/>
      <c r="K609" s="56"/>
      <c r="L609" s="56"/>
      <c r="M609" s="160"/>
      <c r="N609" s="160"/>
      <c r="O609" s="251"/>
      <c r="P609" s="251"/>
      <c r="Q609" s="251"/>
      <c r="R609" s="56"/>
      <c r="S609" s="56"/>
      <c r="T609" s="56"/>
      <c r="U609" s="56"/>
      <c r="V609" s="250"/>
      <c r="W609" s="56"/>
    </row>
    <row r="610" spans="1:23" ht="15.75" customHeight="1">
      <c r="A610" s="56"/>
      <c r="B610" s="56"/>
      <c r="C610" s="56"/>
      <c r="D610" s="56"/>
      <c r="E610" s="56"/>
      <c r="F610" s="251"/>
      <c r="G610" s="251"/>
      <c r="H610" s="251"/>
      <c r="I610" s="56"/>
      <c r="J610" s="56"/>
      <c r="K610" s="56"/>
      <c r="L610" s="56"/>
      <c r="M610" s="160"/>
      <c r="N610" s="160"/>
      <c r="O610" s="251"/>
      <c r="P610" s="251"/>
      <c r="Q610" s="251"/>
      <c r="R610" s="56"/>
      <c r="S610" s="56"/>
      <c r="T610" s="56"/>
      <c r="U610" s="56"/>
      <c r="V610" s="250"/>
      <c r="W610" s="56"/>
    </row>
    <row r="611" spans="1:23" ht="15.75" customHeight="1">
      <c r="A611" s="56"/>
      <c r="B611" s="56"/>
      <c r="C611" s="56"/>
      <c r="D611" s="56"/>
      <c r="E611" s="56"/>
      <c r="F611" s="251"/>
      <c r="G611" s="251"/>
      <c r="H611" s="251"/>
      <c r="I611" s="56"/>
      <c r="J611" s="56"/>
      <c r="K611" s="56"/>
      <c r="L611" s="56"/>
      <c r="M611" s="160"/>
      <c r="N611" s="160"/>
      <c r="O611" s="251"/>
      <c r="P611" s="251"/>
      <c r="Q611" s="251"/>
      <c r="R611" s="56"/>
      <c r="S611" s="56"/>
      <c r="T611" s="56"/>
      <c r="U611" s="56"/>
      <c r="V611" s="250"/>
      <c r="W611" s="56"/>
    </row>
    <row r="612" spans="1:23" ht="15.75" customHeight="1">
      <c r="A612" s="56"/>
      <c r="B612" s="56"/>
      <c r="C612" s="56"/>
      <c r="D612" s="56"/>
      <c r="E612" s="56"/>
      <c r="F612" s="251"/>
      <c r="G612" s="251"/>
      <c r="H612" s="251"/>
      <c r="I612" s="56"/>
      <c r="J612" s="56"/>
      <c r="K612" s="56"/>
      <c r="L612" s="56"/>
      <c r="M612" s="160"/>
      <c r="N612" s="160"/>
      <c r="O612" s="251"/>
      <c r="P612" s="251"/>
      <c r="Q612" s="251"/>
      <c r="R612" s="56"/>
      <c r="S612" s="56"/>
      <c r="T612" s="56"/>
      <c r="U612" s="56"/>
      <c r="V612" s="250"/>
      <c r="W612" s="56"/>
    </row>
    <row r="613" spans="1:23" ht="15.75" customHeight="1">
      <c r="A613" s="56"/>
      <c r="B613" s="56"/>
      <c r="C613" s="56"/>
      <c r="D613" s="56"/>
      <c r="E613" s="56"/>
      <c r="F613" s="251"/>
      <c r="G613" s="251"/>
      <c r="H613" s="251"/>
      <c r="I613" s="56"/>
      <c r="J613" s="56"/>
      <c r="K613" s="56"/>
      <c r="L613" s="56"/>
      <c r="M613" s="160"/>
      <c r="N613" s="160"/>
      <c r="O613" s="251"/>
      <c r="P613" s="251"/>
      <c r="Q613" s="251"/>
      <c r="R613" s="56"/>
      <c r="S613" s="56"/>
      <c r="T613" s="56"/>
      <c r="U613" s="56"/>
      <c r="V613" s="250"/>
      <c r="W613" s="56"/>
    </row>
    <row r="614" spans="1:23" ht="15.75" customHeight="1">
      <c r="A614" s="56"/>
      <c r="B614" s="56"/>
      <c r="C614" s="56"/>
      <c r="D614" s="56"/>
      <c r="E614" s="56"/>
      <c r="F614" s="251"/>
      <c r="G614" s="251"/>
      <c r="H614" s="251"/>
      <c r="I614" s="56"/>
      <c r="J614" s="56"/>
      <c r="K614" s="56"/>
      <c r="L614" s="56"/>
      <c r="M614" s="160"/>
      <c r="N614" s="160"/>
      <c r="O614" s="251"/>
      <c r="P614" s="251"/>
      <c r="Q614" s="251"/>
      <c r="R614" s="56"/>
      <c r="S614" s="56"/>
      <c r="T614" s="56"/>
      <c r="U614" s="56"/>
      <c r="V614" s="250"/>
      <c r="W614" s="56"/>
    </row>
    <row r="615" spans="1:23" ht="15.75" customHeight="1">
      <c r="A615" s="56"/>
      <c r="B615" s="56"/>
      <c r="C615" s="56"/>
      <c r="D615" s="56"/>
      <c r="E615" s="56"/>
      <c r="F615" s="251"/>
      <c r="G615" s="251"/>
      <c r="H615" s="251"/>
      <c r="I615" s="56"/>
      <c r="J615" s="56"/>
      <c r="K615" s="56"/>
      <c r="L615" s="56"/>
      <c r="M615" s="160"/>
      <c r="N615" s="160"/>
      <c r="O615" s="251"/>
      <c r="P615" s="251"/>
      <c r="Q615" s="251"/>
      <c r="R615" s="56"/>
      <c r="S615" s="56"/>
      <c r="T615" s="56"/>
      <c r="U615" s="56"/>
      <c r="V615" s="250"/>
      <c r="W615" s="56"/>
    </row>
    <row r="616" spans="1:23" ht="15.75" customHeight="1">
      <c r="A616" s="56"/>
      <c r="B616" s="56"/>
      <c r="C616" s="56"/>
      <c r="D616" s="56"/>
      <c r="E616" s="56"/>
      <c r="F616" s="251"/>
      <c r="G616" s="251"/>
      <c r="H616" s="251"/>
      <c r="I616" s="56"/>
      <c r="J616" s="56"/>
      <c r="K616" s="56"/>
      <c r="L616" s="56"/>
      <c r="M616" s="160"/>
      <c r="N616" s="160"/>
      <c r="O616" s="251"/>
      <c r="P616" s="251"/>
      <c r="Q616" s="251"/>
      <c r="R616" s="56"/>
      <c r="S616" s="56"/>
      <c r="T616" s="56"/>
      <c r="U616" s="56"/>
      <c r="V616" s="250"/>
      <c r="W616" s="56"/>
    </row>
    <row r="617" spans="1:23" ht="15.75" customHeight="1">
      <c r="A617" s="56"/>
      <c r="B617" s="56"/>
      <c r="C617" s="56"/>
      <c r="D617" s="56"/>
      <c r="E617" s="56"/>
      <c r="F617" s="251"/>
      <c r="G617" s="251"/>
      <c r="H617" s="251"/>
      <c r="I617" s="56"/>
      <c r="J617" s="56"/>
      <c r="K617" s="56"/>
      <c r="L617" s="56"/>
      <c r="M617" s="160"/>
      <c r="N617" s="160"/>
      <c r="O617" s="251"/>
      <c r="P617" s="251"/>
      <c r="Q617" s="251"/>
      <c r="R617" s="56"/>
      <c r="S617" s="56"/>
      <c r="T617" s="56"/>
      <c r="U617" s="56"/>
      <c r="V617" s="250"/>
      <c r="W617" s="56"/>
    </row>
    <row r="618" spans="1:23" ht="15.75" customHeight="1">
      <c r="A618" s="56"/>
      <c r="B618" s="56"/>
      <c r="C618" s="56"/>
      <c r="D618" s="56"/>
      <c r="E618" s="56"/>
      <c r="F618" s="251"/>
      <c r="G618" s="251"/>
      <c r="H618" s="251"/>
      <c r="I618" s="56"/>
      <c r="J618" s="56"/>
      <c r="K618" s="56"/>
      <c r="L618" s="56"/>
      <c r="M618" s="160"/>
      <c r="N618" s="160"/>
      <c r="O618" s="251"/>
      <c r="P618" s="251"/>
      <c r="Q618" s="251"/>
      <c r="R618" s="56"/>
      <c r="S618" s="56"/>
      <c r="T618" s="56"/>
      <c r="U618" s="56"/>
      <c r="V618" s="250"/>
      <c r="W618" s="56"/>
    </row>
    <row r="619" spans="1:23" ht="15.75" customHeight="1">
      <c r="A619" s="56"/>
      <c r="B619" s="56"/>
      <c r="C619" s="56"/>
      <c r="D619" s="56"/>
      <c r="E619" s="56"/>
      <c r="F619" s="251"/>
      <c r="G619" s="251"/>
      <c r="H619" s="251"/>
      <c r="I619" s="56"/>
      <c r="J619" s="56"/>
      <c r="K619" s="56"/>
      <c r="L619" s="56"/>
      <c r="M619" s="160"/>
      <c r="N619" s="160"/>
      <c r="O619" s="251"/>
      <c r="P619" s="251"/>
      <c r="Q619" s="251"/>
      <c r="R619" s="56"/>
      <c r="S619" s="56"/>
      <c r="T619" s="56"/>
      <c r="U619" s="56"/>
      <c r="V619" s="250"/>
      <c r="W619" s="56"/>
    </row>
    <row r="620" spans="1:23" ht="15.75" customHeight="1">
      <c r="A620" s="56"/>
      <c r="B620" s="56"/>
      <c r="C620" s="56"/>
      <c r="D620" s="56"/>
      <c r="E620" s="56"/>
      <c r="F620" s="251"/>
      <c r="G620" s="251"/>
      <c r="H620" s="251"/>
      <c r="I620" s="56"/>
      <c r="J620" s="56"/>
      <c r="K620" s="56"/>
      <c r="L620" s="56"/>
      <c r="M620" s="160"/>
      <c r="N620" s="160"/>
      <c r="O620" s="251"/>
      <c r="P620" s="251"/>
      <c r="Q620" s="251"/>
      <c r="R620" s="56"/>
      <c r="S620" s="56"/>
      <c r="T620" s="56"/>
      <c r="U620" s="56"/>
      <c r="V620" s="250"/>
      <c r="W620" s="56"/>
    </row>
    <row r="621" spans="1:23" ht="15.75" customHeight="1">
      <c r="A621" s="56"/>
      <c r="B621" s="56"/>
      <c r="C621" s="56"/>
      <c r="D621" s="56"/>
      <c r="E621" s="56"/>
      <c r="F621" s="251"/>
      <c r="G621" s="251"/>
      <c r="H621" s="251"/>
      <c r="I621" s="56"/>
      <c r="J621" s="56"/>
      <c r="K621" s="56"/>
      <c r="L621" s="56"/>
      <c r="M621" s="160"/>
      <c r="N621" s="160"/>
      <c r="O621" s="251"/>
      <c r="P621" s="251"/>
      <c r="Q621" s="251"/>
      <c r="R621" s="56"/>
      <c r="S621" s="56"/>
      <c r="T621" s="56"/>
      <c r="U621" s="56"/>
      <c r="V621" s="250"/>
      <c r="W621" s="56"/>
    </row>
    <row r="622" spans="1:23" ht="15.75" customHeight="1">
      <c r="A622" s="56"/>
      <c r="B622" s="56"/>
      <c r="C622" s="56"/>
      <c r="D622" s="56"/>
      <c r="E622" s="56"/>
      <c r="F622" s="251"/>
      <c r="G622" s="251"/>
      <c r="H622" s="251"/>
      <c r="I622" s="56"/>
      <c r="J622" s="56"/>
      <c r="K622" s="56"/>
      <c r="L622" s="56"/>
      <c r="M622" s="160"/>
      <c r="N622" s="160"/>
      <c r="O622" s="251"/>
      <c r="P622" s="251"/>
      <c r="Q622" s="251"/>
      <c r="R622" s="56"/>
      <c r="S622" s="56"/>
      <c r="T622" s="56"/>
      <c r="U622" s="56"/>
      <c r="V622" s="250"/>
      <c r="W622" s="56"/>
    </row>
    <row r="623" spans="1:23" ht="15.75" customHeight="1">
      <c r="A623" s="56"/>
      <c r="B623" s="56"/>
      <c r="C623" s="56"/>
      <c r="D623" s="56"/>
      <c r="E623" s="56"/>
      <c r="F623" s="251"/>
      <c r="G623" s="251"/>
      <c r="H623" s="251"/>
      <c r="I623" s="56"/>
      <c r="J623" s="56"/>
      <c r="K623" s="56"/>
      <c r="L623" s="56"/>
      <c r="M623" s="160"/>
      <c r="N623" s="160"/>
      <c r="O623" s="251"/>
      <c r="P623" s="251"/>
      <c r="Q623" s="251"/>
      <c r="R623" s="56"/>
      <c r="S623" s="56"/>
      <c r="T623" s="56"/>
      <c r="U623" s="56"/>
      <c r="V623" s="250"/>
      <c r="W623" s="56"/>
    </row>
    <row r="624" spans="1:23" ht="15.75" customHeight="1">
      <c r="A624" s="56"/>
      <c r="B624" s="56"/>
      <c r="C624" s="56"/>
      <c r="D624" s="56"/>
      <c r="E624" s="56"/>
      <c r="F624" s="251"/>
      <c r="G624" s="251"/>
      <c r="H624" s="251"/>
      <c r="I624" s="56"/>
      <c r="J624" s="56"/>
      <c r="K624" s="56"/>
      <c r="L624" s="56"/>
      <c r="M624" s="160"/>
      <c r="N624" s="160"/>
      <c r="O624" s="251"/>
      <c r="P624" s="251"/>
      <c r="Q624" s="251"/>
      <c r="R624" s="56"/>
      <c r="S624" s="56"/>
      <c r="T624" s="56"/>
      <c r="U624" s="56"/>
      <c r="V624" s="250"/>
      <c r="W624" s="56"/>
    </row>
    <row r="625" spans="1:23" ht="15.75" customHeight="1">
      <c r="A625" s="56"/>
      <c r="B625" s="56"/>
      <c r="C625" s="56"/>
      <c r="D625" s="56"/>
      <c r="E625" s="56"/>
      <c r="F625" s="251"/>
      <c r="G625" s="251"/>
      <c r="H625" s="251"/>
      <c r="I625" s="56"/>
      <c r="J625" s="56"/>
      <c r="K625" s="56"/>
      <c r="L625" s="56"/>
      <c r="M625" s="160"/>
      <c r="N625" s="160"/>
      <c r="O625" s="251"/>
      <c r="P625" s="251"/>
      <c r="Q625" s="251"/>
      <c r="R625" s="56"/>
      <c r="S625" s="56"/>
      <c r="T625" s="56"/>
      <c r="U625" s="56"/>
      <c r="V625" s="250"/>
      <c r="W625" s="56"/>
    </row>
    <row r="626" spans="1:23" ht="15.75" customHeight="1">
      <c r="A626" s="56"/>
      <c r="B626" s="56"/>
      <c r="C626" s="56"/>
      <c r="D626" s="56"/>
      <c r="E626" s="56"/>
      <c r="F626" s="251"/>
      <c r="G626" s="251"/>
      <c r="H626" s="251"/>
      <c r="I626" s="56"/>
      <c r="J626" s="56"/>
      <c r="K626" s="56"/>
      <c r="L626" s="56"/>
      <c r="M626" s="160"/>
      <c r="N626" s="160"/>
      <c r="O626" s="251"/>
      <c r="P626" s="251"/>
      <c r="Q626" s="251"/>
      <c r="R626" s="56"/>
      <c r="S626" s="56"/>
      <c r="T626" s="56"/>
      <c r="U626" s="56"/>
      <c r="V626" s="250"/>
      <c r="W626" s="56"/>
    </row>
    <row r="627" spans="1:23" ht="15.75" customHeight="1">
      <c r="A627" s="56"/>
      <c r="B627" s="56"/>
      <c r="C627" s="56"/>
      <c r="D627" s="56"/>
      <c r="E627" s="56"/>
      <c r="F627" s="251"/>
      <c r="G627" s="251"/>
      <c r="H627" s="251"/>
      <c r="I627" s="56"/>
      <c r="J627" s="56"/>
      <c r="K627" s="56"/>
      <c r="L627" s="56"/>
      <c r="M627" s="160"/>
      <c r="N627" s="160"/>
      <c r="O627" s="251"/>
      <c r="P627" s="251"/>
      <c r="Q627" s="251"/>
      <c r="R627" s="56"/>
      <c r="S627" s="56"/>
      <c r="T627" s="56"/>
      <c r="U627" s="56"/>
      <c r="V627" s="250"/>
      <c r="W627" s="56"/>
    </row>
    <row r="628" spans="1:23" ht="15.75" customHeight="1">
      <c r="A628" s="56"/>
      <c r="B628" s="56"/>
      <c r="C628" s="56"/>
      <c r="D628" s="56"/>
      <c r="E628" s="56"/>
      <c r="F628" s="251"/>
      <c r="G628" s="251"/>
      <c r="H628" s="251"/>
      <c r="I628" s="56"/>
      <c r="J628" s="56"/>
      <c r="K628" s="56"/>
      <c r="L628" s="56"/>
      <c r="M628" s="160"/>
      <c r="N628" s="160"/>
      <c r="O628" s="251"/>
      <c r="P628" s="251"/>
      <c r="Q628" s="251"/>
      <c r="R628" s="56"/>
      <c r="S628" s="56"/>
      <c r="T628" s="56"/>
      <c r="U628" s="56"/>
      <c r="V628" s="250"/>
      <c r="W628" s="56"/>
    </row>
    <row r="629" spans="1:23" ht="15.75" customHeight="1">
      <c r="A629" s="56"/>
      <c r="B629" s="56"/>
      <c r="C629" s="56"/>
      <c r="D629" s="56"/>
      <c r="E629" s="56"/>
      <c r="F629" s="251"/>
      <c r="G629" s="251"/>
      <c r="H629" s="251"/>
      <c r="I629" s="56"/>
      <c r="J629" s="56"/>
      <c r="K629" s="56"/>
      <c r="L629" s="56"/>
      <c r="M629" s="160"/>
      <c r="N629" s="160"/>
      <c r="O629" s="251"/>
      <c r="P629" s="251"/>
      <c r="Q629" s="251"/>
      <c r="R629" s="56"/>
      <c r="S629" s="56"/>
      <c r="T629" s="56"/>
      <c r="U629" s="56"/>
      <c r="V629" s="250"/>
      <c r="W629" s="56"/>
    </row>
    <row r="630" spans="1:23" ht="15.75" customHeight="1">
      <c r="A630" s="56"/>
      <c r="B630" s="56"/>
      <c r="C630" s="56"/>
      <c r="D630" s="56"/>
      <c r="E630" s="56"/>
      <c r="F630" s="251"/>
      <c r="G630" s="251"/>
      <c r="H630" s="251"/>
      <c r="I630" s="56"/>
      <c r="J630" s="56"/>
      <c r="K630" s="56"/>
      <c r="L630" s="56"/>
      <c r="M630" s="160"/>
      <c r="N630" s="160"/>
      <c r="O630" s="251"/>
      <c r="P630" s="251"/>
      <c r="Q630" s="251"/>
      <c r="R630" s="56"/>
      <c r="S630" s="56"/>
      <c r="T630" s="56"/>
      <c r="U630" s="56"/>
      <c r="V630" s="250"/>
      <c r="W630" s="56"/>
    </row>
    <row r="631" spans="1:23" ht="15.75" customHeight="1">
      <c r="A631" s="56"/>
      <c r="B631" s="56"/>
      <c r="C631" s="56"/>
      <c r="D631" s="56"/>
      <c r="E631" s="56"/>
      <c r="F631" s="251"/>
      <c r="G631" s="251"/>
      <c r="H631" s="251"/>
      <c r="I631" s="56"/>
      <c r="J631" s="56"/>
      <c r="K631" s="56"/>
      <c r="L631" s="56"/>
      <c r="M631" s="160"/>
      <c r="N631" s="160"/>
      <c r="O631" s="251"/>
      <c r="P631" s="251"/>
      <c r="Q631" s="251"/>
      <c r="R631" s="56"/>
      <c r="S631" s="56"/>
      <c r="T631" s="56"/>
      <c r="U631" s="56"/>
      <c r="V631" s="250"/>
      <c r="W631" s="56"/>
    </row>
    <row r="632" spans="1:23" ht="15.75" customHeight="1">
      <c r="A632" s="56"/>
      <c r="B632" s="56"/>
      <c r="C632" s="56"/>
      <c r="D632" s="56"/>
      <c r="E632" s="56"/>
      <c r="F632" s="251"/>
      <c r="G632" s="251"/>
      <c r="H632" s="251"/>
      <c r="I632" s="56"/>
      <c r="J632" s="56"/>
      <c r="K632" s="56"/>
      <c r="L632" s="56"/>
      <c r="M632" s="160"/>
      <c r="N632" s="160"/>
      <c r="O632" s="251"/>
      <c r="P632" s="251"/>
      <c r="Q632" s="251"/>
      <c r="R632" s="56"/>
      <c r="S632" s="56"/>
      <c r="T632" s="56"/>
      <c r="U632" s="56"/>
      <c r="V632" s="250"/>
      <c r="W632" s="56"/>
    </row>
    <row r="633" spans="1:23" ht="15.75" customHeight="1">
      <c r="A633" s="56"/>
      <c r="B633" s="56"/>
      <c r="C633" s="56"/>
      <c r="D633" s="56"/>
      <c r="E633" s="56"/>
      <c r="F633" s="251"/>
      <c r="G633" s="251"/>
      <c r="H633" s="251"/>
      <c r="I633" s="56"/>
      <c r="J633" s="56"/>
      <c r="K633" s="56"/>
      <c r="L633" s="56"/>
      <c r="M633" s="160"/>
      <c r="N633" s="160"/>
      <c r="O633" s="251"/>
      <c r="P633" s="251"/>
      <c r="Q633" s="251"/>
      <c r="R633" s="56"/>
      <c r="S633" s="56"/>
      <c r="T633" s="56"/>
      <c r="U633" s="56"/>
      <c r="V633" s="250"/>
      <c r="W633" s="56"/>
    </row>
    <row r="634" spans="1:23" ht="15.75" customHeight="1">
      <c r="A634" s="56"/>
      <c r="B634" s="56"/>
      <c r="C634" s="56"/>
      <c r="D634" s="56"/>
      <c r="E634" s="56"/>
      <c r="F634" s="251"/>
      <c r="G634" s="251"/>
      <c r="H634" s="251"/>
      <c r="I634" s="56"/>
      <c r="J634" s="56"/>
      <c r="K634" s="56"/>
      <c r="L634" s="56"/>
      <c r="M634" s="160"/>
      <c r="N634" s="160"/>
      <c r="O634" s="251"/>
      <c r="P634" s="251"/>
      <c r="Q634" s="251"/>
      <c r="R634" s="56"/>
      <c r="S634" s="56"/>
      <c r="T634" s="56"/>
      <c r="U634" s="56"/>
      <c r="V634" s="250"/>
      <c r="W634" s="56"/>
    </row>
    <row r="635" spans="1:23" ht="15.75" customHeight="1">
      <c r="A635" s="56"/>
      <c r="B635" s="56"/>
      <c r="C635" s="56"/>
      <c r="D635" s="56"/>
      <c r="E635" s="56"/>
      <c r="F635" s="251"/>
      <c r="G635" s="251"/>
      <c r="H635" s="251"/>
      <c r="I635" s="56"/>
      <c r="J635" s="56"/>
      <c r="K635" s="56"/>
      <c r="L635" s="56"/>
      <c r="M635" s="160"/>
      <c r="N635" s="160"/>
      <c r="O635" s="251"/>
      <c r="P635" s="251"/>
      <c r="Q635" s="251"/>
      <c r="R635" s="56"/>
      <c r="S635" s="56"/>
      <c r="T635" s="56"/>
      <c r="U635" s="56"/>
      <c r="V635" s="250"/>
      <c r="W635" s="56"/>
    </row>
    <row r="636" spans="1:23" ht="15.75" customHeight="1">
      <c r="A636" s="56"/>
      <c r="B636" s="56"/>
      <c r="C636" s="56"/>
      <c r="D636" s="56"/>
      <c r="E636" s="56"/>
      <c r="F636" s="251"/>
      <c r="G636" s="251"/>
      <c r="H636" s="251"/>
      <c r="I636" s="56"/>
      <c r="J636" s="56"/>
      <c r="K636" s="56"/>
      <c r="L636" s="56"/>
      <c r="M636" s="160"/>
      <c r="N636" s="160"/>
      <c r="O636" s="251"/>
      <c r="P636" s="251"/>
      <c r="Q636" s="251"/>
      <c r="R636" s="56"/>
      <c r="S636" s="56"/>
      <c r="T636" s="56"/>
      <c r="U636" s="56"/>
      <c r="V636" s="250"/>
      <c r="W636" s="56"/>
    </row>
    <row r="637" spans="1:23" ht="15.75" customHeight="1">
      <c r="A637" s="56"/>
      <c r="B637" s="56"/>
      <c r="C637" s="56"/>
      <c r="D637" s="56"/>
      <c r="E637" s="56"/>
      <c r="F637" s="251"/>
      <c r="G637" s="251"/>
      <c r="H637" s="251"/>
      <c r="I637" s="56"/>
      <c r="J637" s="56"/>
      <c r="K637" s="56"/>
      <c r="L637" s="56"/>
      <c r="M637" s="160"/>
      <c r="N637" s="160"/>
      <c r="O637" s="251"/>
      <c r="P637" s="251"/>
      <c r="Q637" s="251"/>
      <c r="R637" s="56"/>
      <c r="S637" s="56"/>
      <c r="T637" s="56"/>
      <c r="U637" s="56"/>
      <c r="V637" s="250"/>
      <c r="W637" s="56"/>
    </row>
    <row r="638" spans="1:23" ht="15.75" customHeight="1">
      <c r="A638" s="56"/>
      <c r="B638" s="56"/>
      <c r="C638" s="56"/>
      <c r="D638" s="56"/>
      <c r="E638" s="56"/>
      <c r="F638" s="251"/>
      <c r="G638" s="251"/>
      <c r="H638" s="251"/>
      <c r="I638" s="56"/>
      <c r="J638" s="56"/>
      <c r="K638" s="56"/>
      <c r="L638" s="56"/>
      <c r="M638" s="160"/>
      <c r="N638" s="160"/>
      <c r="O638" s="251"/>
      <c r="P638" s="251"/>
      <c r="Q638" s="251"/>
      <c r="R638" s="56"/>
      <c r="S638" s="56"/>
      <c r="T638" s="56"/>
      <c r="U638" s="56"/>
      <c r="V638" s="250"/>
      <c r="W638" s="56"/>
    </row>
    <row r="639" spans="1:23" ht="15.75" customHeight="1">
      <c r="A639" s="56"/>
      <c r="B639" s="56"/>
      <c r="C639" s="56"/>
      <c r="D639" s="56"/>
      <c r="E639" s="56"/>
      <c r="F639" s="251"/>
      <c r="G639" s="251"/>
      <c r="H639" s="251"/>
      <c r="I639" s="56"/>
      <c r="J639" s="56"/>
      <c r="K639" s="56"/>
      <c r="L639" s="56"/>
      <c r="M639" s="160"/>
      <c r="N639" s="160"/>
      <c r="O639" s="251"/>
      <c r="P639" s="251"/>
      <c r="Q639" s="251"/>
      <c r="R639" s="56"/>
      <c r="S639" s="56"/>
      <c r="T639" s="56"/>
      <c r="U639" s="56"/>
      <c r="V639" s="250"/>
      <c r="W639" s="56"/>
    </row>
    <row r="640" spans="1:23" ht="15.75" customHeight="1">
      <c r="A640" s="56"/>
      <c r="B640" s="56"/>
      <c r="C640" s="56"/>
      <c r="D640" s="56"/>
      <c r="E640" s="56"/>
      <c r="F640" s="251"/>
      <c r="G640" s="251"/>
      <c r="H640" s="251"/>
      <c r="I640" s="56"/>
      <c r="J640" s="56"/>
      <c r="K640" s="56"/>
      <c r="L640" s="56"/>
      <c r="M640" s="160"/>
      <c r="N640" s="160"/>
      <c r="O640" s="251"/>
      <c r="P640" s="251"/>
      <c r="Q640" s="251"/>
      <c r="R640" s="56"/>
      <c r="S640" s="56"/>
      <c r="T640" s="56"/>
      <c r="U640" s="56"/>
      <c r="V640" s="250"/>
      <c r="W640" s="56"/>
    </row>
    <row r="641" spans="1:23" ht="15.75" customHeight="1">
      <c r="A641" s="56"/>
      <c r="B641" s="56"/>
      <c r="C641" s="56"/>
      <c r="D641" s="56"/>
      <c r="E641" s="56"/>
      <c r="F641" s="251"/>
      <c r="G641" s="251"/>
      <c r="H641" s="251"/>
      <c r="I641" s="56"/>
      <c r="J641" s="56"/>
      <c r="K641" s="56"/>
      <c r="L641" s="56"/>
      <c r="M641" s="160"/>
      <c r="N641" s="160"/>
      <c r="O641" s="251"/>
      <c r="P641" s="251"/>
      <c r="Q641" s="251"/>
      <c r="R641" s="56"/>
      <c r="S641" s="56"/>
      <c r="T641" s="56"/>
      <c r="U641" s="56"/>
      <c r="V641" s="250"/>
      <c r="W641" s="56"/>
    </row>
    <row r="642" spans="1:23" ht="15.75" customHeight="1">
      <c r="A642" s="56"/>
      <c r="B642" s="56"/>
      <c r="C642" s="56"/>
      <c r="D642" s="56"/>
      <c r="E642" s="56"/>
      <c r="F642" s="251"/>
      <c r="G642" s="251"/>
      <c r="H642" s="251"/>
      <c r="I642" s="56"/>
      <c r="J642" s="56"/>
      <c r="K642" s="56"/>
      <c r="L642" s="56"/>
      <c r="M642" s="160"/>
      <c r="N642" s="160"/>
      <c r="O642" s="251"/>
      <c r="P642" s="251"/>
      <c r="Q642" s="251"/>
      <c r="R642" s="56"/>
      <c r="S642" s="56"/>
      <c r="T642" s="56"/>
      <c r="U642" s="56"/>
      <c r="V642" s="250"/>
      <c r="W642" s="56"/>
    </row>
    <row r="643" spans="1:23" ht="15.75" customHeight="1">
      <c r="A643" s="56"/>
      <c r="B643" s="56"/>
      <c r="C643" s="56"/>
      <c r="D643" s="56"/>
      <c r="E643" s="56"/>
      <c r="F643" s="251"/>
      <c r="G643" s="251"/>
      <c r="H643" s="251"/>
      <c r="I643" s="56"/>
      <c r="J643" s="56"/>
      <c r="K643" s="56"/>
      <c r="L643" s="56"/>
      <c r="M643" s="160"/>
      <c r="N643" s="160"/>
      <c r="O643" s="251"/>
      <c r="P643" s="251"/>
      <c r="Q643" s="251"/>
      <c r="R643" s="56"/>
      <c r="S643" s="56"/>
      <c r="T643" s="56"/>
      <c r="U643" s="56"/>
      <c r="V643" s="250"/>
      <c r="W643" s="56"/>
    </row>
    <row r="644" spans="1:23" ht="15.75" customHeight="1">
      <c r="A644" s="56"/>
      <c r="B644" s="56"/>
      <c r="C644" s="56"/>
      <c r="D644" s="56"/>
      <c r="E644" s="56"/>
      <c r="F644" s="251"/>
      <c r="G644" s="251"/>
      <c r="H644" s="251"/>
      <c r="I644" s="56"/>
      <c r="J644" s="56"/>
      <c r="K644" s="56"/>
      <c r="L644" s="56"/>
      <c r="M644" s="160"/>
      <c r="N644" s="160"/>
      <c r="O644" s="251"/>
      <c r="P644" s="251"/>
      <c r="Q644" s="251"/>
      <c r="R644" s="56"/>
      <c r="S644" s="56"/>
      <c r="T644" s="56"/>
      <c r="U644" s="56"/>
      <c r="V644" s="250"/>
      <c r="W644" s="56"/>
    </row>
    <row r="645" spans="1:23" ht="15.75" customHeight="1">
      <c r="A645" s="56"/>
      <c r="B645" s="56"/>
      <c r="C645" s="56"/>
      <c r="D645" s="56"/>
      <c r="E645" s="56"/>
      <c r="F645" s="251"/>
      <c r="G645" s="251"/>
      <c r="H645" s="251"/>
      <c r="I645" s="56"/>
      <c r="J645" s="56"/>
      <c r="K645" s="56"/>
      <c r="L645" s="56"/>
      <c r="M645" s="160"/>
      <c r="N645" s="160"/>
      <c r="O645" s="251"/>
      <c r="P645" s="251"/>
      <c r="Q645" s="251"/>
      <c r="R645" s="56"/>
      <c r="S645" s="56"/>
      <c r="T645" s="56"/>
      <c r="U645" s="56"/>
      <c r="V645" s="250"/>
      <c r="W645" s="56"/>
    </row>
    <row r="646" spans="1:23" ht="15.75" customHeight="1">
      <c r="A646" s="56"/>
      <c r="B646" s="56"/>
      <c r="C646" s="56"/>
      <c r="D646" s="56"/>
      <c r="E646" s="56"/>
      <c r="F646" s="251"/>
      <c r="G646" s="251"/>
      <c r="H646" s="251"/>
      <c r="I646" s="56"/>
      <c r="J646" s="56"/>
      <c r="K646" s="56"/>
      <c r="L646" s="56"/>
      <c r="M646" s="160"/>
      <c r="N646" s="160"/>
      <c r="O646" s="251"/>
      <c r="P646" s="251"/>
      <c r="Q646" s="251"/>
      <c r="R646" s="56"/>
      <c r="S646" s="56"/>
      <c r="T646" s="56"/>
      <c r="U646" s="56"/>
      <c r="V646" s="250"/>
      <c r="W646" s="56"/>
    </row>
    <row r="647" spans="1:23" ht="15.75" customHeight="1">
      <c r="A647" s="56"/>
      <c r="B647" s="56"/>
      <c r="C647" s="56"/>
      <c r="D647" s="56"/>
      <c r="E647" s="56"/>
      <c r="F647" s="251"/>
      <c r="G647" s="251"/>
      <c r="H647" s="251"/>
      <c r="I647" s="56"/>
      <c r="J647" s="56"/>
      <c r="K647" s="56"/>
      <c r="L647" s="56"/>
      <c r="M647" s="160"/>
      <c r="N647" s="160"/>
      <c r="O647" s="251"/>
      <c r="P647" s="251"/>
      <c r="Q647" s="251"/>
      <c r="R647" s="56"/>
      <c r="S647" s="56"/>
      <c r="T647" s="56"/>
      <c r="U647" s="56"/>
      <c r="V647" s="250"/>
      <c r="W647" s="56"/>
    </row>
    <row r="648" spans="1:23" ht="15.75" customHeight="1">
      <c r="A648" s="56"/>
      <c r="B648" s="56"/>
      <c r="C648" s="56"/>
      <c r="D648" s="56"/>
      <c r="E648" s="56"/>
      <c r="F648" s="251"/>
      <c r="G648" s="251"/>
      <c r="H648" s="251"/>
      <c r="I648" s="56"/>
      <c r="J648" s="56"/>
      <c r="K648" s="56"/>
      <c r="L648" s="56"/>
      <c r="M648" s="160"/>
      <c r="N648" s="160"/>
      <c r="O648" s="251"/>
      <c r="P648" s="251"/>
      <c r="Q648" s="251"/>
      <c r="R648" s="56"/>
      <c r="S648" s="56"/>
      <c r="T648" s="56"/>
      <c r="U648" s="56"/>
      <c r="V648" s="250"/>
      <c r="W648" s="56"/>
    </row>
    <row r="649" spans="1:23" ht="15.75" customHeight="1">
      <c r="A649" s="56"/>
      <c r="B649" s="56"/>
      <c r="C649" s="56"/>
      <c r="D649" s="56"/>
      <c r="E649" s="56"/>
      <c r="F649" s="251"/>
      <c r="G649" s="251"/>
      <c r="H649" s="251"/>
      <c r="I649" s="56"/>
      <c r="J649" s="56"/>
      <c r="K649" s="56"/>
      <c r="L649" s="56"/>
      <c r="M649" s="160"/>
      <c r="N649" s="160"/>
      <c r="O649" s="251"/>
      <c r="P649" s="251"/>
      <c r="Q649" s="251"/>
      <c r="R649" s="56"/>
      <c r="S649" s="56"/>
      <c r="T649" s="56"/>
      <c r="U649" s="56"/>
      <c r="V649" s="250"/>
      <c r="W649" s="56"/>
    </row>
    <row r="650" spans="1:23" ht="15.75" customHeight="1">
      <c r="A650" s="56"/>
      <c r="B650" s="56"/>
      <c r="C650" s="56"/>
      <c r="D650" s="56"/>
      <c r="E650" s="56"/>
      <c r="F650" s="251"/>
      <c r="G650" s="251"/>
      <c r="H650" s="251"/>
      <c r="I650" s="56"/>
      <c r="J650" s="56"/>
      <c r="K650" s="56"/>
      <c r="L650" s="56"/>
      <c r="M650" s="160"/>
      <c r="N650" s="160"/>
      <c r="O650" s="251"/>
      <c r="P650" s="251"/>
      <c r="Q650" s="251"/>
      <c r="R650" s="56"/>
      <c r="S650" s="56"/>
      <c r="T650" s="56"/>
      <c r="U650" s="56"/>
      <c r="V650" s="250"/>
      <c r="W650" s="56"/>
    </row>
    <row r="651" spans="1:23" ht="15.75" customHeight="1">
      <c r="A651" s="56"/>
      <c r="B651" s="56"/>
      <c r="C651" s="56"/>
      <c r="D651" s="56"/>
      <c r="E651" s="56"/>
      <c r="F651" s="251"/>
      <c r="G651" s="251"/>
      <c r="H651" s="251"/>
      <c r="I651" s="56"/>
      <c r="J651" s="56"/>
      <c r="K651" s="56"/>
      <c r="L651" s="56"/>
      <c r="M651" s="160"/>
      <c r="N651" s="160"/>
      <c r="O651" s="251"/>
      <c r="P651" s="251"/>
      <c r="Q651" s="251"/>
      <c r="R651" s="56"/>
      <c r="S651" s="56"/>
      <c r="T651" s="56"/>
      <c r="U651" s="56"/>
      <c r="V651" s="250"/>
      <c r="W651" s="56"/>
    </row>
    <row r="652" spans="1:23" ht="15.75" customHeight="1">
      <c r="A652" s="56"/>
      <c r="B652" s="56"/>
      <c r="C652" s="56"/>
      <c r="D652" s="56"/>
      <c r="E652" s="56"/>
      <c r="F652" s="251"/>
      <c r="G652" s="251"/>
      <c r="H652" s="251"/>
      <c r="I652" s="56"/>
      <c r="J652" s="56"/>
      <c r="K652" s="56"/>
      <c r="L652" s="56"/>
      <c r="M652" s="160"/>
      <c r="N652" s="160"/>
      <c r="O652" s="251"/>
      <c r="P652" s="251"/>
      <c r="Q652" s="251"/>
      <c r="R652" s="56"/>
      <c r="S652" s="56"/>
      <c r="T652" s="56"/>
      <c r="U652" s="56"/>
      <c r="V652" s="250"/>
      <c r="W652" s="56"/>
    </row>
    <row r="653" spans="1:23" ht="15.75" customHeight="1">
      <c r="A653" s="56"/>
      <c r="B653" s="56"/>
      <c r="C653" s="56"/>
      <c r="D653" s="56"/>
      <c r="E653" s="56"/>
      <c r="F653" s="251"/>
      <c r="G653" s="251"/>
      <c r="H653" s="251"/>
      <c r="I653" s="56"/>
      <c r="J653" s="56"/>
      <c r="K653" s="56"/>
      <c r="L653" s="56"/>
      <c r="M653" s="160"/>
      <c r="N653" s="160"/>
      <c r="O653" s="251"/>
      <c r="P653" s="251"/>
      <c r="Q653" s="251"/>
      <c r="R653" s="56"/>
      <c r="S653" s="56"/>
      <c r="T653" s="56"/>
      <c r="U653" s="56"/>
      <c r="V653" s="250"/>
      <c r="W653" s="56"/>
    </row>
    <row r="654" spans="1:23" ht="15.75" customHeight="1">
      <c r="A654" s="56"/>
      <c r="B654" s="56"/>
      <c r="C654" s="56"/>
      <c r="D654" s="56"/>
      <c r="E654" s="56"/>
      <c r="F654" s="251"/>
      <c r="G654" s="251"/>
      <c r="H654" s="251"/>
      <c r="I654" s="56"/>
      <c r="J654" s="56"/>
      <c r="K654" s="56"/>
      <c r="L654" s="56"/>
      <c r="M654" s="160"/>
      <c r="N654" s="160"/>
      <c r="O654" s="251"/>
      <c r="P654" s="251"/>
      <c r="Q654" s="251"/>
      <c r="R654" s="56"/>
      <c r="S654" s="56"/>
      <c r="T654" s="56"/>
      <c r="U654" s="56"/>
      <c r="V654" s="250"/>
      <c r="W654" s="56"/>
    </row>
    <row r="655" spans="1:23" ht="15.75" customHeight="1">
      <c r="A655" s="56"/>
      <c r="B655" s="56"/>
      <c r="C655" s="56"/>
      <c r="D655" s="56"/>
      <c r="E655" s="56"/>
      <c r="F655" s="251"/>
      <c r="G655" s="251"/>
      <c r="H655" s="251"/>
      <c r="I655" s="56"/>
      <c r="J655" s="56"/>
      <c r="K655" s="56"/>
      <c r="L655" s="56"/>
      <c r="M655" s="160"/>
      <c r="N655" s="160"/>
      <c r="O655" s="251"/>
      <c r="P655" s="251"/>
      <c r="Q655" s="251"/>
      <c r="R655" s="56"/>
      <c r="S655" s="56"/>
      <c r="T655" s="56"/>
      <c r="U655" s="56"/>
      <c r="V655" s="250"/>
      <c r="W655" s="56"/>
    </row>
    <row r="656" spans="1:23" ht="15.75" customHeight="1">
      <c r="A656" s="56"/>
      <c r="B656" s="56"/>
      <c r="C656" s="56"/>
      <c r="D656" s="56"/>
      <c r="E656" s="56"/>
      <c r="F656" s="251"/>
      <c r="G656" s="251"/>
      <c r="H656" s="251"/>
      <c r="I656" s="56"/>
      <c r="J656" s="56"/>
      <c r="K656" s="56"/>
      <c r="L656" s="56"/>
      <c r="M656" s="160"/>
      <c r="N656" s="160"/>
      <c r="O656" s="251"/>
      <c r="P656" s="251"/>
      <c r="Q656" s="251"/>
      <c r="R656" s="56"/>
      <c r="S656" s="56"/>
      <c r="T656" s="56"/>
      <c r="U656" s="56"/>
      <c r="V656" s="250"/>
      <c r="W656" s="56"/>
    </row>
    <row r="657" spans="1:23" ht="15.75" customHeight="1">
      <c r="A657" s="56"/>
      <c r="B657" s="56"/>
      <c r="C657" s="56"/>
      <c r="D657" s="56"/>
      <c r="E657" s="56"/>
      <c r="F657" s="251"/>
      <c r="G657" s="251"/>
      <c r="H657" s="251"/>
      <c r="I657" s="56"/>
      <c r="J657" s="56"/>
      <c r="K657" s="56"/>
      <c r="L657" s="56"/>
      <c r="M657" s="160"/>
      <c r="N657" s="160"/>
      <c r="O657" s="251"/>
      <c r="P657" s="251"/>
      <c r="Q657" s="251"/>
      <c r="R657" s="56"/>
      <c r="S657" s="56"/>
      <c r="T657" s="56"/>
      <c r="U657" s="56"/>
      <c r="V657" s="250"/>
      <c r="W657" s="56"/>
    </row>
    <row r="658" spans="1:23" ht="15.75" customHeight="1">
      <c r="A658" s="56"/>
      <c r="B658" s="56"/>
      <c r="C658" s="56"/>
      <c r="D658" s="56"/>
      <c r="E658" s="56"/>
      <c r="F658" s="251"/>
      <c r="G658" s="251"/>
      <c r="H658" s="251"/>
      <c r="I658" s="56"/>
      <c r="J658" s="56"/>
      <c r="K658" s="56"/>
      <c r="L658" s="56"/>
      <c r="M658" s="160"/>
      <c r="N658" s="160"/>
      <c r="O658" s="251"/>
      <c r="P658" s="251"/>
      <c r="Q658" s="251"/>
      <c r="R658" s="56"/>
      <c r="S658" s="56"/>
      <c r="T658" s="56"/>
      <c r="U658" s="56"/>
      <c r="V658" s="250"/>
      <c r="W658" s="56"/>
    </row>
    <row r="659" spans="1:23" ht="15.75" customHeight="1">
      <c r="A659" s="56"/>
      <c r="B659" s="56"/>
      <c r="C659" s="56"/>
      <c r="D659" s="56"/>
      <c r="E659" s="56"/>
      <c r="F659" s="251"/>
      <c r="G659" s="251"/>
      <c r="H659" s="251"/>
      <c r="I659" s="56"/>
      <c r="J659" s="56"/>
      <c r="K659" s="56"/>
      <c r="L659" s="56"/>
      <c r="M659" s="160"/>
      <c r="N659" s="160"/>
      <c r="O659" s="251"/>
      <c r="P659" s="251"/>
      <c r="Q659" s="251"/>
      <c r="R659" s="56"/>
      <c r="S659" s="56"/>
      <c r="T659" s="56"/>
      <c r="U659" s="56"/>
      <c r="V659" s="250"/>
      <c r="W659" s="56"/>
    </row>
    <row r="660" spans="1:23" ht="15.75" customHeight="1">
      <c r="A660" s="56"/>
      <c r="B660" s="56"/>
      <c r="C660" s="56"/>
      <c r="D660" s="56"/>
      <c r="E660" s="56"/>
      <c r="F660" s="251"/>
      <c r="G660" s="251"/>
      <c r="H660" s="251"/>
      <c r="I660" s="56"/>
      <c r="J660" s="56"/>
      <c r="K660" s="56"/>
      <c r="L660" s="56"/>
      <c r="M660" s="160"/>
      <c r="N660" s="160"/>
      <c r="O660" s="251"/>
      <c r="P660" s="251"/>
      <c r="Q660" s="251"/>
      <c r="R660" s="56"/>
      <c r="S660" s="56"/>
      <c r="T660" s="56"/>
      <c r="U660" s="56"/>
      <c r="V660" s="250"/>
      <c r="W660" s="56"/>
    </row>
    <row r="661" spans="1:23" ht="15.75" customHeight="1">
      <c r="A661" s="56"/>
      <c r="B661" s="56"/>
      <c r="C661" s="56"/>
      <c r="D661" s="56"/>
      <c r="E661" s="56"/>
      <c r="F661" s="251"/>
      <c r="G661" s="251"/>
      <c r="H661" s="251"/>
      <c r="I661" s="56"/>
      <c r="J661" s="56"/>
      <c r="K661" s="56"/>
      <c r="L661" s="56"/>
      <c r="M661" s="160"/>
      <c r="N661" s="160"/>
      <c r="O661" s="251"/>
      <c r="P661" s="251"/>
      <c r="Q661" s="251"/>
      <c r="R661" s="56"/>
      <c r="S661" s="56"/>
      <c r="T661" s="56"/>
      <c r="U661" s="56"/>
      <c r="V661" s="250"/>
      <c r="W661" s="56"/>
    </row>
    <row r="662" spans="1:23" ht="15.75" customHeight="1">
      <c r="A662" s="56"/>
      <c r="B662" s="56"/>
      <c r="C662" s="56"/>
      <c r="D662" s="56"/>
      <c r="E662" s="56"/>
      <c r="F662" s="251"/>
      <c r="G662" s="251"/>
      <c r="H662" s="251"/>
      <c r="I662" s="56"/>
      <c r="J662" s="56"/>
      <c r="K662" s="56"/>
      <c r="L662" s="56"/>
      <c r="M662" s="160"/>
      <c r="N662" s="160"/>
      <c r="O662" s="251"/>
      <c r="P662" s="251"/>
      <c r="Q662" s="251"/>
      <c r="R662" s="56"/>
      <c r="S662" s="56"/>
      <c r="T662" s="56"/>
      <c r="U662" s="56"/>
      <c r="V662" s="250"/>
      <c r="W662" s="56"/>
    </row>
    <row r="663" spans="1:23" ht="15.75" customHeight="1">
      <c r="A663" s="56"/>
      <c r="B663" s="56"/>
      <c r="C663" s="56"/>
      <c r="D663" s="56"/>
      <c r="E663" s="56"/>
      <c r="F663" s="251"/>
      <c r="G663" s="251"/>
      <c r="H663" s="251"/>
      <c r="I663" s="56"/>
      <c r="J663" s="56"/>
      <c r="K663" s="56"/>
      <c r="L663" s="56"/>
      <c r="M663" s="160"/>
      <c r="N663" s="160"/>
      <c r="O663" s="251"/>
      <c r="P663" s="251"/>
      <c r="Q663" s="251"/>
      <c r="R663" s="56"/>
      <c r="S663" s="56"/>
      <c r="T663" s="56"/>
      <c r="U663" s="56"/>
      <c r="V663" s="250"/>
      <c r="W663" s="56"/>
    </row>
    <row r="664" spans="1:23" ht="15.75" customHeight="1">
      <c r="A664" s="56"/>
      <c r="B664" s="56"/>
      <c r="C664" s="56"/>
      <c r="D664" s="56"/>
      <c r="E664" s="56"/>
      <c r="F664" s="251"/>
      <c r="G664" s="251"/>
      <c r="H664" s="251"/>
      <c r="I664" s="56"/>
      <c r="J664" s="56"/>
      <c r="K664" s="56"/>
      <c r="L664" s="56"/>
      <c r="M664" s="160"/>
      <c r="N664" s="160"/>
      <c r="O664" s="251"/>
      <c r="P664" s="251"/>
      <c r="Q664" s="251"/>
      <c r="R664" s="56"/>
      <c r="S664" s="56"/>
      <c r="T664" s="56"/>
      <c r="U664" s="56"/>
      <c r="V664" s="250"/>
      <c r="W664" s="56"/>
    </row>
    <row r="665" spans="1:23" ht="15.75" customHeight="1">
      <c r="A665" s="56"/>
      <c r="B665" s="56"/>
      <c r="C665" s="56"/>
      <c r="D665" s="56"/>
      <c r="E665" s="56"/>
      <c r="F665" s="251"/>
      <c r="G665" s="251"/>
      <c r="H665" s="251"/>
      <c r="I665" s="56"/>
      <c r="J665" s="56"/>
      <c r="K665" s="56"/>
      <c r="L665" s="56"/>
      <c r="M665" s="160"/>
      <c r="N665" s="160"/>
      <c r="O665" s="251"/>
      <c r="P665" s="251"/>
      <c r="Q665" s="251"/>
      <c r="R665" s="56"/>
      <c r="S665" s="56"/>
      <c r="T665" s="56"/>
      <c r="U665" s="56"/>
      <c r="V665" s="250"/>
      <c r="W665" s="56"/>
    </row>
    <row r="666" spans="1:23" ht="15.75" customHeight="1">
      <c r="A666" s="56"/>
      <c r="B666" s="56"/>
      <c r="C666" s="56"/>
      <c r="D666" s="56"/>
      <c r="E666" s="56"/>
      <c r="F666" s="251"/>
      <c r="G666" s="251"/>
      <c r="H666" s="251"/>
      <c r="I666" s="56"/>
      <c r="J666" s="56"/>
      <c r="K666" s="56"/>
      <c r="L666" s="56"/>
      <c r="M666" s="160"/>
      <c r="N666" s="160"/>
      <c r="O666" s="251"/>
      <c r="P666" s="251"/>
      <c r="Q666" s="251"/>
      <c r="R666" s="56"/>
      <c r="S666" s="56"/>
      <c r="T666" s="56"/>
      <c r="U666" s="56"/>
      <c r="V666" s="250"/>
      <c r="W666" s="56"/>
    </row>
    <row r="667" spans="1:23" ht="15.75" customHeight="1">
      <c r="A667" s="56"/>
      <c r="B667" s="56"/>
      <c r="C667" s="56"/>
      <c r="D667" s="56"/>
      <c r="E667" s="56"/>
      <c r="F667" s="251"/>
      <c r="G667" s="251"/>
      <c r="H667" s="251"/>
      <c r="I667" s="56"/>
      <c r="J667" s="56"/>
      <c r="K667" s="56"/>
      <c r="L667" s="56"/>
      <c r="M667" s="160"/>
      <c r="N667" s="160"/>
      <c r="O667" s="251"/>
      <c r="P667" s="251"/>
      <c r="Q667" s="251"/>
      <c r="R667" s="56"/>
      <c r="S667" s="56"/>
      <c r="T667" s="56"/>
      <c r="U667" s="56"/>
      <c r="V667" s="250"/>
      <c r="W667" s="56"/>
    </row>
    <row r="668" spans="1:23" ht="15.75" customHeight="1">
      <c r="A668" s="56"/>
      <c r="B668" s="56"/>
      <c r="C668" s="56"/>
      <c r="D668" s="56"/>
      <c r="E668" s="56"/>
      <c r="F668" s="251"/>
      <c r="G668" s="251"/>
      <c r="H668" s="251"/>
      <c r="I668" s="56"/>
      <c r="J668" s="56"/>
      <c r="K668" s="56"/>
      <c r="L668" s="56"/>
      <c r="M668" s="160"/>
      <c r="N668" s="160"/>
      <c r="O668" s="251"/>
      <c r="P668" s="251"/>
      <c r="Q668" s="251"/>
      <c r="R668" s="56"/>
      <c r="S668" s="56"/>
      <c r="T668" s="56"/>
      <c r="U668" s="56"/>
      <c r="V668" s="250"/>
      <c r="W668" s="56"/>
    </row>
    <row r="669" spans="1:23" ht="15.75" customHeight="1">
      <c r="A669" s="56"/>
      <c r="B669" s="56"/>
      <c r="C669" s="56"/>
      <c r="D669" s="56"/>
      <c r="E669" s="56"/>
      <c r="F669" s="251"/>
      <c r="G669" s="251"/>
      <c r="H669" s="251"/>
      <c r="I669" s="56"/>
      <c r="J669" s="56"/>
      <c r="K669" s="56"/>
      <c r="L669" s="56"/>
      <c r="M669" s="160"/>
      <c r="N669" s="160"/>
      <c r="O669" s="251"/>
      <c r="P669" s="251"/>
      <c r="Q669" s="251"/>
      <c r="R669" s="56"/>
      <c r="S669" s="56"/>
      <c r="T669" s="56"/>
      <c r="U669" s="56"/>
      <c r="V669" s="250"/>
      <c r="W669" s="56"/>
    </row>
    <row r="670" spans="1:23" ht="15.75" customHeight="1">
      <c r="A670" s="56"/>
      <c r="B670" s="56"/>
      <c r="C670" s="56"/>
      <c r="D670" s="56"/>
      <c r="E670" s="56"/>
      <c r="F670" s="251"/>
      <c r="G670" s="251"/>
      <c r="H670" s="251"/>
      <c r="I670" s="56"/>
      <c r="J670" s="56"/>
      <c r="K670" s="56"/>
      <c r="L670" s="56"/>
      <c r="M670" s="160"/>
      <c r="N670" s="160"/>
      <c r="O670" s="251"/>
      <c r="P670" s="251"/>
      <c r="Q670" s="251"/>
      <c r="R670" s="56"/>
      <c r="S670" s="56"/>
      <c r="T670" s="56"/>
      <c r="U670" s="56"/>
      <c r="V670" s="250"/>
      <c r="W670" s="56"/>
    </row>
    <row r="671" spans="1:23" ht="15.75" customHeight="1">
      <c r="A671" s="56"/>
      <c r="B671" s="56"/>
      <c r="C671" s="56"/>
      <c r="D671" s="56"/>
      <c r="E671" s="56"/>
      <c r="F671" s="251"/>
      <c r="G671" s="251"/>
      <c r="H671" s="251"/>
      <c r="I671" s="56"/>
      <c r="J671" s="56"/>
      <c r="K671" s="56"/>
      <c r="L671" s="56"/>
      <c r="M671" s="160"/>
      <c r="N671" s="160"/>
      <c r="O671" s="251"/>
      <c r="P671" s="251"/>
      <c r="Q671" s="251"/>
      <c r="R671" s="56"/>
      <c r="S671" s="56"/>
      <c r="T671" s="56"/>
      <c r="U671" s="56"/>
      <c r="V671" s="250"/>
      <c r="W671" s="56"/>
    </row>
    <row r="672" spans="1:23" ht="15.75" customHeight="1">
      <c r="A672" s="56"/>
      <c r="B672" s="56"/>
      <c r="C672" s="56"/>
      <c r="D672" s="56"/>
      <c r="E672" s="56"/>
      <c r="F672" s="251"/>
      <c r="G672" s="251"/>
      <c r="H672" s="251"/>
      <c r="I672" s="56"/>
      <c r="J672" s="56"/>
      <c r="K672" s="56"/>
      <c r="L672" s="56"/>
      <c r="M672" s="160"/>
      <c r="N672" s="160"/>
      <c r="O672" s="251"/>
      <c r="P672" s="251"/>
      <c r="Q672" s="251"/>
      <c r="R672" s="56"/>
      <c r="S672" s="56"/>
      <c r="T672" s="56"/>
      <c r="U672" s="56"/>
      <c r="V672" s="250"/>
      <c r="W672" s="56"/>
    </row>
    <row r="673" spans="1:23" ht="15.75" customHeight="1">
      <c r="A673" s="56"/>
      <c r="B673" s="56"/>
      <c r="C673" s="56"/>
      <c r="D673" s="56"/>
      <c r="E673" s="56"/>
      <c r="F673" s="251"/>
      <c r="G673" s="251"/>
      <c r="H673" s="251"/>
      <c r="I673" s="56"/>
      <c r="J673" s="56"/>
      <c r="K673" s="56"/>
      <c r="L673" s="56"/>
      <c r="M673" s="160"/>
      <c r="N673" s="160"/>
      <c r="O673" s="251"/>
      <c r="P673" s="251"/>
      <c r="Q673" s="251"/>
      <c r="R673" s="56"/>
      <c r="S673" s="56"/>
      <c r="T673" s="56"/>
      <c r="U673" s="56"/>
      <c r="V673" s="250"/>
      <c r="W673" s="56"/>
    </row>
    <row r="674" spans="1:23" ht="15.75" customHeight="1">
      <c r="A674" s="56"/>
      <c r="B674" s="56"/>
      <c r="C674" s="56"/>
      <c r="D674" s="56"/>
      <c r="E674" s="56"/>
      <c r="F674" s="251"/>
      <c r="G674" s="251"/>
      <c r="H674" s="251"/>
      <c r="I674" s="56"/>
      <c r="J674" s="56"/>
      <c r="K674" s="56"/>
      <c r="L674" s="56"/>
      <c r="M674" s="160"/>
      <c r="N674" s="160"/>
      <c r="O674" s="251"/>
      <c r="P674" s="251"/>
      <c r="Q674" s="251"/>
      <c r="R674" s="56"/>
      <c r="S674" s="56"/>
      <c r="T674" s="56"/>
      <c r="U674" s="56"/>
      <c r="V674" s="250"/>
      <c r="W674" s="56"/>
    </row>
    <row r="675" spans="1:23" ht="15.75" customHeight="1">
      <c r="A675" s="56"/>
      <c r="B675" s="56"/>
      <c r="C675" s="56"/>
      <c r="D675" s="56"/>
      <c r="E675" s="56"/>
      <c r="F675" s="251"/>
      <c r="G675" s="251"/>
      <c r="H675" s="251"/>
      <c r="I675" s="56"/>
      <c r="J675" s="56"/>
      <c r="K675" s="56"/>
      <c r="L675" s="56"/>
      <c r="M675" s="160"/>
      <c r="N675" s="160"/>
      <c r="O675" s="251"/>
      <c r="P675" s="251"/>
      <c r="Q675" s="251"/>
      <c r="R675" s="56"/>
      <c r="S675" s="56"/>
      <c r="T675" s="56"/>
      <c r="U675" s="56"/>
      <c r="V675" s="250"/>
      <c r="W675" s="56"/>
    </row>
    <row r="676" spans="1:23" ht="15.75" customHeight="1">
      <c r="A676" s="56"/>
      <c r="B676" s="56"/>
      <c r="C676" s="56"/>
      <c r="D676" s="56"/>
      <c r="E676" s="56"/>
      <c r="F676" s="251"/>
      <c r="G676" s="251"/>
      <c r="H676" s="251"/>
      <c r="I676" s="56"/>
      <c r="J676" s="56"/>
      <c r="K676" s="56"/>
      <c r="L676" s="56"/>
      <c r="M676" s="160"/>
      <c r="N676" s="160"/>
      <c r="O676" s="251"/>
      <c r="P676" s="251"/>
      <c r="Q676" s="251"/>
      <c r="R676" s="56"/>
      <c r="S676" s="56"/>
      <c r="T676" s="56"/>
      <c r="U676" s="56"/>
      <c r="V676" s="250"/>
      <c r="W676" s="56"/>
    </row>
    <row r="677" spans="1:23" ht="15.75" customHeight="1">
      <c r="A677" s="56"/>
      <c r="B677" s="56"/>
      <c r="C677" s="56"/>
      <c r="D677" s="56"/>
      <c r="E677" s="56"/>
      <c r="F677" s="251"/>
      <c r="G677" s="251"/>
      <c r="H677" s="251"/>
      <c r="I677" s="56"/>
      <c r="J677" s="56"/>
      <c r="K677" s="56"/>
      <c r="L677" s="56"/>
      <c r="M677" s="160"/>
      <c r="N677" s="160"/>
      <c r="O677" s="251"/>
      <c r="P677" s="251"/>
      <c r="Q677" s="251"/>
      <c r="R677" s="56"/>
      <c r="S677" s="56"/>
      <c r="T677" s="56"/>
      <c r="U677" s="56"/>
      <c r="V677" s="250"/>
      <c r="W677" s="56"/>
    </row>
    <row r="678" spans="1:23" ht="15.75" customHeight="1">
      <c r="A678" s="56"/>
      <c r="B678" s="56"/>
      <c r="C678" s="56"/>
      <c r="D678" s="56"/>
      <c r="E678" s="56"/>
      <c r="F678" s="251"/>
      <c r="G678" s="251"/>
      <c r="H678" s="251"/>
      <c r="I678" s="56"/>
      <c r="J678" s="56"/>
      <c r="K678" s="56"/>
      <c r="L678" s="56"/>
      <c r="M678" s="160"/>
      <c r="N678" s="160"/>
      <c r="O678" s="251"/>
      <c r="P678" s="251"/>
      <c r="Q678" s="251"/>
      <c r="R678" s="56"/>
      <c r="S678" s="56"/>
      <c r="T678" s="56"/>
      <c r="U678" s="56"/>
      <c r="V678" s="250"/>
      <c r="W678" s="56"/>
    </row>
    <row r="679" spans="1:23" ht="15.75" customHeight="1">
      <c r="A679" s="56"/>
      <c r="B679" s="56"/>
      <c r="C679" s="56"/>
      <c r="D679" s="56"/>
      <c r="E679" s="56"/>
      <c r="F679" s="251"/>
      <c r="G679" s="251"/>
      <c r="H679" s="251"/>
      <c r="I679" s="56"/>
      <c r="J679" s="56"/>
      <c r="K679" s="56"/>
      <c r="L679" s="56"/>
      <c r="M679" s="160"/>
      <c r="N679" s="160"/>
      <c r="O679" s="251"/>
      <c r="P679" s="251"/>
      <c r="Q679" s="251"/>
      <c r="R679" s="56"/>
      <c r="S679" s="56"/>
      <c r="T679" s="56"/>
      <c r="U679" s="56"/>
      <c r="V679" s="250"/>
      <c r="W679" s="56"/>
    </row>
    <row r="680" spans="1:23" ht="15.75" customHeight="1">
      <c r="A680" s="56"/>
      <c r="B680" s="56"/>
      <c r="C680" s="56"/>
      <c r="D680" s="56"/>
      <c r="E680" s="56"/>
      <c r="F680" s="251"/>
      <c r="G680" s="251"/>
      <c r="H680" s="251"/>
      <c r="I680" s="56"/>
      <c r="J680" s="56"/>
      <c r="K680" s="56"/>
      <c r="L680" s="56"/>
      <c r="M680" s="160"/>
      <c r="N680" s="160"/>
      <c r="O680" s="251"/>
      <c r="P680" s="251"/>
      <c r="Q680" s="251"/>
      <c r="R680" s="56"/>
      <c r="S680" s="56"/>
      <c r="T680" s="56"/>
      <c r="U680" s="56"/>
      <c r="V680" s="250"/>
      <c r="W680" s="56"/>
    </row>
    <row r="681" spans="1:23" ht="15.75" customHeight="1">
      <c r="A681" s="56"/>
      <c r="B681" s="56"/>
      <c r="C681" s="56"/>
      <c r="D681" s="56"/>
      <c r="E681" s="56"/>
      <c r="F681" s="251"/>
      <c r="G681" s="251"/>
      <c r="H681" s="251"/>
      <c r="I681" s="56"/>
      <c r="J681" s="56"/>
      <c r="K681" s="56"/>
      <c r="L681" s="56"/>
      <c r="M681" s="160"/>
      <c r="N681" s="160"/>
      <c r="O681" s="251"/>
      <c r="P681" s="251"/>
      <c r="Q681" s="251"/>
      <c r="R681" s="56"/>
      <c r="S681" s="56"/>
      <c r="T681" s="56"/>
      <c r="U681" s="56"/>
      <c r="V681" s="250"/>
      <c r="W681" s="56"/>
    </row>
    <row r="682" spans="1:23" ht="15.75" customHeight="1">
      <c r="A682" s="56"/>
      <c r="B682" s="56"/>
      <c r="C682" s="56"/>
      <c r="D682" s="56"/>
      <c r="E682" s="56"/>
      <c r="F682" s="251"/>
      <c r="G682" s="251"/>
      <c r="H682" s="251"/>
      <c r="I682" s="56"/>
      <c r="J682" s="56"/>
      <c r="K682" s="56"/>
      <c r="L682" s="56"/>
      <c r="M682" s="160"/>
      <c r="N682" s="160"/>
      <c r="O682" s="251"/>
      <c r="P682" s="251"/>
      <c r="Q682" s="251"/>
      <c r="R682" s="56"/>
      <c r="S682" s="56"/>
      <c r="T682" s="56"/>
      <c r="U682" s="56"/>
      <c r="V682" s="250"/>
      <c r="W682" s="56"/>
    </row>
    <row r="683" spans="1:23" ht="15.75" customHeight="1">
      <c r="A683" s="56"/>
      <c r="B683" s="56"/>
      <c r="C683" s="56"/>
      <c r="D683" s="56"/>
      <c r="E683" s="56"/>
      <c r="F683" s="251"/>
      <c r="G683" s="251"/>
      <c r="H683" s="251"/>
      <c r="I683" s="56"/>
      <c r="J683" s="56"/>
      <c r="K683" s="56"/>
      <c r="L683" s="56"/>
      <c r="M683" s="160"/>
      <c r="N683" s="160"/>
      <c r="O683" s="251"/>
      <c r="P683" s="251"/>
      <c r="Q683" s="251"/>
      <c r="R683" s="56"/>
      <c r="S683" s="56"/>
      <c r="T683" s="56"/>
      <c r="U683" s="56"/>
      <c r="V683" s="250"/>
      <c r="W683" s="56"/>
    </row>
    <row r="684" spans="1:23" ht="15.75" customHeight="1">
      <c r="A684" s="56"/>
      <c r="B684" s="56"/>
      <c r="C684" s="56"/>
      <c r="D684" s="56"/>
      <c r="E684" s="56"/>
      <c r="F684" s="251"/>
      <c r="G684" s="251"/>
      <c r="H684" s="251"/>
      <c r="I684" s="56"/>
      <c r="J684" s="56"/>
      <c r="K684" s="56"/>
      <c r="L684" s="56"/>
      <c r="M684" s="160"/>
      <c r="N684" s="160"/>
      <c r="O684" s="251"/>
      <c r="P684" s="251"/>
      <c r="Q684" s="251"/>
      <c r="R684" s="56"/>
      <c r="S684" s="56"/>
      <c r="T684" s="56"/>
      <c r="U684" s="56"/>
      <c r="V684" s="250"/>
      <c r="W684" s="56"/>
    </row>
    <row r="685" spans="1:23" ht="15.75" customHeight="1">
      <c r="A685" s="56"/>
      <c r="B685" s="56"/>
      <c r="C685" s="56"/>
      <c r="D685" s="56"/>
      <c r="E685" s="56"/>
      <c r="F685" s="251"/>
      <c r="G685" s="251"/>
      <c r="H685" s="251"/>
      <c r="I685" s="56"/>
      <c r="J685" s="56"/>
      <c r="K685" s="56"/>
      <c r="L685" s="56"/>
      <c r="M685" s="160"/>
      <c r="N685" s="160"/>
      <c r="O685" s="251"/>
      <c r="P685" s="251"/>
      <c r="Q685" s="251"/>
      <c r="R685" s="56"/>
      <c r="S685" s="56"/>
      <c r="T685" s="56"/>
      <c r="U685" s="56"/>
      <c r="V685" s="250"/>
      <c r="W685" s="56"/>
    </row>
    <row r="686" spans="1:23" ht="15.75" customHeight="1">
      <c r="A686" s="56"/>
      <c r="B686" s="56"/>
      <c r="C686" s="56"/>
      <c r="D686" s="56"/>
      <c r="E686" s="56"/>
      <c r="F686" s="251"/>
      <c r="G686" s="251"/>
      <c r="H686" s="251"/>
      <c r="I686" s="56"/>
      <c r="J686" s="56"/>
      <c r="K686" s="56"/>
      <c r="L686" s="56"/>
      <c r="M686" s="160"/>
      <c r="N686" s="160"/>
      <c r="O686" s="251"/>
      <c r="P686" s="251"/>
      <c r="Q686" s="251"/>
      <c r="R686" s="56"/>
      <c r="S686" s="56"/>
      <c r="T686" s="56"/>
      <c r="U686" s="56"/>
      <c r="V686" s="250"/>
      <c r="W686" s="56"/>
    </row>
    <row r="687" spans="1:23" ht="15.75" customHeight="1">
      <c r="A687" s="56"/>
      <c r="B687" s="56"/>
      <c r="C687" s="56"/>
      <c r="D687" s="56"/>
      <c r="E687" s="56"/>
      <c r="F687" s="251"/>
      <c r="G687" s="251"/>
      <c r="H687" s="251"/>
      <c r="I687" s="56"/>
      <c r="J687" s="56"/>
      <c r="K687" s="56"/>
      <c r="L687" s="56"/>
      <c r="M687" s="160"/>
      <c r="N687" s="160"/>
      <c r="O687" s="251"/>
      <c r="P687" s="251"/>
      <c r="Q687" s="251"/>
      <c r="R687" s="56"/>
      <c r="S687" s="56"/>
      <c r="T687" s="56"/>
      <c r="U687" s="56"/>
      <c r="V687" s="250"/>
      <c r="W687" s="56"/>
    </row>
    <row r="688" spans="1:23" ht="15.75" customHeight="1">
      <c r="A688" s="56"/>
      <c r="B688" s="56"/>
      <c r="C688" s="56"/>
      <c r="D688" s="56"/>
      <c r="E688" s="56"/>
      <c r="F688" s="251"/>
      <c r="G688" s="251"/>
      <c r="H688" s="251"/>
      <c r="I688" s="56"/>
      <c r="J688" s="56"/>
      <c r="K688" s="56"/>
      <c r="L688" s="56"/>
      <c r="M688" s="160"/>
      <c r="N688" s="160"/>
      <c r="O688" s="251"/>
      <c r="P688" s="251"/>
      <c r="Q688" s="251"/>
      <c r="R688" s="56"/>
      <c r="S688" s="56"/>
      <c r="T688" s="56"/>
      <c r="U688" s="56"/>
      <c r="V688" s="250"/>
      <c r="W688" s="56"/>
    </row>
    <row r="689" spans="1:23" ht="15.75" customHeight="1">
      <c r="A689" s="56"/>
      <c r="B689" s="56"/>
      <c r="C689" s="56"/>
      <c r="D689" s="56"/>
      <c r="E689" s="56"/>
      <c r="F689" s="251"/>
      <c r="G689" s="251"/>
      <c r="H689" s="251"/>
      <c r="I689" s="56"/>
      <c r="J689" s="56"/>
      <c r="K689" s="56"/>
      <c r="L689" s="56"/>
      <c r="M689" s="160"/>
      <c r="N689" s="160"/>
      <c r="O689" s="251"/>
      <c r="P689" s="251"/>
      <c r="Q689" s="251"/>
      <c r="R689" s="56"/>
      <c r="S689" s="56"/>
      <c r="T689" s="56"/>
      <c r="U689" s="56"/>
      <c r="V689" s="250"/>
      <c r="W689" s="56"/>
    </row>
    <row r="690" spans="1:23" ht="15.75" customHeight="1">
      <c r="A690" s="56"/>
      <c r="B690" s="56"/>
      <c r="C690" s="56"/>
      <c r="D690" s="56"/>
      <c r="E690" s="56"/>
      <c r="F690" s="251"/>
      <c r="G690" s="251"/>
      <c r="H690" s="251"/>
      <c r="I690" s="56"/>
      <c r="J690" s="56"/>
      <c r="K690" s="56"/>
      <c r="L690" s="56"/>
      <c r="M690" s="160"/>
      <c r="N690" s="160"/>
      <c r="O690" s="251"/>
      <c r="P690" s="251"/>
      <c r="Q690" s="251"/>
      <c r="R690" s="56"/>
      <c r="S690" s="56"/>
      <c r="T690" s="56"/>
      <c r="U690" s="56"/>
      <c r="V690" s="250"/>
      <c r="W690" s="56"/>
    </row>
    <row r="691" spans="1:23" ht="15.75" customHeight="1">
      <c r="A691" s="56"/>
      <c r="B691" s="56"/>
      <c r="C691" s="56"/>
      <c r="D691" s="56"/>
      <c r="E691" s="56"/>
      <c r="F691" s="251"/>
      <c r="G691" s="251"/>
      <c r="H691" s="251"/>
      <c r="I691" s="56"/>
      <c r="J691" s="56"/>
      <c r="K691" s="56"/>
      <c r="L691" s="56"/>
      <c r="M691" s="160"/>
      <c r="N691" s="160"/>
      <c r="O691" s="251"/>
      <c r="P691" s="251"/>
      <c r="Q691" s="251"/>
      <c r="R691" s="56"/>
      <c r="S691" s="56"/>
      <c r="T691" s="56"/>
      <c r="U691" s="56"/>
      <c r="V691" s="250"/>
      <c r="W691" s="56"/>
    </row>
    <row r="692" spans="1:23" ht="15.75" customHeight="1">
      <c r="A692" s="56"/>
      <c r="B692" s="56"/>
      <c r="C692" s="56"/>
      <c r="D692" s="56"/>
      <c r="E692" s="56"/>
      <c r="F692" s="251"/>
      <c r="G692" s="251"/>
      <c r="H692" s="251"/>
      <c r="I692" s="56"/>
      <c r="J692" s="56"/>
      <c r="K692" s="56"/>
      <c r="L692" s="56"/>
      <c r="M692" s="160"/>
      <c r="N692" s="160"/>
      <c r="O692" s="251"/>
      <c r="P692" s="251"/>
      <c r="Q692" s="251"/>
      <c r="R692" s="56"/>
      <c r="S692" s="56"/>
      <c r="T692" s="56"/>
      <c r="U692" s="56"/>
      <c r="V692" s="250"/>
      <c r="W692" s="56"/>
    </row>
    <row r="693" spans="1:23" ht="15.75" customHeight="1">
      <c r="A693" s="56"/>
      <c r="B693" s="56"/>
      <c r="C693" s="56"/>
      <c r="D693" s="56"/>
      <c r="E693" s="56"/>
      <c r="F693" s="251"/>
      <c r="G693" s="251"/>
      <c r="H693" s="251"/>
      <c r="I693" s="56"/>
      <c r="J693" s="56"/>
      <c r="K693" s="56"/>
      <c r="L693" s="56"/>
      <c r="M693" s="160"/>
      <c r="N693" s="160"/>
      <c r="O693" s="251"/>
      <c r="P693" s="251"/>
      <c r="Q693" s="251"/>
      <c r="R693" s="56"/>
      <c r="S693" s="56"/>
      <c r="T693" s="56"/>
      <c r="U693" s="56"/>
      <c r="V693" s="250"/>
      <c r="W693" s="56"/>
    </row>
    <row r="694" spans="1:23" ht="15.75" customHeight="1">
      <c r="A694" s="56"/>
      <c r="B694" s="56"/>
      <c r="C694" s="56"/>
      <c r="D694" s="56"/>
      <c r="E694" s="56"/>
      <c r="F694" s="251"/>
      <c r="G694" s="251"/>
      <c r="H694" s="251"/>
      <c r="I694" s="56"/>
      <c r="J694" s="56"/>
      <c r="K694" s="56"/>
      <c r="L694" s="56"/>
      <c r="M694" s="160"/>
      <c r="N694" s="160"/>
      <c r="O694" s="251"/>
      <c r="P694" s="251"/>
      <c r="Q694" s="251"/>
      <c r="R694" s="56"/>
      <c r="S694" s="56"/>
      <c r="T694" s="56"/>
      <c r="U694" s="56"/>
      <c r="V694" s="250"/>
      <c r="W694" s="56"/>
    </row>
    <row r="695" spans="1:23" ht="15.75" customHeight="1">
      <c r="A695" s="56"/>
      <c r="B695" s="56"/>
      <c r="C695" s="56"/>
      <c r="D695" s="56"/>
      <c r="E695" s="56"/>
      <c r="F695" s="251"/>
      <c r="G695" s="251"/>
      <c r="H695" s="251"/>
      <c r="I695" s="56"/>
      <c r="J695" s="56"/>
      <c r="K695" s="56"/>
      <c r="L695" s="56"/>
      <c r="M695" s="160"/>
      <c r="N695" s="160"/>
      <c r="O695" s="251"/>
      <c r="P695" s="251"/>
      <c r="Q695" s="251"/>
      <c r="R695" s="56"/>
      <c r="S695" s="56"/>
      <c r="T695" s="56"/>
      <c r="U695" s="56"/>
      <c r="V695" s="250"/>
      <c r="W695" s="56"/>
    </row>
    <row r="696" spans="1:23" ht="15.75" customHeight="1">
      <c r="A696" s="56"/>
      <c r="B696" s="56"/>
      <c r="C696" s="56"/>
      <c r="D696" s="56"/>
      <c r="E696" s="56"/>
      <c r="F696" s="251"/>
      <c r="G696" s="251"/>
      <c r="H696" s="251"/>
      <c r="I696" s="56"/>
      <c r="J696" s="56"/>
      <c r="K696" s="56"/>
      <c r="L696" s="56"/>
      <c r="M696" s="160"/>
      <c r="N696" s="160"/>
      <c r="O696" s="251"/>
      <c r="P696" s="251"/>
      <c r="Q696" s="251"/>
      <c r="R696" s="56"/>
      <c r="S696" s="56"/>
      <c r="T696" s="56"/>
      <c r="U696" s="56"/>
      <c r="V696" s="250"/>
      <c r="W696" s="56"/>
    </row>
    <row r="697" spans="1:23" ht="15.75" customHeight="1">
      <c r="A697" s="56"/>
      <c r="B697" s="56"/>
      <c r="C697" s="56"/>
      <c r="D697" s="56"/>
      <c r="E697" s="56"/>
      <c r="F697" s="251"/>
      <c r="G697" s="251"/>
      <c r="H697" s="251"/>
      <c r="I697" s="56"/>
      <c r="J697" s="56"/>
      <c r="K697" s="56"/>
      <c r="L697" s="56"/>
      <c r="M697" s="160"/>
      <c r="N697" s="160"/>
      <c r="O697" s="251"/>
      <c r="P697" s="251"/>
      <c r="Q697" s="251"/>
      <c r="R697" s="56"/>
      <c r="S697" s="56"/>
      <c r="T697" s="56"/>
      <c r="U697" s="56"/>
      <c r="V697" s="250"/>
      <c r="W697" s="56"/>
    </row>
    <row r="698" spans="1:23" ht="15.75" customHeight="1">
      <c r="A698" s="56"/>
      <c r="B698" s="56"/>
      <c r="C698" s="56"/>
      <c r="D698" s="56"/>
      <c r="E698" s="56"/>
      <c r="F698" s="251"/>
      <c r="G698" s="251"/>
      <c r="H698" s="251"/>
      <c r="I698" s="56"/>
      <c r="J698" s="56"/>
      <c r="K698" s="56"/>
      <c r="L698" s="56"/>
      <c r="M698" s="160"/>
      <c r="N698" s="160"/>
      <c r="O698" s="251"/>
      <c r="P698" s="251"/>
      <c r="Q698" s="251"/>
      <c r="R698" s="56"/>
      <c r="S698" s="56"/>
      <c r="T698" s="56"/>
      <c r="U698" s="56"/>
      <c r="V698" s="250"/>
      <c r="W698" s="56"/>
    </row>
    <row r="699" spans="1:23" ht="15.75" customHeight="1">
      <c r="A699" s="56"/>
      <c r="B699" s="56"/>
      <c r="C699" s="56"/>
      <c r="D699" s="56"/>
      <c r="E699" s="56"/>
      <c r="F699" s="251"/>
      <c r="G699" s="251"/>
      <c r="H699" s="251"/>
      <c r="I699" s="56"/>
      <c r="J699" s="56"/>
      <c r="K699" s="56"/>
      <c r="L699" s="56"/>
      <c r="M699" s="160"/>
      <c r="N699" s="160"/>
      <c r="O699" s="251"/>
      <c r="P699" s="251"/>
      <c r="Q699" s="251"/>
      <c r="R699" s="56"/>
      <c r="S699" s="56"/>
      <c r="T699" s="56"/>
      <c r="U699" s="56"/>
      <c r="V699" s="250"/>
      <c r="W699" s="56"/>
    </row>
    <row r="700" spans="1:23" ht="15.75" customHeight="1">
      <c r="A700" s="56"/>
      <c r="B700" s="56"/>
      <c r="C700" s="56"/>
      <c r="D700" s="56"/>
      <c r="E700" s="56"/>
      <c r="F700" s="251"/>
      <c r="G700" s="251"/>
      <c r="H700" s="251"/>
      <c r="I700" s="56"/>
      <c r="J700" s="56"/>
      <c r="K700" s="56"/>
      <c r="L700" s="56"/>
      <c r="M700" s="160"/>
      <c r="N700" s="160"/>
      <c r="O700" s="251"/>
      <c r="P700" s="251"/>
      <c r="Q700" s="251"/>
      <c r="R700" s="56"/>
      <c r="S700" s="56"/>
      <c r="T700" s="56"/>
      <c r="U700" s="56"/>
      <c r="V700" s="250"/>
      <c r="W700" s="56"/>
    </row>
    <row r="701" spans="1:23" ht="15.75" customHeight="1">
      <c r="A701" s="56"/>
      <c r="B701" s="56"/>
      <c r="C701" s="56"/>
      <c r="D701" s="56"/>
      <c r="E701" s="56"/>
      <c r="F701" s="251"/>
      <c r="G701" s="251"/>
      <c r="H701" s="251"/>
      <c r="I701" s="56"/>
      <c r="J701" s="56"/>
      <c r="K701" s="56"/>
      <c r="L701" s="56"/>
      <c r="M701" s="160"/>
      <c r="N701" s="160"/>
      <c r="O701" s="251"/>
      <c r="P701" s="251"/>
      <c r="Q701" s="251"/>
      <c r="R701" s="56"/>
      <c r="S701" s="56"/>
      <c r="T701" s="56"/>
      <c r="U701" s="56"/>
      <c r="V701" s="250"/>
      <c r="W701" s="56"/>
    </row>
    <row r="702" spans="1:23" ht="15.75" customHeight="1">
      <c r="A702" s="56"/>
      <c r="B702" s="56"/>
      <c r="C702" s="56"/>
      <c r="D702" s="56"/>
      <c r="E702" s="56"/>
      <c r="F702" s="251"/>
      <c r="G702" s="251"/>
      <c r="H702" s="251"/>
      <c r="I702" s="56"/>
      <c r="J702" s="56"/>
      <c r="K702" s="56"/>
      <c r="L702" s="56"/>
      <c r="M702" s="160"/>
      <c r="N702" s="160"/>
      <c r="O702" s="251"/>
      <c r="P702" s="251"/>
      <c r="Q702" s="251"/>
      <c r="R702" s="56"/>
      <c r="S702" s="56"/>
      <c r="T702" s="56"/>
      <c r="U702" s="56"/>
      <c r="V702" s="250"/>
      <c r="W702" s="56"/>
    </row>
    <row r="703" spans="1:23" ht="15.75" customHeight="1">
      <c r="A703" s="56"/>
      <c r="B703" s="56"/>
      <c r="C703" s="56"/>
      <c r="D703" s="56"/>
      <c r="E703" s="56"/>
      <c r="F703" s="251"/>
      <c r="G703" s="251"/>
      <c r="H703" s="251"/>
      <c r="I703" s="56"/>
      <c r="J703" s="56"/>
      <c r="K703" s="56"/>
      <c r="L703" s="56"/>
      <c r="M703" s="160"/>
      <c r="N703" s="160"/>
      <c r="O703" s="251"/>
      <c r="P703" s="251"/>
      <c r="Q703" s="251"/>
      <c r="R703" s="56"/>
      <c r="S703" s="56"/>
      <c r="T703" s="56"/>
      <c r="U703" s="56"/>
      <c r="V703" s="250"/>
      <c r="W703" s="56"/>
    </row>
    <row r="704" spans="1:23" ht="15.75" customHeight="1">
      <c r="A704" s="56"/>
      <c r="B704" s="56"/>
      <c r="C704" s="56"/>
      <c r="D704" s="56"/>
      <c r="E704" s="56"/>
      <c r="F704" s="251"/>
      <c r="G704" s="251"/>
      <c r="H704" s="251"/>
      <c r="I704" s="56"/>
      <c r="J704" s="56"/>
      <c r="K704" s="56"/>
      <c r="L704" s="56"/>
      <c r="M704" s="160"/>
      <c r="N704" s="160"/>
      <c r="O704" s="251"/>
      <c r="P704" s="251"/>
      <c r="Q704" s="251"/>
      <c r="R704" s="56"/>
      <c r="S704" s="56"/>
      <c r="T704" s="56"/>
      <c r="U704" s="56"/>
      <c r="V704" s="250"/>
      <c r="W704" s="56"/>
    </row>
    <row r="705" spans="1:23" ht="15.75" customHeight="1">
      <c r="A705" s="56"/>
      <c r="B705" s="56"/>
      <c r="C705" s="56"/>
      <c r="D705" s="56"/>
      <c r="E705" s="56"/>
      <c r="F705" s="251"/>
      <c r="G705" s="251"/>
      <c r="H705" s="251"/>
      <c r="I705" s="56"/>
      <c r="J705" s="56"/>
      <c r="K705" s="56"/>
      <c r="L705" s="56"/>
      <c r="M705" s="160"/>
      <c r="N705" s="160"/>
      <c r="O705" s="251"/>
      <c r="P705" s="251"/>
      <c r="Q705" s="251"/>
      <c r="R705" s="56"/>
      <c r="S705" s="56"/>
      <c r="T705" s="56"/>
      <c r="U705" s="56"/>
      <c r="V705" s="250"/>
      <c r="W705" s="56"/>
    </row>
    <row r="706" spans="1:23" ht="15.75" customHeight="1">
      <c r="A706" s="56"/>
      <c r="B706" s="56"/>
      <c r="C706" s="56"/>
      <c r="D706" s="56"/>
      <c r="E706" s="56"/>
      <c r="F706" s="251"/>
      <c r="G706" s="251"/>
      <c r="H706" s="251"/>
      <c r="I706" s="56"/>
      <c r="J706" s="56"/>
      <c r="K706" s="56"/>
      <c r="L706" s="56"/>
      <c r="M706" s="160"/>
      <c r="N706" s="160"/>
      <c r="O706" s="251"/>
      <c r="P706" s="251"/>
      <c r="Q706" s="251"/>
      <c r="R706" s="56"/>
      <c r="S706" s="56"/>
      <c r="T706" s="56"/>
      <c r="U706" s="56"/>
      <c r="V706" s="250"/>
      <c r="W706" s="56"/>
    </row>
    <row r="707" spans="1:23" ht="15.75" customHeight="1">
      <c r="A707" s="56"/>
      <c r="B707" s="56"/>
      <c r="C707" s="56"/>
      <c r="D707" s="56"/>
      <c r="E707" s="56"/>
      <c r="F707" s="251"/>
      <c r="G707" s="251"/>
      <c r="H707" s="251"/>
      <c r="I707" s="56"/>
      <c r="J707" s="56"/>
      <c r="K707" s="56"/>
      <c r="L707" s="56"/>
      <c r="M707" s="160"/>
      <c r="N707" s="160"/>
      <c r="O707" s="251"/>
      <c r="P707" s="251"/>
      <c r="Q707" s="251"/>
      <c r="R707" s="56"/>
      <c r="S707" s="56"/>
      <c r="T707" s="56"/>
      <c r="U707" s="56"/>
      <c r="V707" s="250"/>
      <c r="W707" s="56"/>
    </row>
    <row r="708" spans="1:23" ht="15.75" customHeight="1">
      <c r="A708" s="56"/>
      <c r="B708" s="56"/>
      <c r="C708" s="56"/>
      <c r="D708" s="56"/>
      <c r="E708" s="56"/>
      <c r="F708" s="251"/>
      <c r="G708" s="251"/>
      <c r="H708" s="251"/>
      <c r="I708" s="56"/>
      <c r="J708" s="56"/>
      <c r="K708" s="56"/>
      <c r="L708" s="56"/>
      <c r="M708" s="160"/>
      <c r="N708" s="160"/>
      <c r="O708" s="251"/>
      <c r="P708" s="251"/>
      <c r="Q708" s="251"/>
      <c r="R708" s="56"/>
      <c r="S708" s="56"/>
      <c r="T708" s="56"/>
      <c r="U708" s="56"/>
      <c r="V708" s="250"/>
      <c r="W708" s="56"/>
    </row>
    <row r="709" spans="1:23" ht="15.75" customHeight="1">
      <c r="A709" s="56"/>
      <c r="B709" s="56"/>
      <c r="C709" s="56"/>
      <c r="D709" s="56"/>
      <c r="E709" s="56"/>
      <c r="F709" s="251"/>
      <c r="G709" s="251"/>
      <c r="H709" s="251"/>
      <c r="I709" s="56"/>
      <c r="J709" s="56"/>
      <c r="K709" s="56"/>
      <c r="L709" s="56"/>
      <c r="M709" s="160"/>
      <c r="N709" s="160"/>
      <c r="O709" s="251"/>
      <c r="P709" s="251"/>
      <c r="Q709" s="251"/>
      <c r="R709" s="56"/>
      <c r="S709" s="56"/>
      <c r="T709" s="56"/>
      <c r="U709" s="56"/>
      <c r="V709" s="250"/>
      <c r="W709" s="56"/>
    </row>
    <row r="710" spans="1:23" ht="15.75" customHeight="1">
      <c r="A710" s="56"/>
      <c r="B710" s="56"/>
      <c r="C710" s="56"/>
      <c r="D710" s="56"/>
      <c r="E710" s="56"/>
      <c r="F710" s="251"/>
      <c r="G710" s="251"/>
      <c r="H710" s="251"/>
      <c r="I710" s="56"/>
      <c r="J710" s="56"/>
      <c r="K710" s="56"/>
      <c r="L710" s="56"/>
      <c r="M710" s="160"/>
      <c r="N710" s="160"/>
      <c r="O710" s="251"/>
      <c r="P710" s="251"/>
      <c r="Q710" s="251"/>
      <c r="R710" s="56"/>
      <c r="S710" s="56"/>
      <c r="T710" s="56"/>
      <c r="U710" s="56"/>
      <c r="V710" s="250"/>
      <c r="W710" s="56"/>
    </row>
    <row r="711" spans="1:23" ht="15.75" customHeight="1">
      <c r="A711" s="56"/>
      <c r="B711" s="56"/>
      <c r="C711" s="56"/>
      <c r="D711" s="56"/>
      <c r="E711" s="56"/>
      <c r="F711" s="251"/>
      <c r="G711" s="251"/>
      <c r="H711" s="251"/>
      <c r="I711" s="56"/>
      <c r="J711" s="56"/>
      <c r="K711" s="56"/>
      <c r="L711" s="56"/>
      <c r="M711" s="160"/>
      <c r="N711" s="160"/>
      <c r="O711" s="251"/>
      <c r="P711" s="251"/>
      <c r="Q711" s="251"/>
      <c r="R711" s="56"/>
      <c r="S711" s="56"/>
      <c r="T711" s="56"/>
      <c r="U711" s="56"/>
      <c r="V711" s="250"/>
      <c r="W711" s="56"/>
    </row>
    <row r="712" spans="1:23" ht="15.75" customHeight="1">
      <c r="A712" s="56"/>
      <c r="B712" s="56"/>
      <c r="C712" s="56"/>
      <c r="D712" s="56"/>
      <c r="E712" s="56"/>
      <c r="F712" s="251"/>
      <c r="G712" s="251"/>
      <c r="H712" s="251"/>
      <c r="I712" s="56"/>
      <c r="J712" s="56"/>
      <c r="K712" s="56"/>
      <c r="L712" s="56"/>
      <c r="M712" s="160"/>
      <c r="N712" s="160"/>
      <c r="O712" s="251"/>
      <c r="P712" s="251"/>
      <c r="Q712" s="251"/>
      <c r="R712" s="56"/>
      <c r="S712" s="56"/>
      <c r="T712" s="56"/>
      <c r="U712" s="56"/>
      <c r="V712" s="250"/>
      <c r="W712" s="56"/>
    </row>
    <row r="713" spans="1:23" ht="15.75" customHeight="1">
      <c r="A713" s="56"/>
      <c r="B713" s="56"/>
      <c r="C713" s="56"/>
      <c r="D713" s="56"/>
      <c r="E713" s="56"/>
      <c r="F713" s="251"/>
      <c r="G713" s="251"/>
      <c r="H713" s="251"/>
      <c r="I713" s="56"/>
      <c r="J713" s="56"/>
      <c r="K713" s="56"/>
      <c r="L713" s="56"/>
      <c r="M713" s="160"/>
      <c r="N713" s="160"/>
      <c r="O713" s="251"/>
      <c r="P713" s="251"/>
      <c r="Q713" s="251"/>
      <c r="R713" s="56"/>
      <c r="S713" s="56"/>
      <c r="T713" s="56"/>
      <c r="U713" s="56"/>
      <c r="V713" s="250"/>
      <c r="W713" s="56"/>
    </row>
    <row r="714" spans="1:23" ht="15.75" customHeight="1">
      <c r="A714" s="56"/>
      <c r="B714" s="56"/>
      <c r="C714" s="56"/>
      <c r="D714" s="56"/>
      <c r="E714" s="56"/>
      <c r="F714" s="251"/>
      <c r="G714" s="251"/>
      <c r="H714" s="251"/>
      <c r="I714" s="56"/>
      <c r="J714" s="56"/>
      <c r="K714" s="56"/>
      <c r="L714" s="56"/>
      <c r="M714" s="160"/>
      <c r="N714" s="160"/>
      <c r="O714" s="251"/>
      <c r="P714" s="251"/>
      <c r="Q714" s="251"/>
      <c r="R714" s="56"/>
      <c r="S714" s="56"/>
      <c r="T714" s="56"/>
      <c r="U714" s="56"/>
      <c r="V714" s="250"/>
      <c r="W714" s="56"/>
    </row>
    <row r="715" spans="1:23" ht="15.75" customHeight="1">
      <c r="A715" s="56"/>
      <c r="B715" s="56"/>
      <c r="C715" s="56"/>
      <c r="D715" s="56"/>
      <c r="E715" s="56"/>
      <c r="F715" s="251"/>
      <c r="G715" s="251"/>
      <c r="H715" s="251"/>
      <c r="I715" s="56"/>
      <c r="J715" s="56"/>
      <c r="K715" s="56"/>
      <c r="L715" s="56"/>
      <c r="M715" s="160"/>
      <c r="N715" s="160"/>
      <c r="O715" s="251"/>
      <c r="P715" s="251"/>
      <c r="Q715" s="251"/>
      <c r="R715" s="56"/>
      <c r="S715" s="56"/>
      <c r="T715" s="56"/>
      <c r="U715" s="56"/>
      <c r="V715" s="250"/>
      <c r="W715" s="56"/>
    </row>
    <row r="716" spans="1:23" ht="15.75" customHeight="1">
      <c r="A716" s="56"/>
      <c r="B716" s="56"/>
      <c r="C716" s="56"/>
      <c r="D716" s="56"/>
      <c r="E716" s="56"/>
      <c r="F716" s="251"/>
      <c r="G716" s="251"/>
      <c r="H716" s="251"/>
      <c r="I716" s="56"/>
      <c r="J716" s="56"/>
      <c r="K716" s="56"/>
      <c r="L716" s="56"/>
      <c r="M716" s="160"/>
      <c r="N716" s="160"/>
      <c r="O716" s="251"/>
      <c r="P716" s="251"/>
      <c r="Q716" s="251"/>
      <c r="R716" s="56"/>
      <c r="S716" s="56"/>
      <c r="T716" s="56"/>
      <c r="U716" s="56"/>
      <c r="V716" s="250"/>
      <c r="W716" s="56"/>
    </row>
    <row r="717" spans="1:23" ht="15.75" customHeight="1">
      <c r="A717" s="56"/>
      <c r="B717" s="56"/>
      <c r="C717" s="56"/>
      <c r="D717" s="56"/>
      <c r="E717" s="56"/>
      <c r="F717" s="251"/>
      <c r="G717" s="251"/>
      <c r="H717" s="251"/>
      <c r="I717" s="56"/>
      <c r="J717" s="56"/>
      <c r="K717" s="56"/>
      <c r="L717" s="56"/>
      <c r="M717" s="160"/>
      <c r="N717" s="160"/>
      <c r="O717" s="251"/>
      <c r="P717" s="251"/>
      <c r="Q717" s="251"/>
      <c r="R717" s="56"/>
      <c r="S717" s="56"/>
      <c r="T717" s="56"/>
      <c r="U717" s="56"/>
      <c r="V717" s="250"/>
      <c r="W717" s="56"/>
    </row>
    <row r="718" spans="1:23" ht="15.75" customHeight="1">
      <c r="A718" s="56"/>
      <c r="B718" s="56"/>
      <c r="C718" s="56"/>
      <c r="D718" s="56"/>
      <c r="E718" s="56"/>
      <c r="F718" s="251"/>
      <c r="G718" s="251"/>
      <c r="H718" s="251"/>
      <c r="I718" s="56"/>
      <c r="J718" s="56"/>
      <c r="K718" s="56"/>
      <c r="L718" s="56"/>
      <c r="M718" s="160"/>
      <c r="N718" s="160"/>
      <c r="O718" s="251"/>
      <c r="P718" s="251"/>
      <c r="Q718" s="251"/>
      <c r="R718" s="56"/>
      <c r="S718" s="56"/>
      <c r="T718" s="56"/>
      <c r="U718" s="56"/>
      <c r="V718" s="250"/>
      <c r="W718" s="56"/>
    </row>
    <row r="719" spans="1:23" ht="15.75" customHeight="1">
      <c r="A719" s="56"/>
      <c r="B719" s="56"/>
      <c r="C719" s="56"/>
      <c r="D719" s="56"/>
      <c r="E719" s="56"/>
      <c r="F719" s="251"/>
      <c r="G719" s="251"/>
      <c r="H719" s="251"/>
      <c r="I719" s="56"/>
      <c r="J719" s="56"/>
      <c r="K719" s="56"/>
      <c r="L719" s="56"/>
      <c r="M719" s="160"/>
      <c r="N719" s="160"/>
      <c r="O719" s="251"/>
      <c r="P719" s="251"/>
      <c r="Q719" s="251"/>
      <c r="R719" s="56"/>
      <c r="S719" s="56"/>
      <c r="T719" s="56"/>
      <c r="U719" s="56"/>
      <c r="V719" s="250"/>
      <c r="W719" s="56"/>
    </row>
    <row r="720" spans="1:23" ht="15.75" customHeight="1">
      <c r="A720" s="56"/>
      <c r="B720" s="56"/>
      <c r="C720" s="56"/>
      <c r="D720" s="56"/>
      <c r="E720" s="56"/>
      <c r="F720" s="251"/>
      <c r="G720" s="251"/>
      <c r="H720" s="251"/>
      <c r="I720" s="56"/>
      <c r="J720" s="56"/>
      <c r="K720" s="56"/>
      <c r="L720" s="56"/>
      <c r="M720" s="160"/>
      <c r="N720" s="160"/>
      <c r="O720" s="251"/>
      <c r="P720" s="251"/>
      <c r="Q720" s="251"/>
      <c r="R720" s="56"/>
      <c r="S720" s="56"/>
      <c r="T720" s="56"/>
      <c r="U720" s="56"/>
      <c r="V720" s="250"/>
      <c r="W720" s="56"/>
    </row>
    <row r="721" spans="1:23" ht="15.75" customHeight="1">
      <c r="A721" s="56"/>
      <c r="B721" s="56"/>
      <c r="C721" s="56"/>
      <c r="D721" s="56"/>
      <c r="E721" s="56"/>
      <c r="F721" s="251"/>
      <c r="G721" s="251"/>
      <c r="H721" s="251"/>
      <c r="I721" s="56"/>
      <c r="J721" s="56"/>
      <c r="K721" s="56"/>
      <c r="L721" s="56"/>
      <c r="M721" s="160"/>
      <c r="N721" s="160"/>
      <c r="O721" s="251"/>
      <c r="P721" s="251"/>
      <c r="Q721" s="251"/>
      <c r="R721" s="56"/>
      <c r="S721" s="56"/>
      <c r="T721" s="56"/>
      <c r="U721" s="56"/>
      <c r="V721" s="250"/>
      <c r="W721" s="56"/>
    </row>
    <row r="722" spans="1:23" ht="15.75" customHeight="1">
      <c r="A722" s="56"/>
      <c r="B722" s="56"/>
      <c r="C722" s="56"/>
      <c r="D722" s="56"/>
      <c r="E722" s="56"/>
      <c r="F722" s="251"/>
      <c r="G722" s="251"/>
      <c r="H722" s="251"/>
      <c r="I722" s="56"/>
      <c r="J722" s="56"/>
      <c r="K722" s="56"/>
      <c r="L722" s="56"/>
      <c r="M722" s="160"/>
      <c r="N722" s="160"/>
      <c r="O722" s="251"/>
      <c r="P722" s="251"/>
      <c r="Q722" s="251"/>
      <c r="R722" s="56"/>
      <c r="S722" s="56"/>
      <c r="T722" s="56"/>
      <c r="U722" s="56"/>
      <c r="V722" s="250"/>
      <c r="W722" s="56"/>
    </row>
    <row r="723" spans="1:23" ht="15.75" customHeight="1">
      <c r="A723" s="56"/>
      <c r="B723" s="56"/>
      <c r="C723" s="56"/>
      <c r="D723" s="56"/>
      <c r="E723" s="56"/>
      <c r="F723" s="251"/>
      <c r="G723" s="251"/>
      <c r="H723" s="251"/>
      <c r="I723" s="56"/>
      <c r="J723" s="56"/>
      <c r="K723" s="56"/>
      <c r="L723" s="56"/>
      <c r="M723" s="160"/>
      <c r="N723" s="160"/>
      <c r="O723" s="251"/>
      <c r="P723" s="251"/>
      <c r="Q723" s="251"/>
      <c r="R723" s="56"/>
      <c r="S723" s="56"/>
      <c r="T723" s="56"/>
      <c r="U723" s="56"/>
      <c r="V723" s="250"/>
      <c r="W723" s="56"/>
    </row>
    <row r="724" spans="1:23" ht="15.75" customHeight="1">
      <c r="A724" s="56"/>
      <c r="B724" s="56"/>
      <c r="C724" s="56"/>
      <c r="D724" s="56"/>
      <c r="E724" s="56"/>
      <c r="F724" s="251"/>
      <c r="G724" s="251"/>
      <c r="H724" s="251"/>
      <c r="I724" s="56"/>
      <c r="J724" s="56"/>
      <c r="K724" s="56"/>
      <c r="L724" s="56"/>
      <c r="M724" s="160"/>
      <c r="N724" s="160"/>
      <c r="O724" s="251"/>
      <c r="P724" s="251"/>
      <c r="Q724" s="251"/>
      <c r="R724" s="56"/>
      <c r="S724" s="56"/>
      <c r="T724" s="56"/>
      <c r="U724" s="56"/>
      <c r="V724" s="250"/>
      <c r="W724" s="56"/>
    </row>
    <row r="725" spans="1:23" ht="15.75" customHeight="1">
      <c r="A725" s="56"/>
      <c r="B725" s="56"/>
      <c r="C725" s="56"/>
      <c r="D725" s="56"/>
      <c r="E725" s="56"/>
      <c r="F725" s="251"/>
      <c r="G725" s="251"/>
      <c r="H725" s="251"/>
      <c r="I725" s="56"/>
      <c r="J725" s="56"/>
      <c r="K725" s="56"/>
      <c r="L725" s="56"/>
      <c r="M725" s="160"/>
      <c r="N725" s="160"/>
      <c r="O725" s="251"/>
      <c r="P725" s="251"/>
      <c r="Q725" s="251"/>
      <c r="R725" s="56"/>
      <c r="S725" s="56"/>
      <c r="T725" s="56"/>
      <c r="U725" s="56"/>
      <c r="V725" s="250"/>
      <c r="W725" s="56"/>
    </row>
    <row r="726" spans="1:23" ht="15.75" customHeight="1">
      <c r="A726" s="56"/>
      <c r="B726" s="56"/>
      <c r="C726" s="56"/>
      <c r="D726" s="56"/>
      <c r="E726" s="56"/>
      <c r="F726" s="251"/>
      <c r="G726" s="251"/>
      <c r="H726" s="251"/>
      <c r="I726" s="56"/>
      <c r="J726" s="56"/>
      <c r="K726" s="56"/>
      <c r="L726" s="56"/>
      <c r="M726" s="160"/>
      <c r="N726" s="160"/>
      <c r="O726" s="251"/>
      <c r="P726" s="251"/>
      <c r="Q726" s="251"/>
      <c r="R726" s="56"/>
      <c r="S726" s="56"/>
      <c r="T726" s="56"/>
      <c r="U726" s="56"/>
      <c r="V726" s="250"/>
      <c r="W726" s="56"/>
    </row>
    <row r="727" spans="1:23" ht="15.75" customHeight="1">
      <c r="A727" s="56"/>
      <c r="B727" s="56"/>
      <c r="C727" s="56"/>
      <c r="D727" s="56"/>
      <c r="E727" s="56"/>
      <c r="F727" s="251"/>
      <c r="G727" s="251"/>
      <c r="H727" s="251"/>
      <c r="I727" s="56"/>
      <c r="J727" s="56"/>
      <c r="K727" s="56"/>
      <c r="L727" s="56"/>
      <c r="M727" s="160"/>
      <c r="N727" s="160"/>
      <c r="O727" s="251"/>
      <c r="P727" s="251"/>
      <c r="Q727" s="251"/>
      <c r="R727" s="56"/>
      <c r="S727" s="56"/>
      <c r="T727" s="56"/>
      <c r="U727" s="56"/>
      <c r="V727" s="250"/>
      <c r="W727" s="56"/>
    </row>
    <row r="728" spans="1:23" ht="15.75" customHeight="1">
      <c r="A728" s="56"/>
      <c r="B728" s="56"/>
      <c r="C728" s="56"/>
      <c r="D728" s="56"/>
      <c r="E728" s="56"/>
      <c r="F728" s="251"/>
      <c r="G728" s="251"/>
      <c r="H728" s="251"/>
      <c r="I728" s="56"/>
      <c r="J728" s="56"/>
      <c r="K728" s="56"/>
      <c r="L728" s="56"/>
      <c r="M728" s="160"/>
      <c r="N728" s="160"/>
      <c r="O728" s="251"/>
      <c r="P728" s="251"/>
      <c r="Q728" s="251"/>
      <c r="R728" s="56"/>
      <c r="S728" s="56"/>
      <c r="T728" s="56"/>
      <c r="U728" s="56"/>
      <c r="V728" s="250"/>
      <c r="W728" s="56"/>
    </row>
    <row r="729" spans="1:23" ht="15.75" customHeight="1">
      <c r="A729" s="56"/>
      <c r="B729" s="56"/>
      <c r="C729" s="56"/>
      <c r="D729" s="56"/>
      <c r="E729" s="56"/>
      <c r="F729" s="251"/>
      <c r="G729" s="251"/>
      <c r="H729" s="251"/>
      <c r="I729" s="56"/>
      <c r="J729" s="56"/>
      <c r="K729" s="56"/>
      <c r="L729" s="56"/>
      <c r="M729" s="160"/>
      <c r="N729" s="160"/>
      <c r="O729" s="251"/>
      <c r="P729" s="251"/>
      <c r="Q729" s="251"/>
      <c r="R729" s="56"/>
      <c r="S729" s="56"/>
      <c r="T729" s="56"/>
      <c r="U729" s="56"/>
      <c r="V729" s="250"/>
      <c r="W729" s="56"/>
    </row>
    <row r="730" spans="1:23" ht="15.75" customHeight="1">
      <c r="A730" s="56"/>
      <c r="B730" s="56"/>
      <c r="C730" s="56"/>
      <c r="D730" s="56"/>
      <c r="E730" s="56"/>
      <c r="F730" s="251"/>
      <c r="G730" s="251"/>
      <c r="H730" s="251"/>
      <c r="I730" s="56"/>
      <c r="J730" s="56"/>
      <c r="K730" s="56"/>
      <c r="L730" s="56"/>
      <c r="M730" s="160"/>
      <c r="N730" s="160"/>
      <c r="O730" s="251"/>
      <c r="P730" s="251"/>
      <c r="Q730" s="251"/>
      <c r="R730" s="56"/>
      <c r="S730" s="56"/>
      <c r="T730" s="56"/>
      <c r="U730" s="56"/>
      <c r="V730" s="250"/>
      <c r="W730" s="56"/>
    </row>
    <row r="731" spans="1:23" ht="15.75" customHeight="1">
      <c r="A731" s="56"/>
      <c r="B731" s="56"/>
      <c r="C731" s="56"/>
      <c r="D731" s="56"/>
      <c r="E731" s="56"/>
      <c r="F731" s="251"/>
      <c r="G731" s="251"/>
      <c r="H731" s="251"/>
      <c r="I731" s="56"/>
      <c r="J731" s="56"/>
      <c r="K731" s="56"/>
      <c r="L731" s="56"/>
      <c r="M731" s="160"/>
      <c r="N731" s="160"/>
      <c r="O731" s="251"/>
      <c r="P731" s="251"/>
      <c r="Q731" s="251"/>
      <c r="R731" s="56"/>
      <c r="S731" s="56"/>
      <c r="T731" s="56"/>
      <c r="U731" s="56"/>
      <c r="V731" s="250"/>
      <c r="W731" s="56"/>
    </row>
    <row r="732" spans="1:23" ht="15.75" customHeight="1">
      <c r="A732" s="56"/>
      <c r="B732" s="56"/>
      <c r="C732" s="56"/>
      <c r="D732" s="56"/>
      <c r="E732" s="56"/>
      <c r="F732" s="251"/>
      <c r="G732" s="251"/>
      <c r="H732" s="251"/>
      <c r="I732" s="56"/>
      <c r="J732" s="56"/>
      <c r="K732" s="56"/>
      <c r="L732" s="56"/>
      <c r="M732" s="160"/>
      <c r="N732" s="160"/>
      <c r="O732" s="251"/>
      <c r="P732" s="251"/>
      <c r="Q732" s="251"/>
      <c r="R732" s="56"/>
      <c r="S732" s="56"/>
      <c r="T732" s="56"/>
      <c r="U732" s="56"/>
      <c r="V732" s="250"/>
      <c r="W732" s="56"/>
    </row>
    <row r="733" spans="1:23" ht="15.75" customHeight="1">
      <c r="A733" s="56"/>
      <c r="B733" s="56"/>
      <c r="C733" s="56"/>
      <c r="D733" s="56"/>
      <c r="E733" s="56"/>
      <c r="F733" s="251"/>
      <c r="G733" s="251"/>
      <c r="H733" s="251"/>
      <c r="I733" s="56"/>
      <c r="J733" s="56"/>
      <c r="K733" s="56"/>
      <c r="L733" s="56"/>
      <c r="M733" s="160"/>
      <c r="N733" s="160"/>
      <c r="O733" s="251"/>
      <c r="P733" s="251"/>
      <c r="Q733" s="251"/>
      <c r="R733" s="56"/>
      <c r="S733" s="56"/>
      <c r="T733" s="56"/>
      <c r="U733" s="56"/>
      <c r="V733" s="250"/>
      <c r="W733" s="56"/>
    </row>
    <row r="734" spans="1:23" ht="15.75" customHeight="1">
      <c r="A734" s="56"/>
      <c r="B734" s="56"/>
      <c r="C734" s="56"/>
      <c r="D734" s="56"/>
      <c r="E734" s="56"/>
      <c r="F734" s="251"/>
      <c r="G734" s="251"/>
      <c r="H734" s="251"/>
      <c r="I734" s="56"/>
      <c r="J734" s="56"/>
      <c r="K734" s="56"/>
      <c r="L734" s="56"/>
      <c r="M734" s="160"/>
      <c r="N734" s="160"/>
      <c r="O734" s="251"/>
      <c r="P734" s="251"/>
      <c r="Q734" s="251"/>
      <c r="R734" s="56"/>
      <c r="S734" s="56"/>
      <c r="T734" s="56"/>
      <c r="U734" s="56"/>
      <c r="V734" s="250"/>
      <c r="W734" s="56"/>
    </row>
    <row r="735" spans="1:23" ht="15.75" customHeight="1">
      <c r="A735" s="56"/>
      <c r="B735" s="56"/>
      <c r="C735" s="56"/>
      <c r="D735" s="56"/>
      <c r="E735" s="56"/>
      <c r="F735" s="251"/>
      <c r="G735" s="251"/>
      <c r="H735" s="251"/>
      <c r="I735" s="56"/>
      <c r="J735" s="56"/>
      <c r="K735" s="56"/>
      <c r="L735" s="56"/>
      <c r="M735" s="160"/>
      <c r="N735" s="160"/>
      <c r="O735" s="251"/>
      <c r="P735" s="251"/>
      <c r="Q735" s="251"/>
      <c r="R735" s="56"/>
      <c r="S735" s="56"/>
      <c r="T735" s="56"/>
      <c r="U735" s="56"/>
      <c r="V735" s="250"/>
      <c r="W735" s="56"/>
    </row>
    <row r="736" spans="1:23" ht="15.75" customHeight="1">
      <c r="A736" s="56"/>
      <c r="B736" s="56"/>
      <c r="C736" s="56"/>
      <c r="D736" s="56"/>
      <c r="E736" s="56"/>
      <c r="F736" s="251"/>
      <c r="G736" s="251"/>
      <c r="H736" s="251"/>
      <c r="I736" s="56"/>
      <c r="J736" s="56"/>
      <c r="K736" s="56"/>
      <c r="L736" s="56"/>
      <c r="M736" s="160"/>
      <c r="N736" s="160"/>
      <c r="O736" s="251"/>
      <c r="P736" s="251"/>
      <c r="Q736" s="251"/>
      <c r="R736" s="56"/>
      <c r="S736" s="56"/>
      <c r="T736" s="56"/>
      <c r="U736" s="56"/>
      <c r="V736" s="250"/>
      <c r="W736" s="56"/>
    </row>
    <row r="737" spans="1:23" ht="15.75" customHeight="1">
      <c r="A737" s="56"/>
      <c r="B737" s="56"/>
      <c r="C737" s="56"/>
      <c r="D737" s="56"/>
      <c r="E737" s="56"/>
      <c r="F737" s="251"/>
      <c r="G737" s="251"/>
      <c r="H737" s="251"/>
      <c r="I737" s="56"/>
      <c r="J737" s="56"/>
      <c r="K737" s="56"/>
      <c r="L737" s="56"/>
      <c r="M737" s="160"/>
      <c r="N737" s="160"/>
      <c r="O737" s="251"/>
      <c r="P737" s="251"/>
      <c r="Q737" s="251"/>
      <c r="R737" s="56"/>
      <c r="S737" s="56"/>
      <c r="T737" s="56"/>
      <c r="U737" s="56"/>
      <c r="V737" s="250"/>
      <c r="W737" s="56"/>
    </row>
    <row r="738" spans="1:23" ht="15.75" customHeight="1">
      <c r="A738" s="56"/>
      <c r="B738" s="56"/>
      <c r="C738" s="56"/>
      <c r="D738" s="56"/>
      <c r="E738" s="56"/>
      <c r="F738" s="251"/>
      <c r="G738" s="251"/>
      <c r="H738" s="251"/>
      <c r="I738" s="56"/>
      <c r="J738" s="56"/>
      <c r="K738" s="56"/>
      <c r="L738" s="56"/>
      <c r="M738" s="160"/>
      <c r="N738" s="160"/>
      <c r="O738" s="251"/>
      <c r="P738" s="251"/>
      <c r="Q738" s="251"/>
      <c r="R738" s="56"/>
      <c r="S738" s="56"/>
      <c r="T738" s="56"/>
      <c r="U738" s="56"/>
      <c r="V738" s="250"/>
      <c r="W738" s="56"/>
    </row>
    <row r="739" spans="1:23" ht="15.75" customHeight="1">
      <c r="A739" s="56"/>
      <c r="B739" s="56"/>
      <c r="C739" s="56"/>
      <c r="D739" s="56"/>
      <c r="E739" s="56"/>
      <c r="F739" s="251"/>
      <c r="G739" s="251"/>
      <c r="H739" s="251"/>
      <c r="I739" s="56"/>
      <c r="J739" s="56"/>
      <c r="K739" s="56"/>
      <c r="L739" s="56"/>
      <c r="M739" s="160"/>
      <c r="N739" s="160"/>
      <c r="O739" s="251"/>
      <c r="P739" s="251"/>
      <c r="Q739" s="251"/>
      <c r="R739" s="56"/>
      <c r="S739" s="56"/>
      <c r="T739" s="56"/>
      <c r="U739" s="56"/>
      <c r="V739" s="250"/>
      <c r="W739" s="56"/>
    </row>
    <row r="740" spans="1:23" ht="15.75" customHeight="1">
      <c r="A740" s="56"/>
      <c r="B740" s="56"/>
      <c r="C740" s="56"/>
      <c r="D740" s="56"/>
      <c r="E740" s="56"/>
      <c r="F740" s="251"/>
      <c r="G740" s="251"/>
      <c r="H740" s="251"/>
      <c r="I740" s="56"/>
      <c r="J740" s="56"/>
      <c r="K740" s="56"/>
      <c r="L740" s="56"/>
      <c r="M740" s="160"/>
      <c r="N740" s="160"/>
      <c r="O740" s="251"/>
      <c r="P740" s="251"/>
      <c r="Q740" s="251"/>
      <c r="R740" s="56"/>
      <c r="S740" s="56"/>
      <c r="T740" s="56"/>
      <c r="U740" s="56"/>
      <c r="V740" s="250"/>
      <c r="W740" s="56"/>
    </row>
    <row r="741" spans="1:23" ht="15.75" customHeight="1">
      <c r="A741" s="56"/>
      <c r="B741" s="56"/>
      <c r="C741" s="56"/>
      <c r="D741" s="56"/>
      <c r="E741" s="56"/>
      <c r="F741" s="251"/>
      <c r="G741" s="251"/>
      <c r="H741" s="251"/>
      <c r="I741" s="56"/>
      <c r="J741" s="56"/>
      <c r="K741" s="56"/>
      <c r="L741" s="56"/>
      <c r="M741" s="160"/>
      <c r="N741" s="160"/>
      <c r="O741" s="251"/>
      <c r="P741" s="251"/>
      <c r="Q741" s="251"/>
      <c r="R741" s="56"/>
      <c r="S741" s="56"/>
      <c r="T741" s="56"/>
      <c r="U741" s="56"/>
      <c r="V741" s="250"/>
      <c r="W741" s="56"/>
    </row>
    <row r="742" spans="1:23" ht="15.75" customHeight="1">
      <c r="A742" s="56"/>
      <c r="B742" s="56"/>
      <c r="C742" s="56"/>
      <c r="D742" s="56"/>
      <c r="E742" s="56"/>
      <c r="F742" s="251"/>
      <c r="G742" s="251"/>
      <c r="H742" s="251"/>
      <c r="I742" s="56"/>
      <c r="J742" s="56"/>
      <c r="K742" s="56"/>
      <c r="L742" s="56"/>
      <c r="M742" s="160"/>
      <c r="N742" s="160"/>
      <c r="O742" s="251"/>
      <c r="P742" s="251"/>
      <c r="Q742" s="251"/>
      <c r="R742" s="56"/>
      <c r="S742" s="56"/>
      <c r="T742" s="56"/>
      <c r="U742" s="56"/>
      <c r="V742" s="250"/>
      <c r="W742" s="56"/>
    </row>
    <row r="743" spans="1:23" ht="15.75" customHeight="1">
      <c r="A743" s="56"/>
      <c r="B743" s="56"/>
      <c r="C743" s="56"/>
      <c r="D743" s="56"/>
      <c r="E743" s="56"/>
      <c r="F743" s="251"/>
      <c r="G743" s="251"/>
      <c r="H743" s="251"/>
      <c r="I743" s="56"/>
      <c r="J743" s="56"/>
      <c r="K743" s="56"/>
      <c r="L743" s="56"/>
      <c r="M743" s="160"/>
      <c r="N743" s="160"/>
      <c r="O743" s="251"/>
      <c r="P743" s="251"/>
      <c r="Q743" s="251"/>
      <c r="R743" s="56"/>
      <c r="S743" s="56"/>
      <c r="T743" s="56"/>
      <c r="U743" s="56"/>
      <c r="V743" s="250"/>
      <c r="W743" s="56"/>
    </row>
    <row r="744" spans="1:23" ht="15.75" customHeight="1">
      <c r="A744" s="56"/>
      <c r="B744" s="56"/>
      <c r="C744" s="56"/>
      <c r="D744" s="56"/>
      <c r="E744" s="56"/>
      <c r="F744" s="251"/>
      <c r="G744" s="251"/>
      <c r="H744" s="251"/>
      <c r="I744" s="56"/>
      <c r="J744" s="56"/>
      <c r="K744" s="56"/>
      <c r="L744" s="56"/>
      <c r="M744" s="160"/>
      <c r="N744" s="160"/>
      <c r="O744" s="251"/>
      <c r="P744" s="251"/>
      <c r="Q744" s="251"/>
      <c r="R744" s="56"/>
      <c r="S744" s="56"/>
      <c r="T744" s="56"/>
      <c r="U744" s="56"/>
      <c r="V744" s="250"/>
      <c r="W744" s="56"/>
    </row>
    <row r="745" spans="1:23" ht="15.75" customHeight="1">
      <c r="A745" s="56"/>
      <c r="B745" s="56"/>
      <c r="C745" s="56"/>
      <c r="D745" s="56"/>
      <c r="E745" s="56"/>
      <c r="F745" s="251"/>
      <c r="G745" s="251"/>
      <c r="H745" s="251"/>
      <c r="I745" s="56"/>
      <c r="J745" s="56"/>
      <c r="K745" s="56"/>
      <c r="L745" s="56"/>
      <c r="M745" s="160"/>
      <c r="N745" s="160"/>
      <c r="O745" s="251"/>
      <c r="P745" s="251"/>
      <c r="Q745" s="251"/>
      <c r="R745" s="56"/>
      <c r="S745" s="56"/>
      <c r="T745" s="56"/>
      <c r="U745" s="56"/>
      <c r="V745" s="250"/>
      <c r="W745" s="56"/>
    </row>
    <row r="746" spans="1:23" ht="15.75" customHeight="1">
      <c r="A746" s="56"/>
      <c r="B746" s="56"/>
      <c r="C746" s="56"/>
      <c r="D746" s="56"/>
      <c r="E746" s="56"/>
      <c r="F746" s="251"/>
      <c r="G746" s="251"/>
      <c r="H746" s="251"/>
      <c r="I746" s="56"/>
      <c r="J746" s="56"/>
      <c r="K746" s="56"/>
      <c r="L746" s="56"/>
      <c r="M746" s="160"/>
      <c r="N746" s="160"/>
      <c r="O746" s="251"/>
      <c r="P746" s="251"/>
      <c r="Q746" s="251"/>
      <c r="R746" s="56"/>
      <c r="S746" s="56"/>
      <c r="T746" s="56"/>
      <c r="U746" s="56"/>
      <c r="V746" s="250"/>
      <c r="W746" s="56"/>
    </row>
    <row r="747" spans="1:23" ht="15.75" customHeight="1">
      <c r="A747" s="56"/>
      <c r="B747" s="56"/>
      <c r="C747" s="56"/>
      <c r="D747" s="56"/>
      <c r="E747" s="56"/>
      <c r="F747" s="251"/>
      <c r="G747" s="251"/>
      <c r="H747" s="251"/>
      <c r="I747" s="56"/>
      <c r="J747" s="56"/>
      <c r="K747" s="56"/>
      <c r="L747" s="56"/>
      <c r="M747" s="160"/>
      <c r="N747" s="160"/>
      <c r="O747" s="251"/>
      <c r="P747" s="251"/>
      <c r="Q747" s="251"/>
      <c r="R747" s="56"/>
      <c r="S747" s="56"/>
      <c r="T747" s="56"/>
      <c r="U747" s="56"/>
      <c r="V747" s="250"/>
      <c r="W747" s="56"/>
    </row>
    <row r="748" spans="1:23" ht="15.75" customHeight="1">
      <c r="A748" s="56"/>
      <c r="B748" s="56"/>
      <c r="C748" s="56"/>
      <c r="D748" s="56"/>
      <c r="E748" s="56"/>
      <c r="F748" s="251"/>
      <c r="G748" s="251"/>
      <c r="H748" s="251"/>
      <c r="I748" s="56"/>
      <c r="J748" s="56"/>
      <c r="K748" s="56"/>
      <c r="L748" s="56"/>
      <c r="M748" s="160"/>
      <c r="N748" s="160"/>
      <c r="O748" s="251"/>
      <c r="P748" s="251"/>
      <c r="Q748" s="251"/>
      <c r="R748" s="56"/>
      <c r="S748" s="56"/>
      <c r="T748" s="56"/>
      <c r="U748" s="56"/>
      <c r="V748" s="250"/>
      <c r="W748" s="56"/>
    </row>
    <row r="749" spans="1:23" ht="15.75" customHeight="1">
      <c r="A749" s="56"/>
      <c r="B749" s="56"/>
      <c r="C749" s="56"/>
      <c r="D749" s="56"/>
      <c r="E749" s="56"/>
      <c r="F749" s="251"/>
      <c r="G749" s="251"/>
      <c r="H749" s="251"/>
      <c r="I749" s="56"/>
      <c r="J749" s="56"/>
      <c r="K749" s="56"/>
      <c r="L749" s="56"/>
      <c r="M749" s="160"/>
      <c r="N749" s="160"/>
      <c r="O749" s="251"/>
      <c r="P749" s="251"/>
      <c r="Q749" s="251"/>
      <c r="R749" s="56"/>
      <c r="S749" s="56"/>
      <c r="T749" s="56"/>
      <c r="U749" s="56"/>
      <c r="V749" s="250"/>
      <c r="W749" s="56"/>
    </row>
    <row r="750" spans="1:23" ht="15.75" customHeight="1">
      <c r="A750" s="56"/>
      <c r="B750" s="56"/>
      <c r="C750" s="56"/>
      <c r="D750" s="56"/>
      <c r="E750" s="56"/>
      <c r="F750" s="251"/>
      <c r="G750" s="251"/>
      <c r="H750" s="251"/>
      <c r="I750" s="56"/>
      <c r="J750" s="56"/>
      <c r="K750" s="56"/>
      <c r="L750" s="56"/>
      <c r="M750" s="160"/>
      <c r="N750" s="160"/>
      <c r="O750" s="251"/>
      <c r="P750" s="251"/>
      <c r="Q750" s="251"/>
      <c r="R750" s="56"/>
      <c r="S750" s="56"/>
      <c r="T750" s="56"/>
      <c r="U750" s="56"/>
      <c r="V750" s="250"/>
      <c r="W750" s="56"/>
    </row>
    <row r="751" spans="1:23" ht="15.75" customHeight="1">
      <c r="A751" s="56"/>
      <c r="B751" s="56"/>
      <c r="C751" s="56"/>
      <c r="D751" s="56"/>
      <c r="E751" s="56"/>
      <c r="F751" s="251"/>
      <c r="G751" s="251"/>
      <c r="H751" s="251"/>
      <c r="I751" s="56"/>
      <c r="J751" s="56"/>
      <c r="K751" s="56"/>
      <c r="L751" s="56"/>
      <c r="M751" s="160"/>
      <c r="N751" s="160"/>
      <c r="O751" s="251"/>
      <c r="P751" s="251"/>
      <c r="Q751" s="251"/>
      <c r="R751" s="56"/>
      <c r="S751" s="56"/>
      <c r="T751" s="56"/>
      <c r="U751" s="56"/>
      <c r="V751" s="250"/>
      <c r="W751" s="56"/>
    </row>
    <row r="752" spans="1:23" ht="15.75" customHeight="1">
      <c r="A752" s="56"/>
      <c r="B752" s="56"/>
      <c r="C752" s="56"/>
      <c r="D752" s="56"/>
      <c r="E752" s="56"/>
      <c r="F752" s="251"/>
      <c r="G752" s="251"/>
      <c r="H752" s="251"/>
      <c r="I752" s="56"/>
      <c r="J752" s="56"/>
      <c r="K752" s="56"/>
      <c r="L752" s="56"/>
      <c r="M752" s="160"/>
      <c r="N752" s="160"/>
      <c r="O752" s="251"/>
      <c r="P752" s="251"/>
      <c r="Q752" s="251"/>
      <c r="R752" s="56"/>
      <c r="S752" s="56"/>
      <c r="T752" s="56"/>
      <c r="U752" s="56"/>
      <c r="V752" s="250"/>
      <c r="W752" s="56"/>
    </row>
    <row r="753" spans="1:23" ht="15.75" customHeight="1">
      <c r="A753" s="56"/>
      <c r="B753" s="56"/>
      <c r="C753" s="56"/>
      <c r="D753" s="56"/>
      <c r="E753" s="56"/>
      <c r="F753" s="251"/>
      <c r="G753" s="251"/>
      <c r="H753" s="251"/>
      <c r="I753" s="56"/>
      <c r="J753" s="56"/>
      <c r="K753" s="56"/>
      <c r="L753" s="56"/>
      <c r="M753" s="160"/>
      <c r="N753" s="160"/>
      <c r="O753" s="251"/>
      <c r="P753" s="251"/>
      <c r="Q753" s="251"/>
      <c r="R753" s="56"/>
      <c r="S753" s="56"/>
      <c r="T753" s="56"/>
      <c r="U753" s="56"/>
      <c r="V753" s="250"/>
      <c r="W753" s="56"/>
    </row>
    <row r="754" spans="1:23" ht="15.75" customHeight="1">
      <c r="A754" s="56"/>
      <c r="B754" s="56"/>
      <c r="C754" s="56"/>
      <c r="D754" s="56"/>
      <c r="E754" s="56"/>
      <c r="F754" s="251"/>
      <c r="G754" s="251"/>
      <c r="H754" s="251"/>
      <c r="I754" s="56"/>
      <c r="J754" s="56"/>
      <c r="K754" s="56"/>
      <c r="L754" s="56"/>
      <c r="M754" s="160"/>
      <c r="N754" s="160"/>
      <c r="O754" s="251"/>
      <c r="P754" s="251"/>
      <c r="Q754" s="251"/>
      <c r="R754" s="56"/>
      <c r="S754" s="56"/>
      <c r="T754" s="56"/>
      <c r="U754" s="56"/>
      <c r="V754" s="250"/>
      <c r="W754" s="56"/>
    </row>
    <row r="755" spans="1:23" ht="15.75" customHeight="1">
      <c r="A755" s="56"/>
      <c r="B755" s="56"/>
      <c r="C755" s="56"/>
      <c r="D755" s="56"/>
      <c r="E755" s="56"/>
      <c r="F755" s="251"/>
      <c r="G755" s="251"/>
      <c r="H755" s="251"/>
      <c r="I755" s="56"/>
      <c r="J755" s="56"/>
      <c r="K755" s="56"/>
      <c r="L755" s="56"/>
      <c r="M755" s="160"/>
      <c r="N755" s="160"/>
      <c r="O755" s="251"/>
      <c r="P755" s="251"/>
      <c r="Q755" s="251"/>
      <c r="R755" s="56"/>
      <c r="S755" s="56"/>
      <c r="T755" s="56"/>
      <c r="U755" s="56"/>
      <c r="V755" s="250"/>
      <c r="W755" s="56"/>
    </row>
    <row r="756" spans="1:23" ht="15.75" customHeight="1">
      <c r="A756" s="56"/>
      <c r="B756" s="56"/>
      <c r="C756" s="56"/>
      <c r="D756" s="56"/>
      <c r="E756" s="56"/>
      <c r="F756" s="251"/>
      <c r="G756" s="251"/>
      <c r="H756" s="251"/>
      <c r="I756" s="56"/>
      <c r="J756" s="56"/>
      <c r="K756" s="56"/>
      <c r="L756" s="56"/>
      <c r="M756" s="160"/>
      <c r="N756" s="160"/>
      <c r="O756" s="251"/>
      <c r="P756" s="251"/>
      <c r="Q756" s="251"/>
      <c r="R756" s="56"/>
      <c r="S756" s="56"/>
      <c r="T756" s="56"/>
      <c r="U756" s="56"/>
      <c r="V756" s="250"/>
      <c r="W756" s="56"/>
    </row>
    <row r="757" spans="1:23" ht="15.75" customHeight="1">
      <c r="A757" s="56"/>
      <c r="B757" s="56"/>
      <c r="C757" s="56"/>
      <c r="D757" s="56"/>
      <c r="E757" s="56"/>
      <c r="F757" s="251"/>
      <c r="G757" s="251"/>
      <c r="H757" s="251"/>
      <c r="I757" s="56"/>
      <c r="J757" s="56"/>
      <c r="K757" s="56"/>
      <c r="L757" s="56"/>
      <c r="M757" s="160"/>
      <c r="N757" s="160"/>
      <c r="O757" s="251"/>
      <c r="P757" s="251"/>
      <c r="Q757" s="251"/>
      <c r="R757" s="56"/>
      <c r="S757" s="56"/>
      <c r="T757" s="56"/>
      <c r="U757" s="56"/>
      <c r="V757" s="250"/>
      <c r="W757" s="56"/>
    </row>
    <row r="758" spans="1:23" ht="15.75" customHeight="1">
      <c r="A758" s="56"/>
      <c r="B758" s="56"/>
      <c r="C758" s="56"/>
      <c r="D758" s="56"/>
      <c r="E758" s="56"/>
      <c r="F758" s="251"/>
      <c r="G758" s="251"/>
      <c r="H758" s="251"/>
      <c r="I758" s="56"/>
      <c r="J758" s="56"/>
      <c r="K758" s="56"/>
      <c r="L758" s="56"/>
      <c r="M758" s="160"/>
      <c r="N758" s="160"/>
      <c r="O758" s="251"/>
      <c r="P758" s="251"/>
      <c r="Q758" s="251"/>
      <c r="R758" s="56"/>
      <c r="S758" s="56"/>
      <c r="T758" s="56"/>
      <c r="U758" s="56"/>
      <c r="V758" s="250"/>
      <c r="W758" s="56"/>
    </row>
    <row r="759" spans="1:23" ht="15.75" customHeight="1">
      <c r="A759" s="56"/>
      <c r="B759" s="56"/>
      <c r="C759" s="56"/>
      <c r="D759" s="56"/>
      <c r="E759" s="56"/>
      <c r="F759" s="251"/>
      <c r="G759" s="251"/>
      <c r="H759" s="251"/>
      <c r="I759" s="56"/>
      <c r="J759" s="56"/>
      <c r="K759" s="56"/>
      <c r="L759" s="56"/>
      <c r="M759" s="160"/>
      <c r="N759" s="160"/>
      <c r="O759" s="251"/>
      <c r="P759" s="251"/>
      <c r="Q759" s="251"/>
      <c r="R759" s="56"/>
      <c r="S759" s="56"/>
      <c r="T759" s="56"/>
      <c r="U759" s="56"/>
      <c r="V759" s="250"/>
      <c r="W759" s="56"/>
    </row>
    <row r="760" spans="1:23" ht="15.75" customHeight="1">
      <c r="A760" s="56"/>
      <c r="B760" s="56"/>
      <c r="C760" s="56"/>
      <c r="D760" s="56"/>
      <c r="E760" s="56"/>
      <c r="F760" s="251"/>
      <c r="G760" s="251"/>
      <c r="H760" s="251"/>
      <c r="I760" s="56"/>
      <c r="J760" s="56"/>
      <c r="K760" s="56"/>
      <c r="L760" s="56"/>
      <c r="M760" s="160"/>
      <c r="N760" s="160"/>
      <c r="O760" s="251"/>
      <c r="P760" s="251"/>
      <c r="Q760" s="251"/>
      <c r="R760" s="56"/>
      <c r="S760" s="56"/>
      <c r="T760" s="56"/>
      <c r="U760" s="56"/>
      <c r="V760" s="250"/>
      <c r="W760" s="56"/>
    </row>
    <row r="761" spans="1:23" ht="15.75" customHeight="1">
      <c r="A761" s="56"/>
      <c r="B761" s="56"/>
      <c r="C761" s="56"/>
      <c r="D761" s="56"/>
      <c r="E761" s="56"/>
      <c r="F761" s="251"/>
      <c r="G761" s="251"/>
      <c r="H761" s="251"/>
      <c r="I761" s="56"/>
      <c r="J761" s="56"/>
      <c r="K761" s="56"/>
      <c r="L761" s="56"/>
      <c r="M761" s="160"/>
      <c r="N761" s="160"/>
      <c r="O761" s="251"/>
      <c r="P761" s="251"/>
      <c r="Q761" s="251"/>
      <c r="R761" s="56"/>
      <c r="S761" s="56"/>
      <c r="T761" s="56"/>
      <c r="U761" s="56"/>
      <c r="V761" s="250"/>
      <c r="W761" s="56"/>
    </row>
    <row r="762" spans="1:23" ht="15.75" customHeight="1">
      <c r="A762" s="56"/>
      <c r="B762" s="56"/>
      <c r="C762" s="56"/>
      <c r="D762" s="56"/>
      <c r="E762" s="56"/>
      <c r="F762" s="251"/>
      <c r="G762" s="251"/>
      <c r="H762" s="251"/>
      <c r="I762" s="56"/>
      <c r="J762" s="56"/>
      <c r="K762" s="56"/>
      <c r="L762" s="56"/>
      <c r="M762" s="160"/>
      <c r="N762" s="160"/>
      <c r="O762" s="251"/>
      <c r="P762" s="251"/>
      <c r="Q762" s="251"/>
      <c r="R762" s="56"/>
      <c r="S762" s="56"/>
      <c r="T762" s="56"/>
      <c r="U762" s="56"/>
      <c r="V762" s="250"/>
      <c r="W762" s="56"/>
    </row>
    <row r="763" spans="1:23" ht="15.75" customHeight="1">
      <c r="A763" s="56"/>
      <c r="B763" s="56"/>
      <c r="C763" s="56"/>
      <c r="D763" s="56"/>
      <c r="E763" s="56"/>
      <c r="F763" s="251"/>
      <c r="G763" s="251"/>
      <c r="H763" s="251"/>
      <c r="I763" s="56"/>
      <c r="J763" s="56"/>
      <c r="K763" s="56"/>
      <c r="L763" s="56"/>
      <c r="M763" s="160"/>
      <c r="N763" s="160"/>
      <c r="O763" s="251"/>
      <c r="P763" s="251"/>
      <c r="Q763" s="251"/>
      <c r="R763" s="56"/>
      <c r="S763" s="56"/>
      <c r="T763" s="56"/>
      <c r="U763" s="56"/>
      <c r="V763" s="250"/>
      <c r="W763" s="56"/>
    </row>
    <row r="764" spans="1:23" ht="15.75" customHeight="1">
      <c r="A764" s="56"/>
      <c r="B764" s="56"/>
      <c r="C764" s="56"/>
      <c r="D764" s="56"/>
      <c r="E764" s="56"/>
      <c r="F764" s="251"/>
      <c r="G764" s="251"/>
      <c r="H764" s="251"/>
      <c r="I764" s="56"/>
      <c r="J764" s="56"/>
      <c r="K764" s="56"/>
      <c r="L764" s="56"/>
      <c r="M764" s="160"/>
      <c r="N764" s="160"/>
      <c r="O764" s="251"/>
      <c r="P764" s="251"/>
      <c r="Q764" s="251"/>
      <c r="R764" s="56"/>
      <c r="S764" s="56"/>
      <c r="T764" s="56"/>
      <c r="U764" s="56"/>
      <c r="V764" s="250"/>
      <c r="W764" s="56"/>
    </row>
    <row r="765" spans="1:23" ht="15.75" customHeight="1">
      <c r="A765" s="56"/>
      <c r="B765" s="56"/>
      <c r="C765" s="56"/>
      <c r="D765" s="56"/>
      <c r="E765" s="56"/>
      <c r="F765" s="251"/>
      <c r="G765" s="251"/>
      <c r="H765" s="251"/>
      <c r="I765" s="56"/>
      <c r="J765" s="56"/>
      <c r="K765" s="56"/>
      <c r="L765" s="56"/>
      <c r="M765" s="160"/>
      <c r="N765" s="160"/>
      <c r="O765" s="251"/>
      <c r="P765" s="251"/>
      <c r="Q765" s="251"/>
      <c r="R765" s="56"/>
      <c r="S765" s="56"/>
      <c r="T765" s="56"/>
      <c r="U765" s="56"/>
      <c r="V765" s="250"/>
      <c r="W765" s="56"/>
    </row>
    <row r="766" spans="1:23" ht="15.75" customHeight="1">
      <c r="A766" s="56"/>
      <c r="B766" s="56"/>
      <c r="C766" s="56"/>
      <c r="D766" s="56"/>
      <c r="E766" s="56"/>
      <c r="F766" s="251"/>
      <c r="G766" s="251"/>
      <c r="H766" s="251"/>
      <c r="I766" s="56"/>
      <c r="J766" s="56"/>
      <c r="K766" s="56"/>
      <c r="L766" s="56"/>
      <c r="M766" s="160"/>
      <c r="N766" s="160"/>
      <c r="O766" s="251"/>
      <c r="P766" s="251"/>
      <c r="Q766" s="251"/>
      <c r="R766" s="56"/>
      <c r="S766" s="56"/>
      <c r="T766" s="56"/>
      <c r="U766" s="56"/>
      <c r="V766" s="250"/>
      <c r="W766" s="56"/>
    </row>
    <row r="767" spans="1:23" ht="15.75" customHeight="1">
      <c r="A767" s="56"/>
      <c r="B767" s="56"/>
      <c r="C767" s="56"/>
      <c r="D767" s="56"/>
      <c r="E767" s="56"/>
      <c r="F767" s="251"/>
      <c r="G767" s="251"/>
      <c r="H767" s="251"/>
      <c r="I767" s="56"/>
      <c r="J767" s="56"/>
      <c r="K767" s="56"/>
      <c r="L767" s="56"/>
      <c r="M767" s="160"/>
      <c r="N767" s="160"/>
      <c r="O767" s="251"/>
      <c r="P767" s="251"/>
      <c r="Q767" s="251"/>
      <c r="R767" s="56"/>
      <c r="S767" s="56"/>
      <c r="T767" s="56"/>
      <c r="U767" s="56"/>
      <c r="V767" s="250"/>
      <c r="W767" s="56"/>
    </row>
    <row r="768" spans="1:23" ht="15.75" customHeight="1">
      <c r="A768" s="56"/>
      <c r="B768" s="56"/>
      <c r="C768" s="56"/>
      <c r="D768" s="56"/>
      <c r="E768" s="56"/>
      <c r="F768" s="251"/>
      <c r="G768" s="251"/>
      <c r="H768" s="251"/>
      <c r="I768" s="56"/>
      <c r="J768" s="56"/>
      <c r="K768" s="56"/>
      <c r="L768" s="56"/>
      <c r="M768" s="160"/>
      <c r="N768" s="160"/>
      <c r="O768" s="251"/>
      <c r="P768" s="251"/>
      <c r="Q768" s="251"/>
      <c r="R768" s="56"/>
      <c r="S768" s="56"/>
      <c r="T768" s="56"/>
      <c r="U768" s="56"/>
      <c r="V768" s="250"/>
      <c r="W768" s="56"/>
    </row>
    <row r="769" spans="1:23" ht="15.75" customHeight="1">
      <c r="A769" s="56"/>
      <c r="B769" s="56"/>
      <c r="C769" s="56"/>
      <c r="D769" s="56"/>
      <c r="E769" s="56"/>
      <c r="F769" s="251"/>
      <c r="G769" s="251"/>
      <c r="H769" s="251"/>
      <c r="I769" s="56"/>
      <c r="J769" s="56"/>
      <c r="K769" s="56"/>
      <c r="L769" s="56"/>
      <c r="M769" s="160"/>
      <c r="N769" s="160"/>
      <c r="O769" s="251"/>
      <c r="P769" s="251"/>
      <c r="Q769" s="251"/>
      <c r="R769" s="56"/>
      <c r="S769" s="56"/>
      <c r="T769" s="56"/>
      <c r="U769" s="56"/>
      <c r="V769" s="250"/>
      <c r="W769" s="56"/>
    </row>
    <row r="770" spans="1:23" ht="15.75" customHeight="1">
      <c r="A770" s="56"/>
      <c r="B770" s="56"/>
      <c r="C770" s="56"/>
      <c r="D770" s="56"/>
      <c r="E770" s="56"/>
      <c r="F770" s="251"/>
      <c r="G770" s="251"/>
      <c r="H770" s="251"/>
      <c r="I770" s="56"/>
      <c r="J770" s="56"/>
      <c r="K770" s="56"/>
      <c r="L770" s="56"/>
      <c r="M770" s="160"/>
      <c r="N770" s="160"/>
      <c r="O770" s="251"/>
      <c r="P770" s="251"/>
      <c r="Q770" s="251"/>
      <c r="R770" s="56"/>
      <c r="S770" s="56"/>
      <c r="T770" s="56"/>
      <c r="U770" s="56"/>
      <c r="V770" s="250"/>
      <c r="W770" s="56"/>
    </row>
    <row r="771" spans="1:23" ht="15.75" customHeight="1">
      <c r="A771" s="56"/>
      <c r="B771" s="56"/>
      <c r="C771" s="56"/>
      <c r="D771" s="56"/>
      <c r="E771" s="56"/>
      <c r="F771" s="251"/>
      <c r="G771" s="251"/>
      <c r="H771" s="251"/>
      <c r="I771" s="56"/>
      <c r="J771" s="56"/>
      <c r="K771" s="56"/>
      <c r="L771" s="56"/>
      <c r="M771" s="160"/>
      <c r="N771" s="160"/>
      <c r="O771" s="251"/>
      <c r="P771" s="251"/>
      <c r="Q771" s="251"/>
      <c r="R771" s="56"/>
      <c r="S771" s="56"/>
      <c r="T771" s="56"/>
      <c r="U771" s="56"/>
      <c r="V771" s="250"/>
      <c r="W771" s="56"/>
    </row>
    <row r="772" spans="1:23" ht="15.75" customHeight="1">
      <c r="A772" s="56"/>
      <c r="B772" s="56"/>
      <c r="C772" s="56"/>
      <c r="D772" s="56"/>
      <c r="E772" s="56"/>
      <c r="F772" s="251"/>
      <c r="G772" s="251"/>
      <c r="H772" s="251"/>
      <c r="I772" s="56"/>
      <c r="J772" s="56"/>
      <c r="K772" s="56"/>
      <c r="L772" s="56"/>
      <c r="M772" s="160"/>
      <c r="N772" s="160"/>
      <c r="O772" s="251"/>
      <c r="P772" s="251"/>
      <c r="Q772" s="251"/>
      <c r="R772" s="56"/>
      <c r="S772" s="56"/>
      <c r="T772" s="56"/>
      <c r="U772" s="56"/>
      <c r="V772" s="250"/>
      <c r="W772" s="56"/>
    </row>
    <row r="773" spans="1:23" ht="15.75" customHeight="1">
      <c r="A773" s="56"/>
      <c r="B773" s="56"/>
      <c r="C773" s="56"/>
      <c r="D773" s="56"/>
      <c r="E773" s="56"/>
      <c r="F773" s="251"/>
      <c r="G773" s="251"/>
      <c r="H773" s="251"/>
      <c r="I773" s="56"/>
      <c r="J773" s="56"/>
      <c r="K773" s="56"/>
      <c r="L773" s="56"/>
      <c r="M773" s="160"/>
      <c r="N773" s="160"/>
      <c r="O773" s="251"/>
      <c r="P773" s="251"/>
      <c r="Q773" s="251"/>
      <c r="R773" s="56"/>
      <c r="S773" s="56"/>
      <c r="T773" s="56"/>
      <c r="U773" s="56"/>
      <c r="V773" s="250"/>
      <c r="W773" s="56"/>
    </row>
    <row r="774" spans="1:23" ht="15.75" customHeight="1">
      <c r="A774" s="56"/>
      <c r="B774" s="56"/>
      <c r="C774" s="56"/>
      <c r="D774" s="56"/>
      <c r="E774" s="56"/>
      <c r="F774" s="251"/>
      <c r="G774" s="251"/>
      <c r="H774" s="251"/>
      <c r="I774" s="56"/>
      <c r="J774" s="56"/>
      <c r="K774" s="56"/>
      <c r="L774" s="56"/>
      <c r="M774" s="160"/>
      <c r="N774" s="160"/>
      <c r="O774" s="251"/>
      <c r="P774" s="251"/>
      <c r="Q774" s="251"/>
      <c r="R774" s="56"/>
      <c r="S774" s="56"/>
      <c r="T774" s="56"/>
      <c r="U774" s="56"/>
      <c r="V774" s="250"/>
      <c r="W774" s="56"/>
    </row>
    <row r="775" spans="1:23" ht="15.75" customHeight="1">
      <c r="A775" s="56"/>
      <c r="B775" s="56"/>
      <c r="C775" s="56"/>
      <c r="D775" s="56"/>
      <c r="E775" s="56"/>
      <c r="F775" s="251"/>
      <c r="G775" s="251"/>
      <c r="H775" s="251"/>
      <c r="I775" s="56"/>
      <c r="J775" s="56"/>
      <c r="K775" s="56"/>
      <c r="L775" s="56"/>
      <c r="M775" s="160"/>
      <c r="N775" s="160"/>
      <c r="O775" s="251"/>
      <c r="P775" s="251"/>
      <c r="Q775" s="251"/>
      <c r="R775" s="56"/>
      <c r="S775" s="56"/>
      <c r="T775" s="56"/>
      <c r="U775" s="56"/>
      <c r="V775" s="250"/>
      <c r="W775" s="56"/>
    </row>
    <row r="776" spans="1:23" ht="15.75" customHeight="1">
      <c r="A776" s="56"/>
      <c r="B776" s="56"/>
      <c r="C776" s="56"/>
      <c r="D776" s="56"/>
      <c r="E776" s="56"/>
      <c r="F776" s="251"/>
      <c r="G776" s="251"/>
      <c r="H776" s="251"/>
      <c r="I776" s="56"/>
      <c r="J776" s="56"/>
      <c r="K776" s="56"/>
      <c r="L776" s="56"/>
      <c r="M776" s="160"/>
      <c r="N776" s="160"/>
      <c r="O776" s="251"/>
      <c r="P776" s="251"/>
      <c r="Q776" s="251"/>
      <c r="R776" s="56"/>
      <c r="S776" s="56"/>
      <c r="T776" s="56"/>
      <c r="U776" s="56"/>
      <c r="V776" s="250"/>
      <c r="W776" s="56"/>
    </row>
    <row r="777" spans="1:23" ht="15.75" customHeight="1">
      <c r="A777" s="56"/>
      <c r="B777" s="56"/>
      <c r="C777" s="56"/>
      <c r="D777" s="56"/>
      <c r="E777" s="56"/>
      <c r="F777" s="251"/>
      <c r="G777" s="251"/>
      <c r="H777" s="251"/>
      <c r="I777" s="56"/>
      <c r="J777" s="56"/>
      <c r="K777" s="56"/>
      <c r="L777" s="56"/>
      <c r="M777" s="160"/>
      <c r="N777" s="160"/>
      <c r="O777" s="251"/>
      <c r="P777" s="251"/>
      <c r="Q777" s="251"/>
      <c r="R777" s="56"/>
      <c r="S777" s="56"/>
      <c r="T777" s="56"/>
      <c r="U777" s="56"/>
      <c r="V777" s="250"/>
      <c r="W777" s="56"/>
    </row>
    <row r="778" spans="1:23" ht="15.75" customHeight="1">
      <c r="A778" s="56"/>
      <c r="B778" s="56"/>
      <c r="C778" s="56"/>
      <c r="D778" s="56"/>
      <c r="E778" s="56"/>
      <c r="F778" s="251"/>
      <c r="G778" s="251"/>
      <c r="H778" s="251"/>
      <c r="I778" s="56"/>
      <c r="J778" s="56"/>
      <c r="K778" s="56"/>
      <c r="L778" s="56"/>
      <c r="M778" s="160"/>
      <c r="N778" s="160"/>
      <c r="O778" s="251"/>
      <c r="P778" s="251"/>
      <c r="Q778" s="251"/>
      <c r="R778" s="56"/>
      <c r="S778" s="56"/>
      <c r="T778" s="56"/>
      <c r="U778" s="56"/>
      <c r="V778" s="250"/>
      <c r="W778" s="56"/>
    </row>
    <row r="779" spans="1:23" ht="15.75" customHeight="1">
      <c r="A779" s="56"/>
      <c r="B779" s="56"/>
      <c r="C779" s="56"/>
      <c r="D779" s="56"/>
      <c r="E779" s="56"/>
      <c r="F779" s="251"/>
      <c r="G779" s="251"/>
      <c r="H779" s="251"/>
      <c r="I779" s="56"/>
      <c r="J779" s="56"/>
      <c r="K779" s="56"/>
      <c r="L779" s="56"/>
      <c r="M779" s="160"/>
      <c r="N779" s="160"/>
      <c r="O779" s="251"/>
      <c r="P779" s="251"/>
      <c r="Q779" s="251"/>
      <c r="R779" s="56"/>
      <c r="S779" s="56"/>
      <c r="T779" s="56"/>
      <c r="U779" s="56"/>
      <c r="V779" s="250"/>
      <c r="W779" s="56"/>
    </row>
    <row r="780" spans="1:23" ht="15.75" customHeight="1">
      <c r="A780" s="56"/>
      <c r="B780" s="56"/>
      <c r="C780" s="56"/>
      <c r="D780" s="56"/>
      <c r="E780" s="56"/>
      <c r="F780" s="251"/>
      <c r="G780" s="251"/>
      <c r="H780" s="251"/>
      <c r="I780" s="56"/>
      <c r="J780" s="56"/>
      <c r="K780" s="56"/>
      <c r="L780" s="56"/>
      <c r="M780" s="160"/>
      <c r="N780" s="160"/>
      <c r="O780" s="251"/>
      <c r="P780" s="251"/>
      <c r="Q780" s="251"/>
      <c r="R780" s="56"/>
      <c r="S780" s="56"/>
      <c r="T780" s="56"/>
      <c r="U780" s="56"/>
      <c r="V780" s="250"/>
      <c r="W780" s="56"/>
    </row>
    <row r="781" spans="1:23" ht="15.75" customHeight="1">
      <c r="A781" s="56"/>
      <c r="B781" s="56"/>
      <c r="C781" s="56"/>
      <c r="D781" s="56"/>
      <c r="E781" s="56"/>
      <c r="F781" s="251"/>
      <c r="G781" s="251"/>
      <c r="H781" s="251"/>
      <c r="I781" s="56"/>
      <c r="J781" s="56"/>
      <c r="K781" s="56"/>
      <c r="L781" s="56"/>
      <c r="M781" s="160"/>
      <c r="N781" s="160"/>
      <c r="O781" s="251"/>
      <c r="P781" s="251"/>
      <c r="Q781" s="251"/>
      <c r="R781" s="56"/>
      <c r="S781" s="56"/>
      <c r="T781" s="56"/>
      <c r="U781" s="56"/>
      <c r="V781" s="250"/>
      <c r="W781" s="56"/>
    </row>
    <row r="782" spans="1:23" ht="15.75" customHeight="1">
      <c r="A782" s="56"/>
      <c r="B782" s="56"/>
      <c r="C782" s="56"/>
      <c r="D782" s="56"/>
      <c r="E782" s="56"/>
      <c r="F782" s="251"/>
      <c r="G782" s="251"/>
      <c r="H782" s="251"/>
      <c r="I782" s="56"/>
      <c r="J782" s="56"/>
      <c r="K782" s="56"/>
      <c r="L782" s="56"/>
      <c r="M782" s="160"/>
      <c r="N782" s="160"/>
      <c r="O782" s="251"/>
      <c r="P782" s="251"/>
      <c r="Q782" s="251"/>
      <c r="R782" s="56"/>
      <c r="S782" s="56"/>
      <c r="T782" s="56"/>
      <c r="U782" s="56"/>
      <c r="V782" s="250"/>
      <c r="W782" s="56"/>
    </row>
    <row r="783" spans="1:23" ht="15.75" customHeight="1">
      <c r="A783" s="56"/>
      <c r="B783" s="56"/>
      <c r="C783" s="56"/>
      <c r="D783" s="56"/>
      <c r="E783" s="56"/>
      <c r="F783" s="251"/>
      <c r="G783" s="251"/>
      <c r="H783" s="251"/>
      <c r="I783" s="56"/>
      <c r="J783" s="56"/>
      <c r="K783" s="56"/>
      <c r="L783" s="56"/>
      <c r="M783" s="160"/>
      <c r="N783" s="160"/>
      <c r="O783" s="251"/>
      <c r="P783" s="251"/>
      <c r="Q783" s="251"/>
      <c r="R783" s="56"/>
      <c r="S783" s="56"/>
      <c r="T783" s="56"/>
      <c r="U783" s="56"/>
      <c r="V783" s="250"/>
      <c r="W783" s="56"/>
    </row>
    <row r="784" spans="1:23" ht="15.75" customHeight="1">
      <c r="A784" s="56"/>
      <c r="B784" s="56"/>
      <c r="C784" s="56"/>
      <c r="D784" s="56"/>
      <c r="E784" s="56"/>
      <c r="F784" s="251"/>
      <c r="G784" s="251"/>
      <c r="H784" s="251"/>
      <c r="I784" s="56"/>
      <c r="J784" s="56"/>
      <c r="K784" s="56"/>
      <c r="L784" s="56"/>
      <c r="M784" s="160"/>
      <c r="N784" s="160"/>
      <c r="O784" s="251"/>
      <c r="P784" s="251"/>
      <c r="Q784" s="251"/>
      <c r="R784" s="56"/>
      <c r="S784" s="56"/>
      <c r="T784" s="56"/>
      <c r="U784" s="56"/>
      <c r="V784" s="250"/>
      <c r="W784" s="56"/>
    </row>
    <row r="785" spans="1:23" ht="15.75" customHeight="1">
      <c r="A785" s="56"/>
      <c r="B785" s="56"/>
      <c r="C785" s="56"/>
      <c r="D785" s="56"/>
      <c r="E785" s="56"/>
      <c r="F785" s="251"/>
      <c r="G785" s="251"/>
      <c r="H785" s="251"/>
      <c r="I785" s="56"/>
      <c r="J785" s="56"/>
      <c r="K785" s="56"/>
      <c r="L785" s="56"/>
      <c r="M785" s="160"/>
      <c r="N785" s="160"/>
      <c r="O785" s="251"/>
      <c r="P785" s="251"/>
      <c r="Q785" s="251"/>
      <c r="R785" s="56"/>
      <c r="S785" s="56"/>
      <c r="T785" s="56"/>
      <c r="U785" s="56"/>
      <c r="V785" s="250"/>
      <c r="W785" s="56"/>
    </row>
    <row r="786" spans="1:23" ht="15.75" customHeight="1">
      <c r="A786" s="56"/>
      <c r="B786" s="56"/>
      <c r="C786" s="56"/>
      <c r="D786" s="56"/>
      <c r="E786" s="56"/>
      <c r="F786" s="251"/>
      <c r="G786" s="251"/>
      <c r="H786" s="251"/>
      <c r="I786" s="56"/>
      <c r="J786" s="56"/>
      <c r="K786" s="56"/>
      <c r="L786" s="56"/>
      <c r="M786" s="160"/>
      <c r="N786" s="160"/>
      <c r="O786" s="251"/>
      <c r="P786" s="251"/>
      <c r="Q786" s="251"/>
      <c r="R786" s="56"/>
      <c r="S786" s="56"/>
      <c r="T786" s="56"/>
      <c r="U786" s="56"/>
      <c r="V786" s="250"/>
      <c r="W786" s="56"/>
    </row>
    <row r="787" spans="1:23" ht="15.75" customHeight="1">
      <c r="A787" s="56"/>
      <c r="B787" s="56"/>
      <c r="C787" s="56"/>
      <c r="D787" s="56"/>
      <c r="E787" s="56"/>
      <c r="F787" s="251"/>
      <c r="G787" s="251"/>
      <c r="H787" s="251"/>
      <c r="I787" s="56"/>
      <c r="J787" s="56"/>
      <c r="K787" s="56"/>
      <c r="L787" s="56"/>
      <c r="M787" s="160"/>
      <c r="N787" s="160"/>
      <c r="O787" s="251"/>
      <c r="P787" s="251"/>
      <c r="Q787" s="251"/>
      <c r="R787" s="56"/>
      <c r="S787" s="56"/>
      <c r="T787" s="56"/>
      <c r="U787" s="56"/>
      <c r="V787" s="250"/>
      <c r="W787" s="56"/>
    </row>
    <row r="788" spans="1:23" ht="15.75" customHeight="1">
      <c r="A788" s="56"/>
      <c r="B788" s="56"/>
      <c r="C788" s="56"/>
      <c r="D788" s="56"/>
      <c r="E788" s="56"/>
      <c r="F788" s="251"/>
      <c r="G788" s="251"/>
      <c r="H788" s="251"/>
      <c r="I788" s="56"/>
      <c r="J788" s="56"/>
      <c r="K788" s="56"/>
      <c r="L788" s="56"/>
      <c r="M788" s="160"/>
      <c r="N788" s="160"/>
      <c r="O788" s="251"/>
      <c r="P788" s="251"/>
      <c r="Q788" s="251"/>
      <c r="R788" s="56"/>
      <c r="S788" s="56"/>
      <c r="T788" s="56"/>
      <c r="U788" s="56"/>
      <c r="V788" s="250"/>
      <c r="W788" s="56"/>
    </row>
    <row r="789" spans="1:23" ht="15.75" customHeight="1">
      <c r="A789" s="56"/>
      <c r="B789" s="56"/>
      <c r="C789" s="56"/>
      <c r="D789" s="56"/>
      <c r="E789" s="56"/>
      <c r="F789" s="251"/>
      <c r="G789" s="251"/>
      <c r="H789" s="251"/>
      <c r="I789" s="56"/>
      <c r="J789" s="56"/>
      <c r="K789" s="56"/>
      <c r="L789" s="56"/>
      <c r="M789" s="160"/>
      <c r="N789" s="160"/>
      <c r="O789" s="251"/>
      <c r="P789" s="251"/>
      <c r="Q789" s="251"/>
      <c r="R789" s="56"/>
      <c r="S789" s="56"/>
      <c r="T789" s="56"/>
      <c r="U789" s="56"/>
      <c r="V789" s="250"/>
      <c r="W789" s="56"/>
    </row>
    <row r="790" spans="1:23" ht="15.75" customHeight="1">
      <c r="A790" s="56"/>
      <c r="B790" s="56"/>
      <c r="C790" s="56"/>
      <c r="D790" s="56"/>
      <c r="E790" s="56"/>
      <c r="F790" s="251"/>
      <c r="G790" s="251"/>
      <c r="H790" s="251"/>
      <c r="I790" s="56"/>
      <c r="J790" s="56"/>
      <c r="K790" s="56"/>
      <c r="L790" s="56"/>
      <c r="M790" s="160"/>
      <c r="N790" s="160"/>
      <c r="O790" s="251"/>
      <c r="P790" s="251"/>
      <c r="Q790" s="251"/>
      <c r="R790" s="56"/>
      <c r="S790" s="56"/>
      <c r="T790" s="56"/>
      <c r="U790" s="56"/>
      <c r="V790" s="250"/>
      <c r="W790" s="56"/>
    </row>
    <row r="791" spans="1:23" ht="15.75" customHeight="1">
      <c r="A791" s="56"/>
      <c r="B791" s="56"/>
      <c r="C791" s="56"/>
      <c r="D791" s="56"/>
      <c r="E791" s="56"/>
      <c r="F791" s="251"/>
      <c r="G791" s="251"/>
      <c r="H791" s="251"/>
      <c r="I791" s="56"/>
      <c r="J791" s="56"/>
      <c r="K791" s="56"/>
      <c r="L791" s="56"/>
      <c r="M791" s="160"/>
      <c r="N791" s="160"/>
      <c r="O791" s="251"/>
      <c r="P791" s="251"/>
      <c r="Q791" s="251"/>
      <c r="R791" s="56"/>
      <c r="S791" s="56"/>
      <c r="T791" s="56"/>
      <c r="U791" s="56"/>
      <c r="V791" s="250"/>
      <c r="W791" s="56"/>
    </row>
    <row r="792" spans="1:23" ht="15.75" customHeight="1">
      <c r="A792" s="56"/>
      <c r="B792" s="56"/>
      <c r="C792" s="56"/>
      <c r="D792" s="56"/>
      <c r="E792" s="56"/>
      <c r="F792" s="251"/>
      <c r="G792" s="251"/>
      <c r="H792" s="251"/>
      <c r="I792" s="56"/>
      <c r="J792" s="56"/>
      <c r="K792" s="56"/>
      <c r="L792" s="56"/>
      <c r="M792" s="160"/>
      <c r="N792" s="160"/>
      <c r="O792" s="251"/>
      <c r="P792" s="251"/>
      <c r="Q792" s="251"/>
      <c r="R792" s="56"/>
      <c r="S792" s="56"/>
      <c r="T792" s="56"/>
      <c r="U792" s="56"/>
      <c r="V792" s="250"/>
      <c r="W792" s="56"/>
    </row>
    <row r="793" spans="1:23" ht="15.75" customHeight="1">
      <c r="A793" s="56"/>
      <c r="B793" s="56"/>
      <c r="C793" s="56"/>
      <c r="D793" s="56"/>
      <c r="E793" s="56"/>
      <c r="F793" s="251"/>
      <c r="G793" s="251"/>
      <c r="H793" s="251"/>
      <c r="I793" s="56"/>
      <c r="J793" s="56"/>
      <c r="K793" s="56"/>
      <c r="L793" s="56"/>
      <c r="M793" s="160"/>
      <c r="N793" s="160"/>
      <c r="O793" s="251"/>
      <c r="P793" s="251"/>
      <c r="Q793" s="251"/>
      <c r="R793" s="56"/>
      <c r="S793" s="56"/>
      <c r="T793" s="56"/>
      <c r="U793" s="56"/>
      <c r="V793" s="250"/>
      <c r="W793" s="56"/>
    </row>
    <row r="794" spans="1:23" ht="15.75" customHeight="1">
      <c r="A794" s="56"/>
      <c r="B794" s="56"/>
      <c r="C794" s="56"/>
      <c r="D794" s="56"/>
      <c r="E794" s="56"/>
      <c r="F794" s="251"/>
      <c r="G794" s="251"/>
      <c r="H794" s="251"/>
      <c r="I794" s="56"/>
      <c r="J794" s="56"/>
      <c r="K794" s="56"/>
      <c r="L794" s="56"/>
      <c r="M794" s="160"/>
      <c r="N794" s="160"/>
      <c r="O794" s="251"/>
      <c r="P794" s="251"/>
      <c r="Q794" s="251"/>
      <c r="R794" s="56"/>
      <c r="S794" s="56"/>
      <c r="T794" s="56"/>
      <c r="U794" s="56"/>
      <c r="V794" s="250"/>
      <c r="W794" s="56"/>
    </row>
    <row r="795" spans="1:23" ht="15.75" customHeight="1">
      <c r="A795" s="56"/>
      <c r="B795" s="56"/>
      <c r="C795" s="56"/>
      <c r="D795" s="56"/>
      <c r="E795" s="56"/>
      <c r="F795" s="251"/>
      <c r="G795" s="251"/>
      <c r="H795" s="251"/>
      <c r="I795" s="56"/>
      <c r="J795" s="56"/>
      <c r="K795" s="56"/>
      <c r="L795" s="56"/>
      <c r="M795" s="160"/>
      <c r="N795" s="160"/>
      <c r="O795" s="251"/>
      <c r="P795" s="251"/>
      <c r="Q795" s="251"/>
      <c r="R795" s="56"/>
      <c r="S795" s="56"/>
      <c r="T795" s="56"/>
      <c r="U795" s="56"/>
      <c r="V795" s="250"/>
      <c r="W795" s="56"/>
    </row>
    <row r="796" spans="1:23" ht="15.75" customHeight="1">
      <c r="A796" s="56"/>
      <c r="B796" s="56"/>
      <c r="C796" s="56"/>
      <c r="D796" s="56"/>
      <c r="E796" s="56"/>
      <c r="F796" s="251"/>
      <c r="G796" s="251"/>
      <c r="H796" s="251"/>
      <c r="I796" s="56"/>
      <c r="J796" s="56"/>
      <c r="K796" s="56"/>
      <c r="L796" s="56"/>
      <c r="M796" s="160"/>
      <c r="N796" s="160"/>
      <c r="O796" s="251"/>
      <c r="P796" s="251"/>
      <c r="Q796" s="251"/>
      <c r="R796" s="56"/>
      <c r="S796" s="56"/>
      <c r="T796" s="56"/>
      <c r="U796" s="56"/>
      <c r="V796" s="250"/>
      <c r="W796" s="56"/>
    </row>
    <row r="797" spans="1:23" ht="15.75" customHeight="1">
      <c r="A797" s="56"/>
      <c r="B797" s="56"/>
      <c r="C797" s="56"/>
      <c r="D797" s="56"/>
      <c r="E797" s="56"/>
      <c r="F797" s="251"/>
      <c r="G797" s="251"/>
      <c r="H797" s="251"/>
      <c r="I797" s="56"/>
      <c r="J797" s="56"/>
      <c r="K797" s="56"/>
      <c r="L797" s="56"/>
      <c r="M797" s="160"/>
      <c r="N797" s="160"/>
      <c r="O797" s="251"/>
      <c r="P797" s="251"/>
      <c r="Q797" s="251"/>
      <c r="R797" s="56"/>
      <c r="S797" s="56"/>
      <c r="T797" s="56"/>
      <c r="U797" s="56"/>
      <c r="V797" s="250"/>
      <c r="W797" s="56"/>
    </row>
    <row r="798" spans="1:23" ht="15.75" customHeight="1">
      <c r="A798" s="56"/>
      <c r="B798" s="56"/>
      <c r="C798" s="56"/>
      <c r="D798" s="56"/>
      <c r="E798" s="56"/>
      <c r="F798" s="251"/>
      <c r="G798" s="251"/>
      <c r="H798" s="251"/>
      <c r="I798" s="56"/>
      <c r="J798" s="56"/>
      <c r="K798" s="56"/>
      <c r="L798" s="56"/>
      <c r="M798" s="160"/>
      <c r="N798" s="160"/>
      <c r="O798" s="251"/>
      <c r="P798" s="251"/>
      <c r="Q798" s="251"/>
      <c r="R798" s="56"/>
      <c r="S798" s="56"/>
      <c r="T798" s="56"/>
      <c r="U798" s="56"/>
      <c r="V798" s="250"/>
      <c r="W798" s="56"/>
    </row>
    <row r="799" spans="1:23" ht="15.75" customHeight="1">
      <c r="A799" s="56"/>
      <c r="B799" s="56"/>
      <c r="C799" s="56"/>
      <c r="D799" s="56"/>
      <c r="E799" s="56"/>
      <c r="F799" s="251"/>
      <c r="G799" s="251"/>
      <c r="H799" s="251"/>
      <c r="I799" s="56"/>
      <c r="J799" s="56"/>
      <c r="K799" s="56"/>
      <c r="L799" s="56"/>
      <c r="M799" s="160"/>
      <c r="N799" s="160"/>
      <c r="O799" s="251"/>
      <c r="P799" s="251"/>
      <c r="Q799" s="251"/>
      <c r="R799" s="56"/>
      <c r="S799" s="56"/>
      <c r="T799" s="56"/>
      <c r="U799" s="56"/>
      <c r="V799" s="250"/>
      <c r="W799" s="56"/>
    </row>
    <row r="800" spans="1:23" ht="15.75" customHeight="1">
      <c r="A800" s="56"/>
      <c r="B800" s="56"/>
      <c r="C800" s="56"/>
      <c r="D800" s="56"/>
      <c r="E800" s="56"/>
      <c r="F800" s="251"/>
      <c r="G800" s="251"/>
      <c r="H800" s="251"/>
      <c r="I800" s="56"/>
      <c r="J800" s="56"/>
      <c r="K800" s="56"/>
      <c r="L800" s="56"/>
      <c r="M800" s="160"/>
      <c r="N800" s="160"/>
      <c r="O800" s="251"/>
      <c r="P800" s="251"/>
      <c r="Q800" s="251"/>
      <c r="R800" s="56"/>
      <c r="S800" s="56"/>
      <c r="T800" s="56"/>
      <c r="U800" s="56"/>
      <c r="V800" s="250"/>
      <c r="W800" s="56"/>
    </row>
    <row r="801" spans="1:23" ht="15.75" customHeight="1">
      <c r="A801" s="56"/>
      <c r="B801" s="56"/>
      <c r="C801" s="56"/>
      <c r="D801" s="56"/>
      <c r="E801" s="56"/>
      <c r="F801" s="251"/>
      <c r="G801" s="251"/>
      <c r="H801" s="251"/>
      <c r="I801" s="56"/>
      <c r="J801" s="56"/>
      <c r="K801" s="56"/>
      <c r="L801" s="56"/>
      <c r="M801" s="160"/>
      <c r="N801" s="160"/>
      <c r="O801" s="251"/>
      <c r="P801" s="251"/>
      <c r="Q801" s="251"/>
      <c r="R801" s="56"/>
      <c r="S801" s="56"/>
      <c r="T801" s="56"/>
      <c r="U801" s="56"/>
      <c r="V801" s="250"/>
      <c r="W801" s="56"/>
    </row>
    <row r="802" spans="1:23" ht="15.75" customHeight="1">
      <c r="A802" s="56"/>
      <c r="B802" s="56"/>
      <c r="C802" s="56"/>
      <c r="D802" s="56"/>
      <c r="E802" s="56"/>
      <c r="F802" s="251"/>
      <c r="G802" s="251"/>
      <c r="H802" s="251"/>
      <c r="I802" s="56"/>
      <c r="J802" s="56"/>
      <c r="K802" s="56"/>
      <c r="L802" s="56"/>
      <c r="M802" s="160"/>
      <c r="N802" s="160"/>
      <c r="O802" s="251"/>
      <c r="P802" s="251"/>
      <c r="Q802" s="251"/>
      <c r="R802" s="56"/>
      <c r="S802" s="56"/>
      <c r="T802" s="56"/>
      <c r="U802" s="56"/>
      <c r="V802" s="250"/>
      <c r="W802" s="56"/>
    </row>
    <row r="803" spans="1:23" ht="15.75" customHeight="1">
      <c r="A803" s="56"/>
      <c r="B803" s="56"/>
      <c r="C803" s="56"/>
      <c r="D803" s="56"/>
      <c r="E803" s="56"/>
      <c r="F803" s="251"/>
      <c r="G803" s="251"/>
      <c r="H803" s="251"/>
      <c r="I803" s="56"/>
      <c r="J803" s="56"/>
      <c r="K803" s="56"/>
      <c r="L803" s="56"/>
      <c r="M803" s="160"/>
      <c r="N803" s="160"/>
      <c r="O803" s="251"/>
      <c r="P803" s="251"/>
      <c r="Q803" s="251"/>
      <c r="R803" s="56"/>
      <c r="S803" s="56"/>
      <c r="T803" s="56"/>
      <c r="U803" s="56"/>
      <c r="V803" s="250"/>
      <c r="W803" s="56"/>
    </row>
    <row r="804" spans="1:23" ht="15.75" customHeight="1">
      <c r="A804" s="56"/>
      <c r="B804" s="56"/>
      <c r="C804" s="56"/>
      <c r="D804" s="56"/>
      <c r="E804" s="56"/>
      <c r="F804" s="251"/>
      <c r="G804" s="251"/>
      <c r="H804" s="251"/>
      <c r="I804" s="56"/>
      <c r="J804" s="56"/>
      <c r="K804" s="56"/>
      <c r="L804" s="56"/>
      <c r="M804" s="160"/>
      <c r="N804" s="160"/>
      <c r="O804" s="251"/>
      <c r="P804" s="251"/>
      <c r="Q804" s="251"/>
      <c r="R804" s="56"/>
      <c r="S804" s="56"/>
      <c r="T804" s="56"/>
      <c r="U804" s="56"/>
      <c r="V804" s="250"/>
      <c r="W804" s="56"/>
    </row>
    <row r="805" spans="1:23" ht="15.75" customHeight="1">
      <c r="A805" s="56"/>
      <c r="B805" s="56"/>
      <c r="C805" s="56"/>
      <c r="D805" s="56"/>
      <c r="E805" s="56"/>
      <c r="F805" s="251"/>
      <c r="G805" s="251"/>
      <c r="H805" s="251"/>
      <c r="I805" s="56"/>
      <c r="J805" s="56"/>
      <c r="K805" s="56"/>
      <c r="L805" s="56"/>
      <c r="M805" s="160"/>
      <c r="N805" s="160"/>
      <c r="O805" s="251"/>
      <c r="P805" s="251"/>
      <c r="Q805" s="251"/>
      <c r="R805" s="56"/>
      <c r="S805" s="56"/>
      <c r="T805" s="56"/>
      <c r="U805" s="56"/>
      <c r="V805" s="250"/>
      <c r="W805" s="56"/>
    </row>
    <row r="806" spans="1:23" ht="15.75" customHeight="1">
      <c r="A806" s="56"/>
      <c r="B806" s="56"/>
      <c r="C806" s="56"/>
      <c r="D806" s="56"/>
      <c r="E806" s="56"/>
      <c r="F806" s="251"/>
      <c r="G806" s="251"/>
      <c r="H806" s="251"/>
      <c r="I806" s="56"/>
      <c r="J806" s="56"/>
      <c r="K806" s="56"/>
      <c r="L806" s="56"/>
      <c r="M806" s="160"/>
      <c r="N806" s="160"/>
      <c r="O806" s="251"/>
      <c r="P806" s="251"/>
      <c r="Q806" s="251"/>
      <c r="R806" s="56"/>
      <c r="S806" s="56"/>
      <c r="T806" s="56"/>
      <c r="U806" s="56"/>
      <c r="V806" s="250"/>
      <c r="W806" s="56"/>
    </row>
    <row r="807" spans="1:23" ht="15.75" customHeight="1">
      <c r="A807" s="56"/>
      <c r="B807" s="56"/>
      <c r="C807" s="56"/>
      <c r="D807" s="56"/>
      <c r="E807" s="56"/>
      <c r="F807" s="251"/>
      <c r="G807" s="251"/>
      <c r="H807" s="251"/>
      <c r="I807" s="56"/>
      <c r="J807" s="56"/>
      <c r="K807" s="56"/>
      <c r="L807" s="56"/>
      <c r="M807" s="160"/>
      <c r="N807" s="160"/>
      <c r="O807" s="251"/>
      <c r="P807" s="251"/>
      <c r="Q807" s="251"/>
      <c r="R807" s="56"/>
      <c r="S807" s="56"/>
      <c r="T807" s="56"/>
      <c r="U807" s="56"/>
      <c r="V807" s="250"/>
      <c r="W807" s="56"/>
    </row>
    <row r="808" spans="1:23" ht="15.75" customHeight="1">
      <c r="A808" s="56"/>
      <c r="B808" s="56"/>
      <c r="C808" s="56"/>
      <c r="D808" s="56"/>
      <c r="E808" s="56"/>
      <c r="F808" s="251"/>
      <c r="G808" s="251"/>
      <c r="H808" s="251"/>
      <c r="I808" s="56"/>
      <c r="J808" s="56"/>
      <c r="K808" s="56"/>
      <c r="L808" s="56"/>
      <c r="M808" s="160"/>
      <c r="N808" s="160"/>
      <c r="O808" s="251"/>
      <c r="P808" s="251"/>
      <c r="Q808" s="251"/>
      <c r="R808" s="56"/>
      <c r="S808" s="56"/>
      <c r="T808" s="56"/>
      <c r="U808" s="56"/>
      <c r="V808" s="250"/>
      <c r="W808" s="56"/>
    </row>
    <row r="809" spans="1:23" ht="15.75" customHeight="1">
      <c r="A809" s="56"/>
      <c r="B809" s="56"/>
      <c r="C809" s="56"/>
      <c r="D809" s="56"/>
      <c r="E809" s="56"/>
      <c r="F809" s="251"/>
      <c r="G809" s="251"/>
      <c r="H809" s="251"/>
      <c r="I809" s="56"/>
      <c r="J809" s="56"/>
      <c r="K809" s="56"/>
      <c r="L809" s="56"/>
      <c r="M809" s="160"/>
      <c r="N809" s="160"/>
      <c r="O809" s="251"/>
      <c r="P809" s="251"/>
      <c r="Q809" s="251"/>
      <c r="R809" s="56"/>
      <c r="S809" s="56"/>
      <c r="T809" s="56"/>
      <c r="U809" s="56"/>
      <c r="V809" s="250"/>
      <c r="W809" s="56"/>
    </row>
    <row r="810" spans="1:23" ht="15.75" customHeight="1">
      <c r="A810" s="56"/>
      <c r="B810" s="56"/>
      <c r="C810" s="56"/>
      <c r="D810" s="56"/>
      <c r="E810" s="56"/>
      <c r="F810" s="251"/>
      <c r="G810" s="251"/>
      <c r="H810" s="251"/>
      <c r="I810" s="56"/>
      <c r="J810" s="56"/>
      <c r="K810" s="56"/>
      <c r="L810" s="56"/>
      <c r="M810" s="160"/>
      <c r="N810" s="160"/>
      <c r="O810" s="251"/>
      <c r="P810" s="251"/>
      <c r="Q810" s="251"/>
      <c r="R810" s="56"/>
      <c r="S810" s="56"/>
      <c r="T810" s="56"/>
      <c r="U810" s="56"/>
      <c r="V810" s="250"/>
      <c r="W810" s="56"/>
    </row>
    <row r="811" spans="1:23" ht="15.75" customHeight="1">
      <c r="A811" s="56"/>
      <c r="B811" s="56"/>
      <c r="C811" s="56"/>
      <c r="D811" s="56"/>
      <c r="E811" s="56"/>
      <c r="F811" s="251"/>
      <c r="G811" s="251"/>
      <c r="H811" s="251"/>
      <c r="I811" s="56"/>
      <c r="J811" s="56"/>
      <c r="K811" s="56"/>
      <c r="L811" s="56"/>
      <c r="M811" s="160"/>
      <c r="N811" s="160"/>
      <c r="O811" s="251"/>
      <c r="P811" s="251"/>
      <c r="Q811" s="251"/>
      <c r="R811" s="56"/>
      <c r="S811" s="56"/>
      <c r="T811" s="56"/>
      <c r="U811" s="56"/>
      <c r="V811" s="250"/>
      <c r="W811" s="56"/>
    </row>
    <row r="812" spans="1:23" ht="15.75" customHeight="1">
      <c r="A812" s="56"/>
      <c r="B812" s="56"/>
      <c r="C812" s="56"/>
      <c r="D812" s="56"/>
      <c r="E812" s="56"/>
      <c r="F812" s="251"/>
      <c r="G812" s="251"/>
      <c r="H812" s="251"/>
      <c r="I812" s="56"/>
      <c r="J812" s="56"/>
      <c r="K812" s="56"/>
      <c r="L812" s="56"/>
      <c r="M812" s="160"/>
      <c r="N812" s="160"/>
      <c r="O812" s="251"/>
      <c r="P812" s="251"/>
      <c r="Q812" s="251"/>
      <c r="R812" s="56"/>
      <c r="S812" s="56"/>
      <c r="T812" s="56"/>
      <c r="U812" s="56"/>
      <c r="V812" s="250"/>
      <c r="W812" s="56"/>
    </row>
    <row r="813" spans="1:23" ht="15.75" customHeight="1">
      <c r="A813" s="56"/>
      <c r="B813" s="56"/>
      <c r="C813" s="56"/>
      <c r="D813" s="56"/>
      <c r="E813" s="56"/>
      <c r="F813" s="251"/>
      <c r="G813" s="251"/>
      <c r="H813" s="251"/>
      <c r="I813" s="56"/>
      <c r="J813" s="56"/>
      <c r="K813" s="56"/>
      <c r="L813" s="56"/>
      <c r="M813" s="160"/>
      <c r="N813" s="160"/>
      <c r="O813" s="251"/>
      <c r="P813" s="251"/>
      <c r="Q813" s="251"/>
      <c r="R813" s="56"/>
      <c r="S813" s="56"/>
      <c r="T813" s="56"/>
      <c r="U813" s="56"/>
      <c r="V813" s="250"/>
      <c r="W813" s="56"/>
    </row>
    <row r="814" spans="1:23" ht="15.75" customHeight="1">
      <c r="A814" s="56"/>
      <c r="B814" s="56"/>
      <c r="C814" s="56"/>
      <c r="D814" s="56"/>
      <c r="E814" s="56"/>
      <c r="F814" s="251"/>
      <c r="G814" s="251"/>
      <c r="H814" s="251"/>
      <c r="I814" s="56"/>
      <c r="J814" s="56"/>
      <c r="K814" s="56"/>
      <c r="L814" s="56"/>
      <c r="M814" s="160"/>
      <c r="N814" s="160"/>
      <c r="O814" s="251"/>
      <c r="P814" s="251"/>
      <c r="Q814" s="251"/>
      <c r="R814" s="56"/>
      <c r="S814" s="56"/>
      <c r="T814" s="56"/>
      <c r="U814" s="56"/>
      <c r="V814" s="250"/>
      <c r="W814" s="56"/>
    </row>
    <row r="815" spans="1:23" ht="15.75" customHeight="1">
      <c r="A815" s="56"/>
      <c r="B815" s="56"/>
      <c r="C815" s="56"/>
      <c r="D815" s="56"/>
      <c r="E815" s="56"/>
      <c r="F815" s="251"/>
      <c r="G815" s="251"/>
      <c r="H815" s="251"/>
      <c r="I815" s="56"/>
      <c r="J815" s="56"/>
      <c r="K815" s="56"/>
      <c r="L815" s="56"/>
      <c r="M815" s="160"/>
      <c r="N815" s="160"/>
      <c r="O815" s="251"/>
      <c r="P815" s="251"/>
      <c r="Q815" s="251"/>
      <c r="R815" s="56"/>
      <c r="S815" s="56"/>
      <c r="T815" s="56"/>
      <c r="U815" s="56"/>
      <c r="V815" s="250"/>
      <c r="W815" s="56"/>
    </row>
    <row r="816" spans="1:23" ht="15.75" customHeight="1">
      <c r="A816" s="56"/>
      <c r="B816" s="56"/>
      <c r="C816" s="56"/>
      <c r="D816" s="56"/>
      <c r="E816" s="56"/>
      <c r="F816" s="251"/>
      <c r="G816" s="251"/>
      <c r="H816" s="251"/>
      <c r="I816" s="56"/>
      <c r="J816" s="56"/>
      <c r="K816" s="56"/>
      <c r="L816" s="56"/>
      <c r="M816" s="160"/>
      <c r="N816" s="160"/>
      <c r="O816" s="251"/>
      <c r="P816" s="251"/>
      <c r="Q816" s="251"/>
      <c r="R816" s="56"/>
      <c r="S816" s="56"/>
      <c r="T816" s="56"/>
      <c r="U816" s="56"/>
      <c r="V816" s="250"/>
      <c r="W816" s="56"/>
    </row>
    <row r="817" spans="1:23" ht="15.75" customHeight="1">
      <c r="A817" s="56"/>
      <c r="B817" s="56"/>
      <c r="C817" s="56"/>
      <c r="D817" s="56"/>
      <c r="E817" s="56"/>
      <c r="F817" s="251"/>
      <c r="G817" s="251"/>
      <c r="H817" s="251"/>
      <c r="I817" s="56"/>
      <c r="J817" s="56"/>
      <c r="K817" s="56"/>
      <c r="L817" s="56"/>
      <c r="M817" s="160"/>
      <c r="N817" s="160"/>
      <c r="O817" s="251"/>
      <c r="P817" s="251"/>
      <c r="Q817" s="251"/>
      <c r="R817" s="56"/>
      <c r="S817" s="56"/>
      <c r="T817" s="56"/>
      <c r="U817" s="56"/>
      <c r="V817" s="250"/>
      <c r="W817" s="56"/>
    </row>
    <row r="818" spans="1:23" ht="15.75" customHeight="1">
      <c r="A818" s="56"/>
      <c r="B818" s="56"/>
      <c r="C818" s="56"/>
      <c r="D818" s="56"/>
      <c r="E818" s="56"/>
      <c r="F818" s="251"/>
      <c r="G818" s="251"/>
      <c r="H818" s="251"/>
      <c r="I818" s="56"/>
      <c r="J818" s="56"/>
      <c r="K818" s="56"/>
      <c r="L818" s="56"/>
      <c r="M818" s="160"/>
      <c r="N818" s="160"/>
      <c r="O818" s="251"/>
      <c r="P818" s="251"/>
      <c r="Q818" s="251"/>
      <c r="R818" s="56"/>
      <c r="S818" s="56"/>
      <c r="T818" s="56"/>
      <c r="U818" s="56"/>
      <c r="V818" s="250"/>
      <c r="W818" s="56"/>
    </row>
    <row r="819" spans="1:23" ht="15.75" customHeight="1">
      <c r="A819" s="56"/>
      <c r="B819" s="56"/>
      <c r="C819" s="56"/>
      <c r="D819" s="56"/>
      <c r="E819" s="56"/>
      <c r="F819" s="251"/>
      <c r="G819" s="251"/>
      <c r="H819" s="251"/>
      <c r="I819" s="56"/>
      <c r="J819" s="56"/>
      <c r="K819" s="56"/>
      <c r="L819" s="56"/>
      <c r="M819" s="160"/>
      <c r="N819" s="160"/>
      <c r="O819" s="251"/>
      <c r="P819" s="251"/>
      <c r="Q819" s="251"/>
      <c r="R819" s="56"/>
      <c r="S819" s="56"/>
      <c r="T819" s="56"/>
      <c r="U819" s="56"/>
      <c r="V819" s="250"/>
      <c r="W819" s="56"/>
    </row>
    <row r="820" spans="1:23" ht="15.75" customHeight="1">
      <c r="A820" s="56"/>
      <c r="B820" s="56"/>
      <c r="C820" s="56"/>
      <c r="D820" s="56"/>
      <c r="E820" s="56"/>
      <c r="F820" s="251"/>
      <c r="G820" s="251"/>
      <c r="H820" s="251"/>
      <c r="I820" s="56"/>
      <c r="J820" s="56"/>
      <c r="K820" s="56"/>
      <c r="L820" s="56"/>
      <c r="M820" s="160"/>
      <c r="N820" s="160"/>
      <c r="O820" s="251"/>
      <c r="P820" s="251"/>
      <c r="Q820" s="251"/>
      <c r="R820" s="56"/>
      <c r="S820" s="56"/>
      <c r="T820" s="56"/>
      <c r="U820" s="56"/>
      <c r="V820" s="250"/>
      <c r="W820" s="56"/>
    </row>
    <row r="821" spans="1:23" ht="15.75" customHeight="1">
      <c r="A821" s="56"/>
      <c r="B821" s="56"/>
      <c r="C821" s="56"/>
      <c r="D821" s="56"/>
      <c r="E821" s="56"/>
      <c r="F821" s="251"/>
      <c r="G821" s="251"/>
      <c r="H821" s="251"/>
      <c r="I821" s="56"/>
      <c r="J821" s="56"/>
      <c r="K821" s="56"/>
      <c r="L821" s="56"/>
      <c r="M821" s="160"/>
      <c r="N821" s="160"/>
      <c r="O821" s="251"/>
      <c r="P821" s="251"/>
      <c r="Q821" s="251"/>
      <c r="R821" s="56"/>
      <c r="S821" s="56"/>
      <c r="T821" s="56"/>
      <c r="U821" s="56"/>
      <c r="V821" s="250"/>
      <c r="W821" s="56"/>
    </row>
    <row r="822" spans="1:23" ht="15.75" customHeight="1">
      <c r="A822" s="56"/>
      <c r="B822" s="56"/>
      <c r="C822" s="56"/>
      <c r="D822" s="56"/>
      <c r="E822" s="56"/>
      <c r="F822" s="251"/>
      <c r="G822" s="251"/>
      <c r="H822" s="251"/>
      <c r="I822" s="56"/>
      <c r="J822" s="56"/>
      <c r="K822" s="56"/>
      <c r="L822" s="56"/>
      <c r="M822" s="160"/>
      <c r="N822" s="160"/>
      <c r="O822" s="251"/>
      <c r="P822" s="251"/>
      <c r="Q822" s="251"/>
      <c r="R822" s="56"/>
      <c r="S822" s="56"/>
      <c r="T822" s="56"/>
      <c r="U822" s="56"/>
      <c r="V822" s="250"/>
      <c r="W822" s="56"/>
    </row>
    <row r="823" spans="1:23" ht="15.75" customHeight="1">
      <c r="A823" s="56"/>
      <c r="B823" s="56"/>
      <c r="C823" s="56"/>
      <c r="D823" s="56"/>
      <c r="E823" s="56"/>
      <c r="F823" s="251"/>
      <c r="G823" s="251"/>
      <c r="H823" s="251"/>
      <c r="I823" s="56"/>
      <c r="J823" s="56"/>
      <c r="K823" s="56"/>
      <c r="L823" s="56"/>
      <c r="M823" s="160"/>
      <c r="N823" s="160"/>
      <c r="O823" s="251"/>
      <c r="P823" s="251"/>
      <c r="Q823" s="251"/>
      <c r="R823" s="56"/>
      <c r="S823" s="56"/>
      <c r="T823" s="56"/>
      <c r="U823" s="56"/>
      <c r="V823" s="250"/>
      <c r="W823" s="56"/>
    </row>
    <row r="824" spans="1:23" ht="15.75" customHeight="1">
      <c r="A824" s="56"/>
      <c r="B824" s="56"/>
      <c r="C824" s="56"/>
      <c r="D824" s="56"/>
      <c r="E824" s="56"/>
      <c r="F824" s="251"/>
      <c r="G824" s="251"/>
      <c r="H824" s="251"/>
      <c r="I824" s="56"/>
      <c r="J824" s="56"/>
      <c r="K824" s="56"/>
      <c r="L824" s="56"/>
      <c r="M824" s="160"/>
      <c r="N824" s="160"/>
      <c r="O824" s="251"/>
      <c r="P824" s="251"/>
      <c r="Q824" s="251"/>
      <c r="R824" s="56"/>
      <c r="S824" s="56"/>
      <c r="T824" s="56"/>
      <c r="U824" s="56"/>
      <c r="V824" s="250"/>
      <c r="W824" s="56"/>
    </row>
    <row r="825" spans="1:23" ht="15.75" customHeight="1">
      <c r="A825" s="56"/>
      <c r="B825" s="56"/>
      <c r="C825" s="56"/>
      <c r="D825" s="56"/>
      <c r="E825" s="56"/>
      <c r="F825" s="251"/>
      <c r="G825" s="251"/>
      <c r="H825" s="251"/>
      <c r="I825" s="56"/>
      <c r="J825" s="56"/>
      <c r="K825" s="56"/>
      <c r="L825" s="56"/>
      <c r="M825" s="160"/>
      <c r="N825" s="160"/>
      <c r="O825" s="251"/>
      <c r="P825" s="251"/>
      <c r="Q825" s="251"/>
      <c r="R825" s="56"/>
      <c r="S825" s="56"/>
      <c r="T825" s="56"/>
      <c r="U825" s="56"/>
      <c r="V825" s="250"/>
      <c r="W825" s="56"/>
    </row>
    <row r="826" spans="1:23" ht="15.75" customHeight="1">
      <c r="A826" s="56"/>
      <c r="B826" s="56"/>
      <c r="C826" s="56"/>
      <c r="D826" s="56"/>
      <c r="E826" s="56"/>
      <c r="F826" s="251"/>
      <c r="G826" s="251"/>
      <c r="H826" s="251"/>
      <c r="I826" s="56"/>
      <c r="J826" s="56"/>
      <c r="K826" s="56"/>
      <c r="L826" s="56"/>
      <c r="M826" s="160"/>
      <c r="N826" s="160"/>
      <c r="O826" s="251"/>
      <c r="P826" s="251"/>
      <c r="Q826" s="251"/>
      <c r="R826" s="56"/>
      <c r="S826" s="56"/>
      <c r="T826" s="56"/>
      <c r="U826" s="56"/>
      <c r="V826" s="250"/>
      <c r="W826" s="56"/>
    </row>
    <row r="827" spans="1:23" ht="15.75" customHeight="1">
      <c r="A827" s="56"/>
      <c r="B827" s="56"/>
      <c r="C827" s="56"/>
      <c r="D827" s="56"/>
      <c r="E827" s="56"/>
      <c r="F827" s="251"/>
      <c r="G827" s="251"/>
      <c r="H827" s="251"/>
      <c r="I827" s="56"/>
      <c r="J827" s="56"/>
      <c r="K827" s="56"/>
      <c r="L827" s="56"/>
      <c r="M827" s="160"/>
      <c r="N827" s="160"/>
      <c r="O827" s="251"/>
      <c r="P827" s="251"/>
      <c r="Q827" s="251"/>
      <c r="R827" s="56"/>
      <c r="S827" s="56"/>
      <c r="T827" s="56"/>
      <c r="U827" s="56"/>
      <c r="V827" s="250"/>
      <c r="W827" s="56"/>
    </row>
    <row r="828" spans="1:23" ht="15.75" customHeight="1">
      <c r="A828" s="56"/>
      <c r="B828" s="56"/>
      <c r="C828" s="56"/>
      <c r="D828" s="56"/>
      <c r="E828" s="56"/>
      <c r="F828" s="251"/>
      <c r="G828" s="251"/>
      <c r="H828" s="251"/>
      <c r="I828" s="56"/>
      <c r="J828" s="56"/>
      <c r="K828" s="56"/>
      <c r="L828" s="56"/>
      <c r="M828" s="160"/>
      <c r="N828" s="160"/>
      <c r="O828" s="251"/>
      <c r="P828" s="251"/>
      <c r="Q828" s="251"/>
      <c r="R828" s="56"/>
      <c r="S828" s="56"/>
      <c r="T828" s="56"/>
      <c r="U828" s="56"/>
      <c r="V828" s="250"/>
      <c r="W828" s="56"/>
    </row>
    <row r="829" spans="1:23" ht="15.75" customHeight="1">
      <c r="A829" s="56"/>
      <c r="B829" s="56"/>
      <c r="C829" s="56"/>
      <c r="D829" s="56"/>
      <c r="E829" s="56"/>
      <c r="F829" s="251"/>
      <c r="G829" s="251"/>
      <c r="H829" s="251"/>
      <c r="I829" s="56"/>
      <c r="J829" s="56"/>
      <c r="K829" s="56"/>
      <c r="L829" s="56"/>
      <c r="M829" s="160"/>
      <c r="N829" s="160"/>
      <c r="O829" s="251"/>
      <c r="P829" s="251"/>
      <c r="Q829" s="251"/>
      <c r="R829" s="56"/>
      <c r="S829" s="56"/>
      <c r="T829" s="56"/>
      <c r="U829" s="56"/>
      <c r="V829" s="250"/>
      <c r="W829" s="56"/>
    </row>
    <row r="830" spans="1:23" ht="15.75" customHeight="1">
      <c r="A830" s="56"/>
      <c r="B830" s="56"/>
      <c r="C830" s="56"/>
      <c r="D830" s="56"/>
      <c r="E830" s="56"/>
      <c r="F830" s="251"/>
      <c r="G830" s="251"/>
      <c r="H830" s="251"/>
      <c r="I830" s="56"/>
      <c r="J830" s="56"/>
      <c r="K830" s="56"/>
      <c r="L830" s="56"/>
      <c r="M830" s="160"/>
      <c r="N830" s="160"/>
      <c r="O830" s="251"/>
      <c r="P830" s="251"/>
      <c r="Q830" s="251"/>
      <c r="R830" s="56"/>
      <c r="S830" s="56"/>
      <c r="T830" s="56"/>
      <c r="U830" s="56"/>
      <c r="V830" s="250"/>
      <c r="W830" s="56"/>
    </row>
    <row r="831" spans="1:23" ht="15.75" customHeight="1">
      <c r="A831" s="56"/>
      <c r="B831" s="56"/>
      <c r="C831" s="56"/>
      <c r="D831" s="56"/>
      <c r="E831" s="56"/>
      <c r="F831" s="251"/>
      <c r="G831" s="251"/>
      <c r="H831" s="251"/>
      <c r="I831" s="56"/>
      <c r="J831" s="56"/>
      <c r="K831" s="56"/>
      <c r="L831" s="56"/>
      <c r="M831" s="160"/>
      <c r="N831" s="160"/>
      <c r="O831" s="251"/>
      <c r="P831" s="251"/>
      <c r="Q831" s="251"/>
      <c r="R831" s="56"/>
      <c r="S831" s="56"/>
      <c r="T831" s="56"/>
      <c r="U831" s="56"/>
      <c r="V831" s="250"/>
      <c r="W831" s="56"/>
    </row>
    <row r="832" spans="1:23" ht="15.75" customHeight="1">
      <c r="A832" s="56"/>
      <c r="B832" s="56"/>
      <c r="C832" s="56"/>
      <c r="D832" s="56"/>
      <c r="E832" s="56"/>
      <c r="F832" s="251"/>
      <c r="G832" s="251"/>
      <c r="H832" s="251"/>
      <c r="I832" s="56"/>
      <c r="J832" s="56"/>
      <c r="K832" s="56"/>
      <c r="L832" s="56"/>
      <c r="M832" s="160"/>
      <c r="N832" s="160"/>
      <c r="O832" s="251"/>
      <c r="P832" s="251"/>
      <c r="Q832" s="251"/>
      <c r="R832" s="56"/>
      <c r="S832" s="56"/>
      <c r="T832" s="56"/>
      <c r="U832" s="56"/>
      <c r="V832" s="250"/>
      <c r="W832" s="56"/>
    </row>
    <row r="833" spans="1:23" ht="15.75" customHeight="1">
      <c r="A833" s="56"/>
      <c r="B833" s="56"/>
      <c r="C833" s="56"/>
      <c r="D833" s="56"/>
      <c r="E833" s="56"/>
      <c r="F833" s="251"/>
      <c r="G833" s="251"/>
      <c r="H833" s="251"/>
      <c r="I833" s="56"/>
      <c r="J833" s="56"/>
      <c r="K833" s="56"/>
      <c r="L833" s="56"/>
      <c r="M833" s="160"/>
      <c r="N833" s="160"/>
      <c r="O833" s="251"/>
      <c r="P833" s="251"/>
      <c r="Q833" s="251"/>
      <c r="R833" s="56"/>
      <c r="S833" s="56"/>
      <c r="T833" s="56"/>
      <c r="U833" s="56"/>
      <c r="V833" s="250"/>
      <c r="W833" s="56"/>
    </row>
    <row r="834" spans="1:23" ht="15.75" customHeight="1">
      <c r="A834" s="56"/>
      <c r="B834" s="56"/>
      <c r="C834" s="56"/>
      <c r="D834" s="56"/>
      <c r="E834" s="56"/>
      <c r="F834" s="251"/>
      <c r="G834" s="251"/>
      <c r="H834" s="251"/>
      <c r="I834" s="56"/>
      <c r="J834" s="56"/>
      <c r="K834" s="56"/>
      <c r="L834" s="56"/>
      <c r="M834" s="160"/>
      <c r="N834" s="160"/>
      <c r="O834" s="251"/>
      <c r="P834" s="251"/>
      <c r="Q834" s="251"/>
      <c r="R834" s="56"/>
      <c r="S834" s="56"/>
      <c r="T834" s="56"/>
      <c r="U834" s="56"/>
      <c r="V834" s="250"/>
      <c r="W834" s="56"/>
    </row>
    <row r="835" spans="1:23" ht="15.75" customHeight="1">
      <c r="A835" s="56"/>
      <c r="B835" s="56"/>
      <c r="C835" s="56"/>
      <c r="D835" s="56"/>
      <c r="E835" s="56"/>
      <c r="F835" s="251"/>
      <c r="G835" s="251"/>
      <c r="H835" s="251"/>
      <c r="I835" s="56"/>
      <c r="J835" s="56"/>
      <c r="K835" s="56"/>
      <c r="L835" s="56"/>
      <c r="M835" s="160"/>
      <c r="N835" s="160"/>
      <c r="O835" s="251"/>
      <c r="P835" s="251"/>
      <c r="Q835" s="251"/>
      <c r="R835" s="56"/>
      <c r="S835" s="56"/>
      <c r="T835" s="56"/>
      <c r="U835" s="56"/>
      <c r="V835" s="250"/>
      <c r="W835" s="56"/>
    </row>
    <row r="836" spans="1:23" ht="15.75" customHeight="1">
      <c r="A836" s="56"/>
      <c r="B836" s="56"/>
      <c r="C836" s="56"/>
      <c r="D836" s="56"/>
      <c r="E836" s="56"/>
      <c r="F836" s="251"/>
      <c r="G836" s="251"/>
      <c r="H836" s="251"/>
      <c r="I836" s="56"/>
      <c r="J836" s="56"/>
      <c r="K836" s="56"/>
      <c r="L836" s="56"/>
      <c r="M836" s="160"/>
      <c r="N836" s="160"/>
      <c r="O836" s="251"/>
      <c r="P836" s="251"/>
      <c r="Q836" s="251"/>
      <c r="R836" s="56"/>
      <c r="S836" s="56"/>
      <c r="T836" s="56"/>
      <c r="U836" s="56"/>
      <c r="V836" s="250"/>
      <c r="W836" s="56"/>
    </row>
    <row r="837" spans="1:23" ht="15.75" customHeight="1">
      <c r="A837" s="56"/>
      <c r="B837" s="56"/>
      <c r="C837" s="56"/>
      <c r="D837" s="56"/>
      <c r="E837" s="56"/>
      <c r="F837" s="251"/>
      <c r="G837" s="251"/>
      <c r="H837" s="251"/>
      <c r="I837" s="56"/>
      <c r="J837" s="56"/>
      <c r="K837" s="56"/>
      <c r="L837" s="56"/>
      <c r="M837" s="160"/>
      <c r="N837" s="160"/>
      <c r="O837" s="251"/>
      <c r="P837" s="251"/>
      <c r="Q837" s="251"/>
      <c r="R837" s="56"/>
      <c r="S837" s="56"/>
      <c r="T837" s="56"/>
      <c r="U837" s="56"/>
      <c r="V837" s="250"/>
      <c r="W837" s="56"/>
    </row>
    <row r="838" spans="1:23" ht="15.75" customHeight="1">
      <c r="A838" s="56"/>
      <c r="B838" s="56"/>
      <c r="C838" s="56"/>
      <c r="D838" s="56"/>
      <c r="E838" s="56"/>
      <c r="F838" s="251"/>
      <c r="G838" s="251"/>
      <c r="H838" s="251"/>
      <c r="I838" s="56"/>
      <c r="J838" s="56"/>
      <c r="K838" s="56"/>
      <c r="L838" s="56"/>
      <c r="M838" s="160"/>
      <c r="N838" s="160"/>
      <c r="O838" s="251"/>
      <c r="P838" s="251"/>
      <c r="Q838" s="251"/>
      <c r="R838" s="56"/>
      <c r="S838" s="56"/>
      <c r="T838" s="56"/>
      <c r="U838" s="56"/>
      <c r="V838" s="250"/>
      <c r="W838" s="56"/>
    </row>
    <row r="839" spans="1:23" ht="15.75" customHeight="1">
      <c r="A839" s="56"/>
      <c r="B839" s="56"/>
      <c r="C839" s="56"/>
      <c r="D839" s="56"/>
      <c r="E839" s="56"/>
      <c r="F839" s="251"/>
      <c r="G839" s="251"/>
      <c r="H839" s="251"/>
      <c r="I839" s="56"/>
      <c r="J839" s="56"/>
      <c r="K839" s="56"/>
      <c r="L839" s="56"/>
      <c r="M839" s="160"/>
      <c r="N839" s="160"/>
      <c r="O839" s="251"/>
      <c r="P839" s="251"/>
      <c r="Q839" s="251"/>
      <c r="R839" s="56"/>
      <c r="S839" s="56"/>
      <c r="T839" s="56"/>
      <c r="U839" s="56"/>
      <c r="V839" s="250"/>
      <c r="W839" s="56"/>
    </row>
    <row r="840" spans="1:23" ht="15.75" customHeight="1">
      <c r="A840" s="56"/>
      <c r="B840" s="56"/>
      <c r="C840" s="56"/>
      <c r="D840" s="56"/>
      <c r="E840" s="56"/>
      <c r="F840" s="251"/>
      <c r="G840" s="251"/>
      <c r="H840" s="251"/>
      <c r="I840" s="56"/>
      <c r="J840" s="56"/>
      <c r="K840" s="56"/>
      <c r="L840" s="56"/>
      <c r="M840" s="160"/>
      <c r="N840" s="160"/>
      <c r="O840" s="251"/>
      <c r="P840" s="251"/>
      <c r="Q840" s="251"/>
      <c r="R840" s="56"/>
      <c r="S840" s="56"/>
      <c r="T840" s="56"/>
      <c r="U840" s="56"/>
      <c r="V840" s="250"/>
      <c r="W840" s="56"/>
    </row>
    <row r="841" spans="1:23" ht="15.75" customHeight="1">
      <c r="A841" s="56"/>
      <c r="B841" s="56"/>
      <c r="C841" s="56"/>
      <c r="D841" s="56"/>
      <c r="E841" s="56"/>
      <c r="F841" s="251"/>
      <c r="G841" s="251"/>
      <c r="H841" s="251"/>
      <c r="I841" s="56"/>
      <c r="J841" s="56"/>
      <c r="K841" s="56"/>
      <c r="L841" s="56"/>
      <c r="M841" s="160"/>
      <c r="N841" s="160"/>
      <c r="O841" s="251"/>
      <c r="P841" s="251"/>
      <c r="Q841" s="251"/>
      <c r="R841" s="56"/>
      <c r="S841" s="56"/>
      <c r="T841" s="56"/>
      <c r="U841" s="56"/>
      <c r="V841" s="250"/>
      <c r="W841" s="56"/>
    </row>
    <row r="842" spans="1:23" ht="15.75" customHeight="1">
      <c r="A842" s="56"/>
      <c r="B842" s="56"/>
      <c r="C842" s="56"/>
      <c r="D842" s="56"/>
      <c r="E842" s="56"/>
      <c r="F842" s="251"/>
      <c r="G842" s="251"/>
      <c r="H842" s="251"/>
      <c r="I842" s="56"/>
      <c r="J842" s="56"/>
      <c r="K842" s="56"/>
      <c r="L842" s="56"/>
      <c r="M842" s="160"/>
      <c r="N842" s="160"/>
      <c r="O842" s="251"/>
      <c r="P842" s="251"/>
      <c r="Q842" s="251"/>
      <c r="R842" s="56"/>
      <c r="S842" s="56"/>
      <c r="T842" s="56"/>
      <c r="U842" s="56"/>
      <c r="V842" s="250"/>
      <c r="W842" s="56"/>
    </row>
    <row r="843" spans="1:23" ht="15.75" customHeight="1">
      <c r="A843" s="56"/>
      <c r="B843" s="56"/>
      <c r="C843" s="56"/>
      <c r="D843" s="56"/>
      <c r="E843" s="56"/>
      <c r="F843" s="251"/>
      <c r="G843" s="251"/>
      <c r="H843" s="251"/>
      <c r="I843" s="56"/>
      <c r="J843" s="56"/>
      <c r="K843" s="56"/>
      <c r="L843" s="56"/>
      <c r="M843" s="160"/>
      <c r="N843" s="160"/>
      <c r="O843" s="251"/>
      <c r="P843" s="251"/>
      <c r="Q843" s="251"/>
      <c r="R843" s="56"/>
      <c r="S843" s="56"/>
      <c r="T843" s="56"/>
      <c r="U843" s="56"/>
      <c r="V843" s="250"/>
      <c r="W843" s="56"/>
    </row>
    <row r="844" spans="1:23" ht="15.75" customHeight="1">
      <c r="A844" s="56"/>
      <c r="B844" s="56"/>
      <c r="C844" s="56"/>
      <c r="D844" s="56"/>
      <c r="E844" s="56"/>
      <c r="F844" s="251"/>
      <c r="G844" s="251"/>
      <c r="H844" s="251"/>
      <c r="I844" s="56"/>
      <c r="J844" s="56"/>
      <c r="K844" s="56"/>
      <c r="L844" s="56"/>
      <c r="M844" s="160"/>
      <c r="N844" s="160"/>
      <c r="O844" s="251"/>
      <c r="P844" s="251"/>
      <c r="Q844" s="251"/>
      <c r="R844" s="56"/>
      <c r="S844" s="56"/>
      <c r="T844" s="56"/>
      <c r="U844" s="56"/>
      <c r="V844" s="250"/>
      <c r="W844" s="56"/>
    </row>
    <row r="845" spans="1:23" ht="15.75" customHeight="1">
      <c r="A845" s="56"/>
      <c r="B845" s="56"/>
      <c r="C845" s="56"/>
      <c r="D845" s="56"/>
      <c r="E845" s="56"/>
      <c r="F845" s="251"/>
      <c r="G845" s="251"/>
      <c r="H845" s="251"/>
      <c r="I845" s="56"/>
      <c r="J845" s="56"/>
      <c r="K845" s="56"/>
      <c r="L845" s="56"/>
      <c r="M845" s="160"/>
      <c r="N845" s="160"/>
      <c r="O845" s="251"/>
      <c r="P845" s="251"/>
      <c r="Q845" s="251"/>
      <c r="R845" s="56"/>
      <c r="S845" s="56"/>
      <c r="T845" s="56"/>
      <c r="U845" s="56"/>
      <c r="V845" s="250"/>
      <c r="W845" s="56"/>
    </row>
    <row r="846" spans="1:23" ht="15.75" customHeight="1">
      <c r="A846" s="56"/>
      <c r="B846" s="56"/>
      <c r="C846" s="56"/>
      <c r="D846" s="56"/>
      <c r="E846" s="56"/>
      <c r="F846" s="251"/>
      <c r="G846" s="251"/>
      <c r="H846" s="251"/>
      <c r="I846" s="56"/>
      <c r="J846" s="56"/>
      <c r="K846" s="56"/>
      <c r="L846" s="56"/>
      <c r="M846" s="160"/>
      <c r="N846" s="160"/>
      <c r="O846" s="251"/>
      <c r="P846" s="251"/>
      <c r="Q846" s="251"/>
      <c r="R846" s="56"/>
      <c r="S846" s="56"/>
      <c r="T846" s="56"/>
      <c r="U846" s="56"/>
      <c r="V846" s="250"/>
      <c r="W846" s="56"/>
    </row>
    <row r="847" spans="1:23" ht="15.75" customHeight="1">
      <c r="A847" s="56"/>
      <c r="B847" s="56"/>
      <c r="C847" s="56"/>
      <c r="D847" s="56"/>
      <c r="E847" s="56"/>
      <c r="F847" s="251"/>
      <c r="G847" s="251"/>
      <c r="H847" s="251"/>
      <c r="I847" s="56"/>
      <c r="J847" s="56"/>
      <c r="K847" s="56"/>
      <c r="L847" s="56"/>
      <c r="M847" s="160"/>
      <c r="N847" s="160"/>
      <c r="O847" s="251"/>
      <c r="P847" s="251"/>
      <c r="Q847" s="251"/>
      <c r="R847" s="56"/>
      <c r="S847" s="56"/>
      <c r="T847" s="56"/>
      <c r="U847" s="56"/>
      <c r="V847" s="250"/>
      <c r="W847" s="56"/>
    </row>
    <row r="848" spans="1:23" ht="15.75" customHeight="1">
      <c r="A848" s="56"/>
      <c r="B848" s="56"/>
      <c r="C848" s="56"/>
      <c r="D848" s="56"/>
      <c r="E848" s="56"/>
      <c r="F848" s="251"/>
      <c r="G848" s="251"/>
      <c r="H848" s="251"/>
      <c r="I848" s="56"/>
      <c r="J848" s="56"/>
      <c r="K848" s="56"/>
      <c r="L848" s="56"/>
      <c r="M848" s="160"/>
      <c r="N848" s="160"/>
      <c r="O848" s="251"/>
      <c r="P848" s="251"/>
      <c r="Q848" s="251"/>
      <c r="R848" s="56"/>
      <c r="S848" s="56"/>
      <c r="T848" s="56"/>
      <c r="U848" s="56"/>
      <c r="V848" s="250"/>
      <c r="W848" s="56"/>
    </row>
    <row r="849" spans="1:23" ht="15.75" customHeight="1">
      <c r="A849" s="56"/>
      <c r="B849" s="56"/>
      <c r="C849" s="56"/>
      <c r="D849" s="56"/>
      <c r="E849" s="56"/>
      <c r="F849" s="251"/>
      <c r="G849" s="251"/>
      <c r="H849" s="251"/>
      <c r="I849" s="56"/>
      <c r="J849" s="56"/>
      <c r="K849" s="56"/>
      <c r="L849" s="56"/>
      <c r="M849" s="160"/>
      <c r="N849" s="160"/>
      <c r="O849" s="251"/>
      <c r="P849" s="251"/>
      <c r="Q849" s="251"/>
      <c r="R849" s="56"/>
      <c r="S849" s="56"/>
      <c r="T849" s="56"/>
      <c r="U849" s="56"/>
      <c r="V849" s="250"/>
      <c r="W849" s="56"/>
    </row>
    <row r="850" spans="1:23" ht="15.75" customHeight="1">
      <c r="A850" s="56"/>
      <c r="B850" s="56"/>
      <c r="C850" s="56"/>
      <c r="D850" s="56"/>
      <c r="E850" s="56"/>
      <c r="F850" s="251"/>
      <c r="G850" s="251"/>
      <c r="H850" s="251"/>
      <c r="I850" s="56"/>
      <c r="J850" s="56"/>
      <c r="K850" s="56"/>
      <c r="L850" s="56"/>
      <c r="M850" s="160"/>
      <c r="N850" s="160"/>
      <c r="O850" s="251"/>
      <c r="P850" s="251"/>
      <c r="Q850" s="251"/>
      <c r="R850" s="56"/>
      <c r="S850" s="56"/>
      <c r="T850" s="56"/>
      <c r="U850" s="56"/>
      <c r="V850" s="250"/>
      <c r="W850" s="56"/>
    </row>
    <row r="851" spans="1:23" ht="15.75" customHeight="1">
      <c r="A851" s="56"/>
      <c r="B851" s="56"/>
      <c r="C851" s="56"/>
      <c r="D851" s="56"/>
      <c r="E851" s="56"/>
      <c r="F851" s="251"/>
      <c r="G851" s="251"/>
      <c r="H851" s="251"/>
      <c r="I851" s="56"/>
      <c r="J851" s="56"/>
      <c r="K851" s="56"/>
      <c r="L851" s="56"/>
      <c r="M851" s="160"/>
      <c r="N851" s="160"/>
      <c r="O851" s="251"/>
      <c r="P851" s="251"/>
      <c r="Q851" s="251"/>
      <c r="R851" s="56"/>
      <c r="S851" s="56"/>
      <c r="T851" s="56"/>
      <c r="U851" s="56"/>
      <c r="V851" s="250"/>
      <c r="W851" s="56"/>
    </row>
    <row r="852" spans="1:23" ht="15.75" customHeight="1">
      <c r="A852" s="56"/>
      <c r="B852" s="56"/>
      <c r="C852" s="56"/>
      <c r="D852" s="56"/>
      <c r="E852" s="56"/>
      <c r="F852" s="251"/>
      <c r="G852" s="251"/>
      <c r="H852" s="251"/>
      <c r="I852" s="56"/>
      <c r="J852" s="56"/>
      <c r="K852" s="56"/>
      <c r="L852" s="56"/>
      <c r="M852" s="160"/>
      <c r="N852" s="160"/>
      <c r="O852" s="251"/>
      <c r="P852" s="251"/>
      <c r="Q852" s="251"/>
      <c r="R852" s="56"/>
      <c r="S852" s="56"/>
      <c r="T852" s="56"/>
      <c r="U852" s="56"/>
      <c r="V852" s="250"/>
      <c r="W852" s="56"/>
    </row>
    <row r="853" spans="1:23" ht="15.75" customHeight="1">
      <c r="A853" s="56"/>
      <c r="B853" s="56"/>
      <c r="C853" s="56"/>
      <c r="D853" s="56"/>
      <c r="E853" s="56"/>
      <c r="F853" s="251"/>
      <c r="G853" s="251"/>
      <c r="H853" s="251"/>
      <c r="I853" s="56"/>
      <c r="J853" s="56"/>
      <c r="K853" s="56"/>
      <c r="L853" s="56"/>
      <c r="M853" s="160"/>
      <c r="N853" s="160"/>
      <c r="O853" s="251"/>
      <c r="P853" s="251"/>
      <c r="Q853" s="251"/>
      <c r="R853" s="56"/>
      <c r="S853" s="56"/>
      <c r="T853" s="56"/>
      <c r="U853" s="56"/>
      <c r="V853" s="250"/>
      <c r="W853" s="56"/>
    </row>
    <row r="854" spans="1:23" ht="15.75" customHeight="1">
      <c r="A854" s="56"/>
      <c r="B854" s="56"/>
      <c r="C854" s="56"/>
      <c r="D854" s="56"/>
      <c r="E854" s="56"/>
      <c r="F854" s="251"/>
      <c r="G854" s="251"/>
      <c r="H854" s="251"/>
      <c r="I854" s="56"/>
      <c r="J854" s="56"/>
      <c r="K854" s="56"/>
      <c r="L854" s="56"/>
      <c r="M854" s="160"/>
      <c r="N854" s="160"/>
      <c r="O854" s="251"/>
      <c r="P854" s="251"/>
      <c r="Q854" s="251"/>
      <c r="R854" s="56"/>
      <c r="S854" s="56"/>
      <c r="T854" s="56"/>
      <c r="U854" s="56"/>
      <c r="V854" s="250"/>
      <c r="W854" s="56"/>
    </row>
    <row r="855" spans="1:23" ht="15.75" customHeight="1">
      <c r="A855" s="56"/>
      <c r="B855" s="56"/>
      <c r="C855" s="56"/>
      <c r="D855" s="56"/>
      <c r="E855" s="56"/>
      <c r="F855" s="251"/>
      <c r="G855" s="251"/>
      <c r="H855" s="251"/>
      <c r="I855" s="56"/>
      <c r="J855" s="56"/>
      <c r="K855" s="56"/>
      <c r="L855" s="56"/>
      <c r="M855" s="160"/>
      <c r="N855" s="160"/>
      <c r="O855" s="251"/>
      <c r="P855" s="251"/>
      <c r="Q855" s="251"/>
      <c r="R855" s="56"/>
      <c r="S855" s="56"/>
      <c r="T855" s="56"/>
      <c r="U855" s="56"/>
      <c r="V855" s="250"/>
      <c r="W855" s="56"/>
    </row>
    <row r="856" spans="1:23" ht="15.75" customHeight="1">
      <c r="A856" s="56"/>
      <c r="B856" s="56"/>
      <c r="C856" s="56"/>
      <c r="D856" s="56"/>
      <c r="E856" s="56"/>
      <c r="F856" s="251"/>
      <c r="G856" s="251"/>
      <c r="H856" s="251"/>
      <c r="I856" s="56"/>
      <c r="J856" s="56"/>
      <c r="K856" s="56"/>
      <c r="L856" s="56"/>
      <c r="M856" s="160"/>
      <c r="N856" s="160"/>
      <c r="O856" s="251"/>
      <c r="P856" s="251"/>
      <c r="Q856" s="251"/>
      <c r="R856" s="56"/>
      <c r="S856" s="56"/>
      <c r="T856" s="56"/>
      <c r="U856" s="56"/>
      <c r="V856" s="250"/>
      <c r="W856" s="56"/>
    </row>
    <row r="857" spans="1:23" ht="15.75" customHeight="1">
      <c r="A857" s="56"/>
      <c r="B857" s="56"/>
      <c r="C857" s="56"/>
      <c r="D857" s="56"/>
      <c r="E857" s="56"/>
      <c r="F857" s="251"/>
      <c r="G857" s="251"/>
      <c r="H857" s="251"/>
      <c r="I857" s="56"/>
      <c r="J857" s="56"/>
      <c r="K857" s="56"/>
      <c r="L857" s="56"/>
      <c r="M857" s="160"/>
      <c r="N857" s="160"/>
      <c r="O857" s="251"/>
      <c r="P857" s="251"/>
      <c r="Q857" s="251"/>
      <c r="R857" s="56"/>
      <c r="S857" s="56"/>
      <c r="T857" s="56"/>
      <c r="U857" s="56"/>
      <c r="V857" s="250"/>
      <c r="W857" s="56"/>
    </row>
    <row r="858" spans="1:23" ht="15.75" customHeight="1">
      <c r="A858" s="56"/>
      <c r="B858" s="56"/>
      <c r="C858" s="56"/>
      <c r="D858" s="56"/>
      <c r="E858" s="56"/>
      <c r="F858" s="251"/>
      <c r="G858" s="251"/>
      <c r="H858" s="251"/>
      <c r="I858" s="56"/>
      <c r="J858" s="56"/>
      <c r="K858" s="56"/>
      <c r="L858" s="56"/>
      <c r="M858" s="160"/>
      <c r="N858" s="160"/>
      <c r="O858" s="251"/>
      <c r="P858" s="251"/>
      <c r="Q858" s="251"/>
      <c r="R858" s="56"/>
      <c r="S858" s="56"/>
      <c r="T858" s="56"/>
      <c r="U858" s="56"/>
      <c r="V858" s="250"/>
      <c r="W858" s="56"/>
    </row>
    <row r="859" spans="1:23" ht="15.75" customHeight="1">
      <c r="A859" s="56"/>
      <c r="B859" s="56"/>
      <c r="C859" s="56"/>
      <c r="D859" s="56"/>
      <c r="E859" s="56"/>
      <c r="F859" s="251"/>
      <c r="G859" s="251"/>
      <c r="H859" s="251"/>
      <c r="I859" s="56"/>
      <c r="J859" s="56"/>
      <c r="K859" s="56"/>
      <c r="L859" s="56"/>
      <c r="M859" s="160"/>
      <c r="N859" s="160"/>
      <c r="O859" s="251"/>
      <c r="P859" s="251"/>
      <c r="Q859" s="251"/>
      <c r="R859" s="56"/>
      <c r="S859" s="56"/>
      <c r="T859" s="56"/>
      <c r="U859" s="56"/>
      <c r="V859" s="250"/>
      <c r="W859" s="56"/>
    </row>
    <row r="860" spans="1:23" ht="15.75" customHeight="1">
      <c r="A860" s="56"/>
      <c r="B860" s="56"/>
      <c r="C860" s="56"/>
      <c r="D860" s="56"/>
      <c r="E860" s="56"/>
      <c r="F860" s="251"/>
      <c r="G860" s="251"/>
      <c r="H860" s="251"/>
      <c r="I860" s="56"/>
      <c r="J860" s="56"/>
      <c r="K860" s="56"/>
      <c r="L860" s="56"/>
      <c r="M860" s="160"/>
      <c r="N860" s="160"/>
      <c r="O860" s="251"/>
      <c r="P860" s="251"/>
      <c r="Q860" s="251"/>
      <c r="R860" s="56"/>
      <c r="S860" s="56"/>
      <c r="T860" s="56"/>
      <c r="U860" s="56"/>
      <c r="V860" s="250"/>
      <c r="W860" s="56"/>
    </row>
    <row r="861" spans="1:23" ht="15.75" customHeight="1">
      <c r="A861" s="56"/>
      <c r="B861" s="56"/>
      <c r="C861" s="56"/>
      <c r="D861" s="56"/>
      <c r="E861" s="56"/>
      <c r="F861" s="251"/>
      <c r="G861" s="251"/>
      <c r="H861" s="251"/>
      <c r="I861" s="56"/>
      <c r="J861" s="56"/>
      <c r="K861" s="56"/>
      <c r="L861" s="56"/>
      <c r="M861" s="160"/>
      <c r="N861" s="160"/>
      <c r="O861" s="251"/>
      <c r="P861" s="251"/>
      <c r="Q861" s="251"/>
      <c r="R861" s="56"/>
      <c r="S861" s="56"/>
      <c r="T861" s="56"/>
      <c r="U861" s="56"/>
      <c r="V861" s="250"/>
      <c r="W861" s="56"/>
    </row>
    <row r="862" spans="1:23" ht="15.75" customHeight="1">
      <c r="A862" s="56"/>
      <c r="B862" s="56"/>
      <c r="C862" s="56"/>
      <c r="D862" s="56"/>
      <c r="E862" s="56"/>
      <c r="F862" s="251"/>
      <c r="G862" s="251"/>
      <c r="H862" s="251"/>
      <c r="I862" s="56"/>
      <c r="J862" s="56"/>
      <c r="K862" s="56"/>
      <c r="L862" s="56"/>
      <c r="M862" s="160"/>
      <c r="N862" s="160"/>
      <c r="O862" s="251"/>
      <c r="P862" s="251"/>
      <c r="Q862" s="251"/>
      <c r="R862" s="56"/>
      <c r="S862" s="56"/>
      <c r="T862" s="56"/>
      <c r="U862" s="56"/>
      <c r="V862" s="250"/>
      <c r="W862" s="56"/>
    </row>
    <row r="863" spans="1:23" ht="15.75" customHeight="1">
      <c r="A863" s="56"/>
      <c r="B863" s="56"/>
      <c r="C863" s="56"/>
      <c r="D863" s="56"/>
      <c r="E863" s="56"/>
      <c r="F863" s="251"/>
      <c r="G863" s="251"/>
      <c r="H863" s="251"/>
      <c r="I863" s="56"/>
      <c r="J863" s="56"/>
      <c r="K863" s="56"/>
      <c r="L863" s="56"/>
      <c r="M863" s="160"/>
      <c r="N863" s="160"/>
      <c r="O863" s="251"/>
      <c r="P863" s="251"/>
      <c r="Q863" s="251"/>
      <c r="R863" s="56"/>
      <c r="S863" s="56"/>
      <c r="T863" s="56"/>
      <c r="U863" s="56"/>
      <c r="V863" s="250"/>
      <c r="W863" s="56"/>
    </row>
    <row r="864" spans="1:23" ht="15.75" customHeight="1">
      <c r="A864" s="56"/>
      <c r="B864" s="56"/>
      <c r="C864" s="56"/>
      <c r="D864" s="56"/>
      <c r="E864" s="56"/>
      <c r="F864" s="251"/>
      <c r="G864" s="251"/>
      <c r="H864" s="251"/>
      <c r="I864" s="56"/>
      <c r="J864" s="56"/>
      <c r="K864" s="56"/>
      <c r="L864" s="56"/>
      <c r="M864" s="160"/>
      <c r="N864" s="160"/>
      <c r="O864" s="251"/>
      <c r="P864" s="251"/>
      <c r="Q864" s="251"/>
      <c r="R864" s="56"/>
      <c r="S864" s="56"/>
      <c r="T864" s="56"/>
      <c r="U864" s="56"/>
      <c r="V864" s="250"/>
      <c r="W864" s="56"/>
    </row>
    <row r="865" spans="1:23" ht="15.75" customHeight="1">
      <c r="A865" s="56"/>
      <c r="B865" s="56"/>
      <c r="C865" s="56"/>
      <c r="D865" s="56"/>
      <c r="E865" s="56"/>
      <c r="F865" s="251"/>
      <c r="G865" s="251"/>
      <c r="H865" s="251"/>
      <c r="I865" s="56"/>
      <c r="J865" s="56"/>
      <c r="K865" s="56"/>
      <c r="L865" s="56"/>
      <c r="M865" s="160"/>
      <c r="N865" s="160"/>
      <c r="O865" s="251"/>
      <c r="P865" s="251"/>
      <c r="Q865" s="251"/>
      <c r="R865" s="56"/>
      <c r="S865" s="56"/>
      <c r="T865" s="56"/>
      <c r="U865" s="56"/>
      <c r="V865" s="250"/>
      <c r="W865" s="56"/>
    </row>
    <row r="866" spans="1:23" ht="15.75" customHeight="1">
      <c r="A866" s="56"/>
      <c r="B866" s="56"/>
      <c r="C866" s="56"/>
      <c r="D866" s="56"/>
      <c r="E866" s="56"/>
      <c r="F866" s="251"/>
      <c r="G866" s="251"/>
      <c r="H866" s="251"/>
      <c r="I866" s="56"/>
      <c r="J866" s="56"/>
      <c r="K866" s="56"/>
      <c r="L866" s="56"/>
      <c r="M866" s="160"/>
      <c r="N866" s="160"/>
      <c r="O866" s="251"/>
      <c r="P866" s="251"/>
      <c r="Q866" s="251"/>
      <c r="R866" s="56"/>
      <c r="S866" s="56"/>
      <c r="T866" s="56"/>
      <c r="U866" s="56"/>
      <c r="V866" s="250"/>
      <c r="W866" s="56"/>
    </row>
    <row r="867" spans="1:23" ht="15.75" customHeight="1">
      <c r="A867" s="56"/>
      <c r="B867" s="56"/>
      <c r="C867" s="56"/>
      <c r="D867" s="56"/>
      <c r="E867" s="56"/>
      <c r="F867" s="251"/>
      <c r="G867" s="251"/>
      <c r="H867" s="251"/>
      <c r="I867" s="56"/>
      <c r="J867" s="56"/>
      <c r="K867" s="56"/>
      <c r="L867" s="56"/>
      <c r="M867" s="160"/>
      <c r="N867" s="160"/>
      <c r="O867" s="251"/>
      <c r="P867" s="251"/>
      <c r="Q867" s="251"/>
      <c r="R867" s="56"/>
      <c r="S867" s="56"/>
      <c r="T867" s="56"/>
      <c r="U867" s="56"/>
      <c r="V867" s="250"/>
      <c r="W867" s="56"/>
    </row>
    <row r="868" spans="1:23" ht="15.75" customHeight="1">
      <c r="A868" s="56"/>
      <c r="B868" s="56"/>
      <c r="C868" s="56"/>
      <c r="D868" s="56"/>
      <c r="E868" s="56"/>
      <c r="F868" s="251"/>
      <c r="G868" s="251"/>
      <c r="H868" s="251"/>
      <c r="I868" s="56"/>
      <c r="J868" s="56"/>
      <c r="K868" s="56"/>
      <c r="L868" s="56"/>
      <c r="M868" s="160"/>
      <c r="N868" s="160"/>
      <c r="O868" s="251"/>
      <c r="P868" s="251"/>
      <c r="Q868" s="251"/>
      <c r="R868" s="56"/>
      <c r="S868" s="56"/>
      <c r="T868" s="56"/>
      <c r="U868" s="56"/>
      <c r="V868" s="250"/>
      <c r="W868" s="56"/>
    </row>
    <row r="869" spans="1:23" ht="15.75" customHeight="1">
      <c r="A869" s="56"/>
      <c r="B869" s="56"/>
      <c r="C869" s="56"/>
      <c r="D869" s="56"/>
      <c r="E869" s="56"/>
      <c r="F869" s="251"/>
      <c r="G869" s="251"/>
      <c r="H869" s="251"/>
      <c r="I869" s="56"/>
      <c r="J869" s="56"/>
      <c r="K869" s="56"/>
      <c r="L869" s="56"/>
      <c r="M869" s="160"/>
      <c r="N869" s="160"/>
      <c r="O869" s="251"/>
      <c r="P869" s="251"/>
      <c r="Q869" s="251"/>
      <c r="R869" s="56"/>
      <c r="S869" s="56"/>
      <c r="T869" s="56"/>
      <c r="U869" s="56"/>
      <c r="V869" s="250"/>
      <c r="W869" s="56"/>
    </row>
    <row r="870" spans="1:23" ht="15.75" customHeight="1">
      <c r="A870" s="56"/>
      <c r="B870" s="56"/>
      <c r="C870" s="56"/>
      <c r="D870" s="56"/>
      <c r="E870" s="56"/>
      <c r="F870" s="251"/>
      <c r="G870" s="251"/>
      <c r="H870" s="251"/>
      <c r="I870" s="56"/>
      <c r="J870" s="56"/>
      <c r="K870" s="56"/>
      <c r="L870" s="56"/>
      <c r="M870" s="160"/>
      <c r="N870" s="160"/>
      <c r="O870" s="251"/>
      <c r="P870" s="251"/>
      <c r="Q870" s="251"/>
      <c r="R870" s="56"/>
      <c r="S870" s="56"/>
      <c r="T870" s="56"/>
      <c r="U870" s="56"/>
      <c r="V870" s="250"/>
      <c r="W870" s="56"/>
    </row>
    <row r="871" spans="1:23" ht="15.75" customHeight="1">
      <c r="A871" s="56"/>
      <c r="B871" s="56"/>
      <c r="C871" s="56"/>
      <c r="D871" s="56"/>
      <c r="E871" s="56"/>
      <c r="F871" s="251"/>
      <c r="G871" s="251"/>
      <c r="H871" s="251"/>
      <c r="I871" s="56"/>
      <c r="J871" s="56"/>
      <c r="K871" s="56"/>
      <c r="L871" s="56"/>
      <c r="M871" s="160"/>
      <c r="N871" s="160"/>
      <c r="O871" s="251"/>
      <c r="P871" s="251"/>
      <c r="Q871" s="251"/>
      <c r="R871" s="56"/>
      <c r="S871" s="56"/>
      <c r="T871" s="56"/>
      <c r="U871" s="56"/>
      <c r="V871" s="250"/>
      <c r="W871" s="56"/>
    </row>
    <row r="872" spans="1:23" ht="15.75" customHeight="1">
      <c r="A872" s="56"/>
      <c r="B872" s="56"/>
      <c r="C872" s="56"/>
      <c r="D872" s="56"/>
      <c r="E872" s="56"/>
      <c r="F872" s="251"/>
      <c r="G872" s="251"/>
      <c r="H872" s="251"/>
      <c r="I872" s="56"/>
      <c r="J872" s="56"/>
      <c r="K872" s="56"/>
      <c r="L872" s="56"/>
      <c r="M872" s="160"/>
      <c r="N872" s="160"/>
      <c r="O872" s="251"/>
      <c r="P872" s="251"/>
      <c r="Q872" s="251"/>
      <c r="R872" s="56"/>
      <c r="S872" s="56"/>
      <c r="T872" s="56"/>
      <c r="U872" s="56"/>
      <c r="V872" s="250"/>
      <c r="W872" s="56"/>
    </row>
    <row r="873" spans="1:23" ht="15.75" customHeight="1">
      <c r="A873" s="56"/>
      <c r="B873" s="56"/>
      <c r="C873" s="56"/>
      <c r="D873" s="56"/>
      <c r="E873" s="56"/>
      <c r="F873" s="251"/>
      <c r="G873" s="251"/>
      <c r="H873" s="251"/>
      <c r="I873" s="56"/>
      <c r="J873" s="56"/>
      <c r="K873" s="56"/>
      <c r="L873" s="56"/>
      <c r="M873" s="160"/>
      <c r="N873" s="160"/>
      <c r="O873" s="251"/>
      <c r="P873" s="251"/>
      <c r="Q873" s="251"/>
      <c r="R873" s="56"/>
      <c r="S873" s="56"/>
      <c r="T873" s="56"/>
      <c r="U873" s="56"/>
      <c r="V873" s="250"/>
      <c r="W873" s="56"/>
    </row>
    <row r="874" spans="1:23" ht="15.75" customHeight="1">
      <c r="A874" s="56"/>
      <c r="B874" s="56"/>
      <c r="C874" s="56"/>
      <c r="D874" s="56"/>
      <c r="E874" s="56"/>
      <c r="F874" s="251"/>
      <c r="G874" s="251"/>
      <c r="H874" s="251"/>
      <c r="I874" s="56"/>
      <c r="J874" s="56"/>
      <c r="K874" s="56"/>
      <c r="L874" s="56"/>
      <c r="M874" s="160"/>
      <c r="N874" s="160"/>
      <c r="O874" s="251"/>
      <c r="P874" s="251"/>
      <c r="Q874" s="251"/>
      <c r="R874" s="56"/>
      <c r="S874" s="56"/>
      <c r="T874" s="56"/>
      <c r="U874" s="56"/>
      <c r="V874" s="250"/>
      <c r="W874" s="56"/>
    </row>
    <row r="875" spans="1:23" ht="15.75" customHeight="1">
      <c r="A875" s="56"/>
      <c r="B875" s="56"/>
      <c r="C875" s="56"/>
      <c r="D875" s="56"/>
      <c r="E875" s="56"/>
      <c r="F875" s="251"/>
      <c r="G875" s="251"/>
      <c r="H875" s="251"/>
      <c r="I875" s="56"/>
      <c r="J875" s="56"/>
      <c r="K875" s="56"/>
      <c r="L875" s="56"/>
      <c r="M875" s="160"/>
      <c r="N875" s="160"/>
      <c r="O875" s="251"/>
      <c r="P875" s="251"/>
      <c r="Q875" s="251"/>
      <c r="R875" s="56"/>
      <c r="S875" s="56"/>
      <c r="T875" s="56"/>
      <c r="U875" s="56"/>
      <c r="V875" s="250"/>
      <c r="W875" s="56"/>
    </row>
    <row r="876" spans="1:23" ht="15.75" customHeight="1">
      <c r="A876" s="56"/>
      <c r="B876" s="56"/>
      <c r="C876" s="56"/>
      <c r="D876" s="56"/>
      <c r="E876" s="56"/>
      <c r="F876" s="251"/>
      <c r="G876" s="251"/>
      <c r="H876" s="251"/>
      <c r="I876" s="56"/>
      <c r="J876" s="56"/>
      <c r="K876" s="56"/>
      <c r="L876" s="56"/>
      <c r="M876" s="160"/>
      <c r="N876" s="160"/>
      <c r="O876" s="251"/>
      <c r="P876" s="251"/>
      <c r="Q876" s="251"/>
      <c r="R876" s="56"/>
      <c r="S876" s="56"/>
      <c r="T876" s="56"/>
      <c r="U876" s="56"/>
      <c r="V876" s="250"/>
      <c r="W876" s="56"/>
    </row>
    <row r="877" spans="1:23" ht="15.75" customHeight="1">
      <c r="A877" s="56"/>
      <c r="B877" s="56"/>
      <c r="C877" s="56"/>
      <c r="D877" s="56"/>
      <c r="E877" s="56"/>
      <c r="F877" s="251"/>
      <c r="G877" s="251"/>
      <c r="H877" s="251"/>
      <c r="I877" s="56"/>
      <c r="J877" s="56"/>
      <c r="K877" s="56"/>
      <c r="L877" s="56"/>
      <c r="M877" s="160"/>
      <c r="N877" s="160"/>
      <c r="O877" s="251"/>
      <c r="P877" s="251"/>
      <c r="Q877" s="251"/>
      <c r="R877" s="56"/>
      <c r="S877" s="56"/>
      <c r="T877" s="56"/>
      <c r="U877" s="56"/>
      <c r="V877" s="250"/>
      <c r="W877" s="56"/>
    </row>
    <row r="878" spans="1:23" ht="15.75" customHeight="1">
      <c r="A878" s="56"/>
      <c r="B878" s="56"/>
      <c r="C878" s="56"/>
      <c r="D878" s="56"/>
      <c r="E878" s="56"/>
      <c r="F878" s="251"/>
      <c r="G878" s="251"/>
      <c r="H878" s="251"/>
      <c r="I878" s="56"/>
      <c r="J878" s="56"/>
      <c r="K878" s="56"/>
      <c r="L878" s="56"/>
      <c r="M878" s="160"/>
      <c r="N878" s="160"/>
      <c r="O878" s="251"/>
      <c r="P878" s="251"/>
      <c r="Q878" s="251"/>
      <c r="R878" s="56"/>
      <c r="S878" s="56"/>
      <c r="T878" s="56"/>
      <c r="U878" s="56"/>
      <c r="V878" s="250"/>
      <c r="W878" s="56"/>
    </row>
    <row r="879" spans="1:23" ht="15.75" customHeight="1">
      <c r="A879" s="56"/>
      <c r="B879" s="56"/>
      <c r="C879" s="56"/>
      <c r="D879" s="56"/>
      <c r="E879" s="56"/>
      <c r="F879" s="251"/>
      <c r="G879" s="251"/>
      <c r="H879" s="251"/>
      <c r="I879" s="56"/>
      <c r="J879" s="56"/>
      <c r="K879" s="56"/>
      <c r="L879" s="56"/>
      <c r="M879" s="160"/>
      <c r="N879" s="160"/>
      <c r="O879" s="251"/>
      <c r="P879" s="251"/>
      <c r="Q879" s="251"/>
      <c r="R879" s="56"/>
      <c r="S879" s="56"/>
      <c r="T879" s="56"/>
      <c r="U879" s="56"/>
      <c r="V879" s="250"/>
      <c r="W879" s="56"/>
    </row>
    <row r="880" spans="1:23" ht="15.75" customHeight="1">
      <c r="A880" s="56"/>
      <c r="B880" s="56"/>
      <c r="C880" s="56"/>
      <c r="D880" s="56"/>
      <c r="E880" s="56"/>
      <c r="F880" s="251"/>
      <c r="G880" s="251"/>
      <c r="H880" s="251"/>
      <c r="I880" s="56"/>
      <c r="J880" s="56"/>
      <c r="K880" s="56"/>
      <c r="L880" s="56"/>
      <c r="M880" s="160"/>
      <c r="N880" s="160"/>
      <c r="O880" s="251"/>
      <c r="P880" s="251"/>
      <c r="Q880" s="251"/>
      <c r="R880" s="56"/>
      <c r="S880" s="56"/>
      <c r="T880" s="56"/>
      <c r="U880" s="56"/>
      <c r="V880" s="250"/>
      <c r="W880" s="56"/>
    </row>
    <row r="881" spans="1:23" ht="15.75" customHeight="1">
      <c r="A881" s="56"/>
      <c r="B881" s="56"/>
      <c r="C881" s="56"/>
      <c r="D881" s="56"/>
      <c r="E881" s="56"/>
      <c r="F881" s="251"/>
      <c r="G881" s="251"/>
      <c r="H881" s="251"/>
      <c r="I881" s="56"/>
      <c r="J881" s="56"/>
      <c r="K881" s="56"/>
      <c r="L881" s="56"/>
      <c r="M881" s="160"/>
      <c r="N881" s="160"/>
      <c r="O881" s="251"/>
      <c r="P881" s="251"/>
      <c r="Q881" s="251"/>
      <c r="R881" s="56"/>
      <c r="S881" s="56"/>
      <c r="T881" s="56"/>
      <c r="U881" s="56"/>
      <c r="V881" s="250"/>
      <c r="W881" s="56"/>
    </row>
    <row r="882" spans="1:23" ht="15.75" customHeight="1">
      <c r="A882" s="56"/>
      <c r="B882" s="56"/>
      <c r="C882" s="56"/>
      <c r="D882" s="56"/>
      <c r="E882" s="56"/>
      <c r="F882" s="251"/>
      <c r="G882" s="251"/>
      <c r="H882" s="251"/>
      <c r="I882" s="56"/>
      <c r="J882" s="56"/>
      <c r="K882" s="56"/>
      <c r="L882" s="56"/>
      <c r="M882" s="160"/>
      <c r="N882" s="160"/>
      <c r="O882" s="251"/>
      <c r="P882" s="251"/>
      <c r="Q882" s="251"/>
      <c r="R882" s="56"/>
      <c r="S882" s="56"/>
      <c r="T882" s="56"/>
      <c r="U882" s="56"/>
      <c r="V882" s="250"/>
      <c r="W882" s="56"/>
    </row>
    <row r="883" spans="1:23" ht="15.75" customHeight="1">
      <c r="A883" s="56"/>
      <c r="B883" s="56"/>
      <c r="C883" s="56"/>
      <c r="D883" s="56"/>
      <c r="E883" s="56"/>
      <c r="F883" s="251"/>
      <c r="G883" s="251"/>
      <c r="H883" s="251"/>
      <c r="I883" s="56"/>
      <c r="J883" s="56"/>
      <c r="K883" s="56"/>
      <c r="L883" s="56"/>
      <c r="M883" s="160"/>
      <c r="N883" s="160"/>
      <c r="O883" s="251"/>
      <c r="P883" s="251"/>
      <c r="Q883" s="251"/>
      <c r="R883" s="56"/>
      <c r="S883" s="56"/>
      <c r="T883" s="56"/>
      <c r="U883" s="56"/>
      <c r="V883" s="250"/>
      <c r="W883" s="56"/>
    </row>
    <row r="884" spans="1:23" ht="15.75" customHeight="1">
      <c r="A884" s="56"/>
      <c r="B884" s="56"/>
      <c r="C884" s="56"/>
      <c r="D884" s="56"/>
      <c r="E884" s="56"/>
      <c r="F884" s="251"/>
      <c r="G884" s="251"/>
      <c r="H884" s="251"/>
      <c r="I884" s="56"/>
      <c r="J884" s="56"/>
      <c r="K884" s="56"/>
      <c r="L884" s="56"/>
      <c r="M884" s="160"/>
      <c r="N884" s="160"/>
      <c r="O884" s="251"/>
      <c r="P884" s="251"/>
      <c r="Q884" s="251"/>
      <c r="R884" s="56"/>
      <c r="S884" s="56"/>
      <c r="T884" s="56"/>
      <c r="U884" s="56"/>
      <c r="V884" s="250"/>
      <c r="W884" s="56"/>
    </row>
    <row r="885" spans="1:23" ht="15.75" customHeight="1">
      <c r="A885" s="56"/>
      <c r="B885" s="56"/>
      <c r="C885" s="56"/>
      <c r="D885" s="56"/>
      <c r="E885" s="56"/>
      <c r="F885" s="251"/>
      <c r="G885" s="251"/>
      <c r="H885" s="251"/>
      <c r="I885" s="56"/>
      <c r="J885" s="56"/>
      <c r="K885" s="56"/>
      <c r="L885" s="56"/>
      <c r="M885" s="160"/>
      <c r="N885" s="160"/>
      <c r="O885" s="251"/>
      <c r="P885" s="251"/>
      <c r="Q885" s="251"/>
      <c r="R885" s="56"/>
      <c r="S885" s="56"/>
      <c r="T885" s="56"/>
      <c r="U885" s="56"/>
      <c r="V885" s="250"/>
      <c r="W885" s="56"/>
    </row>
    <row r="886" spans="1:23" ht="15.75" customHeight="1">
      <c r="A886" s="56"/>
      <c r="B886" s="56"/>
      <c r="C886" s="56"/>
      <c r="D886" s="56"/>
      <c r="E886" s="56"/>
      <c r="F886" s="251"/>
      <c r="G886" s="251"/>
      <c r="H886" s="251"/>
      <c r="I886" s="56"/>
      <c r="J886" s="56"/>
      <c r="K886" s="56"/>
      <c r="L886" s="56"/>
      <c r="M886" s="160"/>
      <c r="N886" s="160"/>
      <c r="O886" s="251"/>
      <c r="P886" s="251"/>
      <c r="Q886" s="251"/>
      <c r="R886" s="56"/>
      <c r="S886" s="56"/>
      <c r="T886" s="56"/>
      <c r="U886" s="56"/>
      <c r="V886" s="250"/>
      <c r="W886" s="56"/>
    </row>
    <row r="887" spans="1:23" ht="15.75" customHeight="1">
      <c r="A887" s="56"/>
      <c r="B887" s="56"/>
      <c r="C887" s="56"/>
      <c r="D887" s="56"/>
      <c r="E887" s="56"/>
      <c r="F887" s="251"/>
      <c r="G887" s="251"/>
      <c r="H887" s="251"/>
      <c r="I887" s="56"/>
      <c r="J887" s="56"/>
      <c r="K887" s="56"/>
      <c r="L887" s="56"/>
      <c r="M887" s="160"/>
      <c r="N887" s="160"/>
      <c r="O887" s="251"/>
      <c r="P887" s="251"/>
      <c r="Q887" s="251"/>
      <c r="R887" s="56"/>
      <c r="S887" s="56"/>
      <c r="T887" s="56"/>
      <c r="U887" s="56"/>
      <c r="V887" s="250"/>
      <c r="W887" s="56"/>
    </row>
    <row r="888" spans="1:23" ht="15.75" customHeight="1">
      <c r="A888" s="56"/>
      <c r="B888" s="56"/>
      <c r="C888" s="56"/>
      <c r="D888" s="56"/>
      <c r="E888" s="56"/>
      <c r="F888" s="251"/>
      <c r="G888" s="251"/>
      <c r="H888" s="251"/>
      <c r="I888" s="56"/>
      <c r="J888" s="56"/>
      <c r="K888" s="56"/>
      <c r="L888" s="56"/>
      <c r="M888" s="160"/>
      <c r="N888" s="160"/>
      <c r="O888" s="251"/>
      <c r="P888" s="251"/>
      <c r="Q888" s="251"/>
      <c r="R888" s="56"/>
      <c r="S888" s="56"/>
      <c r="T888" s="56"/>
      <c r="U888" s="56"/>
      <c r="V888" s="250"/>
      <c r="W888" s="56"/>
    </row>
    <row r="889" spans="1:23" ht="15.75" customHeight="1">
      <c r="A889" s="56"/>
      <c r="B889" s="56"/>
      <c r="C889" s="56"/>
      <c r="D889" s="56"/>
      <c r="E889" s="56"/>
      <c r="F889" s="251"/>
      <c r="G889" s="251"/>
      <c r="H889" s="251"/>
      <c r="I889" s="56"/>
      <c r="J889" s="56"/>
      <c r="K889" s="56"/>
      <c r="L889" s="56"/>
      <c r="M889" s="160"/>
      <c r="N889" s="160"/>
      <c r="O889" s="251"/>
      <c r="P889" s="251"/>
      <c r="Q889" s="251"/>
      <c r="R889" s="56"/>
      <c r="S889" s="56"/>
      <c r="T889" s="56"/>
      <c r="U889" s="56"/>
      <c r="V889" s="250"/>
      <c r="W889" s="56"/>
    </row>
    <row r="890" spans="1:23" ht="15.75" customHeight="1">
      <c r="A890" s="56"/>
      <c r="B890" s="56"/>
      <c r="C890" s="56"/>
      <c r="D890" s="56"/>
      <c r="E890" s="56"/>
      <c r="F890" s="251"/>
      <c r="G890" s="251"/>
      <c r="H890" s="251"/>
      <c r="I890" s="56"/>
      <c r="J890" s="56"/>
      <c r="K890" s="56"/>
      <c r="L890" s="56"/>
      <c r="M890" s="160"/>
      <c r="N890" s="160"/>
      <c r="O890" s="251"/>
      <c r="P890" s="251"/>
      <c r="Q890" s="251"/>
      <c r="R890" s="56"/>
      <c r="S890" s="56"/>
      <c r="T890" s="56"/>
      <c r="U890" s="56"/>
      <c r="V890" s="250"/>
      <c r="W890" s="56"/>
    </row>
    <row r="891" spans="1:23" ht="15.75" customHeight="1">
      <c r="A891" s="56"/>
      <c r="B891" s="56"/>
      <c r="C891" s="56"/>
      <c r="D891" s="56"/>
      <c r="E891" s="56"/>
      <c r="F891" s="251"/>
      <c r="G891" s="251"/>
      <c r="H891" s="251"/>
      <c r="I891" s="56"/>
      <c r="J891" s="56"/>
      <c r="K891" s="56"/>
      <c r="L891" s="56"/>
      <c r="M891" s="160"/>
      <c r="N891" s="160"/>
      <c r="O891" s="251"/>
      <c r="P891" s="251"/>
      <c r="Q891" s="251"/>
      <c r="R891" s="56"/>
      <c r="S891" s="56"/>
      <c r="T891" s="56"/>
      <c r="U891" s="56"/>
      <c r="V891" s="250"/>
      <c r="W891" s="56"/>
    </row>
    <row r="892" spans="1:23" ht="15.75" customHeight="1">
      <c r="A892" s="56"/>
      <c r="B892" s="56"/>
      <c r="C892" s="56"/>
      <c r="D892" s="56"/>
      <c r="E892" s="56"/>
      <c r="F892" s="251"/>
      <c r="G892" s="251"/>
      <c r="H892" s="251"/>
      <c r="I892" s="56"/>
      <c r="J892" s="56"/>
      <c r="K892" s="56"/>
      <c r="L892" s="56"/>
      <c r="M892" s="160"/>
      <c r="N892" s="160"/>
      <c r="O892" s="251"/>
      <c r="P892" s="251"/>
      <c r="Q892" s="251"/>
      <c r="R892" s="56"/>
      <c r="S892" s="56"/>
      <c r="T892" s="56"/>
      <c r="U892" s="56"/>
      <c r="V892" s="250"/>
      <c r="W892" s="56"/>
    </row>
    <row r="893" spans="1:23" ht="15.75" customHeight="1">
      <c r="A893" s="56"/>
      <c r="B893" s="56"/>
      <c r="C893" s="56"/>
      <c r="D893" s="56"/>
      <c r="E893" s="56"/>
      <c r="F893" s="251"/>
      <c r="G893" s="251"/>
      <c r="H893" s="251"/>
      <c r="I893" s="56"/>
      <c r="J893" s="56"/>
      <c r="K893" s="56"/>
      <c r="L893" s="56"/>
      <c r="M893" s="160"/>
      <c r="N893" s="160"/>
      <c r="O893" s="251"/>
      <c r="P893" s="251"/>
      <c r="Q893" s="251"/>
      <c r="R893" s="56"/>
      <c r="S893" s="56"/>
      <c r="T893" s="56"/>
      <c r="U893" s="56"/>
      <c r="V893" s="250"/>
      <c r="W893" s="56"/>
    </row>
    <row r="894" spans="1:23" ht="15.75" customHeight="1">
      <c r="A894" s="56"/>
      <c r="B894" s="56"/>
      <c r="C894" s="56"/>
      <c r="D894" s="56"/>
      <c r="E894" s="56"/>
      <c r="F894" s="251"/>
      <c r="G894" s="251"/>
      <c r="H894" s="251"/>
      <c r="I894" s="56"/>
      <c r="J894" s="56"/>
      <c r="K894" s="56"/>
      <c r="L894" s="56"/>
      <c r="M894" s="160"/>
      <c r="N894" s="160"/>
      <c r="O894" s="251"/>
      <c r="P894" s="251"/>
      <c r="Q894" s="251"/>
      <c r="R894" s="56"/>
      <c r="S894" s="56"/>
      <c r="T894" s="56"/>
      <c r="U894" s="56"/>
      <c r="V894" s="250"/>
      <c r="W894" s="56"/>
    </row>
    <row r="895" spans="1:23" ht="15.75" customHeight="1">
      <c r="A895" s="56"/>
      <c r="B895" s="56"/>
      <c r="C895" s="56"/>
      <c r="D895" s="56"/>
      <c r="E895" s="56"/>
      <c r="F895" s="251"/>
      <c r="G895" s="251"/>
      <c r="H895" s="251"/>
      <c r="I895" s="56"/>
      <c r="J895" s="56"/>
      <c r="K895" s="56"/>
      <c r="L895" s="56"/>
      <c r="M895" s="160"/>
      <c r="N895" s="160"/>
      <c r="O895" s="251"/>
      <c r="P895" s="251"/>
      <c r="Q895" s="251"/>
      <c r="R895" s="56"/>
      <c r="S895" s="56"/>
      <c r="T895" s="56"/>
      <c r="U895" s="56"/>
      <c r="V895" s="250"/>
      <c r="W895" s="56"/>
    </row>
    <row r="896" spans="1:23" ht="15.75" customHeight="1">
      <c r="A896" s="56"/>
      <c r="B896" s="56"/>
      <c r="C896" s="56"/>
      <c r="D896" s="56"/>
      <c r="E896" s="56"/>
      <c r="F896" s="251"/>
      <c r="G896" s="251"/>
      <c r="H896" s="251"/>
      <c r="I896" s="56"/>
      <c r="J896" s="56"/>
      <c r="K896" s="56"/>
      <c r="L896" s="56"/>
      <c r="M896" s="160"/>
      <c r="N896" s="160"/>
      <c r="O896" s="251"/>
      <c r="P896" s="251"/>
      <c r="Q896" s="251"/>
      <c r="R896" s="56"/>
      <c r="S896" s="56"/>
      <c r="T896" s="56"/>
      <c r="U896" s="56"/>
      <c r="V896" s="250"/>
      <c r="W896" s="56"/>
    </row>
    <row r="897" spans="1:23" ht="15.75" customHeight="1">
      <c r="A897" s="56"/>
      <c r="B897" s="56"/>
      <c r="C897" s="56"/>
      <c r="D897" s="56"/>
      <c r="E897" s="56"/>
      <c r="F897" s="251"/>
      <c r="G897" s="251"/>
      <c r="H897" s="251"/>
      <c r="I897" s="56"/>
      <c r="J897" s="56"/>
      <c r="K897" s="56"/>
      <c r="L897" s="56"/>
      <c r="M897" s="160"/>
      <c r="N897" s="160"/>
      <c r="O897" s="251"/>
      <c r="P897" s="251"/>
      <c r="Q897" s="251"/>
      <c r="R897" s="56"/>
      <c r="S897" s="56"/>
      <c r="T897" s="56"/>
      <c r="U897" s="56"/>
      <c r="V897" s="250"/>
      <c r="W897" s="56"/>
    </row>
    <row r="898" spans="1:23" ht="15.75" customHeight="1">
      <c r="A898" s="56"/>
      <c r="B898" s="56"/>
      <c r="C898" s="56"/>
      <c r="D898" s="56"/>
      <c r="E898" s="56"/>
      <c r="F898" s="251"/>
      <c r="G898" s="251"/>
      <c r="H898" s="251"/>
      <c r="I898" s="56"/>
      <c r="J898" s="56"/>
      <c r="K898" s="56"/>
      <c r="L898" s="56"/>
      <c r="M898" s="160"/>
      <c r="N898" s="160"/>
      <c r="O898" s="251"/>
      <c r="P898" s="251"/>
      <c r="Q898" s="251"/>
      <c r="R898" s="56"/>
      <c r="S898" s="56"/>
      <c r="T898" s="56"/>
      <c r="U898" s="56"/>
      <c r="V898" s="250"/>
      <c r="W898" s="56"/>
    </row>
    <row r="899" spans="1:23" ht="15.75" customHeight="1">
      <c r="A899" s="56"/>
      <c r="B899" s="56"/>
      <c r="C899" s="56"/>
      <c r="D899" s="56"/>
      <c r="E899" s="56"/>
      <c r="F899" s="251"/>
      <c r="G899" s="251"/>
      <c r="H899" s="251"/>
      <c r="I899" s="56"/>
      <c r="J899" s="56"/>
      <c r="K899" s="56"/>
      <c r="L899" s="56"/>
      <c r="M899" s="160"/>
      <c r="N899" s="160"/>
      <c r="O899" s="251"/>
      <c r="P899" s="251"/>
      <c r="Q899" s="251"/>
      <c r="R899" s="56"/>
      <c r="S899" s="56"/>
      <c r="T899" s="56"/>
      <c r="U899" s="56"/>
      <c r="V899" s="250"/>
      <c r="W899" s="56"/>
    </row>
    <row r="900" spans="1:23" ht="15.75" customHeight="1">
      <c r="A900" s="56"/>
      <c r="B900" s="56"/>
      <c r="C900" s="56"/>
      <c r="D900" s="56"/>
      <c r="E900" s="56"/>
      <c r="F900" s="251"/>
      <c r="G900" s="251"/>
      <c r="H900" s="251"/>
      <c r="I900" s="56"/>
      <c r="J900" s="56"/>
      <c r="K900" s="56"/>
      <c r="L900" s="56"/>
      <c r="M900" s="160"/>
      <c r="N900" s="160"/>
      <c r="O900" s="251"/>
      <c r="P900" s="251"/>
      <c r="Q900" s="251"/>
      <c r="R900" s="56"/>
      <c r="S900" s="56"/>
      <c r="T900" s="56"/>
      <c r="U900" s="56"/>
      <c r="V900" s="250"/>
      <c r="W900" s="56"/>
    </row>
    <row r="901" spans="1:23" ht="15.75" customHeight="1">
      <c r="A901" s="56"/>
      <c r="B901" s="56"/>
      <c r="C901" s="56"/>
      <c r="D901" s="56"/>
      <c r="E901" s="56"/>
      <c r="F901" s="251"/>
      <c r="G901" s="251"/>
      <c r="H901" s="251"/>
      <c r="I901" s="56"/>
      <c r="J901" s="56"/>
      <c r="K901" s="56"/>
      <c r="L901" s="56"/>
      <c r="M901" s="160"/>
      <c r="N901" s="160"/>
      <c r="O901" s="251"/>
      <c r="P901" s="251"/>
      <c r="Q901" s="251"/>
      <c r="R901" s="56"/>
      <c r="S901" s="56"/>
      <c r="T901" s="56"/>
      <c r="U901" s="56"/>
      <c r="V901" s="250"/>
      <c r="W901" s="56"/>
    </row>
    <row r="902" spans="1:23" ht="15.75" customHeight="1">
      <c r="A902" s="56"/>
      <c r="B902" s="56"/>
      <c r="C902" s="56"/>
      <c r="D902" s="56"/>
      <c r="E902" s="56"/>
      <c r="F902" s="251"/>
      <c r="G902" s="251"/>
      <c r="H902" s="251"/>
      <c r="I902" s="56"/>
      <c r="J902" s="56"/>
      <c r="K902" s="56"/>
      <c r="L902" s="56"/>
      <c r="M902" s="160"/>
      <c r="N902" s="160"/>
      <c r="O902" s="251"/>
      <c r="P902" s="251"/>
      <c r="Q902" s="251"/>
      <c r="R902" s="56"/>
      <c r="S902" s="56"/>
      <c r="T902" s="56"/>
      <c r="U902" s="56"/>
      <c r="V902" s="250"/>
      <c r="W902" s="56"/>
    </row>
    <row r="903" spans="1:23" ht="15.75" customHeight="1">
      <c r="A903" s="56"/>
      <c r="B903" s="56"/>
      <c r="C903" s="56"/>
      <c r="D903" s="56"/>
      <c r="E903" s="56"/>
      <c r="F903" s="251"/>
      <c r="G903" s="251"/>
      <c r="H903" s="251"/>
      <c r="I903" s="56"/>
      <c r="J903" s="56"/>
      <c r="K903" s="56"/>
      <c r="L903" s="56"/>
      <c r="M903" s="160"/>
      <c r="N903" s="160"/>
      <c r="O903" s="251"/>
      <c r="P903" s="251"/>
      <c r="Q903" s="251"/>
      <c r="R903" s="56"/>
      <c r="S903" s="56"/>
      <c r="T903" s="56"/>
      <c r="U903" s="56"/>
      <c r="V903" s="250"/>
      <c r="W903" s="56"/>
    </row>
    <row r="904" spans="1:23" ht="15.75" customHeight="1">
      <c r="A904" s="56"/>
      <c r="B904" s="56"/>
      <c r="C904" s="56"/>
      <c r="D904" s="56"/>
      <c r="E904" s="56"/>
      <c r="F904" s="251"/>
      <c r="G904" s="251"/>
      <c r="H904" s="251"/>
      <c r="I904" s="56"/>
      <c r="J904" s="56"/>
      <c r="K904" s="56"/>
      <c r="L904" s="56"/>
      <c r="M904" s="160"/>
      <c r="N904" s="160"/>
      <c r="O904" s="251"/>
      <c r="P904" s="251"/>
      <c r="Q904" s="251"/>
      <c r="R904" s="56"/>
      <c r="S904" s="56"/>
      <c r="T904" s="56"/>
      <c r="U904" s="56"/>
      <c r="V904" s="250"/>
      <c r="W904" s="56"/>
    </row>
    <row r="905" spans="1:23" ht="15.75" customHeight="1">
      <c r="A905" s="56"/>
      <c r="B905" s="56"/>
      <c r="C905" s="56"/>
      <c r="D905" s="56"/>
      <c r="E905" s="56"/>
      <c r="F905" s="251"/>
      <c r="G905" s="251"/>
      <c r="H905" s="251"/>
      <c r="I905" s="56"/>
      <c r="J905" s="56"/>
      <c r="K905" s="56"/>
      <c r="L905" s="56"/>
      <c r="M905" s="160"/>
      <c r="N905" s="160"/>
      <c r="O905" s="251"/>
      <c r="P905" s="251"/>
      <c r="Q905" s="251"/>
      <c r="R905" s="56"/>
      <c r="S905" s="56"/>
      <c r="T905" s="56"/>
      <c r="U905" s="56"/>
      <c r="V905" s="250"/>
      <c r="W905" s="56"/>
    </row>
    <row r="906" spans="1:23" ht="15.75" customHeight="1">
      <c r="A906" s="56"/>
      <c r="B906" s="56"/>
      <c r="C906" s="56"/>
      <c r="D906" s="56"/>
      <c r="E906" s="56"/>
      <c r="F906" s="251"/>
      <c r="G906" s="251"/>
      <c r="H906" s="251"/>
      <c r="I906" s="56"/>
      <c r="J906" s="56"/>
      <c r="K906" s="56"/>
      <c r="L906" s="56"/>
      <c r="M906" s="160"/>
      <c r="N906" s="160"/>
      <c r="O906" s="251"/>
      <c r="P906" s="251"/>
      <c r="Q906" s="251"/>
      <c r="R906" s="56"/>
      <c r="S906" s="56"/>
      <c r="T906" s="56"/>
      <c r="U906" s="56"/>
      <c r="V906" s="250"/>
      <c r="W906" s="56"/>
    </row>
    <row r="907" spans="1:23" ht="15.75" customHeight="1">
      <c r="A907" s="56"/>
      <c r="B907" s="56"/>
      <c r="C907" s="56"/>
      <c r="D907" s="56"/>
      <c r="E907" s="56"/>
      <c r="F907" s="251"/>
      <c r="G907" s="251"/>
      <c r="H907" s="251"/>
      <c r="I907" s="56"/>
      <c r="J907" s="56"/>
      <c r="K907" s="56"/>
      <c r="L907" s="56"/>
      <c r="M907" s="160"/>
      <c r="N907" s="160"/>
      <c r="O907" s="251"/>
      <c r="P907" s="251"/>
      <c r="Q907" s="251"/>
      <c r="R907" s="56"/>
      <c r="S907" s="56"/>
      <c r="T907" s="56"/>
      <c r="U907" s="56"/>
      <c r="V907" s="250"/>
      <c r="W907" s="56"/>
    </row>
    <row r="908" spans="1:23" ht="15.75" customHeight="1">
      <c r="A908" s="56"/>
      <c r="B908" s="56"/>
      <c r="C908" s="56"/>
      <c r="D908" s="56"/>
      <c r="E908" s="56"/>
      <c r="F908" s="251"/>
      <c r="G908" s="251"/>
      <c r="H908" s="251"/>
      <c r="I908" s="56"/>
      <c r="J908" s="56"/>
      <c r="K908" s="56"/>
      <c r="L908" s="56"/>
      <c r="M908" s="160"/>
      <c r="N908" s="160"/>
      <c r="O908" s="251"/>
      <c r="P908" s="251"/>
      <c r="Q908" s="251"/>
      <c r="R908" s="56"/>
      <c r="S908" s="56"/>
      <c r="T908" s="56"/>
      <c r="U908" s="56"/>
      <c r="V908" s="250"/>
      <c r="W908" s="56"/>
    </row>
    <row r="909" spans="1:23" ht="15.75" customHeight="1">
      <c r="A909" s="56"/>
      <c r="B909" s="56"/>
      <c r="C909" s="56"/>
      <c r="D909" s="56"/>
      <c r="E909" s="56"/>
      <c r="F909" s="251"/>
      <c r="G909" s="251"/>
      <c r="H909" s="251"/>
      <c r="I909" s="56"/>
      <c r="J909" s="56"/>
      <c r="K909" s="56"/>
      <c r="L909" s="56"/>
      <c r="M909" s="160"/>
      <c r="N909" s="160"/>
      <c r="O909" s="251"/>
      <c r="P909" s="251"/>
      <c r="Q909" s="251"/>
      <c r="R909" s="56"/>
      <c r="S909" s="56"/>
      <c r="T909" s="56"/>
      <c r="U909" s="56"/>
      <c r="V909" s="250"/>
      <c r="W909" s="56"/>
    </row>
    <row r="910" spans="1:23" ht="15.75" customHeight="1">
      <c r="A910" s="56"/>
      <c r="B910" s="56"/>
      <c r="C910" s="56"/>
      <c r="D910" s="56"/>
      <c r="E910" s="56"/>
      <c r="F910" s="251"/>
      <c r="G910" s="251"/>
      <c r="H910" s="251"/>
      <c r="I910" s="56"/>
      <c r="J910" s="56"/>
      <c r="K910" s="56"/>
      <c r="L910" s="56"/>
      <c r="M910" s="160"/>
      <c r="N910" s="160"/>
      <c r="O910" s="251"/>
      <c r="P910" s="251"/>
      <c r="Q910" s="251"/>
      <c r="R910" s="56"/>
      <c r="S910" s="56"/>
      <c r="T910" s="56"/>
      <c r="U910" s="56"/>
      <c r="V910" s="250"/>
      <c r="W910" s="56"/>
    </row>
    <row r="911" spans="1:23" ht="15.75" customHeight="1">
      <c r="A911" s="56"/>
      <c r="B911" s="56"/>
      <c r="C911" s="56"/>
      <c r="D911" s="56"/>
      <c r="E911" s="56"/>
      <c r="F911" s="251"/>
      <c r="G911" s="251"/>
      <c r="H911" s="251"/>
      <c r="I911" s="56"/>
      <c r="J911" s="56"/>
      <c r="K911" s="56"/>
      <c r="L911" s="56"/>
      <c r="M911" s="160"/>
      <c r="N911" s="160"/>
      <c r="O911" s="251"/>
      <c r="P911" s="251"/>
      <c r="Q911" s="251"/>
      <c r="R911" s="56"/>
      <c r="S911" s="56"/>
      <c r="T911" s="56"/>
      <c r="U911" s="56"/>
      <c r="V911" s="250"/>
      <c r="W911" s="56"/>
    </row>
    <row r="912" spans="1:23" ht="15.75" customHeight="1">
      <c r="A912" s="56"/>
      <c r="B912" s="56"/>
      <c r="C912" s="56"/>
      <c r="D912" s="56"/>
      <c r="E912" s="56"/>
      <c r="F912" s="251"/>
      <c r="G912" s="251"/>
      <c r="H912" s="251"/>
      <c r="I912" s="56"/>
      <c r="J912" s="56"/>
      <c r="K912" s="56"/>
      <c r="L912" s="56"/>
      <c r="M912" s="160"/>
      <c r="N912" s="160"/>
      <c r="O912" s="251"/>
      <c r="P912" s="251"/>
      <c r="Q912" s="251"/>
      <c r="R912" s="56"/>
      <c r="S912" s="56"/>
      <c r="T912" s="56"/>
      <c r="U912" s="56"/>
      <c r="V912" s="250"/>
      <c r="W912" s="56"/>
    </row>
    <row r="913" spans="1:23" ht="15.75" customHeight="1">
      <c r="A913" s="56"/>
      <c r="B913" s="56"/>
      <c r="C913" s="56"/>
      <c r="D913" s="56"/>
      <c r="E913" s="56"/>
      <c r="F913" s="251"/>
      <c r="G913" s="251"/>
      <c r="H913" s="251"/>
      <c r="I913" s="56"/>
      <c r="J913" s="56"/>
      <c r="K913" s="56"/>
      <c r="L913" s="56"/>
      <c r="M913" s="160"/>
      <c r="N913" s="160"/>
      <c r="O913" s="251"/>
      <c r="P913" s="251"/>
      <c r="Q913" s="251"/>
      <c r="R913" s="56"/>
      <c r="S913" s="56"/>
      <c r="T913" s="56"/>
      <c r="U913" s="56"/>
      <c r="V913" s="250"/>
      <c r="W913" s="56"/>
    </row>
    <row r="914" spans="1:23" ht="15.75" customHeight="1">
      <c r="A914" s="56"/>
      <c r="B914" s="56"/>
      <c r="C914" s="56"/>
      <c r="D914" s="56"/>
      <c r="E914" s="56"/>
      <c r="F914" s="251"/>
      <c r="G914" s="251"/>
      <c r="H914" s="251"/>
      <c r="I914" s="56"/>
      <c r="J914" s="56"/>
      <c r="K914" s="56"/>
      <c r="L914" s="56"/>
      <c r="M914" s="160"/>
      <c r="N914" s="160"/>
      <c r="O914" s="251"/>
      <c r="P914" s="251"/>
      <c r="Q914" s="251"/>
      <c r="R914" s="56"/>
      <c r="S914" s="56"/>
      <c r="T914" s="56"/>
      <c r="U914" s="56"/>
      <c r="V914" s="250"/>
      <c r="W914" s="56"/>
    </row>
    <row r="915" spans="1:23" ht="15.75" customHeight="1">
      <c r="A915" s="56"/>
      <c r="B915" s="56"/>
      <c r="C915" s="56"/>
      <c r="D915" s="56"/>
      <c r="E915" s="56"/>
      <c r="F915" s="251"/>
      <c r="G915" s="251"/>
      <c r="H915" s="251"/>
      <c r="I915" s="56"/>
      <c r="J915" s="56"/>
      <c r="K915" s="56"/>
      <c r="L915" s="56"/>
      <c r="M915" s="160"/>
      <c r="N915" s="160"/>
      <c r="O915" s="251"/>
      <c r="P915" s="251"/>
      <c r="Q915" s="251"/>
      <c r="R915" s="56"/>
      <c r="S915" s="56"/>
      <c r="T915" s="56"/>
      <c r="U915" s="56"/>
      <c r="V915" s="250"/>
      <c r="W915" s="56"/>
    </row>
    <row r="916" spans="1:23" ht="15.75" customHeight="1">
      <c r="A916" s="56"/>
      <c r="B916" s="56"/>
      <c r="C916" s="56"/>
      <c r="D916" s="56"/>
      <c r="E916" s="56"/>
      <c r="F916" s="251"/>
      <c r="G916" s="251"/>
      <c r="H916" s="251"/>
      <c r="I916" s="56"/>
      <c r="J916" s="56"/>
      <c r="K916" s="56"/>
      <c r="L916" s="56"/>
      <c r="M916" s="160"/>
      <c r="N916" s="160"/>
      <c r="O916" s="251"/>
      <c r="P916" s="251"/>
      <c r="Q916" s="251"/>
      <c r="R916" s="56"/>
      <c r="S916" s="56"/>
      <c r="T916" s="56"/>
      <c r="U916" s="56"/>
      <c r="V916" s="250"/>
      <c r="W916" s="56"/>
    </row>
    <row r="917" spans="1:23" ht="15.75" customHeight="1">
      <c r="A917" s="56"/>
      <c r="B917" s="56"/>
      <c r="C917" s="56"/>
      <c r="D917" s="56"/>
      <c r="E917" s="56"/>
      <c r="F917" s="251"/>
      <c r="G917" s="251"/>
      <c r="H917" s="251"/>
      <c r="I917" s="56"/>
      <c r="J917" s="56"/>
      <c r="K917" s="56"/>
      <c r="L917" s="56"/>
      <c r="M917" s="160"/>
      <c r="N917" s="160"/>
      <c r="O917" s="251"/>
      <c r="P917" s="251"/>
      <c r="Q917" s="251"/>
      <c r="R917" s="56"/>
      <c r="S917" s="56"/>
      <c r="T917" s="56"/>
      <c r="U917" s="56"/>
      <c r="V917" s="250"/>
      <c r="W917" s="56"/>
    </row>
    <row r="918" spans="1:23" ht="15.75" customHeight="1">
      <c r="A918" s="56"/>
      <c r="B918" s="56"/>
      <c r="C918" s="56"/>
      <c r="D918" s="56"/>
      <c r="E918" s="56"/>
      <c r="F918" s="251"/>
      <c r="G918" s="251"/>
      <c r="H918" s="251"/>
      <c r="I918" s="56"/>
      <c r="J918" s="56"/>
      <c r="K918" s="56"/>
      <c r="L918" s="56"/>
      <c r="M918" s="160"/>
      <c r="N918" s="160"/>
      <c r="O918" s="251"/>
      <c r="P918" s="251"/>
      <c r="Q918" s="251"/>
      <c r="R918" s="56"/>
      <c r="S918" s="56"/>
      <c r="T918" s="56"/>
      <c r="U918" s="56"/>
      <c r="V918" s="250"/>
      <c r="W918" s="56"/>
    </row>
    <row r="919" spans="1:23" ht="15.75" customHeight="1">
      <c r="A919" s="56"/>
      <c r="B919" s="56"/>
      <c r="C919" s="56"/>
      <c r="D919" s="56"/>
      <c r="E919" s="56"/>
      <c r="F919" s="251"/>
      <c r="G919" s="251"/>
      <c r="H919" s="251"/>
      <c r="I919" s="56"/>
      <c r="J919" s="56"/>
      <c r="K919" s="56"/>
      <c r="L919" s="56"/>
      <c r="M919" s="160"/>
      <c r="N919" s="160"/>
      <c r="O919" s="251"/>
      <c r="P919" s="251"/>
      <c r="Q919" s="251"/>
      <c r="R919" s="56"/>
      <c r="S919" s="56"/>
      <c r="T919" s="56"/>
      <c r="U919" s="56"/>
      <c r="V919" s="250"/>
      <c r="W919" s="56"/>
    </row>
    <row r="920" spans="1:23" ht="15.75" customHeight="1">
      <c r="A920" s="56"/>
      <c r="B920" s="56"/>
      <c r="C920" s="56"/>
      <c r="D920" s="56"/>
      <c r="E920" s="56"/>
      <c r="F920" s="251"/>
      <c r="G920" s="251"/>
      <c r="H920" s="251"/>
      <c r="I920" s="56"/>
      <c r="J920" s="56"/>
      <c r="K920" s="56"/>
      <c r="L920" s="56"/>
      <c r="M920" s="160"/>
      <c r="N920" s="160"/>
      <c r="O920" s="251"/>
      <c r="P920" s="251"/>
      <c r="Q920" s="251"/>
      <c r="R920" s="56"/>
      <c r="S920" s="56"/>
      <c r="T920" s="56"/>
      <c r="U920" s="56"/>
      <c r="V920" s="250"/>
      <c r="W920" s="56"/>
    </row>
    <row r="921" spans="1:23" ht="15.75" customHeight="1">
      <c r="A921" s="56"/>
      <c r="B921" s="56"/>
      <c r="C921" s="56"/>
      <c r="D921" s="56"/>
      <c r="E921" s="56"/>
      <c r="F921" s="251"/>
      <c r="G921" s="251"/>
      <c r="H921" s="251"/>
      <c r="I921" s="56"/>
      <c r="J921" s="56"/>
      <c r="K921" s="56"/>
      <c r="L921" s="56"/>
      <c r="M921" s="160"/>
      <c r="N921" s="160"/>
      <c r="O921" s="251"/>
      <c r="P921" s="251"/>
      <c r="Q921" s="251"/>
      <c r="R921" s="56"/>
      <c r="S921" s="56"/>
      <c r="T921" s="56"/>
      <c r="U921" s="56"/>
      <c r="V921" s="250"/>
      <c r="W921" s="56"/>
    </row>
    <row r="922" spans="1:23" ht="15.75" customHeight="1">
      <c r="A922" s="56"/>
      <c r="B922" s="56"/>
      <c r="C922" s="56"/>
      <c r="D922" s="56"/>
      <c r="E922" s="56"/>
      <c r="F922" s="251"/>
      <c r="G922" s="251"/>
      <c r="H922" s="251"/>
      <c r="I922" s="56"/>
      <c r="J922" s="56"/>
      <c r="K922" s="56"/>
      <c r="L922" s="56"/>
      <c r="M922" s="160"/>
      <c r="N922" s="160"/>
      <c r="O922" s="251"/>
      <c r="P922" s="251"/>
      <c r="Q922" s="251"/>
      <c r="R922" s="56"/>
      <c r="S922" s="56"/>
      <c r="T922" s="56"/>
      <c r="U922" s="56"/>
      <c r="V922" s="250"/>
      <c r="W922" s="56"/>
    </row>
    <row r="923" spans="1:23" ht="15.75" customHeight="1">
      <c r="A923" s="56"/>
      <c r="B923" s="56"/>
      <c r="C923" s="56"/>
      <c r="D923" s="56"/>
      <c r="E923" s="56"/>
      <c r="F923" s="251"/>
      <c r="G923" s="251"/>
      <c r="H923" s="251"/>
      <c r="I923" s="56"/>
      <c r="J923" s="56"/>
      <c r="K923" s="56"/>
      <c r="L923" s="56"/>
      <c r="M923" s="160"/>
      <c r="N923" s="160"/>
      <c r="O923" s="251"/>
      <c r="P923" s="251"/>
      <c r="Q923" s="251"/>
      <c r="R923" s="56"/>
      <c r="S923" s="56"/>
      <c r="T923" s="56"/>
      <c r="U923" s="56"/>
      <c r="V923" s="250"/>
      <c r="W923" s="56"/>
    </row>
    <row r="924" spans="1:23" ht="15.75" customHeight="1">
      <c r="A924" s="56"/>
      <c r="B924" s="56"/>
      <c r="C924" s="56"/>
      <c r="D924" s="56"/>
      <c r="E924" s="56"/>
      <c r="F924" s="251"/>
      <c r="G924" s="251"/>
      <c r="H924" s="251"/>
      <c r="I924" s="56"/>
      <c r="J924" s="56"/>
      <c r="K924" s="56"/>
      <c r="L924" s="56"/>
      <c r="M924" s="160"/>
      <c r="N924" s="160"/>
      <c r="O924" s="251"/>
      <c r="P924" s="251"/>
      <c r="Q924" s="251"/>
      <c r="R924" s="56"/>
      <c r="S924" s="56"/>
      <c r="T924" s="56"/>
      <c r="U924" s="56"/>
      <c r="V924" s="250"/>
      <c r="W924" s="56"/>
    </row>
    <row r="925" spans="1:23" ht="15.75" customHeight="1">
      <c r="A925" s="56"/>
      <c r="B925" s="56"/>
      <c r="C925" s="56"/>
      <c r="D925" s="56"/>
      <c r="E925" s="56"/>
      <c r="F925" s="251"/>
      <c r="G925" s="251"/>
      <c r="H925" s="251"/>
      <c r="I925" s="56"/>
      <c r="J925" s="56"/>
      <c r="K925" s="56"/>
      <c r="L925" s="56"/>
      <c r="M925" s="160"/>
      <c r="N925" s="160"/>
      <c r="O925" s="251"/>
      <c r="P925" s="251"/>
      <c r="Q925" s="251"/>
      <c r="R925" s="56"/>
      <c r="S925" s="56"/>
      <c r="T925" s="56"/>
      <c r="U925" s="56"/>
      <c r="V925" s="250"/>
      <c r="W925" s="56"/>
    </row>
    <row r="926" spans="1:23" ht="15.75" customHeight="1">
      <c r="A926" s="56"/>
      <c r="B926" s="56"/>
      <c r="C926" s="56"/>
      <c r="D926" s="56"/>
      <c r="E926" s="56"/>
      <c r="F926" s="251"/>
      <c r="G926" s="251"/>
      <c r="H926" s="251"/>
      <c r="I926" s="56"/>
      <c r="J926" s="56"/>
      <c r="K926" s="56"/>
      <c r="L926" s="56"/>
      <c r="M926" s="160"/>
      <c r="N926" s="160"/>
      <c r="O926" s="251"/>
      <c r="P926" s="251"/>
      <c r="Q926" s="251"/>
      <c r="R926" s="56"/>
      <c r="S926" s="56"/>
      <c r="T926" s="56"/>
      <c r="U926" s="56"/>
      <c r="V926" s="250"/>
      <c r="W926" s="56"/>
    </row>
    <row r="927" spans="1:23" ht="15.75" customHeight="1">
      <c r="A927" s="56"/>
      <c r="B927" s="56"/>
      <c r="C927" s="56"/>
      <c r="D927" s="56"/>
      <c r="E927" s="56"/>
      <c r="F927" s="251"/>
      <c r="G927" s="251"/>
      <c r="H927" s="251"/>
      <c r="I927" s="56"/>
      <c r="J927" s="56"/>
      <c r="K927" s="56"/>
      <c r="L927" s="56"/>
      <c r="M927" s="160"/>
      <c r="N927" s="160"/>
      <c r="O927" s="251"/>
      <c r="P927" s="251"/>
      <c r="Q927" s="251"/>
      <c r="R927" s="56"/>
      <c r="S927" s="56"/>
      <c r="T927" s="56"/>
      <c r="U927" s="56"/>
      <c r="V927" s="250"/>
      <c r="W927" s="56"/>
    </row>
    <row r="928" spans="1:23" ht="15.75" customHeight="1">
      <c r="A928" s="56"/>
      <c r="B928" s="56"/>
      <c r="C928" s="56"/>
      <c r="D928" s="56"/>
      <c r="E928" s="56"/>
      <c r="F928" s="251"/>
      <c r="G928" s="251"/>
      <c r="H928" s="251"/>
      <c r="I928" s="56"/>
      <c r="J928" s="56"/>
      <c r="K928" s="56"/>
      <c r="L928" s="56"/>
      <c r="M928" s="160"/>
      <c r="N928" s="160"/>
      <c r="O928" s="251"/>
      <c r="P928" s="251"/>
      <c r="Q928" s="251"/>
      <c r="R928" s="56"/>
      <c r="S928" s="56"/>
      <c r="T928" s="56"/>
      <c r="U928" s="56"/>
      <c r="V928" s="250"/>
      <c r="W928" s="56"/>
    </row>
    <row r="929" spans="1:23" ht="15.75" customHeight="1">
      <c r="A929" s="56"/>
      <c r="B929" s="56"/>
      <c r="C929" s="56"/>
      <c r="D929" s="56"/>
      <c r="E929" s="56"/>
      <c r="F929" s="251"/>
      <c r="G929" s="251"/>
      <c r="H929" s="251"/>
      <c r="I929" s="56"/>
      <c r="J929" s="56"/>
      <c r="K929" s="56"/>
      <c r="L929" s="56"/>
      <c r="M929" s="160"/>
      <c r="N929" s="160"/>
      <c r="O929" s="251"/>
      <c r="P929" s="251"/>
      <c r="Q929" s="251"/>
      <c r="R929" s="56"/>
      <c r="S929" s="56"/>
      <c r="T929" s="56"/>
      <c r="U929" s="56"/>
      <c r="V929" s="250"/>
      <c r="W929" s="56"/>
    </row>
    <row r="930" spans="1:23" ht="15.75" customHeight="1">
      <c r="A930" s="56"/>
      <c r="B930" s="56"/>
      <c r="C930" s="56"/>
      <c r="D930" s="56"/>
      <c r="E930" s="56"/>
      <c r="F930" s="251"/>
      <c r="G930" s="251"/>
      <c r="H930" s="251"/>
      <c r="I930" s="56"/>
      <c r="J930" s="56"/>
      <c r="K930" s="56"/>
      <c r="L930" s="56"/>
      <c r="M930" s="160"/>
      <c r="N930" s="160"/>
      <c r="O930" s="251"/>
      <c r="P930" s="251"/>
      <c r="Q930" s="251"/>
      <c r="R930" s="56"/>
      <c r="S930" s="56"/>
      <c r="T930" s="56"/>
      <c r="U930" s="56"/>
      <c r="V930" s="250"/>
      <c r="W930" s="56"/>
    </row>
    <row r="931" spans="1:23" ht="15.75" customHeight="1">
      <c r="A931" s="56"/>
      <c r="B931" s="56"/>
      <c r="C931" s="56"/>
      <c r="D931" s="56"/>
      <c r="E931" s="56"/>
      <c r="F931" s="251"/>
      <c r="G931" s="251"/>
      <c r="H931" s="251"/>
      <c r="I931" s="56"/>
      <c r="J931" s="56"/>
      <c r="K931" s="56"/>
      <c r="L931" s="56"/>
      <c r="M931" s="160"/>
      <c r="N931" s="160"/>
      <c r="O931" s="251"/>
      <c r="P931" s="251"/>
      <c r="Q931" s="251"/>
      <c r="R931" s="56"/>
      <c r="S931" s="56"/>
      <c r="T931" s="56"/>
      <c r="U931" s="56"/>
      <c r="V931" s="250"/>
      <c r="W931" s="56"/>
    </row>
    <row r="932" spans="1:23" ht="15.75" customHeight="1">
      <c r="A932" s="56"/>
      <c r="B932" s="56"/>
      <c r="C932" s="56"/>
      <c r="D932" s="56"/>
      <c r="E932" s="56"/>
      <c r="F932" s="251"/>
      <c r="G932" s="251"/>
      <c r="H932" s="251"/>
      <c r="I932" s="56"/>
      <c r="J932" s="56"/>
      <c r="K932" s="56"/>
      <c r="L932" s="56"/>
      <c r="M932" s="160"/>
      <c r="N932" s="160"/>
      <c r="O932" s="251"/>
      <c r="P932" s="251"/>
      <c r="Q932" s="251"/>
      <c r="R932" s="56"/>
      <c r="S932" s="56"/>
      <c r="T932" s="56"/>
      <c r="U932" s="56"/>
      <c r="V932" s="250"/>
      <c r="W932" s="56"/>
    </row>
    <row r="933" spans="1:23" ht="15.75" customHeight="1">
      <c r="A933" s="56"/>
      <c r="B933" s="56"/>
      <c r="C933" s="56"/>
      <c r="D933" s="56"/>
      <c r="E933" s="56"/>
      <c r="F933" s="251"/>
      <c r="G933" s="251"/>
      <c r="H933" s="251"/>
      <c r="I933" s="56"/>
      <c r="J933" s="56"/>
      <c r="K933" s="56"/>
      <c r="L933" s="56"/>
      <c r="M933" s="160"/>
      <c r="N933" s="160"/>
      <c r="O933" s="251"/>
      <c r="P933" s="251"/>
      <c r="Q933" s="251"/>
      <c r="R933" s="56"/>
      <c r="S933" s="56"/>
      <c r="T933" s="56"/>
      <c r="U933" s="56"/>
      <c r="V933" s="250"/>
      <c r="W933" s="56"/>
    </row>
    <row r="934" spans="1:23" ht="15.75" customHeight="1">
      <c r="A934" s="56"/>
      <c r="B934" s="56"/>
      <c r="C934" s="56"/>
      <c r="D934" s="56"/>
      <c r="E934" s="56"/>
      <c r="F934" s="251"/>
      <c r="G934" s="251"/>
      <c r="H934" s="251"/>
      <c r="I934" s="56"/>
      <c r="J934" s="56"/>
      <c r="K934" s="56"/>
      <c r="L934" s="56"/>
      <c r="M934" s="160"/>
      <c r="N934" s="160"/>
      <c r="O934" s="251"/>
      <c r="P934" s="251"/>
      <c r="Q934" s="251"/>
      <c r="R934" s="56"/>
      <c r="S934" s="56"/>
      <c r="T934" s="56"/>
      <c r="U934" s="56"/>
      <c r="V934" s="250"/>
      <c r="W934" s="56"/>
    </row>
    <row r="935" spans="1:23" ht="15.75" customHeight="1">
      <c r="A935" s="56"/>
      <c r="B935" s="56"/>
      <c r="C935" s="56"/>
      <c r="D935" s="56"/>
      <c r="E935" s="56"/>
      <c r="F935" s="251"/>
      <c r="G935" s="251"/>
      <c r="H935" s="251"/>
      <c r="I935" s="56"/>
      <c r="J935" s="56"/>
      <c r="K935" s="56"/>
      <c r="L935" s="56"/>
      <c r="M935" s="160"/>
      <c r="N935" s="160"/>
      <c r="O935" s="251"/>
      <c r="P935" s="251"/>
      <c r="Q935" s="251"/>
      <c r="R935" s="56"/>
      <c r="S935" s="56"/>
      <c r="T935" s="56"/>
      <c r="U935" s="56"/>
      <c r="V935" s="250"/>
      <c r="W935" s="56"/>
    </row>
    <row r="936" spans="1:23" ht="15.75" customHeight="1">
      <c r="A936" s="56"/>
      <c r="B936" s="56"/>
      <c r="C936" s="56"/>
      <c r="D936" s="56"/>
      <c r="E936" s="56"/>
      <c r="F936" s="251"/>
      <c r="G936" s="251"/>
      <c r="H936" s="251"/>
      <c r="I936" s="56"/>
      <c r="J936" s="56"/>
      <c r="K936" s="56"/>
      <c r="L936" s="56"/>
      <c r="M936" s="160"/>
      <c r="N936" s="160"/>
      <c r="O936" s="251"/>
      <c r="P936" s="251"/>
      <c r="Q936" s="251"/>
      <c r="R936" s="56"/>
      <c r="S936" s="56"/>
      <c r="T936" s="56"/>
      <c r="U936" s="56"/>
      <c r="V936" s="250"/>
      <c r="W936" s="56"/>
    </row>
    <row r="937" spans="1:23" ht="15.75" customHeight="1">
      <c r="A937" s="56"/>
      <c r="B937" s="56"/>
      <c r="C937" s="56"/>
      <c r="D937" s="56"/>
      <c r="E937" s="56"/>
      <c r="F937" s="251"/>
      <c r="G937" s="251"/>
      <c r="H937" s="251"/>
      <c r="I937" s="56"/>
      <c r="J937" s="56"/>
      <c r="K937" s="56"/>
      <c r="L937" s="56"/>
      <c r="M937" s="160"/>
      <c r="N937" s="160"/>
      <c r="O937" s="251"/>
      <c r="P937" s="251"/>
      <c r="Q937" s="251"/>
      <c r="R937" s="56"/>
      <c r="S937" s="56"/>
      <c r="T937" s="56"/>
      <c r="U937" s="56"/>
      <c r="V937" s="250"/>
      <c r="W937" s="56"/>
    </row>
    <row r="938" spans="1:23" ht="15.75" customHeight="1">
      <c r="A938" s="56"/>
      <c r="B938" s="56"/>
      <c r="C938" s="56"/>
      <c r="D938" s="56"/>
      <c r="E938" s="56"/>
      <c r="F938" s="251"/>
      <c r="G938" s="251"/>
      <c r="H938" s="251"/>
      <c r="I938" s="56"/>
      <c r="J938" s="56"/>
      <c r="K938" s="56"/>
      <c r="L938" s="56"/>
      <c r="M938" s="160"/>
      <c r="N938" s="160"/>
      <c r="O938" s="251"/>
      <c r="P938" s="251"/>
      <c r="Q938" s="251"/>
      <c r="R938" s="56"/>
      <c r="S938" s="56"/>
      <c r="T938" s="56"/>
      <c r="U938" s="56"/>
      <c r="V938" s="250"/>
      <c r="W938" s="56"/>
    </row>
    <row r="939" spans="1:23" ht="15.75" customHeight="1">
      <c r="A939" s="56"/>
      <c r="B939" s="56"/>
      <c r="C939" s="56"/>
      <c r="D939" s="56"/>
      <c r="E939" s="56"/>
      <c r="F939" s="251"/>
      <c r="G939" s="251"/>
      <c r="H939" s="251"/>
      <c r="I939" s="56"/>
      <c r="J939" s="56"/>
      <c r="K939" s="56"/>
      <c r="L939" s="56"/>
      <c r="M939" s="160"/>
      <c r="N939" s="160"/>
      <c r="O939" s="251"/>
      <c r="P939" s="251"/>
      <c r="Q939" s="251"/>
      <c r="R939" s="56"/>
      <c r="S939" s="56"/>
      <c r="T939" s="56"/>
      <c r="U939" s="56"/>
      <c r="V939" s="250"/>
      <c r="W939" s="56"/>
    </row>
    <row r="940" spans="1:23" ht="15.75" customHeight="1">
      <c r="A940" s="56"/>
      <c r="B940" s="56"/>
      <c r="C940" s="56"/>
      <c r="D940" s="56"/>
      <c r="E940" s="56"/>
      <c r="F940" s="251"/>
      <c r="G940" s="251"/>
      <c r="H940" s="251"/>
      <c r="I940" s="56"/>
      <c r="J940" s="56"/>
      <c r="K940" s="56"/>
      <c r="L940" s="56"/>
      <c r="M940" s="160"/>
      <c r="N940" s="160"/>
      <c r="O940" s="251"/>
      <c r="P940" s="251"/>
      <c r="Q940" s="251"/>
      <c r="R940" s="56"/>
      <c r="S940" s="56"/>
      <c r="T940" s="56"/>
      <c r="U940" s="56"/>
      <c r="V940" s="250"/>
      <c r="W940" s="56"/>
    </row>
    <row r="941" spans="1:23" ht="15.75" customHeight="1">
      <c r="A941" s="56"/>
      <c r="B941" s="56"/>
      <c r="C941" s="56"/>
      <c r="D941" s="56"/>
      <c r="E941" s="56"/>
      <c r="F941" s="251"/>
      <c r="G941" s="251"/>
      <c r="H941" s="251"/>
      <c r="I941" s="56"/>
      <c r="J941" s="56"/>
      <c r="K941" s="56"/>
      <c r="L941" s="56"/>
      <c r="M941" s="160"/>
      <c r="N941" s="160"/>
      <c r="O941" s="251"/>
      <c r="P941" s="251"/>
      <c r="Q941" s="251"/>
      <c r="R941" s="56"/>
      <c r="S941" s="56"/>
      <c r="T941" s="56"/>
      <c r="U941" s="56"/>
      <c r="V941" s="250"/>
      <c r="W941" s="56"/>
    </row>
    <row r="942" spans="1:23" ht="15.75" customHeight="1">
      <c r="A942" s="56"/>
      <c r="B942" s="56"/>
      <c r="C942" s="56"/>
      <c r="D942" s="56"/>
      <c r="E942" s="56"/>
      <c r="F942" s="251"/>
      <c r="G942" s="251"/>
      <c r="H942" s="251"/>
      <c r="I942" s="56"/>
      <c r="J942" s="56"/>
      <c r="K942" s="56"/>
      <c r="L942" s="56"/>
      <c r="M942" s="160"/>
      <c r="N942" s="160"/>
      <c r="O942" s="251"/>
      <c r="P942" s="251"/>
      <c r="Q942" s="251"/>
      <c r="R942" s="56"/>
      <c r="S942" s="56"/>
      <c r="T942" s="56"/>
      <c r="U942" s="56"/>
      <c r="V942" s="250"/>
      <c r="W942" s="56"/>
    </row>
    <row r="943" spans="1:23" ht="15.75" customHeight="1">
      <c r="A943" s="56"/>
      <c r="B943" s="56"/>
      <c r="C943" s="56"/>
      <c r="D943" s="56"/>
      <c r="E943" s="56"/>
      <c r="F943" s="251"/>
      <c r="G943" s="251"/>
      <c r="H943" s="251"/>
      <c r="I943" s="56"/>
      <c r="J943" s="56"/>
      <c r="K943" s="56"/>
      <c r="L943" s="56"/>
      <c r="M943" s="160"/>
      <c r="N943" s="160"/>
      <c r="O943" s="251"/>
      <c r="P943" s="251"/>
      <c r="Q943" s="251"/>
      <c r="R943" s="56"/>
      <c r="S943" s="56"/>
      <c r="T943" s="56"/>
      <c r="U943" s="56"/>
      <c r="V943" s="250"/>
      <c r="W943" s="56"/>
    </row>
    <row r="944" spans="1:23" ht="15.75" customHeight="1">
      <c r="A944" s="56"/>
      <c r="B944" s="56"/>
      <c r="C944" s="56"/>
      <c r="D944" s="56"/>
      <c r="E944" s="56"/>
      <c r="F944" s="251"/>
      <c r="G944" s="251"/>
      <c r="H944" s="251"/>
      <c r="I944" s="56"/>
      <c r="J944" s="56"/>
      <c r="K944" s="56"/>
      <c r="L944" s="56"/>
      <c r="M944" s="160"/>
      <c r="N944" s="160"/>
      <c r="O944" s="251"/>
      <c r="P944" s="251"/>
      <c r="Q944" s="251"/>
      <c r="R944" s="56"/>
      <c r="S944" s="56"/>
      <c r="T944" s="56"/>
      <c r="U944" s="56"/>
      <c r="V944" s="250"/>
      <c r="W944" s="56"/>
    </row>
    <row r="945" spans="1:23" ht="15.75" customHeight="1">
      <c r="A945" s="56"/>
      <c r="B945" s="56"/>
      <c r="C945" s="56"/>
      <c r="D945" s="56"/>
      <c r="E945" s="56"/>
      <c r="F945" s="251"/>
      <c r="G945" s="251"/>
      <c r="H945" s="251"/>
      <c r="I945" s="56"/>
      <c r="J945" s="56"/>
      <c r="K945" s="56"/>
      <c r="L945" s="56"/>
      <c r="M945" s="160"/>
      <c r="N945" s="160"/>
      <c r="O945" s="251"/>
      <c r="P945" s="251"/>
      <c r="Q945" s="251"/>
      <c r="R945" s="56"/>
      <c r="S945" s="56"/>
      <c r="T945" s="56"/>
      <c r="U945" s="56"/>
      <c r="V945" s="250"/>
      <c r="W945" s="56"/>
    </row>
    <row r="946" spans="1:23" ht="15.75" customHeight="1">
      <c r="A946" s="56"/>
      <c r="B946" s="56"/>
      <c r="C946" s="56"/>
      <c r="D946" s="56"/>
      <c r="E946" s="56"/>
      <c r="F946" s="251"/>
      <c r="G946" s="251"/>
      <c r="H946" s="251"/>
      <c r="I946" s="56"/>
      <c r="J946" s="56"/>
      <c r="K946" s="56"/>
      <c r="L946" s="56"/>
      <c r="M946" s="160"/>
      <c r="N946" s="160"/>
      <c r="O946" s="251"/>
      <c r="P946" s="251"/>
      <c r="Q946" s="251"/>
      <c r="R946" s="56"/>
      <c r="S946" s="56"/>
      <c r="T946" s="56"/>
      <c r="U946" s="56"/>
      <c r="V946" s="250"/>
      <c r="W946" s="56"/>
    </row>
    <row r="947" spans="1:23" ht="15.75" customHeight="1">
      <c r="A947" s="56"/>
      <c r="B947" s="56"/>
      <c r="C947" s="56"/>
      <c r="D947" s="56"/>
      <c r="E947" s="56"/>
      <c r="F947" s="251"/>
      <c r="G947" s="251"/>
      <c r="H947" s="251"/>
      <c r="I947" s="56"/>
      <c r="J947" s="56"/>
      <c r="K947" s="56"/>
      <c r="L947" s="56"/>
      <c r="M947" s="160"/>
      <c r="N947" s="160"/>
      <c r="O947" s="251"/>
      <c r="P947" s="251"/>
      <c r="Q947" s="251"/>
      <c r="R947" s="56"/>
      <c r="S947" s="56"/>
      <c r="T947" s="56"/>
      <c r="U947" s="56"/>
      <c r="V947" s="250"/>
      <c r="W947" s="56"/>
    </row>
    <row r="948" spans="1:23" ht="15.75" customHeight="1">
      <c r="A948" s="56"/>
      <c r="B948" s="56"/>
      <c r="C948" s="56"/>
      <c r="D948" s="56"/>
      <c r="E948" s="56"/>
      <c r="F948" s="251"/>
      <c r="G948" s="251"/>
      <c r="H948" s="251"/>
      <c r="I948" s="56"/>
      <c r="J948" s="56"/>
      <c r="K948" s="56"/>
      <c r="L948" s="56"/>
      <c r="M948" s="160"/>
      <c r="N948" s="160"/>
      <c r="O948" s="251"/>
      <c r="P948" s="251"/>
      <c r="Q948" s="251"/>
      <c r="R948" s="56"/>
      <c r="S948" s="56"/>
      <c r="T948" s="56"/>
      <c r="U948" s="56"/>
      <c r="V948" s="250"/>
      <c r="W948" s="56"/>
    </row>
    <row r="949" spans="1:23" ht="15.75" customHeight="1">
      <c r="A949" s="56"/>
      <c r="B949" s="56"/>
      <c r="C949" s="56"/>
      <c r="D949" s="56"/>
      <c r="E949" s="56"/>
      <c r="F949" s="251"/>
      <c r="G949" s="251"/>
      <c r="H949" s="251"/>
      <c r="I949" s="56"/>
      <c r="J949" s="56"/>
      <c r="K949" s="56"/>
      <c r="L949" s="56"/>
      <c r="M949" s="160"/>
      <c r="N949" s="160"/>
      <c r="O949" s="251"/>
      <c r="P949" s="251"/>
      <c r="Q949" s="251"/>
      <c r="R949" s="56"/>
      <c r="S949" s="56"/>
      <c r="T949" s="56"/>
      <c r="U949" s="56"/>
      <c r="V949" s="250"/>
      <c r="W949" s="56"/>
    </row>
    <row r="950" spans="1:23" ht="15.75" customHeight="1">
      <c r="A950" s="56"/>
      <c r="B950" s="56"/>
      <c r="C950" s="56"/>
      <c r="D950" s="56"/>
      <c r="E950" s="56"/>
      <c r="F950" s="251"/>
      <c r="G950" s="251"/>
      <c r="H950" s="251"/>
      <c r="I950" s="56"/>
      <c r="J950" s="56"/>
      <c r="K950" s="56"/>
      <c r="L950" s="56"/>
      <c r="M950" s="160"/>
      <c r="N950" s="160"/>
      <c r="O950" s="251"/>
      <c r="P950" s="251"/>
      <c r="Q950" s="251"/>
      <c r="R950" s="56"/>
      <c r="S950" s="56"/>
      <c r="T950" s="56"/>
      <c r="U950" s="56"/>
      <c r="V950" s="250"/>
      <c r="W950" s="56"/>
    </row>
    <row r="951" spans="1:23" ht="15.75" customHeight="1">
      <c r="A951" s="56"/>
      <c r="B951" s="56"/>
      <c r="C951" s="56"/>
      <c r="D951" s="56"/>
      <c r="E951" s="56"/>
      <c r="F951" s="251"/>
      <c r="G951" s="251"/>
      <c r="H951" s="251"/>
      <c r="I951" s="56"/>
      <c r="J951" s="56"/>
      <c r="K951" s="56"/>
      <c r="L951" s="56"/>
      <c r="M951" s="160"/>
      <c r="N951" s="160"/>
      <c r="O951" s="251"/>
      <c r="P951" s="251"/>
      <c r="Q951" s="251"/>
      <c r="R951" s="56"/>
      <c r="S951" s="56"/>
      <c r="T951" s="56"/>
      <c r="U951" s="56"/>
      <c r="V951" s="250"/>
      <c r="W951" s="56"/>
    </row>
    <row r="952" spans="1:23" ht="15.75" customHeight="1">
      <c r="A952" s="56"/>
      <c r="B952" s="56"/>
      <c r="C952" s="56"/>
      <c r="D952" s="56"/>
      <c r="E952" s="56"/>
      <c r="F952" s="251"/>
      <c r="G952" s="251"/>
      <c r="H952" s="251"/>
      <c r="I952" s="56"/>
      <c r="J952" s="56"/>
      <c r="K952" s="56"/>
      <c r="L952" s="56"/>
      <c r="M952" s="160"/>
      <c r="N952" s="160"/>
      <c r="O952" s="251"/>
      <c r="P952" s="251"/>
      <c r="Q952" s="251"/>
      <c r="R952" s="56"/>
      <c r="S952" s="56"/>
      <c r="T952" s="56"/>
      <c r="U952" s="56"/>
      <c r="V952" s="250"/>
      <c r="W952" s="56"/>
    </row>
    <row r="953" spans="1:23" ht="15.75" customHeight="1">
      <c r="A953" s="56"/>
      <c r="B953" s="56"/>
      <c r="C953" s="56"/>
      <c r="D953" s="56"/>
      <c r="E953" s="56"/>
      <c r="F953" s="251"/>
      <c r="G953" s="251"/>
      <c r="H953" s="251"/>
      <c r="I953" s="56"/>
      <c r="J953" s="56"/>
      <c r="K953" s="56"/>
      <c r="L953" s="56"/>
      <c r="M953" s="160"/>
      <c r="N953" s="160"/>
      <c r="O953" s="251"/>
      <c r="P953" s="251"/>
      <c r="Q953" s="251"/>
      <c r="R953" s="56"/>
      <c r="S953" s="56"/>
      <c r="T953" s="56"/>
      <c r="U953" s="56"/>
      <c r="V953" s="250"/>
      <c r="W953" s="56"/>
    </row>
    <row r="954" spans="1:23" ht="15.75" customHeight="1">
      <c r="A954" s="56"/>
      <c r="B954" s="56"/>
      <c r="C954" s="56"/>
      <c r="D954" s="56"/>
      <c r="E954" s="56"/>
      <c r="F954" s="251"/>
      <c r="G954" s="251"/>
      <c r="H954" s="251"/>
      <c r="I954" s="56"/>
      <c r="J954" s="56"/>
      <c r="K954" s="56"/>
      <c r="L954" s="56"/>
      <c r="M954" s="160"/>
      <c r="N954" s="160"/>
      <c r="O954" s="251"/>
      <c r="P954" s="251"/>
      <c r="Q954" s="251"/>
      <c r="R954" s="56"/>
      <c r="S954" s="56"/>
      <c r="T954" s="56"/>
      <c r="U954" s="56"/>
      <c r="V954" s="250"/>
      <c r="W954" s="56"/>
    </row>
    <row r="955" spans="1:23" ht="15.75" customHeight="1">
      <c r="A955" s="56"/>
      <c r="B955" s="56"/>
      <c r="C955" s="56"/>
      <c r="D955" s="56"/>
      <c r="E955" s="56"/>
      <c r="F955" s="251"/>
      <c r="G955" s="251"/>
      <c r="H955" s="251"/>
      <c r="I955" s="56"/>
      <c r="J955" s="56"/>
      <c r="K955" s="56"/>
      <c r="L955" s="56"/>
      <c r="M955" s="160"/>
      <c r="N955" s="160"/>
      <c r="O955" s="251"/>
      <c r="P955" s="251"/>
      <c r="Q955" s="251"/>
      <c r="R955" s="56"/>
      <c r="S955" s="56"/>
      <c r="T955" s="56"/>
      <c r="U955" s="56"/>
      <c r="V955" s="250"/>
      <c r="W955" s="56"/>
    </row>
    <row r="956" spans="1:23" ht="15.75" customHeight="1">
      <c r="A956" s="56"/>
      <c r="B956" s="56"/>
      <c r="C956" s="56"/>
      <c r="D956" s="56"/>
      <c r="E956" s="56"/>
      <c r="F956" s="251"/>
      <c r="G956" s="251"/>
      <c r="H956" s="251"/>
      <c r="I956" s="56"/>
      <c r="J956" s="56"/>
      <c r="K956" s="56"/>
      <c r="L956" s="56"/>
      <c r="M956" s="160"/>
      <c r="N956" s="160"/>
      <c r="O956" s="251"/>
      <c r="P956" s="251"/>
      <c r="Q956" s="251"/>
      <c r="R956" s="56"/>
      <c r="S956" s="56"/>
      <c r="T956" s="56"/>
      <c r="U956" s="56"/>
      <c r="V956" s="250"/>
      <c r="W956" s="56"/>
    </row>
    <row r="957" spans="1:23" ht="15.75" customHeight="1">
      <c r="A957" s="56"/>
      <c r="B957" s="56"/>
      <c r="C957" s="56"/>
      <c r="D957" s="56"/>
      <c r="E957" s="56"/>
      <c r="F957" s="251"/>
      <c r="G957" s="251"/>
      <c r="H957" s="251"/>
      <c r="I957" s="56"/>
      <c r="J957" s="56"/>
      <c r="K957" s="56"/>
      <c r="L957" s="56"/>
      <c r="M957" s="160"/>
      <c r="N957" s="160"/>
      <c r="O957" s="251"/>
      <c r="P957" s="251"/>
      <c r="Q957" s="251"/>
      <c r="R957" s="56"/>
      <c r="S957" s="56"/>
      <c r="T957" s="56"/>
      <c r="U957" s="56"/>
      <c r="V957" s="250"/>
      <c r="W957" s="56"/>
    </row>
    <row r="958" spans="1:23" ht="15.75" customHeight="1">
      <c r="A958" s="56"/>
      <c r="B958" s="56"/>
      <c r="C958" s="56"/>
      <c r="D958" s="56"/>
      <c r="E958" s="56"/>
      <c r="F958" s="251"/>
      <c r="G958" s="251"/>
      <c r="H958" s="251"/>
      <c r="I958" s="56"/>
      <c r="J958" s="56"/>
      <c r="K958" s="56"/>
      <c r="L958" s="56"/>
      <c r="M958" s="160"/>
      <c r="N958" s="160"/>
      <c r="O958" s="251"/>
      <c r="P958" s="251"/>
      <c r="Q958" s="251"/>
      <c r="R958" s="56"/>
      <c r="S958" s="56"/>
      <c r="T958" s="56"/>
      <c r="U958" s="56"/>
      <c r="V958" s="250"/>
      <c r="W958" s="56"/>
    </row>
    <row r="959" spans="1:23" ht="15.75" customHeight="1">
      <c r="A959" s="56"/>
      <c r="B959" s="56"/>
      <c r="C959" s="56"/>
      <c r="D959" s="56"/>
      <c r="E959" s="56"/>
      <c r="F959" s="251"/>
      <c r="G959" s="251"/>
      <c r="H959" s="251"/>
      <c r="I959" s="56"/>
      <c r="J959" s="56"/>
      <c r="K959" s="56"/>
      <c r="L959" s="56"/>
      <c r="M959" s="160"/>
      <c r="N959" s="160"/>
      <c r="O959" s="251"/>
      <c r="P959" s="251"/>
      <c r="Q959" s="251"/>
      <c r="R959" s="56"/>
      <c r="S959" s="56"/>
      <c r="T959" s="56"/>
      <c r="U959" s="56"/>
      <c r="V959" s="250"/>
      <c r="W959" s="56"/>
    </row>
    <row r="960" spans="1:23" ht="15.75" customHeight="1">
      <c r="A960" s="56"/>
      <c r="B960" s="56"/>
      <c r="C960" s="56"/>
      <c r="D960" s="56"/>
      <c r="E960" s="56"/>
      <c r="F960" s="251"/>
      <c r="G960" s="251"/>
      <c r="H960" s="251"/>
      <c r="I960" s="56"/>
      <c r="J960" s="56"/>
      <c r="K960" s="56"/>
      <c r="L960" s="56"/>
      <c r="M960" s="160"/>
      <c r="N960" s="160"/>
      <c r="O960" s="251"/>
      <c r="P960" s="251"/>
      <c r="Q960" s="251"/>
      <c r="R960" s="56"/>
      <c r="S960" s="56"/>
      <c r="T960" s="56"/>
      <c r="U960" s="56"/>
      <c r="V960" s="250"/>
      <c r="W960" s="56"/>
    </row>
    <row r="961" spans="1:23" ht="15.75" customHeight="1">
      <c r="A961" s="56"/>
      <c r="B961" s="56"/>
      <c r="C961" s="56"/>
      <c r="D961" s="56"/>
      <c r="E961" s="56"/>
      <c r="F961" s="251"/>
      <c r="G961" s="251"/>
      <c r="H961" s="251"/>
      <c r="I961" s="56"/>
      <c r="J961" s="56"/>
      <c r="K961" s="56"/>
      <c r="L961" s="56"/>
      <c r="M961" s="160"/>
      <c r="N961" s="160"/>
      <c r="O961" s="251"/>
      <c r="P961" s="251"/>
      <c r="Q961" s="251"/>
      <c r="R961" s="56"/>
      <c r="S961" s="56"/>
      <c r="T961" s="56"/>
      <c r="U961" s="56"/>
      <c r="V961" s="250"/>
      <c r="W961" s="56"/>
    </row>
    <row r="962" spans="1:23" ht="15.75" customHeight="1">
      <c r="A962" s="56"/>
      <c r="B962" s="56"/>
      <c r="C962" s="56"/>
      <c r="D962" s="56"/>
      <c r="E962" s="56"/>
      <c r="F962" s="251"/>
      <c r="G962" s="251"/>
      <c r="H962" s="251"/>
      <c r="I962" s="56"/>
      <c r="J962" s="56"/>
      <c r="K962" s="56"/>
      <c r="L962" s="56"/>
      <c r="M962" s="160"/>
      <c r="N962" s="160"/>
      <c r="O962" s="251"/>
      <c r="P962" s="251"/>
      <c r="Q962" s="251"/>
      <c r="R962" s="56"/>
      <c r="S962" s="56"/>
      <c r="T962" s="56"/>
      <c r="U962" s="56"/>
      <c r="V962" s="250"/>
      <c r="W962" s="56"/>
    </row>
    <row r="963" spans="1:23" ht="15.75" customHeight="1">
      <c r="A963" s="56"/>
      <c r="B963" s="56"/>
      <c r="C963" s="56"/>
      <c r="D963" s="56"/>
      <c r="E963" s="56"/>
      <c r="F963" s="251"/>
      <c r="G963" s="251"/>
      <c r="H963" s="251"/>
      <c r="I963" s="56"/>
      <c r="J963" s="56"/>
      <c r="K963" s="56"/>
      <c r="L963" s="56"/>
      <c r="M963" s="160"/>
      <c r="N963" s="160"/>
      <c r="O963" s="251"/>
      <c r="P963" s="251"/>
      <c r="Q963" s="251"/>
      <c r="R963" s="56"/>
      <c r="S963" s="56"/>
      <c r="T963" s="56"/>
      <c r="U963" s="56"/>
      <c r="V963" s="250"/>
      <c r="W963" s="56"/>
    </row>
    <row r="964" spans="1:23" ht="15.75" customHeight="1">
      <c r="A964" s="56"/>
      <c r="B964" s="56"/>
      <c r="C964" s="56"/>
      <c r="D964" s="56"/>
      <c r="E964" s="56"/>
      <c r="F964" s="251"/>
      <c r="G964" s="251"/>
      <c r="H964" s="251"/>
      <c r="I964" s="56"/>
      <c r="J964" s="56"/>
      <c r="K964" s="56"/>
      <c r="L964" s="56"/>
      <c r="M964" s="160"/>
      <c r="N964" s="160"/>
      <c r="O964" s="251"/>
      <c r="P964" s="251"/>
      <c r="Q964" s="251"/>
      <c r="R964" s="56"/>
      <c r="S964" s="56"/>
      <c r="T964" s="56"/>
      <c r="U964" s="56"/>
      <c r="V964" s="250"/>
      <c r="W964" s="56"/>
    </row>
    <row r="965" spans="1:23" ht="15.75" customHeight="1">
      <c r="A965" s="56"/>
      <c r="B965" s="56"/>
      <c r="C965" s="56"/>
      <c r="D965" s="56"/>
      <c r="E965" s="56"/>
      <c r="F965" s="251"/>
      <c r="G965" s="251"/>
      <c r="H965" s="251"/>
      <c r="I965" s="56"/>
      <c r="J965" s="56"/>
      <c r="K965" s="56"/>
      <c r="L965" s="56"/>
      <c r="M965" s="160"/>
      <c r="N965" s="160"/>
      <c r="O965" s="251"/>
      <c r="P965" s="251"/>
      <c r="Q965" s="251"/>
      <c r="R965" s="56"/>
      <c r="S965" s="56"/>
      <c r="T965" s="56"/>
      <c r="U965" s="56"/>
      <c r="V965" s="250"/>
      <c r="W965" s="56"/>
    </row>
    <row r="966" spans="1:23" ht="15.75" customHeight="1">
      <c r="A966" s="56"/>
      <c r="B966" s="56"/>
      <c r="C966" s="56"/>
      <c r="D966" s="56"/>
      <c r="E966" s="56"/>
      <c r="F966" s="251"/>
      <c r="G966" s="251"/>
      <c r="H966" s="251"/>
      <c r="I966" s="56"/>
      <c r="J966" s="56"/>
      <c r="K966" s="56"/>
      <c r="L966" s="56"/>
      <c r="M966" s="160"/>
      <c r="N966" s="160"/>
      <c r="O966" s="251"/>
      <c r="P966" s="251"/>
      <c r="Q966" s="251"/>
      <c r="R966" s="56"/>
      <c r="S966" s="56"/>
      <c r="T966" s="56"/>
      <c r="U966" s="56"/>
      <c r="V966" s="250"/>
      <c r="W966" s="56"/>
    </row>
    <row r="967" spans="1:23" ht="15.75" customHeight="1">
      <c r="A967" s="56"/>
      <c r="B967" s="56"/>
      <c r="C967" s="56"/>
      <c r="D967" s="56"/>
      <c r="E967" s="56"/>
      <c r="F967" s="251"/>
      <c r="G967" s="251"/>
      <c r="H967" s="251"/>
      <c r="I967" s="56"/>
      <c r="J967" s="56"/>
      <c r="K967" s="56"/>
      <c r="L967" s="56"/>
      <c r="M967" s="160"/>
      <c r="N967" s="160"/>
      <c r="O967" s="251"/>
      <c r="P967" s="251"/>
      <c r="Q967" s="251"/>
      <c r="R967" s="56"/>
      <c r="S967" s="56"/>
      <c r="T967" s="56"/>
      <c r="U967" s="56"/>
      <c r="V967" s="250"/>
      <c r="W967" s="56"/>
    </row>
    <row r="968" spans="1:23" ht="15.75" customHeight="1">
      <c r="A968" s="56"/>
      <c r="B968" s="56"/>
      <c r="C968" s="56"/>
      <c r="D968" s="56"/>
      <c r="E968" s="56"/>
      <c r="F968" s="251"/>
      <c r="G968" s="251"/>
      <c r="H968" s="251"/>
      <c r="I968" s="56"/>
      <c r="J968" s="56"/>
      <c r="K968" s="56"/>
      <c r="L968" s="56"/>
      <c r="M968" s="160"/>
      <c r="N968" s="160"/>
      <c r="O968" s="251"/>
      <c r="P968" s="251"/>
      <c r="Q968" s="251"/>
      <c r="R968" s="56"/>
      <c r="S968" s="56"/>
      <c r="T968" s="56"/>
      <c r="U968" s="56"/>
      <c r="V968" s="250"/>
      <c r="W968" s="56"/>
    </row>
    <row r="969" spans="1:23" ht="15.75" customHeight="1">
      <c r="A969" s="56"/>
      <c r="B969" s="56"/>
      <c r="C969" s="56"/>
      <c r="D969" s="56"/>
      <c r="E969" s="56"/>
      <c r="F969" s="251"/>
      <c r="G969" s="251"/>
      <c r="H969" s="251"/>
      <c r="I969" s="56"/>
      <c r="J969" s="56"/>
      <c r="K969" s="56"/>
      <c r="L969" s="56"/>
      <c r="M969" s="160"/>
      <c r="N969" s="160"/>
      <c r="O969" s="251"/>
      <c r="P969" s="251"/>
      <c r="Q969" s="251"/>
      <c r="R969" s="56"/>
      <c r="S969" s="56"/>
      <c r="T969" s="56"/>
      <c r="U969" s="56"/>
      <c r="V969" s="250"/>
      <c r="W969" s="56"/>
    </row>
    <row r="970" spans="1:23" ht="15.75" customHeight="1">
      <c r="A970" s="56"/>
      <c r="B970" s="56"/>
      <c r="C970" s="56"/>
      <c r="D970" s="56"/>
      <c r="E970" s="56"/>
      <c r="F970" s="251"/>
      <c r="G970" s="251"/>
      <c r="H970" s="251"/>
      <c r="I970" s="56"/>
      <c r="J970" s="56"/>
      <c r="K970" s="56"/>
      <c r="L970" s="56"/>
      <c r="M970" s="160"/>
      <c r="N970" s="160"/>
      <c r="O970" s="251"/>
      <c r="P970" s="251"/>
      <c r="Q970" s="251"/>
      <c r="R970" s="56"/>
      <c r="S970" s="56"/>
      <c r="T970" s="56"/>
      <c r="U970" s="56"/>
      <c r="V970" s="250"/>
      <c r="W970" s="56"/>
    </row>
    <row r="971" spans="1:23" ht="15.75" customHeight="1">
      <c r="A971" s="56"/>
      <c r="B971" s="56"/>
      <c r="C971" s="56"/>
      <c r="D971" s="56"/>
      <c r="E971" s="56"/>
      <c r="F971" s="251"/>
      <c r="G971" s="251"/>
      <c r="H971" s="251"/>
      <c r="I971" s="56"/>
      <c r="J971" s="56"/>
      <c r="K971" s="56"/>
      <c r="L971" s="56"/>
      <c r="M971" s="160"/>
      <c r="N971" s="160"/>
      <c r="O971" s="251"/>
      <c r="P971" s="251"/>
      <c r="Q971" s="251"/>
      <c r="R971" s="56"/>
      <c r="S971" s="56"/>
      <c r="T971" s="56"/>
      <c r="U971" s="56"/>
      <c r="V971" s="250"/>
      <c r="W971" s="56"/>
    </row>
    <row r="972" spans="1:23" ht="15.75" customHeight="1">
      <c r="A972" s="56"/>
      <c r="B972" s="56"/>
      <c r="C972" s="56"/>
      <c r="D972" s="56"/>
      <c r="E972" s="56"/>
      <c r="F972" s="251"/>
      <c r="G972" s="251"/>
      <c r="H972" s="251"/>
      <c r="I972" s="56"/>
      <c r="J972" s="56"/>
      <c r="K972" s="56"/>
      <c r="L972" s="56"/>
      <c r="M972" s="160"/>
      <c r="N972" s="160"/>
      <c r="O972" s="251"/>
      <c r="P972" s="251"/>
      <c r="Q972" s="251"/>
      <c r="R972" s="56"/>
      <c r="S972" s="56"/>
      <c r="T972" s="56"/>
      <c r="U972" s="56"/>
      <c r="V972" s="250"/>
      <c r="W972" s="56"/>
    </row>
    <row r="973" spans="1:23" ht="15.75" customHeight="1">
      <c r="A973" s="56"/>
      <c r="B973" s="56"/>
      <c r="C973" s="56"/>
      <c r="D973" s="56"/>
      <c r="E973" s="56"/>
      <c r="F973" s="251"/>
      <c r="G973" s="251"/>
      <c r="H973" s="251"/>
      <c r="I973" s="56"/>
      <c r="J973" s="56"/>
      <c r="K973" s="56"/>
      <c r="L973" s="56"/>
      <c r="M973" s="160"/>
      <c r="N973" s="160"/>
      <c r="O973" s="251"/>
      <c r="P973" s="251"/>
      <c r="Q973" s="251"/>
      <c r="R973" s="56"/>
      <c r="S973" s="56"/>
      <c r="T973" s="56"/>
      <c r="U973" s="56"/>
      <c r="V973" s="250"/>
      <c r="W973" s="56"/>
    </row>
    <row r="974" spans="1:23" ht="15.75" customHeight="1">
      <c r="A974" s="56"/>
      <c r="B974" s="56"/>
      <c r="C974" s="56"/>
      <c r="D974" s="56"/>
      <c r="E974" s="56"/>
      <c r="F974" s="251"/>
      <c r="G974" s="251"/>
      <c r="H974" s="251"/>
      <c r="I974" s="56"/>
      <c r="J974" s="56"/>
      <c r="K974" s="56"/>
      <c r="L974" s="56"/>
      <c r="M974" s="160"/>
      <c r="N974" s="160"/>
      <c r="O974" s="251"/>
      <c r="P974" s="251"/>
      <c r="Q974" s="251"/>
      <c r="R974" s="56"/>
      <c r="S974" s="56"/>
      <c r="T974" s="56"/>
      <c r="U974" s="56"/>
      <c r="V974" s="250"/>
      <c r="W974" s="56"/>
    </row>
    <row r="975" spans="1:23" ht="15.75" customHeight="1">
      <c r="A975" s="56"/>
      <c r="B975" s="56"/>
      <c r="C975" s="56"/>
      <c r="D975" s="56"/>
      <c r="E975" s="56"/>
      <c r="F975" s="251"/>
      <c r="G975" s="251"/>
      <c r="H975" s="251"/>
      <c r="I975" s="56"/>
      <c r="J975" s="56"/>
      <c r="K975" s="56"/>
      <c r="L975" s="56"/>
      <c r="M975" s="160"/>
      <c r="N975" s="160"/>
      <c r="O975" s="251"/>
      <c r="P975" s="251"/>
      <c r="Q975" s="251"/>
      <c r="R975" s="56"/>
      <c r="S975" s="56"/>
      <c r="T975" s="56"/>
      <c r="U975" s="56"/>
      <c r="V975" s="250"/>
      <c r="W975" s="56"/>
    </row>
    <row r="976" spans="1:23" ht="15.75" customHeight="1">
      <c r="A976" s="56"/>
      <c r="B976" s="56"/>
      <c r="C976" s="56"/>
      <c r="D976" s="56"/>
      <c r="E976" s="56"/>
      <c r="F976" s="251"/>
      <c r="G976" s="251"/>
      <c r="H976" s="251"/>
      <c r="I976" s="56"/>
      <c r="J976" s="56"/>
      <c r="K976" s="56"/>
      <c r="L976" s="56"/>
      <c r="M976" s="160"/>
      <c r="N976" s="160"/>
      <c r="O976" s="251"/>
      <c r="P976" s="251"/>
      <c r="Q976" s="251"/>
      <c r="R976" s="56"/>
      <c r="S976" s="56"/>
      <c r="T976" s="56"/>
      <c r="U976" s="56"/>
      <c r="V976" s="250"/>
      <c r="W976" s="56"/>
    </row>
    <row r="977" spans="1:23" ht="15.75" customHeight="1">
      <c r="A977" s="56"/>
      <c r="B977" s="56"/>
      <c r="C977" s="56"/>
      <c r="D977" s="56"/>
      <c r="E977" s="56"/>
      <c r="F977" s="251"/>
      <c r="G977" s="251"/>
      <c r="H977" s="251"/>
      <c r="I977" s="56"/>
      <c r="J977" s="56"/>
      <c r="K977" s="56"/>
      <c r="L977" s="56"/>
      <c r="M977" s="160"/>
      <c r="N977" s="160"/>
      <c r="O977" s="251"/>
      <c r="P977" s="251"/>
      <c r="Q977" s="251"/>
      <c r="R977" s="56"/>
      <c r="S977" s="56"/>
      <c r="T977" s="56"/>
      <c r="U977" s="56"/>
      <c r="V977" s="250"/>
      <c r="W977" s="56"/>
    </row>
    <row r="978" spans="1:23" ht="15.75" customHeight="1">
      <c r="A978" s="56"/>
      <c r="B978" s="56"/>
      <c r="C978" s="56"/>
      <c r="D978" s="56"/>
      <c r="E978" s="56"/>
      <c r="F978" s="251"/>
      <c r="G978" s="251"/>
      <c r="H978" s="251"/>
      <c r="I978" s="56"/>
      <c r="J978" s="56"/>
      <c r="K978" s="56"/>
      <c r="L978" s="56"/>
      <c r="M978" s="160"/>
      <c r="N978" s="160"/>
      <c r="O978" s="251"/>
      <c r="P978" s="251"/>
      <c r="Q978" s="251"/>
      <c r="R978" s="56"/>
      <c r="S978" s="56"/>
      <c r="T978" s="56"/>
      <c r="U978" s="56"/>
      <c r="V978" s="250"/>
      <c r="W978" s="56"/>
    </row>
    <row r="979" spans="1:23" ht="15.75" customHeight="1">
      <c r="A979" s="56"/>
      <c r="B979" s="56"/>
      <c r="C979" s="56"/>
      <c r="D979" s="56"/>
      <c r="E979" s="56"/>
      <c r="F979" s="251"/>
      <c r="G979" s="251"/>
      <c r="H979" s="251"/>
      <c r="I979" s="56"/>
      <c r="J979" s="56"/>
      <c r="K979" s="56"/>
      <c r="L979" s="56"/>
      <c r="M979" s="160"/>
      <c r="N979" s="160"/>
      <c r="O979" s="251"/>
      <c r="P979" s="251"/>
      <c r="Q979" s="251"/>
      <c r="R979" s="56"/>
      <c r="S979" s="56"/>
      <c r="T979" s="56"/>
      <c r="U979" s="56"/>
      <c r="V979" s="250"/>
      <c r="W979" s="56"/>
    </row>
    <row r="980" spans="1:23" ht="15.75" customHeight="1">
      <c r="A980" s="56"/>
      <c r="B980" s="56"/>
      <c r="C980" s="56"/>
      <c r="D980" s="56"/>
      <c r="E980" s="56"/>
      <c r="F980" s="251"/>
      <c r="G980" s="251"/>
      <c r="H980" s="251"/>
      <c r="I980" s="56"/>
      <c r="J980" s="56"/>
      <c r="K980" s="56"/>
      <c r="L980" s="56"/>
      <c r="M980" s="160"/>
      <c r="N980" s="160"/>
      <c r="O980" s="251"/>
      <c r="P980" s="251"/>
      <c r="Q980" s="251"/>
      <c r="R980" s="56"/>
      <c r="S980" s="56"/>
      <c r="T980" s="56"/>
      <c r="U980" s="56"/>
      <c r="V980" s="250"/>
      <c r="W980" s="56"/>
    </row>
    <row r="981" spans="1:23" ht="15.75" customHeight="1">
      <c r="A981" s="56"/>
      <c r="B981" s="56"/>
      <c r="C981" s="56"/>
      <c r="D981" s="56"/>
      <c r="E981" s="56"/>
      <c r="F981" s="251"/>
      <c r="G981" s="251"/>
      <c r="H981" s="251"/>
      <c r="I981" s="56"/>
      <c r="J981" s="56"/>
      <c r="K981" s="56"/>
      <c r="L981" s="56"/>
      <c r="M981" s="160"/>
      <c r="N981" s="160"/>
      <c r="O981" s="251"/>
      <c r="P981" s="251"/>
      <c r="Q981" s="251"/>
      <c r="R981" s="56"/>
      <c r="S981" s="56"/>
      <c r="T981" s="56"/>
      <c r="U981" s="56"/>
      <c r="V981" s="250"/>
      <c r="W981" s="56"/>
    </row>
    <row r="982" spans="1:23" ht="15.75" customHeight="1">
      <c r="A982" s="56"/>
      <c r="B982" s="56"/>
      <c r="C982" s="56"/>
      <c r="D982" s="56"/>
      <c r="E982" s="56"/>
      <c r="F982" s="251"/>
      <c r="G982" s="251"/>
      <c r="H982" s="251"/>
      <c r="I982" s="56"/>
      <c r="J982" s="56"/>
      <c r="K982" s="56"/>
      <c r="L982" s="56"/>
      <c r="M982" s="160"/>
      <c r="N982" s="160"/>
      <c r="O982" s="251"/>
      <c r="P982" s="251"/>
      <c r="Q982" s="251"/>
      <c r="R982" s="56"/>
      <c r="S982" s="56"/>
      <c r="T982" s="56"/>
      <c r="U982" s="56"/>
      <c r="V982" s="250"/>
      <c r="W982" s="56"/>
    </row>
    <row r="983" spans="1:23" ht="15.75" customHeight="1">
      <c r="A983" s="56"/>
      <c r="B983" s="56"/>
      <c r="C983" s="56"/>
      <c r="D983" s="56"/>
      <c r="E983" s="56"/>
      <c r="F983" s="251"/>
      <c r="G983" s="251"/>
      <c r="H983" s="251"/>
      <c r="I983" s="56"/>
      <c r="J983" s="56"/>
      <c r="K983" s="56"/>
      <c r="L983" s="56"/>
      <c r="M983" s="160"/>
      <c r="N983" s="160"/>
      <c r="O983" s="251"/>
      <c r="P983" s="251"/>
      <c r="Q983" s="251"/>
      <c r="R983" s="56"/>
      <c r="S983" s="56"/>
      <c r="T983" s="56"/>
      <c r="U983" s="56"/>
      <c r="V983" s="250"/>
      <c r="W983" s="56"/>
    </row>
    <row r="984" spans="1:23" ht="15.75" customHeight="1">
      <c r="A984" s="56"/>
      <c r="B984" s="56"/>
      <c r="C984" s="56"/>
      <c r="D984" s="56"/>
      <c r="E984" s="56"/>
      <c r="F984" s="251"/>
      <c r="G984" s="251"/>
      <c r="H984" s="251"/>
      <c r="I984" s="56"/>
      <c r="J984" s="56"/>
      <c r="K984" s="56"/>
      <c r="L984" s="56"/>
      <c r="M984" s="160"/>
      <c r="N984" s="160"/>
      <c r="O984" s="251"/>
      <c r="P984" s="251"/>
      <c r="Q984" s="251"/>
      <c r="R984" s="56"/>
      <c r="S984" s="56"/>
      <c r="T984" s="56"/>
      <c r="U984" s="56"/>
      <c r="V984" s="250"/>
      <c r="W984" s="56"/>
    </row>
    <row r="985" spans="1:23" ht="15.75" customHeight="1">
      <c r="A985" s="56"/>
      <c r="B985" s="56"/>
      <c r="C985" s="56"/>
      <c r="D985" s="56"/>
      <c r="E985" s="56"/>
      <c r="F985" s="251"/>
      <c r="G985" s="251"/>
      <c r="H985" s="251"/>
      <c r="I985" s="56"/>
      <c r="J985" s="56"/>
      <c r="K985" s="56"/>
      <c r="L985" s="56"/>
      <c r="M985" s="160"/>
      <c r="N985" s="160"/>
      <c r="O985" s="251"/>
      <c r="P985" s="251"/>
      <c r="Q985" s="251"/>
      <c r="R985" s="56"/>
      <c r="S985" s="56"/>
      <c r="T985" s="56"/>
      <c r="U985" s="56"/>
      <c r="V985" s="250"/>
      <c r="W985" s="56"/>
    </row>
    <row r="986" spans="1:23" ht="15.75" customHeight="1">
      <c r="A986" s="56"/>
      <c r="B986" s="56"/>
      <c r="C986" s="56"/>
      <c r="D986" s="56"/>
      <c r="E986" s="56"/>
      <c r="F986" s="251"/>
      <c r="G986" s="251"/>
      <c r="H986" s="251"/>
      <c r="I986" s="56"/>
      <c r="J986" s="56"/>
      <c r="K986" s="56"/>
      <c r="L986" s="56"/>
      <c r="M986" s="160"/>
      <c r="N986" s="160"/>
      <c r="O986" s="251"/>
      <c r="P986" s="251"/>
      <c r="Q986" s="251"/>
      <c r="R986" s="56"/>
      <c r="S986" s="56"/>
      <c r="T986" s="56"/>
      <c r="U986" s="56"/>
      <c r="V986" s="250"/>
      <c r="W986" s="56"/>
    </row>
    <row r="987" spans="1:23" ht="15.75" customHeight="1">
      <c r="A987" s="56"/>
      <c r="B987" s="56"/>
      <c r="C987" s="56"/>
      <c r="D987" s="56"/>
      <c r="E987" s="56"/>
      <c r="F987" s="251"/>
      <c r="G987" s="251"/>
      <c r="H987" s="251"/>
      <c r="I987" s="56"/>
      <c r="J987" s="56"/>
      <c r="K987" s="56"/>
      <c r="L987" s="56"/>
      <c r="M987" s="160"/>
      <c r="N987" s="160"/>
      <c r="O987" s="251"/>
      <c r="P987" s="251"/>
      <c r="Q987" s="251"/>
      <c r="R987" s="56"/>
      <c r="S987" s="56"/>
      <c r="T987" s="56"/>
      <c r="U987" s="56"/>
      <c r="V987" s="250"/>
      <c r="W987" s="56"/>
    </row>
    <row r="988" spans="1:23" ht="15.75" customHeight="1">
      <c r="A988" s="56"/>
      <c r="B988" s="56"/>
      <c r="C988" s="56"/>
      <c r="D988" s="56"/>
      <c r="E988" s="56"/>
      <c r="F988" s="251"/>
      <c r="G988" s="251"/>
      <c r="H988" s="251"/>
      <c r="I988" s="56"/>
      <c r="J988" s="56"/>
      <c r="K988" s="56"/>
      <c r="L988" s="56"/>
      <c r="M988" s="160"/>
      <c r="N988" s="160"/>
      <c r="O988" s="251"/>
      <c r="P988" s="251"/>
      <c r="Q988" s="251"/>
      <c r="R988" s="56"/>
      <c r="S988" s="56"/>
      <c r="T988" s="56"/>
      <c r="U988" s="56"/>
      <c r="V988" s="250"/>
      <c r="W988" s="56"/>
    </row>
    <row r="989" spans="1:23" ht="15.75" customHeight="1">
      <c r="A989" s="56"/>
      <c r="B989" s="56"/>
      <c r="C989" s="56"/>
      <c r="D989" s="56"/>
      <c r="E989" s="56"/>
      <c r="F989" s="251"/>
      <c r="G989" s="251"/>
      <c r="H989" s="251"/>
      <c r="I989" s="56"/>
      <c r="J989" s="56"/>
      <c r="K989" s="56"/>
      <c r="L989" s="56"/>
      <c r="M989" s="160"/>
      <c r="N989" s="160"/>
      <c r="O989" s="251"/>
      <c r="P989" s="251"/>
      <c r="Q989" s="251"/>
      <c r="R989" s="56"/>
      <c r="S989" s="56"/>
      <c r="T989" s="56"/>
      <c r="U989" s="56"/>
      <c r="V989" s="250"/>
      <c r="W989" s="56"/>
    </row>
    <row r="990" spans="1:23" ht="15.75" customHeight="1">
      <c r="A990" s="56"/>
      <c r="B990" s="56"/>
      <c r="C990" s="56"/>
      <c r="D990" s="56"/>
      <c r="E990" s="56"/>
      <c r="F990" s="251"/>
      <c r="G990" s="251"/>
      <c r="H990" s="251"/>
      <c r="I990" s="56"/>
      <c r="J990" s="56"/>
      <c r="K990" s="56"/>
      <c r="L990" s="56"/>
      <c r="M990" s="160"/>
      <c r="N990" s="160"/>
      <c r="O990" s="251"/>
      <c r="P990" s="251"/>
      <c r="Q990" s="251"/>
      <c r="R990" s="56"/>
      <c r="S990" s="56"/>
      <c r="T990" s="56"/>
      <c r="U990" s="56"/>
      <c r="V990" s="250"/>
      <c r="W990" s="56"/>
    </row>
    <row r="991" spans="1:23" ht="15.75" customHeight="1">
      <c r="A991" s="56"/>
      <c r="B991" s="56"/>
      <c r="C991" s="56"/>
      <c r="D991" s="56"/>
      <c r="E991" s="56"/>
      <c r="F991" s="251"/>
      <c r="G991" s="251"/>
      <c r="H991" s="251"/>
      <c r="I991" s="56"/>
      <c r="J991" s="56"/>
      <c r="K991" s="56"/>
      <c r="L991" s="56"/>
      <c r="M991" s="160"/>
      <c r="N991" s="160"/>
      <c r="O991" s="251"/>
      <c r="P991" s="251"/>
      <c r="Q991" s="251"/>
      <c r="R991" s="56"/>
      <c r="S991" s="56"/>
      <c r="T991" s="56"/>
      <c r="U991" s="56"/>
      <c r="V991" s="250"/>
      <c r="W991" s="56"/>
    </row>
    <row r="992" spans="1:23" ht="15.75" customHeight="1">
      <c r="A992" s="56"/>
      <c r="B992" s="56"/>
      <c r="C992" s="56"/>
      <c r="D992" s="56"/>
      <c r="E992" s="56"/>
      <c r="F992" s="251"/>
      <c r="G992" s="251"/>
      <c r="H992" s="251"/>
      <c r="I992" s="56"/>
      <c r="J992" s="56"/>
      <c r="K992" s="56"/>
      <c r="L992" s="56"/>
      <c r="M992" s="160"/>
      <c r="N992" s="160"/>
      <c r="O992" s="251"/>
      <c r="P992" s="251"/>
      <c r="Q992" s="251"/>
      <c r="R992" s="56"/>
      <c r="S992" s="56"/>
      <c r="T992" s="56"/>
      <c r="U992" s="56"/>
      <c r="V992" s="250"/>
      <c r="W992" s="56"/>
    </row>
    <row r="993" spans="1:23" ht="15.75" customHeight="1">
      <c r="A993" s="56"/>
      <c r="B993" s="56"/>
      <c r="C993" s="56"/>
      <c r="D993" s="56"/>
      <c r="E993" s="56"/>
      <c r="F993" s="251"/>
      <c r="G993" s="251"/>
      <c r="H993" s="251"/>
      <c r="I993" s="56"/>
      <c r="J993" s="56"/>
      <c r="K993" s="56"/>
      <c r="L993" s="56"/>
      <c r="M993" s="160"/>
      <c r="N993" s="160"/>
      <c r="O993" s="251"/>
      <c r="P993" s="251"/>
      <c r="Q993" s="251"/>
      <c r="R993" s="56"/>
      <c r="S993" s="56"/>
      <c r="T993" s="56"/>
      <c r="U993" s="56"/>
      <c r="V993" s="250"/>
      <c r="W993" s="56"/>
    </row>
    <row r="994" spans="1:23" ht="15.75" customHeight="1">
      <c r="A994" s="56"/>
      <c r="B994" s="56"/>
      <c r="C994" s="56"/>
      <c r="D994" s="56"/>
      <c r="E994" s="56"/>
      <c r="F994" s="251"/>
      <c r="G994" s="251"/>
      <c r="H994" s="251"/>
      <c r="I994" s="56"/>
      <c r="J994" s="56"/>
      <c r="K994" s="56"/>
      <c r="L994" s="56"/>
      <c r="M994" s="160"/>
      <c r="N994" s="160"/>
      <c r="O994" s="251"/>
      <c r="P994" s="251"/>
      <c r="Q994" s="251"/>
      <c r="R994" s="56"/>
      <c r="S994" s="56"/>
      <c r="T994" s="56"/>
      <c r="U994" s="56"/>
      <c r="V994" s="250"/>
      <c r="W994" s="56"/>
    </row>
    <row r="995" spans="1:23" ht="15.75" customHeight="1">
      <c r="A995" s="56"/>
      <c r="B995" s="56"/>
      <c r="C995" s="56"/>
      <c r="D995" s="56"/>
      <c r="E995" s="56"/>
      <c r="F995" s="251"/>
      <c r="G995" s="251"/>
      <c r="H995" s="251"/>
      <c r="I995" s="56"/>
      <c r="J995" s="56"/>
      <c r="K995" s="56"/>
      <c r="L995" s="56"/>
      <c r="M995" s="160"/>
      <c r="N995" s="160"/>
      <c r="O995" s="251"/>
      <c r="P995" s="251"/>
      <c r="Q995" s="251"/>
      <c r="R995" s="56"/>
      <c r="S995" s="56"/>
      <c r="T995" s="56"/>
      <c r="U995" s="56"/>
      <c r="V995" s="250"/>
      <c r="W995" s="56"/>
    </row>
    <row r="996" spans="1:23" ht="15.75" customHeight="1">
      <c r="A996" s="56"/>
      <c r="B996" s="56"/>
      <c r="C996" s="56"/>
      <c r="D996" s="56"/>
      <c r="E996" s="56"/>
      <c r="F996" s="251"/>
      <c r="G996" s="251"/>
      <c r="H996" s="251"/>
      <c r="I996" s="56"/>
      <c r="J996" s="56"/>
      <c r="K996" s="56"/>
      <c r="L996" s="56"/>
      <c r="M996" s="160"/>
      <c r="N996" s="160"/>
      <c r="O996" s="251"/>
      <c r="P996" s="251"/>
      <c r="Q996" s="251"/>
      <c r="R996" s="56"/>
      <c r="S996" s="56"/>
      <c r="T996" s="56"/>
      <c r="U996" s="56"/>
      <c r="V996" s="250"/>
      <c r="W996" s="56"/>
    </row>
    <row r="997" spans="1:23" ht="15.75" customHeight="1">
      <c r="A997" s="56"/>
      <c r="B997" s="56"/>
      <c r="C997" s="56"/>
      <c r="D997" s="56"/>
      <c r="E997" s="56"/>
      <c r="F997" s="251"/>
      <c r="G997" s="251"/>
      <c r="H997" s="251"/>
      <c r="I997" s="56"/>
      <c r="J997" s="56"/>
      <c r="K997" s="56"/>
      <c r="L997" s="56"/>
      <c r="M997" s="160"/>
      <c r="N997" s="160"/>
      <c r="O997" s="251"/>
      <c r="P997" s="251"/>
      <c r="Q997" s="251"/>
      <c r="R997" s="56"/>
      <c r="S997" s="56"/>
      <c r="T997" s="56"/>
      <c r="U997" s="56"/>
      <c r="V997" s="250"/>
      <c r="W997" s="56"/>
    </row>
    <row r="998" spans="1:23" ht="15.75" customHeight="1">
      <c r="A998" s="56"/>
      <c r="B998" s="56"/>
      <c r="C998" s="56"/>
      <c r="D998" s="56"/>
      <c r="E998" s="56"/>
      <c r="F998" s="251"/>
      <c r="G998" s="251"/>
      <c r="H998" s="251"/>
      <c r="I998" s="56"/>
      <c r="J998" s="56"/>
      <c r="K998" s="56"/>
      <c r="L998" s="56"/>
      <c r="M998" s="160"/>
      <c r="N998" s="160"/>
      <c r="O998" s="251"/>
      <c r="P998" s="251"/>
      <c r="Q998" s="251"/>
      <c r="R998" s="56"/>
      <c r="S998" s="56"/>
      <c r="T998" s="56"/>
      <c r="U998" s="56"/>
      <c r="V998" s="250"/>
      <c r="W998" s="56"/>
    </row>
    <row r="999" spans="1:23" ht="15.75" customHeight="1">
      <c r="A999" s="56"/>
      <c r="B999" s="56"/>
      <c r="C999" s="56"/>
      <c r="D999" s="56"/>
      <c r="E999" s="56"/>
      <c r="F999" s="251"/>
      <c r="G999" s="251"/>
      <c r="H999" s="251"/>
      <c r="I999" s="56"/>
      <c r="J999" s="56"/>
      <c r="K999" s="56"/>
      <c r="L999" s="56"/>
      <c r="M999" s="160"/>
      <c r="N999" s="160"/>
      <c r="O999" s="251"/>
      <c r="P999" s="251"/>
      <c r="Q999" s="251"/>
      <c r="R999" s="56"/>
      <c r="S999" s="56"/>
      <c r="T999" s="56"/>
      <c r="U999" s="56"/>
      <c r="V999" s="250"/>
      <c r="W999" s="56"/>
    </row>
    <row r="1000" spans="1:23" ht="15.75" customHeight="1">
      <c r="A1000" s="56"/>
      <c r="B1000" s="56"/>
      <c r="C1000" s="56"/>
      <c r="D1000" s="56"/>
      <c r="E1000" s="56"/>
      <c r="F1000" s="251"/>
      <c r="G1000" s="251"/>
      <c r="H1000" s="251"/>
      <c r="I1000" s="56"/>
      <c r="J1000" s="56"/>
      <c r="K1000" s="56"/>
      <c r="L1000" s="56"/>
      <c r="M1000" s="160"/>
      <c r="N1000" s="160"/>
      <c r="O1000" s="251"/>
      <c r="P1000" s="251"/>
      <c r="Q1000" s="251"/>
      <c r="R1000" s="56"/>
      <c r="S1000" s="56"/>
      <c r="T1000" s="56"/>
      <c r="U1000" s="56"/>
      <c r="V1000" s="250"/>
      <c r="W1000" s="56"/>
    </row>
    <row r="1001" spans="1:23" ht="15.75" customHeight="1">
      <c r="A1001" s="56"/>
      <c r="B1001" s="56"/>
      <c r="C1001" s="56"/>
      <c r="D1001" s="56"/>
      <c r="E1001" s="56"/>
      <c r="F1001" s="251"/>
      <c r="G1001" s="251"/>
      <c r="H1001" s="251"/>
      <c r="I1001" s="56"/>
      <c r="J1001" s="56"/>
      <c r="K1001" s="56"/>
      <c r="L1001" s="56"/>
      <c r="M1001" s="160"/>
      <c r="N1001" s="160"/>
      <c r="O1001" s="251"/>
      <c r="P1001" s="251"/>
      <c r="Q1001" s="251"/>
      <c r="R1001" s="56"/>
      <c r="S1001" s="56"/>
      <c r="T1001" s="56"/>
      <c r="U1001" s="56"/>
      <c r="V1001" s="250"/>
      <c r="W1001" s="56"/>
    </row>
    <row r="1002" spans="1:23" ht="15.75" customHeight="1">
      <c r="A1002" s="56"/>
      <c r="B1002" s="56"/>
      <c r="C1002" s="56"/>
      <c r="D1002" s="56"/>
      <c r="E1002" s="56"/>
      <c r="F1002" s="251"/>
      <c r="G1002" s="251"/>
      <c r="H1002" s="251"/>
      <c r="I1002" s="56"/>
      <c r="J1002" s="56"/>
      <c r="K1002" s="56"/>
      <c r="L1002" s="56"/>
      <c r="M1002" s="160"/>
      <c r="N1002" s="160"/>
      <c r="O1002" s="251"/>
      <c r="P1002" s="251"/>
      <c r="Q1002" s="251"/>
      <c r="R1002" s="56"/>
      <c r="S1002" s="56"/>
      <c r="T1002" s="56"/>
      <c r="U1002" s="56"/>
      <c r="V1002" s="250"/>
      <c r="W1002" s="56"/>
    </row>
    <row r="1003" spans="1:23" ht="15.75" customHeight="1">
      <c r="A1003" s="56"/>
      <c r="B1003" s="56"/>
      <c r="C1003" s="56"/>
      <c r="D1003" s="56"/>
      <c r="E1003" s="56"/>
      <c r="F1003" s="251"/>
      <c r="G1003" s="251"/>
      <c r="H1003" s="251"/>
      <c r="I1003" s="56"/>
      <c r="J1003" s="56"/>
      <c r="K1003" s="56"/>
      <c r="L1003" s="56"/>
      <c r="M1003" s="160"/>
      <c r="N1003" s="160"/>
      <c r="O1003" s="251"/>
      <c r="P1003" s="251"/>
      <c r="Q1003" s="251"/>
      <c r="R1003" s="56"/>
      <c r="S1003" s="56"/>
      <c r="T1003" s="56"/>
      <c r="U1003" s="56"/>
      <c r="V1003" s="250"/>
      <c r="W1003" s="56"/>
    </row>
    <row r="1004" spans="1:23" ht="15.75" customHeight="1">
      <c r="A1004" s="56"/>
      <c r="B1004" s="56"/>
      <c r="C1004" s="56"/>
      <c r="D1004" s="56"/>
      <c r="E1004" s="56"/>
      <c r="F1004" s="251"/>
      <c r="G1004" s="251"/>
      <c r="H1004" s="251"/>
      <c r="I1004" s="56"/>
      <c r="J1004" s="56"/>
      <c r="K1004" s="56"/>
      <c r="L1004" s="56"/>
      <c r="M1004" s="160"/>
      <c r="N1004" s="160"/>
      <c r="O1004" s="251"/>
      <c r="P1004" s="251"/>
      <c r="Q1004" s="251"/>
      <c r="R1004" s="56"/>
      <c r="S1004" s="56"/>
      <c r="T1004" s="56"/>
      <c r="U1004" s="56"/>
      <c r="V1004" s="250"/>
      <c r="W1004" s="56"/>
    </row>
    <row r="1005" spans="1:23" ht="15.75" customHeight="1">
      <c r="A1005" s="56"/>
      <c r="B1005" s="56"/>
      <c r="C1005" s="56"/>
      <c r="D1005" s="56"/>
      <c r="E1005" s="56"/>
      <c r="F1005" s="251"/>
      <c r="G1005" s="251"/>
      <c r="H1005" s="251"/>
      <c r="I1005" s="56"/>
      <c r="J1005" s="56"/>
      <c r="K1005" s="56"/>
      <c r="L1005" s="56"/>
      <c r="M1005" s="160"/>
      <c r="N1005" s="160"/>
      <c r="O1005" s="251"/>
      <c r="P1005" s="251"/>
      <c r="Q1005" s="251"/>
      <c r="R1005" s="56"/>
      <c r="S1005" s="56"/>
      <c r="T1005" s="56"/>
      <c r="U1005" s="56"/>
      <c r="V1005" s="250"/>
      <c r="W1005" s="56"/>
    </row>
    <row r="1006" spans="1:23" ht="15.75" customHeight="1">
      <c r="A1006" s="56"/>
      <c r="B1006" s="56"/>
      <c r="C1006" s="56"/>
      <c r="D1006" s="56"/>
      <c r="E1006" s="56"/>
      <c r="F1006" s="251"/>
      <c r="G1006" s="251"/>
      <c r="H1006" s="251"/>
      <c r="I1006" s="56"/>
      <c r="J1006" s="56"/>
      <c r="K1006" s="56"/>
      <c r="L1006" s="56"/>
      <c r="M1006" s="160"/>
      <c r="N1006" s="160"/>
      <c r="O1006" s="251"/>
      <c r="P1006" s="251"/>
      <c r="Q1006" s="251"/>
      <c r="R1006" s="56"/>
      <c r="S1006" s="56"/>
      <c r="T1006" s="56"/>
      <c r="U1006" s="56"/>
      <c r="V1006" s="250"/>
      <c r="W1006" s="56"/>
    </row>
    <row r="1007" spans="1:23" ht="15.75" customHeight="1">
      <c r="A1007" s="56"/>
      <c r="B1007" s="56"/>
      <c r="C1007" s="56"/>
      <c r="D1007" s="56"/>
      <c r="E1007" s="56"/>
      <c r="F1007" s="251"/>
      <c r="G1007" s="251"/>
      <c r="H1007" s="251"/>
      <c r="I1007" s="56"/>
      <c r="J1007" s="56"/>
      <c r="K1007" s="56"/>
      <c r="L1007" s="56"/>
      <c r="M1007" s="160"/>
      <c r="N1007" s="160"/>
      <c r="O1007" s="251"/>
      <c r="P1007" s="251"/>
      <c r="Q1007" s="251"/>
      <c r="R1007" s="56"/>
      <c r="S1007" s="56"/>
      <c r="T1007" s="56"/>
      <c r="U1007" s="56"/>
      <c r="V1007" s="250"/>
      <c r="W1007" s="56"/>
    </row>
    <row r="1008" spans="1:23" ht="15.75" customHeight="1">
      <c r="A1008" s="56"/>
      <c r="B1008" s="56"/>
      <c r="C1008" s="56"/>
      <c r="D1008" s="56"/>
      <c r="E1008" s="56"/>
      <c r="F1008" s="251"/>
      <c r="G1008" s="251"/>
      <c r="H1008" s="251"/>
      <c r="I1008" s="56"/>
      <c r="J1008" s="56"/>
      <c r="K1008" s="56"/>
      <c r="L1008" s="56"/>
      <c r="M1008" s="160"/>
      <c r="N1008" s="160"/>
      <c r="O1008" s="251"/>
      <c r="P1008" s="251"/>
      <c r="Q1008" s="251"/>
      <c r="R1008" s="56"/>
      <c r="S1008" s="56"/>
      <c r="T1008" s="56"/>
      <c r="U1008" s="56"/>
      <c r="V1008" s="250"/>
      <c r="W1008" s="56"/>
    </row>
    <row r="1009" spans="1:23" ht="15.75" customHeight="1">
      <c r="A1009" s="56"/>
      <c r="B1009" s="56"/>
      <c r="C1009" s="56"/>
      <c r="D1009" s="56"/>
      <c r="E1009" s="56"/>
      <c r="F1009" s="251"/>
      <c r="G1009" s="251"/>
      <c r="H1009" s="251"/>
      <c r="I1009" s="56"/>
      <c r="J1009" s="56"/>
      <c r="K1009" s="56"/>
      <c r="L1009" s="56"/>
      <c r="M1009" s="160"/>
      <c r="N1009" s="160"/>
      <c r="O1009" s="251"/>
      <c r="P1009" s="251"/>
      <c r="Q1009" s="251"/>
      <c r="R1009" s="56"/>
      <c r="S1009" s="56"/>
      <c r="T1009" s="56"/>
      <c r="U1009" s="56"/>
      <c r="V1009" s="250"/>
      <c r="W1009" s="56"/>
    </row>
    <row r="1010" spans="1:23" ht="15.75" customHeight="1">
      <c r="A1010" s="56"/>
      <c r="B1010" s="56"/>
      <c r="C1010" s="56"/>
      <c r="D1010" s="56"/>
      <c r="E1010" s="56"/>
      <c r="F1010" s="251"/>
      <c r="G1010" s="251"/>
      <c r="H1010" s="251"/>
      <c r="I1010" s="56"/>
      <c r="J1010" s="56"/>
      <c r="K1010" s="56"/>
      <c r="L1010" s="56"/>
      <c r="M1010" s="160"/>
      <c r="N1010" s="160"/>
      <c r="O1010" s="251"/>
      <c r="P1010" s="251"/>
      <c r="Q1010" s="251"/>
      <c r="R1010" s="56"/>
      <c r="S1010" s="56"/>
      <c r="T1010" s="56"/>
      <c r="U1010" s="56"/>
      <c r="V1010" s="250"/>
      <c r="W1010" s="56"/>
    </row>
    <row r="1011" spans="1:23" ht="15.75" customHeight="1">
      <c r="A1011" s="56"/>
      <c r="B1011" s="56"/>
      <c r="C1011" s="56"/>
      <c r="D1011" s="56"/>
      <c r="E1011" s="56"/>
      <c r="F1011" s="251"/>
      <c r="G1011" s="251"/>
      <c r="H1011" s="251"/>
      <c r="I1011" s="56"/>
      <c r="J1011" s="56"/>
      <c r="K1011" s="56"/>
      <c r="L1011" s="56"/>
      <c r="M1011" s="253"/>
      <c r="N1011" s="253"/>
      <c r="O1011" s="56"/>
      <c r="P1011" s="56"/>
      <c r="Q1011" s="56"/>
      <c r="R1011" s="56"/>
      <c r="S1011" s="56"/>
      <c r="T1011" s="56"/>
      <c r="U1011" s="56"/>
      <c r="V1011" s="250"/>
      <c r="W1011" s="56"/>
    </row>
    <row r="1012" spans="1:23" ht="15.75" customHeight="1">
      <c r="A1012" s="56"/>
      <c r="B1012" s="56"/>
      <c r="C1012" s="56"/>
      <c r="D1012" s="56"/>
      <c r="E1012" s="56"/>
      <c r="F1012" s="251"/>
      <c r="G1012" s="251"/>
      <c r="H1012" s="251"/>
      <c r="I1012" s="56"/>
      <c r="J1012" s="56"/>
      <c r="K1012" s="56"/>
      <c r="L1012" s="56"/>
      <c r="M1012" s="253"/>
      <c r="N1012" s="253"/>
      <c r="O1012" s="56"/>
      <c r="P1012" s="56"/>
      <c r="Q1012" s="56"/>
      <c r="R1012" s="56"/>
      <c r="S1012" s="56"/>
      <c r="T1012" s="56"/>
      <c r="U1012" s="56"/>
      <c r="V1012" s="250"/>
      <c r="W1012" s="56"/>
    </row>
    <row r="1013" spans="1:23" ht="15.75" customHeight="1">
      <c r="A1013" s="56"/>
      <c r="B1013" s="56"/>
      <c r="C1013" s="56"/>
      <c r="D1013" s="56"/>
      <c r="E1013" s="56"/>
      <c r="F1013" s="251"/>
      <c r="G1013" s="251"/>
      <c r="H1013" s="251"/>
      <c r="I1013" s="56"/>
      <c r="J1013" s="56"/>
      <c r="K1013" s="56"/>
      <c r="L1013" s="56"/>
      <c r="M1013" s="253"/>
      <c r="N1013" s="253"/>
      <c r="O1013" s="56"/>
      <c r="P1013" s="56"/>
      <c r="Q1013" s="56"/>
      <c r="R1013" s="56"/>
      <c r="S1013" s="56"/>
      <c r="T1013" s="56"/>
      <c r="U1013" s="56"/>
      <c r="V1013" s="250"/>
      <c r="W1013" s="56"/>
    </row>
    <row r="1014" spans="1:23" ht="15.75" customHeight="1">
      <c r="A1014" s="56"/>
      <c r="B1014" s="56"/>
      <c r="C1014" s="56"/>
      <c r="D1014" s="56"/>
      <c r="E1014" s="56"/>
      <c r="F1014" s="251"/>
      <c r="G1014" s="251"/>
      <c r="H1014" s="251"/>
      <c r="I1014" s="56"/>
      <c r="J1014" s="56"/>
      <c r="K1014" s="56"/>
      <c r="L1014" s="56"/>
      <c r="M1014" s="253"/>
      <c r="N1014" s="253"/>
      <c r="O1014" s="56"/>
      <c r="P1014" s="56"/>
      <c r="Q1014" s="56"/>
      <c r="R1014" s="56"/>
      <c r="S1014" s="56"/>
      <c r="T1014" s="56"/>
      <c r="U1014" s="56"/>
      <c r="V1014" s="250"/>
      <c r="W1014" s="56"/>
    </row>
    <row r="1015" spans="1:23" ht="15.75" customHeight="1">
      <c r="A1015" s="56"/>
      <c r="B1015" s="56"/>
      <c r="C1015" s="56"/>
      <c r="D1015" s="56"/>
      <c r="E1015" s="56"/>
      <c r="F1015" s="251"/>
      <c r="G1015" s="251"/>
      <c r="H1015" s="251"/>
      <c r="I1015" s="56"/>
      <c r="J1015" s="56"/>
      <c r="K1015" s="56"/>
      <c r="L1015" s="56"/>
      <c r="M1015" s="253"/>
      <c r="N1015" s="253"/>
      <c r="O1015" s="56"/>
      <c r="P1015" s="56"/>
      <c r="Q1015" s="56"/>
      <c r="R1015" s="56"/>
      <c r="S1015" s="56"/>
      <c r="T1015" s="56"/>
      <c r="U1015" s="56"/>
      <c r="V1015" s="250"/>
      <c r="W1015" s="56"/>
    </row>
    <row r="1016" spans="1:23" ht="15.75" customHeight="1">
      <c r="A1016" s="56"/>
      <c r="B1016" s="56"/>
      <c r="C1016" s="56"/>
      <c r="D1016" s="56"/>
      <c r="E1016" s="56"/>
      <c r="F1016" s="251"/>
      <c r="G1016" s="251"/>
      <c r="H1016" s="251"/>
      <c r="I1016" s="56"/>
      <c r="J1016" s="56"/>
      <c r="K1016" s="56"/>
      <c r="L1016" s="56"/>
      <c r="M1016" s="253"/>
      <c r="N1016" s="253"/>
      <c r="O1016" s="56"/>
      <c r="P1016" s="56"/>
      <c r="Q1016" s="56"/>
      <c r="R1016" s="56"/>
      <c r="S1016" s="56"/>
      <c r="T1016" s="56"/>
      <c r="U1016" s="56"/>
      <c r="V1016" s="250"/>
      <c r="W1016" s="56"/>
    </row>
    <row r="1017" spans="1:23" ht="15.75" customHeight="1">
      <c r="A1017" s="56"/>
      <c r="B1017" s="56"/>
      <c r="C1017" s="56"/>
      <c r="D1017" s="56"/>
      <c r="E1017" s="56"/>
      <c r="F1017" s="251"/>
      <c r="G1017" s="251"/>
      <c r="H1017" s="251"/>
      <c r="I1017" s="56"/>
      <c r="J1017" s="56"/>
      <c r="K1017" s="56"/>
      <c r="L1017" s="56"/>
      <c r="M1017" s="253"/>
      <c r="N1017" s="253"/>
      <c r="O1017" s="56"/>
      <c r="P1017" s="56"/>
      <c r="Q1017" s="56"/>
      <c r="R1017" s="56"/>
      <c r="S1017" s="56"/>
      <c r="T1017" s="56"/>
      <c r="U1017" s="56"/>
      <c r="V1017" s="250"/>
      <c r="W1017" s="56"/>
    </row>
    <row r="1018" spans="1:23" ht="15.75" customHeight="1">
      <c r="A1018" s="56"/>
      <c r="B1018" s="56"/>
      <c r="C1018" s="56"/>
      <c r="D1018" s="56"/>
      <c r="E1018" s="56"/>
      <c r="F1018" s="251"/>
      <c r="G1018" s="251"/>
      <c r="H1018" s="251"/>
      <c r="I1018" s="56"/>
      <c r="J1018" s="56"/>
      <c r="K1018" s="56"/>
      <c r="L1018" s="56"/>
      <c r="M1018" s="253"/>
      <c r="N1018" s="253"/>
      <c r="O1018" s="56"/>
      <c r="P1018" s="56"/>
      <c r="Q1018" s="56"/>
      <c r="R1018" s="56"/>
      <c r="S1018" s="56"/>
      <c r="T1018" s="56"/>
      <c r="U1018" s="56"/>
      <c r="V1018" s="250"/>
      <c r="W1018" s="56"/>
    </row>
    <row r="1019" spans="1:23" ht="15.75" customHeight="1">
      <c r="A1019" s="56"/>
      <c r="B1019" s="56"/>
      <c r="C1019" s="56"/>
      <c r="D1019" s="56"/>
      <c r="E1019" s="56"/>
      <c r="F1019" s="251"/>
      <c r="G1019" s="251"/>
      <c r="H1019" s="251"/>
      <c r="I1019" s="56"/>
      <c r="J1019" s="56"/>
      <c r="K1019" s="56"/>
      <c r="L1019" s="56"/>
      <c r="M1019" s="253"/>
      <c r="N1019" s="253"/>
      <c r="O1019" s="56"/>
      <c r="P1019" s="56"/>
      <c r="Q1019" s="56"/>
      <c r="R1019" s="56"/>
      <c r="S1019" s="56"/>
      <c r="T1019" s="56"/>
      <c r="U1019" s="56"/>
      <c r="V1019" s="250"/>
      <c r="W1019" s="56"/>
    </row>
    <row r="1020" spans="1:23" ht="15.75" customHeight="1">
      <c r="A1020" s="56"/>
      <c r="B1020" s="56"/>
      <c r="C1020" s="56"/>
      <c r="D1020" s="56"/>
      <c r="E1020" s="56"/>
      <c r="F1020" s="251"/>
      <c r="G1020" s="251"/>
      <c r="H1020" s="251"/>
      <c r="I1020" s="56"/>
      <c r="J1020" s="56"/>
      <c r="K1020" s="56"/>
      <c r="L1020" s="56"/>
      <c r="M1020" s="253"/>
      <c r="N1020" s="253"/>
      <c r="O1020" s="56"/>
      <c r="P1020" s="56"/>
      <c r="Q1020" s="56"/>
      <c r="R1020" s="56"/>
      <c r="S1020" s="56"/>
      <c r="T1020" s="56"/>
      <c r="U1020" s="56"/>
      <c r="V1020" s="250"/>
      <c r="W1020" s="56"/>
    </row>
    <row r="1021" spans="1:23" ht="15.75" customHeight="1">
      <c r="A1021" s="56"/>
      <c r="B1021" s="56"/>
      <c r="C1021" s="56"/>
      <c r="D1021" s="56"/>
      <c r="E1021" s="56"/>
      <c r="F1021" s="251"/>
      <c r="G1021" s="251"/>
      <c r="H1021" s="251"/>
      <c r="I1021" s="56"/>
      <c r="J1021" s="56"/>
      <c r="K1021" s="56"/>
      <c r="L1021" s="56"/>
      <c r="M1021" s="253"/>
      <c r="N1021" s="253"/>
      <c r="O1021" s="56"/>
      <c r="P1021" s="56"/>
      <c r="Q1021" s="56"/>
      <c r="R1021" s="56"/>
      <c r="S1021" s="56"/>
      <c r="T1021" s="56"/>
      <c r="U1021" s="56"/>
      <c r="V1021" s="250"/>
      <c r="W1021" s="56"/>
    </row>
    <row r="1022" spans="1:23" ht="15.75" customHeight="1">
      <c r="A1022" s="56"/>
      <c r="B1022" s="56"/>
      <c r="C1022" s="56"/>
      <c r="D1022" s="56"/>
      <c r="E1022" s="56"/>
      <c r="F1022" s="251"/>
      <c r="G1022" s="251"/>
      <c r="H1022" s="251"/>
      <c r="I1022" s="56"/>
      <c r="J1022" s="56"/>
      <c r="K1022" s="56"/>
      <c r="L1022" s="56"/>
      <c r="M1022" s="253"/>
      <c r="N1022" s="253"/>
      <c r="O1022" s="56"/>
      <c r="P1022" s="56"/>
      <c r="Q1022" s="56"/>
      <c r="R1022" s="56"/>
      <c r="S1022" s="56"/>
      <c r="T1022" s="56"/>
      <c r="U1022" s="56"/>
      <c r="V1022" s="250"/>
      <c r="W1022" s="56"/>
    </row>
    <row r="1023" spans="1:23" ht="15.75" customHeight="1">
      <c r="A1023" s="56"/>
      <c r="B1023" s="56"/>
      <c r="C1023" s="56"/>
      <c r="D1023" s="56"/>
      <c r="E1023" s="56"/>
      <c r="F1023" s="251"/>
      <c r="G1023" s="251"/>
      <c r="H1023" s="251"/>
      <c r="I1023" s="56"/>
      <c r="J1023" s="56"/>
      <c r="K1023" s="56"/>
      <c r="L1023" s="56"/>
      <c r="M1023" s="253"/>
      <c r="N1023" s="253"/>
      <c r="O1023" s="56"/>
      <c r="P1023" s="56"/>
      <c r="Q1023" s="56"/>
      <c r="R1023" s="56"/>
      <c r="S1023" s="56"/>
      <c r="T1023" s="56"/>
      <c r="U1023" s="56"/>
      <c r="V1023" s="250"/>
      <c r="W1023" s="56"/>
    </row>
    <row r="1024" spans="1:23" ht="15.75" customHeight="1">
      <c r="A1024" s="56"/>
      <c r="B1024" s="56"/>
      <c r="C1024" s="56"/>
      <c r="D1024" s="56"/>
      <c r="E1024" s="56"/>
      <c r="F1024" s="251"/>
      <c r="G1024" s="251"/>
      <c r="H1024" s="251"/>
      <c r="I1024" s="56"/>
      <c r="J1024" s="56"/>
      <c r="K1024" s="56"/>
      <c r="L1024" s="56"/>
      <c r="M1024" s="253"/>
      <c r="N1024" s="253"/>
      <c r="O1024" s="56"/>
      <c r="P1024" s="56"/>
      <c r="Q1024" s="56"/>
      <c r="R1024" s="56"/>
      <c r="S1024" s="56"/>
      <c r="T1024" s="56"/>
      <c r="U1024" s="56"/>
      <c r="V1024" s="250"/>
      <c r="W1024" s="56"/>
    </row>
    <row r="1025" spans="1:23" ht="15.75" customHeight="1">
      <c r="A1025" s="56"/>
      <c r="B1025" s="56"/>
      <c r="C1025" s="56"/>
      <c r="D1025" s="56"/>
      <c r="E1025" s="56"/>
      <c r="F1025" s="251"/>
      <c r="G1025" s="251"/>
      <c r="H1025" s="251"/>
      <c r="I1025" s="56"/>
      <c r="J1025" s="56"/>
      <c r="K1025" s="56"/>
      <c r="L1025" s="56"/>
      <c r="M1025" s="253"/>
      <c r="N1025" s="253"/>
      <c r="O1025" s="56"/>
      <c r="P1025" s="56"/>
      <c r="Q1025" s="56"/>
      <c r="R1025" s="56"/>
      <c r="S1025" s="56"/>
      <c r="T1025" s="56"/>
      <c r="U1025" s="56"/>
      <c r="V1025" s="250"/>
      <c r="W1025" s="56"/>
    </row>
    <row r="1026" spans="1:23" ht="15.75" customHeight="1">
      <c r="A1026" s="56"/>
      <c r="B1026" s="56"/>
      <c r="C1026" s="56"/>
      <c r="D1026" s="56"/>
      <c r="E1026" s="56"/>
      <c r="F1026" s="251"/>
      <c r="G1026" s="251"/>
      <c r="H1026" s="251"/>
      <c r="I1026" s="56"/>
      <c r="J1026" s="56"/>
      <c r="K1026" s="56"/>
      <c r="L1026" s="56"/>
      <c r="M1026" s="253"/>
      <c r="N1026" s="253"/>
      <c r="O1026" s="56"/>
      <c r="P1026" s="56"/>
      <c r="Q1026" s="56"/>
      <c r="R1026" s="56"/>
      <c r="S1026" s="56"/>
      <c r="T1026" s="56"/>
      <c r="U1026" s="56"/>
      <c r="V1026" s="250"/>
      <c r="W1026" s="56"/>
    </row>
    <row r="1027" spans="1:23" ht="15.75" customHeight="1">
      <c r="A1027" s="56"/>
      <c r="B1027" s="56"/>
      <c r="C1027" s="56"/>
      <c r="D1027" s="56"/>
      <c r="E1027" s="56"/>
      <c r="F1027" s="251"/>
      <c r="G1027" s="251"/>
      <c r="H1027" s="251"/>
      <c r="I1027" s="56"/>
      <c r="J1027" s="56"/>
      <c r="K1027" s="56"/>
      <c r="L1027" s="56"/>
      <c r="M1027" s="253"/>
      <c r="N1027" s="253"/>
      <c r="O1027" s="56"/>
      <c r="P1027" s="56"/>
      <c r="Q1027" s="56"/>
      <c r="R1027" s="56"/>
      <c r="S1027" s="56"/>
      <c r="T1027" s="56"/>
      <c r="U1027" s="56"/>
      <c r="V1027" s="250"/>
      <c r="W1027" s="56"/>
    </row>
    <row r="1028" spans="1:23" ht="15.75" customHeight="1">
      <c r="A1028" s="56"/>
      <c r="B1028" s="56"/>
      <c r="C1028" s="56"/>
      <c r="D1028" s="56"/>
      <c r="E1028" s="56"/>
      <c r="F1028" s="251"/>
      <c r="G1028" s="251"/>
      <c r="H1028" s="251"/>
      <c r="I1028" s="56"/>
      <c r="J1028" s="56"/>
      <c r="K1028" s="56"/>
      <c r="L1028" s="56"/>
      <c r="M1028" s="253"/>
      <c r="N1028" s="253"/>
      <c r="O1028" s="56"/>
      <c r="P1028" s="56"/>
      <c r="Q1028" s="56"/>
      <c r="R1028" s="56"/>
      <c r="S1028" s="56"/>
      <c r="T1028" s="56"/>
      <c r="U1028" s="56"/>
      <c r="V1028" s="250"/>
      <c r="W1028" s="56"/>
    </row>
    <row r="1029" spans="1:23" ht="15.75" customHeight="1">
      <c r="A1029" s="56"/>
      <c r="B1029" s="56"/>
      <c r="C1029" s="56"/>
      <c r="D1029" s="56"/>
      <c r="E1029" s="56"/>
      <c r="F1029" s="251"/>
      <c r="G1029" s="251"/>
      <c r="H1029" s="251"/>
      <c r="I1029" s="56"/>
      <c r="J1029" s="56"/>
      <c r="K1029" s="56"/>
      <c r="L1029" s="56"/>
      <c r="M1029" s="253"/>
      <c r="N1029" s="253"/>
      <c r="O1029" s="56"/>
      <c r="P1029" s="56"/>
      <c r="Q1029" s="56"/>
      <c r="R1029" s="56"/>
      <c r="S1029" s="56"/>
      <c r="T1029" s="56"/>
      <c r="U1029" s="56"/>
      <c r="V1029" s="250"/>
      <c r="W1029" s="56"/>
    </row>
    <row r="1030" spans="1:23" ht="15.75" customHeight="1">
      <c r="A1030" s="56"/>
      <c r="B1030" s="56"/>
      <c r="C1030" s="56"/>
      <c r="D1030" s="56"/>
      <c r="E1030" s="56"/>
      <c r="F1030" s="251"/>
      <c r="G1030" s="251"/>
      <c r="H1030" s="251"/>
      <c r="I1030" s="56"/>
      <c r="J1030" s="56"/>
      <c r="K1030" s="56"/>
      <c r="L1030" s="56"/>
      <c r="M1030" s="253"/>
      <c r="N1030" s="253"/>
      <c r="O1030" s="56"/>
      <c r="P1030" s="56"/>
      <c r="Q1030" s="56"/>
      <c r="R1030" s="56"/>
      <c r="S1030" s="56"/>
      <c r="T1030" s="56"/>
      <c r="U1030" s="56"/>
      <c r="V1030" s="250"/>
      <c r="W1030" s="56"/>
    </row>
    <row r="1031" spans="1:23" ht="15.75" customHeight="1">
      <c r="A1031" s="56"/>
      <c r="B1031" s="56"/>
      <c r="C1031" s="56"/>
      <c r="D1031" s="56"/>
      <c r="E1031" s="56"/>
      <c r="F1031" s="251"/>
      <c r="G1031" s="251"/>
      <c r="H1031" s="251"/>
      <c r="I1031" s="56"/>
      <c r="J1031" s="56"/>
      <c r="K1031" s="56"/>
      <c r="L1031" s="56"/>
      <c r="M1031" s="253"/>
      <c r="N1031" s="253"/>
      <c r="O1031" s="56"/>
      <c r="P1031" s="56"/>
      <c r="Q1031" s="56"/>
      <c r="R1031" s="56"/>
      <c r="S1031" s="56"/>
      <c r="T1031" s="56"/>
      <c r="U1031" s="56"/>
      <c r="V1031" s="250"/>
      <c r="W1031" s="56"/>
    </row>
    <row r="1032" spans="1:23" ht="15.75" customHeight="1">
      <c r="A1032" s="56"/>
      <c r="B1032" s="56"/>
      <c r="C1032" s="56"/>
      <c r="D1032" s="56"/>
      <c r="E1032" s="56"/>
      <c r="F1032" s="251"/>
      <c r="G1032" s="251"/>
      <c r="H1032" s="251"/>
      <c r="I1032" s="56"/>
      <c r="J1032" s="56"/>
      <c r="K1032" s="56"/>
      <c r="L1032" s="56"/>
      <c r="M1032" s="253"/>
      <c r="N1032" s="253"/>
      <c r="O1032" s="56"/>
      <c r="P1032" s="56"/>
      <c r="Q1032" s="56"/>
      <c r="R1032" s="56"/>
      <c r="S1032" s="56"/>
      <c r="T1032" s="56"/>
      <c r="U1032" s="56"/>
      <c r="V1032" s="250"/>
      <c r="W1032" s="56"/>
    </row>
    <row r="1033" spans="1:23" ht="15.75" customHeight="1">
      <c r="A1033" s="56"/>
      <c r="B1033" s="56"/>
      <c r="C1033" s="56"/>
      <c r="D1033" s="56"/>
      <c r="E1033" s="56"/>
      <c r="F1033" s="251"/>
      <c r="G1033" s="251"/>
      <c r="H1033" s="251"/>
      <c r="I1033" s="56"/>
      <c r="J1033" s="56"/>
      <c r="K1033" s="56"/>
      <c r="L1033" s="56"/>
      <c r="M1033" s="253"/>
      <c r="N1033" s="253"/>
      <c r="O1033" s="56"/>
      <c r="P1033" s="56"/>
      <c r="Q1033" s="56"/>
      <c r="R1033" s="56"/>
      <c r="S1033" s="56"/>
      <c r="T1033" s="56"/>
      <c r="U1033" s="56"/>
      <c r="V1033" s="250"/>
      <c r="W1033" s="56"/>
    </row>
    <row r="1034" spans="1:23" ht="15.75" customHeight="1">
      <c r="A1034" s="56"/>
      <c r="B1034" s="56"/>
      <c r="C1034" s="56"/>
      <c r="D1034" s="56"/>
      <c r="E1034" s="56"/>
      <c r="F1034" s="251"/>
      <c r="G1034" s="251"/>
      <c r="H1034" s="251"/>
      <c r="I1034" s="56"/>
      <c r="J1034" s="56"/>
      <c r="K1034" s="56"/>
      <c r="L1034" s="56"/>
      <c r="M1034" s="253"/>
      <c r="N1034" s="253"/>
      <c r="O1034" s="56"/>
      <c r="P1034" s="56"/>
      <c r="Q1034" s="56"/>
      <c r="R1034" s="56"/>
      <c r="S1034" s="56"/>
      <c r="T1034" s="56"/>
      <c r="U1034" s="56"/>
      <c r="V1034" s="250"/>
      <c r="W1034" s="56"/>
    </row>
    <row r="1035" spans="1:23" ht="15.75" customHeight="1">
      <c r="A1035" s="56"/>
      <c r="B1035" s="56"/>
      <c r="C1035" s="56"/>
      <c r="D1035" s="56"/>
      <c r="E1035" s="56"/>
      <c r="F1035" s="251"/>
      <c r="G1035" s="251"/>
      <c r="H1035" s="251"/>
      <c r="I1035" s="56"/>
      <c r="J1035" s="56"/>
      <c r="K1035" s="56"/>
      <c r="L1035" s="56"/>
      <c r="M1035" s="253"/>
      <c r="N1035" s="253"/>
      <c r="O1035" s="56"/>
      <c r="P1035" s="56"/>
      <c r="Q1035" s="56"/>
      <c r="R1035" s="56"/>
      <c r="S1035" s="56"/>
      <c r="T1035" s="56"/>
      <c r="U1035" s="56"/>
      <c r="V1035" s="250"/>
      <c r="W1035" s="56"/>
    </row>
    <row r="1036" spans="1:23" ht="15.75" customHeight="1">
      <c r="A1036" s="56"/>
      <c r="B1036" s="56"/>
      <c r="C1036" s="56"/>
      <c r="D1036" s="56"/>
      <c r="E1036" s="56"/>
      <c r="F1036" s="251"/>
      <c r="G1036" s="251"/>
      <c r="H1036" s="251"/>
      <c r="I1036" s="56"/>
      <c r="J1036" s="56"/>
      <c r="K1036" s="56"/>
      <c r="L1036" s="56"/>
      <c r="M1036" s="253"/>
      <c r="N1036" s="253"/>
      <c r="O1036" s="56"/>
      <c r="P1036" s="56"/>
      <c r="Q1036" s="56"/>
      <c r="R1036" s="56"/>
      <c r="S1036" s="56"/>
      <c r="T1036" s="56"/>
      <c r="U1036" s="56"/>
      <c r="V1036" s="250"/>
      <c r="W1036" s="56"/>
    </row>
    <row r="1037" spans="1:23" ht="15.75" customHeight="1">
      <c r="A1037" s="56"/>
      <c r="B1037" s="56"/>
      <c r="C1037" s="56"/>
      <c r="D1037" s="56"/>
      <c r="E1037" s="56"/>
      <c r="F1037" s="251"/>
      <c r="G1037" s="251"/>
      <c r="H1037" s="251"/>
      <c r="I1037" s="56"/>
      <c r="J1037" s="56"/>
      <c r="K1037" s="56"/>
      <c r="L1037" s="56"/>
      <c r="M1037" s="253"/>
      <c r="N1037" s="253"/>
      <c r="O1037" s="56"/>
      <c r="P1037" s="56"/>
      <c r="Q1037" s="56"/>
      <c r="R1037" s="56"/>
      <c r="S1037" s="56"/>
      <c r="T1037" s="56"/>
      <c r="U1037" s="56"/>
      <c r="V1037" s="250"/>
      <c r="W1037" s="56"/>
    </row>
    <row r="1038" spans="1:23" ht="15.75" customHeight="1">
      <c r="A1038" s="56"/>
      <c r="B1038" s="56"/>
      <c r="C1038" s="56"/>
      <c r="D1038" s="56"/>
      <c r="E1038" s="56"/>
      <c r="F1038" s="251"/>
      <c r="G1038" s="251"/>
      <c r="H1038" s="251"/>
      <c r="I1038" s="56"/>
      <c r="J1038" s="56"/>
      <c r="K1038" s="56"/>
      <c r="L1038" s="56"/>
      <c r="M1038" s="253"/>
      <c r="N1038" s="253"/>
      <c r="O1038" s="56"/>
      <c r="P1038" s="56"/>
      <c r="Q1038" s="56"/>
      <c r="R1038" s="56"/>
      <c r="S1038" s="56"/>
      <c r="T1038" s="56"/>
      <c r="U1038" s="56"/>
      <c r="V1038" s="250"/>
      <c r="W1038" s="56"/>
    </row>
    <row r="1039" spans="1:23" ht="15.75" customHeight="1">
      <c r="A1039" s="56"/>
      <c r="B1039" s="56"/>
      <c r="C1039" s="56"/>
      <c r="D1039" s="56"/>
      <c r="E1039" s="56"/>
      <c r="F1039" s="251"/>
      <c r="G1039" s="251"/>
      <c r="H1039" s="251"/>
      <c r="I1039" s="56"/>
      <c r="J1039" s="56"/>
      <c r="K1039" s="56"/>
      <c r="L1039" s="56"/>
      <c r="M1039" s="253"/>
      <c r="N1039" s="253"/>
      <c r="O1039" s="56"/>
      <c r="P1039" s="56"/>
      <c r="Q1039" s="56"/>
      <c r="R1039" s="56"/>
      <c r="S1039" s="56"/>
      <c r="T1039" s="56"/>
      <c r="U1039" s="56"/>
      <c r="V1039" s="250"/>
      <c r="W1039" s="56"/>
    </row>
    <row r="1040" spans="1:23" ht="15.75" customHeight="1">
      <c r="A1040" s="56"/>
      <c r="B1040" s="56"/>
      <c r="C1040" s="56"/>
      <c r="D1040" s="56"/>
      <c r="E1040" s="56"/>
      <c r="F1040" s="251"/>
      <c r="G1040" s="251"/>
      <c r="H1040" s="251"/>
      <c r="I1040" s="56"/>
      <c r="J1040" s="56"/>
      <c r="K1040" s="56"/>
      <c r="L1040" s="56"/>
      <c r="M1040" s="253"/>
      <c r="N1040" s="253"/>
      <c r="O1040" s="56"/>
      <c r="P1040" s="56"/>
      <c r="Q1040" s="56"/>
      <c r="R1040" s="56"/>
      <c r="S1040" s="56"/>
      <c r="T1040" s="56"/>
      <c r="U1040" s="56"/>
      <c r="V1040" s="250"/>
      <c r="W1040" s="56"/>
    </row>
    <row r="1041" spans="1:23" ht="15.75" customHeight="1">
      <c r="A1041" s="56"/>
      <c r="B1041" s="56"/>
      <c r="C1041" s="56"/>
      <c r="D1041" s="56"/>
      <c r="E1041" s="56"/>
      <c r="F1041" s="251"/>
      <c r="G1041" s="251"/>
      <c r="H1041" s="251"/>
      <c r="I1041" s="56"/>
      <c r="J1041" s="56"/>
      <c r="K1041" s="56"/>
      <c r="L1041" s="56"/>
      <c r="M1041" s="253"/>
      <c r="N1041" s="253"/>
      <c r="O1041" s="56"/>
      <c r="P1041" s="56"/>
      <c r="Q1041" s="56"/>
      <c r="R1041" s="56"/>
      <c r="S1041" s="56"/>
      <c r="T1041" s="56"/>
      <c r="U1041" s="56"/>
      <c r="V1041" s="250"/>
      <c r="W1041" s="56"/>
    </row>
    <row r="1042" spans="1:23" ht="15.75" customHeight="1">
      <c r="A1042" s="56"/>
      <c r="B1042" s="56"/>
      <c r="C1042" s="56"/>
      <c r="D1042" s="56"/>
      <c r="E1042" s="56"/>
      <c r="F1042" s="251"/>
      <c r="G1042" s="251"/>
      <c r="H1042" s="251"/>
      <c r="I1042" s="56"/>
      <c r="J1042" s="56"/>
      <c r="K1042" s="56"/>
      <c r="L1042" s="56"/>
      <c r="M1042" s="253"/>
      <c r="N1042" s="253"/>
      <c r="O1042" s="56"/>
      <c r="P1042" s="56"/>
      <c r="Q1042" s="56"/>
      <c r="R1042" s="56"/>
      <c r="S1042" s="56"/>
      <c r="T1042" s="56"/>
      <c r="U1042" s="56"/>
      <c r="V1042" s="250"/>
      <c r="W1042" s="56"/>
    </row>
    <row r="1043" spans="1:23" ht="15.75" customHeight="1">
      <c r="A1043" s="56"/>
      <c r="B1043" s="56"/>
      <c r="C1043" s="56"/>
      <c r="D1043" s="56"/>
      <c r="E1043" s="56"/>
      <c r="F1043" s="251"/>
      <c r="G1043" s="251"/>
      <c r="H1043" s="251"/>
      <c r="I1043" s="56"/>
      <c r="J1043" s="56"/>
      <c r="K1043" s="56"/>
      <c r="L1043" s="56"/>
      <c r="M1043" s="253"/>
      <c r="N1043" s="253"/>
      <c r="O1043" s="56"/>
      <c r="P1043" s="56"/>
      <c r="Q1043" s="56"/>
      <c r="R1043" s="56"/>
      <c r="S1043" s="56"/>
      <c r="T1043" s="56"/>
      <c r="U1043" s="56"/>
      <c r="V1043" s="250"/>
      <c r="W1043" s="56"/>
    </row>
    <row r="1044" spans="1:23" ht="15.75" customHeight="1">
      <c r="A1044" s="56"/>
      <c r="B1044" s="56"/>
      <c r="C1044" s="56"/>
      <c r="D1044" s="56"/>
      <c r="E1044" s="56"/>
      <c r="F1044" s="251"/>
      <c r="G1044" s="251"/>
      <c r="H1044" s="251"/>
      <c r="I1044" s="56"/>
      <c r="J1044" s="56"/>
      <c r="K1044" s="56"/>
      <c r="L1044" s="56"/>
      <c r="M1044" s="253"/>
      <c r="N1044" s="253"/>
      <c r="O1044" s="56"/>
      <c r="P1044" s="56"/>
      <c r="Q1044" s="56"/>
      <c r="R1044" s="56"/>
      <c r="S1044" s="56"/>
      <c r="T1044" s="56"/>
      <c r="U1044" s="56"/>
      <c r="V1044" s="250"/>
      <c r="W1044" s="56"/>
    </row>
    <row r="1045" spans="1:23" ht="15.75" customHeight="1">
      <c r="A1045" s="56"/>
      <c r="B1045" s="56"/>
      <c r="C1045" s="56"/>
      <c r="D1045" s="56"/>
      <c r="E1045" s="56"/>
      <c r="F1045" s="251"/>
      <c r="G1045" s="251"/>
      <c r="H1045" s="251"/>
      <c r="I1045" s="56"/>
      <c r="J1045" s="56"/>
      <c r="K1045" s="56"/>
      <c r="L1045" s="56"/>
      <c r="M1045" s="253"/>
      <c r="N1045" s="253"/>
      <c r="O1045" s="56"/>
      <c r="P1045" s="56"/>
      <c r="Q1045" s="56"/>
      <c r="R1045" s="56"/>
      <c r="S1045" s="56"/>
      <c r="T1045" s="56"/>
      <c r="U1045" s="56"/>
      <c r="V1045" s="250"/>
      <c r="W1045" s="56"/>
    </row>
    <row r="1046" spans="1:23" ht="15.75" customHeight="1">
      <c r="A1046" s="56"/>
      <c r="B1046" s="56"/>
      <c r="C1046" s="56"/>
      <c r="D1046" s="56"/>
      <c r="E1046" s="56"/>
      <c r="F1046" s="251"/>
      <c r="G1046" s="251"/>
      <c r="H1046" s="251"/>
      <c r="I1046" s="56"/>
      <c r="J1046" s="56"/>
      <c r="K1046" s="56"/>
      <c r="L1046" s="56"/>
      <c r="M1046" s="253"/>
      <c r="N1046" s="253"/>
      <c r="O1046" s="56"/>
      <c r="P1046" s="56"/>
      <c r="Q1046" s="56"/>
      <c r="R1046" s="56"/>
      <c r="S1046" s="56"/>
      <c r="T1046" s="56"/>
      <c r="U1046" s="56"/>
      <c r="V1046" s="250"/>
      <c r="W1046" s="56"/>
    </row>
    <row r="1047" spans="1:23" ht="15.75" customHeight="1">
      <c r="A1047" s="56"/>
      <c r="B1047" s="56"/>
      <c r="C1047" s="56"/>
      <c r="D1047" s="56"/>
      <c r="E1047" s="56"/>
      <c r="F1047" s="251"/>
      <c r="G1047" s="251"/>
      <c r="H1047" s="251"/>
      <c r="I1047" s="56"/>
      <c r="J1047" s="56"/>
      <c r="K1047" s="56"/>
      <c r="L1047" s="56"/>
      <c r="M1047" s="253"/>
      <c r="N1047" s="253"/>
      <c r="O1047" s="56"/>
      <c r="P1047" s="56"/>
      <c r="Q1047" s="56"/>
      <c r="R1047" s="56"/>
      <c r="S1047" s="56"/>
      <c r="T1047" s="56"/>
      <c r="U1047" s="56"/>
      <c r="V1047" s="250"/>
      <c r="W1047" s="56"/>
    </row>
    <row r="1048" spans="1:23" ht="15.75" customHeight="1">
      <c r="A1048" s="56"/>
      <c r="B1048" s="56"/>
      <c r="C1048" s="56"/>
      <c r="D1048" s="56"/>
      <c r="E1048" s="56"/>
      <c r="F1048" s="251"/>
      <c r="G1048" s="251"/>
      <c r="H1048" s="251"/>
      <c r="I1048" s="56"/>
      <c r="J1048" s="56"/>
      <c r="K1048" s="56"/>
      <c r="L1048" s="56"/>
      <c r="M1048" s="253"/>
      <c r="N1048" s="253"/>
      <c r="O1048" s="56"/>
      <c r="P1048" s="56"/>
      <c r="Q1048" s="56"/>
      <c r="R1048" s="56"/>
      <c r="S1048" s="56"/>
      <c r="T1048" s="56"/>
      <c r="U1048" s="56"/>
      <c r="V1048" s="250"/>
      <c r="W1048" s="56"/>
    </row>
    <row r="1049" spans="1:23" ht="15.75" customHeight="1">
      <c r="A1049" s="56"/>
      <c r="B1049" s="56"/>
      <c r="C1049" s="56"/>
      <c r="D1049" s="56"/>
      <c r="E1049" s="56"/>
      <c r="F1049" s="251"/>
      <c r="G1049" s="251"/>
      <c r="H1049" s="251"/>
      <c r="I1049" s="56"/>
      <c r="J1049" s="56"/>
      <c r="K1049" s="56"/>
      <c r="L1049" s="56"/>
      <c r="M1049" s="253"/>
      <c r="N1049" s="253"/>
      <c r="O1049" s="56"/>
      <c r="P1049" s="56"/>
      <c r="Q1049" s="56"/>
      <c r="R1049" s="56"/>
      <c r="S1049" s="56"/>
      <c r="T1049" s="56"/>
      <c r="U1049" s="56"/>
      <c r="V1049" s="250"/>
      <c r="W1049" s="56"/>
    </row>
    <row r="1050" spans="1:23" ht="15.75" customHeight="1">
      <c r="A1050" s="56"/>
      <c r="B1050" s="56"/>
      <c r="C1050" s="56"/>
      <c r="D1050" s="56"/>
      <c r="E1050" s="56"/>
      <c r="F1050" s="251"/>
      <c r="G1050" s="251"/>
      <c r="H1050" s="251"/>
      <c r="I1050" s="56"/>
      <c r="J1050" s="56"/>
      <c r="K1050" s="56"/>
      <c r="L1050" s="56"/>
      <c r="M1050" s="253"/>
      <c r="N1050" s="253"/>
      <c r="O1050" s="56"/>
      <c r="P1050" s="56"/>
      <c r="Q1050" s="56"/>
      <c r="R1050" s="56"/>
      <c r="S1050" s="56"/>
      <c r="T1050" s="56"/>
      <c r="U1050" s="56"/>
      <c r="V1050" s="250"/>
      <c r="W1050" s="56"/>
    </row>
    <row r="1051" spans="1:23" ht="15.75" customHeight="1">
      <c r="A1051" s="56"/>
      <c r="B1051" s="56"/>
      <c r="C1051" s="56"/>
      <c r="D1051" s="56"/>
      <c r="E1051" s="56"/>
      <c r="F1051" s="251"/>
      <c r="G1051" s="251"/>
      <c r="H1051" s="251"/>
      <c r="I1051" s="56"/>
      <c r="J1051" s="56"/>
      <c r="K1051" s="56"/>
      <c r="L1051" s="56"/>
      <c r="M1051" s="253"/>
      <c r="N1051" s="253"/>
      <c r="O1051" s="56"/>
      <c r="P1051" s="56"/>
      <c r="Q1051" s="56"/>
      <c r="R1051" s="56"/>
      <c r="S1051" s="56"/>
      <c r="T1051" s="56"/>
      <c r="U1051" s="56"/>
      <c r="V1051" s="250"/>
      <c r="W1051" s="56"/>
    </row>
    <row r="1052" spans="1:23" ht="15.75" customHeight="1">
      <c r="A1052" s="56"/>
      <c r="B1052" s="56"/>
      <c r="C1052" s="56"/>
      <c r="D1052" s="56"/>
      <c r="E1052" s="56"/>
      <c r="F1052" s="251"/>
      <c r="G1052" s="251"/>
      <c r="H1052" s="251"/>
      <c r="I1052" s="56"/>
      <c r="J1052" s="56"/>
      <c r="K1052" s="56"/>
      <c r="L1052" s="56"/>
      <c r="M1052" s="253"/>
      <c r="N1052" s="253"/>
      <c r="O1052" s="56"/>
      <c r="P1052" s="56"/>
      <c r="Q1052" s="56"/>
      <c r="R1052" s="56"/>
      <c r="S1052" s="56"/>
      <c r="T1052" s="56"/>
      <c r="U1052" s="56"/>
      <c r="V1052" s="250"/>
      <c r="W1052" s="56"/>
    </row>
    <row r="1053" spans="1:23" ht="15.75" customHeight="1">
      <c r="A1053" s="56"/>
      <c r="B1053" s="56"/>
      <c r="C1053" s="56"/>
      <c r="D1053" s="56"/>
      <c r="E1053" s="56"/>
      <c r="F1053" s="251"/>
      <c r="G1053" s="251"/>
      <c r="H1053" s="251"/>
      <c r="I1053" s="56"/>
      <c r="J1053" s="56"/>
      <c r="K1053" s="56"/>
      <c r="L1053" s="56"/>
      <c r="M1053" s="253"/>
      <c r="N1053" s="253"/>
      <c r="O1053" s="56"/>
      <c r="P1053" s="56"/>
      <c r="Q1053" s="56"/>
      <c r="R1053" s="56"/>
      <c r="S1053" s="56"/>
      <c r="T1053" s="56"/>
      <c r="U1053" s="56"/>
      <c r="V1053" s="250"/>
      <c r="W1053" s="56"/>
    </row>
    <row r="1054" spans="1:23" ht="15.75" customHeight="1">
      <c r="A1054" s="56"/>
      <c r="B1054" s="56"/>
      <c r="C1054" s="56"/>
      <c r="D1054" s="56"/>
      <c r="E1054" s="56"/>
      <c r="F1054" s="251"/>
      <c r="G1054" s="251"/>
      <c r="H1054" s="251"/>
      <c r="I1054" s="56"/>
      <c r="J1054" s="56"/>
      <c r="K1054" s="56"/>
      <c r="L1054" s="56"/>
      <c r="M1054" s="253"/>
      <c r="N1054" s="253"/>
      <c r="O1054" s="56"/>
      <c r="P1054" s="56"/>
      <c r="Q1054" s="56"/>
      <c r="R1054" s="56"/>
      <c r="S1054" s="56"/>
      <c r="T1054" s="56"/>
      <c r="U1054" s="56"/>
      <c r="V1054" s="250"/>
      <c r="W1054" s="56"/>
    </row>
    <row r="1055" spans="1:23" ht="15.75" customHeight="1">
      <c r="A1055" s="56"/>
      <c r="B1055" s="56"/>
      <c r="C1055" s="56"/>
      <c r="D1055" s="56"/>
      <c r="E1055" s="56"/>
      <c r="F1055" s="251"/>
      <c r="G1055" s="251"/>
      <c r="H1055" s="251"/>
      <c r="I1055" s="56"/>
      <c r="J1055" s="56"/>
      <c r="K1055" s="56"/>
      <c r="L1055" s="56"/>
      <c r="M1055" s="253"/>
      <c r="N1055" s="253"/>
      <c r="O1055" s="56"/>
      <c r="P1055" s="56"/>
      <c r="Q1055" s="56"/>
      <c r="R1055" s="56"/>
      <c r="S1055" s="56"/>
      <c r="T1055" s="56"/>
      <c r="U1055" s="56"/>
      <c r="V1055" s="250"/>
      <c r="W1055" s="56"/>
    </row>
    <row r="1056" spans="1:23" ht="15.75" customHeight="1">
      <c r="A1056" s="56"/>
      <c r="B1056" s="56"/>
      <c r="C1056" s="56"/>
      <c r="D1056" s="56"/>
      <c r="E1056" s="56"/>
      <c r="F1056" s="251"/>
      <c r="G1056" s="251"/>
      <c r="H1056" s="251"/>
      <c r="I1056" s="56"/>
      <c r="J1056" s="56"/>
      <c r="K1056" s="56"/>
      <c r="L1056" s="56"/>
      <c r="M1056" s="253"/>
      <c r="N1056" s="253"/>
      <c r="O1056" s="56"/>
      <c r="P1056" s="56"/>
      <c r="Q1056" s="56"/>
      <c r="R1056" s="56"/>
      <c r="S1056" s="56"/>
      <c r="T1056" s="56"/>
      <c r="U1056" s="56"/>
      <c r="V1056" s="250"/>
      <c r="W1056" s="56"/>
    </row>
    <row r="1057" spans="1:23" ht="15.75" customHeight="1">
      <c r="A1057" s="56"/>
      <c r="B1057" s="56"/>
      <c r="C1057" s="56"/>
      <c r="D1057" s="56"/>
      <c r="E1057" s="56"/>
      <c r="F1057" s="251"/>
      <c r="G1057" s="251"/>
      <c r="H1057" s="251"/>
      <c r="I1057" s="56"/>
      <c r="J1057" s="56"/>
      <c r="K1057" s="56"/>
      <c r="L1057" s="56"/>
      <c r="M1057" s="253"/>
      <c r="N1057" s="253"/>
      <c r="O1057" s="56"/>
      <c r="P1057" s="56"/>
      <c r="Q1057" s="56"/>
      <c r="R1057" s="56"/>
      <c r="S1057" s="56"/>
      <c r="T1057" s="56"/>
      <c r="U1057" s="56"/>
      <c r="V1057" s="250"/>
      <c r="W1057" s="56"/>
    </row>
    <row r="1058" spans="1:23" ht="15.75" customHeight="1">
      <c r="A1058" s="56"/>
      <c r="B1058" s="56"/>
      <c r="C1058" s="56"/>
      <c r="D1058" s="56"/>
      <c r="E1058" s="56"/>
      <c r="F1058" s="251"/>
      <c r="G1058" s="251"/>
      <c r="H1058" s="251"/>
      <c r="I1058" s="56"/>
      <c r="J1058" s="56"/>
      <c r="K1058" s="56"/>
      <c r="L1058" s="56"/>
      <c r="M1058" s="253"/>
      <c r="N1058" s="253"/>
      <c r="O1058" s="56"/>
      <c r="P1058" s="56"/>
      <c r="Q1058" s="56"/>
      <c r="R1058" s="56"/>
      <c r="S1058" s="56"/>
      <c r="T1058" s="56"/>
      <c r="U1058" s="56"/>
      <c r="V1058" s="250"/>
      <c r="W1058" s="56"/>
    </row>
    <row r="1059" spans="1:23" ht="15.75" customHeight="1">
      <c r="A1059" s="56"/>
      <c r="B1059" s="56"/>
      <c r="C1059" s="56"/>
      <c r="D1059" s="56"/>
      <c r="E1059" s="56"/>
      <c r="F1059" s="251"/>
      <c r="G1059" s="251"/>
      <c r="H1059" s="251"/>
      <c r="I1059" s="56"/>
      <c r="J1059" s="56"/>
      <c r="K1059" s="56"/>
      <c r="L1059" s="56"/>
      <c r="M1059" s="253"/>
      <c r="N1059" s="253"/>
      <c r="O1059" s="56"/>
      <c r="P1059" s="56"/>
      <c r="Q1059" s="56"/>
      <c r="R1059" s="56"/>
      <c r="S1059" s="56"/>
      <c r="T1059" s="56"/>
      <c r="U1059" s="56"/>
      <c r="V1059" s="250"/>
      <c r="W1059" s="56"/>
    </row>
    <row r="1060" spans="1:23" ht="15.75" customHeight="1">
      <c r="A1060" s="56"/>
      <c r="B1060" s="56"/>
      <c r="C1060" s="56"/>
      <c r="D1060" s="56"/>
      <c r="E1060" s="56"/>
      <c r="F1060" s="251"/>
      <c r="G1060" s="251"/>
      <c r="H1060" s="251"/>
      <c r="I1060" s="56"/>
      <c r="J1060" s="56"/>
      <c r="K1060" s="56"/>
      <c r="L1060" s="56"/>
      <c r="M1060" s="253"/>
      <c r="N1060" s="253"/>
      <c r="O1060" s="56"/>
      <c r="P1060" s="56"/>
      <c r="Q1060" s="56"/>
      <c r="R1060" s="56"/>
      <c r="S1060" s="56"/>
      <c r="T1060" s="56"/>
      <c r="U1060" s="56"/>
      <c r="V1060" s="250"/>
      <c r="W1060" s="56"/>
    </row>
    <row r="1061" spans="1:23" ht="15.75" customHeight="1">
      <c r="A1061" s="56"/>
      <c r="B1061" s="56"/>
      <c r="C1061" s="56"/>
      <c r="D1061" s="56"/>
      <c r="E1061" s="56"/>
      <c r="F1061" s="251"/>
      <c r="G1061" s="251"/>
      <c r="H1061" s="251"/>
      <c r="I1061" s="56"/>
      <c r="J1061" s="56"/>
      <c r="K1061" s="56"/>
      <c r="L1061" s="56"/>
      <c r="M1061" s="253"/>
      <c r="N1061" s="253"/>
      <c r="O1061" s="56"/>
      <c r="P1061" s="56"/>
      <c r="Q1061" s="56"/>
      <c r="R1061" s="56"/>
      <c r="S1061" s="56"/>
      <c r="T1061" s="56"/>
      <c r="U1061" s="56"/>
      <c r="V1061" s="250"/>
      <c r="W1061" s="56"/>
    </row>
    <row r="1062" spans="1:23" ht="15.75" customHeight="1">
      <c r="A1062" s="56"/>
      <c r="B1062" s="56"/>
      <c r="C1062" s="56"/>
      <c r="D1062" s="56"/>
      <c r="E1062" s="56"/>
      <c r="F1062" s="251"/>
      <c r="G1062" s="251"/>
      <c r="H1062" s="251"/>
      <c r="I1062" s="56"/>
      <c r="J1062" s="56"/>
      <c r="K1062" s="56"/>
      <c r="L1062" s="56"/>
      <c r="M1062" s="253"/>
      <c r="N1062" s="253"/>
      <c r="O1062" s="56"/>
      <c r="P1062" s="56"/>
      <c r="Q1062" s="56"/>
      <c r="R1062" s="56"/>
      <c r="S1062" s="56"/>
      <c r="T1062" s="56"/>
      <c r="U1062" s="56"/>
      <c r="V1062" s="250"/>
      <c r="W1062" s="56"/>
    </row>
    <row r="1063" spans="1:23" ht="15.75" customHeight="1">
      <c r="A1063" s="56"/>
      <c r="B1063" s="56"/>
      <c r="C1063" s="56"/>
      <c r="D1063" s="56"/>
      <c r="E1063" s="56"/>
      <c r="F1063" s="251"/>
      <c r="G1063" s="251"/>
      <c r="H1063" s="251"/>
      <c r="I1063" s="56"/>
      <c r="J1063" s="56"/>
      <c r="K1063" s="56"/>
      <c r="L1063" s="56"/>
      <c r="M1063" s="253"/>
      <c r="N1063" s="253"/>
      <c r="O1063" s="56"/>
      <c r="P1063" s="56"/>
      <c r="Q1063" s="56"/>
      <c r="R1063" s="56"/>
      <c r="S1063" s="56"/>
      <c r="T1063" s="56"/>
      <c r="U1063" s="56"/>
      <c r="V1063" s="250"/>
      <c r="W1063" s="56"/>
    </row>
    <row r="1064" spans="1:23" ht="15.75" customHeight="1">
      <c r="A1064" s="56"/>
      <c r="B1064" s="56"/>
      <c r="C1064" s="56"/>
      <c r="D1064" s="56"/>
      <c r="E1064" s="56"/>
      <c r="F1064" s="251"/>
      <c r="G1064" s="251"/>
      <c r="H1064" s="251"/>
      <c r="I1064" s="56"/>
      <c r="J1064" s="56"/>
      <c r="K1064" s="56"/>
      <c r="L1064" s="56"/>
      <c r="M1064" s="253"/>
      <c r="N1064" s="253"/>
      <c r="O1064" s="56"/>
      <c r="P1064" s="56"/>
      <c r="Q1064" s="56"/>
      <c r="R1064" s="56"/>
      <c r="S1064" s="56"/>
      <c r="T1064" s="56"/>
      <c r="U1064" s="56"/>
      <c r="V1064" s="250"/>
      <c r="W1064" s="56"/>
    </row>
    <row r="1065" spans="1:23" ht="15.75" customHeight="1">
      <c r="A1065" s="56"/>
      <c r="B1065" s="56"/>
      <c r="C1065" s="56"/>
      <c r="D1065" s="56"/>
      <c r="E1065" s="56"/>
      <c r="F1065" s="251"/>
      <c r="G1065" s="251"/>
      <c r="H1065" s="251"/>
      <c r="I1065" s="56"/>
      <c r="J1065" s="56"/>
      <c r="K1065" s="56"/>
      <c r="L1065" s="56"/>
      <c r="M1065" s="253"/>
      <c r="N1065" s="253"/>
      <c r="O1065" s="56"/>
      <c r="P1065" s="56"/>
      <c r="Q1065" s="56"/>
      <c r="R1065" s="56"/>
      <c r="S1065" s="56"/>
      <c r="T1065" s="56"/>
      <c r="U1065" s="56"/>
      <c r="V1065" s="250"/>
      <c r="W1065" s="56"/>
    </row>
    <row r="1066" spans="1:23" ht="15.75" customHeight="1">
      <c r="A1066" s="56"/>
      <c r="B1066" s="56"/>
      <c r="C1066" s="56"/>
      <c r="D1066" s="56"/>
      <c r="E1066" s="56"/>
      <c r="F1066" s="251"/>
      <c r="G1066" s="251"/>
      <c r="H1066" s="251"/>
      <c r="I1066" s="56"/>
      <c r="J1066" s="56"/>
      <c r="K1066" s="56"/>
      <c r="L1066" s="56"/>
      <c r="M1066" s="253"/>
      <c r="N1066" s="253"/>
      <c r="O1066" s="56"/>
      <c r="P1066" s="56"/>
      <c r="Q1066" s="56"/>
      <c r="R1066" s="56"/>
      <c r="S1066" s="56"/>
      <c r="T1066" s="56"/>
      <c r="U1066" s="56"/>
      <c r="V1066" s="250"/>
      <c r="W1066" s="56"/>
    </row>
    <row r="1067" spans="1:23" ht="15.75" customHeight="1">
      <c r="A1067" s="56"/>
      <c r="B1067" s="56"/>
      <c r="C1067" s="56"/>
      <c r="D1067" s="56"/>
      <c r="E1067" s="56"/>
      <c r="F1067" s="251"/>
      <c r="G1067" s="251"/>
      <c r="H1067" s="251"/>
      <c r="I1067" s="56"/>
      <c r="J1067" s="56"/>
      <c r="K1067" s="56"/>
      <c r="L1067" s="56"/>
      <c r="M1067" s="253"/>
      <c r="N1067" s="253"/>
      <c r="O1067" s="56"/>
      <c r="P1067" s="56"/>
      <c r="Q1067" s="56"/>
      <c r="R1067" s="56"/>
      <c r="S1067" s="56"/>
      <c r="T1067" s="56"/>
      <c r="U1067" s="56"/>
      <c r="V1067" s="250"/>
      <c r="W1067" s="56"/>
    </row>
    <row r="1068" spans="1:23" ht="15.75" customHeight="1">
      <c r="A1068" s="56"/>
      <c r="B1068" s="56"/>
      <c r="C1068" s="56"/>
      <c r="D1068" s="56"/>
      <c r="E1068" s="56"/>
      <c r="F1068" s="251"/>
      <c r="G1068" s="251"/>
      <c r="H1068" s="251"/>
      <c r="I1068" s="56"/>
      <c r="J1068" s="56"/>
      <c r="K1068" s="56"/>
      <c r="L1068" s="56"/>
      <c r="M1068" s="253"/>
      <c r="N1068" s="253"/>
      <c r="O1068" s="56"/>
      <c r="P1068" s="56"/>
      <c r="Q1068" s="56"/>
      <c r="R1068" s="56"/>
      <c r="S1068" s="56"/>
      <c r="T1068" s="56"/>
      <c r="U1068" s="56"/>
      <c r="V1068" s="250"/>
      <c r="W1068" s="56"/>
    </row>
    <row r="1069" spans="1:23" ht="15.75" customHeight="1">
      <c r="A1069" s="56"/>
      <c r="B1069" s="56"/>
      <c r="C1069" s="56"/>
      <c r="D1069" s="56"/>
      <c r="E1069" s="56"/>
      <c r="F1069" s="251"/>
      <c r="G1069" s="251"/>
      <c r="H1069" s="251"/>
      <c r="I1069" s="56"/>
      <c r="J1069" s="56"/>
      <c r="K1069" s="56"/>
      <c r="L1069" s="56"/>
      <c r="M1069" s="253"/>
      <c r="N1069" s="253"/>
      <c r="O1069" s="56"/>
      <c r="P1069" s="56"/>
      <c r="Q1069" s="56"/>
      <c r="R1069" s="56"/>
      <c r="S1069" s="56"/>
      <c r="T1069" s="56"/>
      <c r="U1069" s="56"/>
      <c r="V1069" s="250"/>
      <c r="W1069" s="56"/>
    </row>
    <row r="1070" spans="1:23" ht="15.75" customHeight="1">
      <c r="A1070" s="56"/>
      <c r="B1070" s="56"/>
      <c r="C1070" s="56"/>
      <c r="D1070" s="56"/>
      <c r="E1070" s="56"/>
      <c r="F1070" s="251"/>
      <c r="G1070" s="251"/>
      <c r="H1070" s="251"/>
      <c r="I1070" s="56"/>
      <c r="J1070" s="56"/>
      <c r="K1070" s="56"/>
      <c r="L1070" s="56"/>
      <c r="M1070" s="253"/>
      <c r="N1070" s="253"/>
      <c r="O1070" s="56"/>
      <c r="P1070" s="56"/>
      <c r="Q1070" s="56"/>
      <c r="R1070" s="56"/>
      <c r="S1070" s="56"/>
      <c r="T1070" s="56"/>
      <c r="U1070" s="56"/>
      <c r="V1070" s="250"/>
      <c r="W1070" s="56"/>
    </row>
    <row r="1071" spans="1:23" ht="15.75" customHeight="1">
      <c r="A1071" s="56"/>
      <c r="B1071" s="56"/>
      <c r="C1071" s="56"/>
      <c r="D1071" s="56"/>
      <c r="E1071" s="56"/>
      <c r="F1071" s="251"/>
      <c r="G1071" s="251"/>
      <c r="H1071" s="251"/>
      <c r="I1071" s="56"/>
      <c r="J1071" s="56"/>
      <c r="K1071" s="56"/>
      <c r="L1071" s="56"/>
      <c r="M1071" s="253"/>
      <c r="N1071" s="253"/>
      <c r="O1071" s="56"/>
      <c r="P1071" s="56"/>
      <c r="Q1071" s="56"/>
      <c r="R1071" s="56"/>
      <c r="S1071" s="56"/>
      <c r="T1071" s="56"/>
      <c r="U1071" s="56"/>
      <c r="V1071" s="250"/>
      <c r="W1071" s="56"/>
    </row>
    <row r="1072" spans="1:23" ht="15.75" customHeight="1">
      <c r="A1072" s="56"/>
      <c r="B1072" s="56"/>
      <c r="C1072" s="56"/>
      <c r="D1072" s="56"/>
      <c r="E1072" s="56"/>
      <c r="F1072" s="251"/>
      <c r="G1072" s="251"/>
      <c r="H1072" s="251"/>
      <c r="I1072" s="56"/>
      <c r="J1072" s="56"/>
      <c r="K1072" s="56"/>
      <c r="L1072" s="56"/>
      <c r="M1072" s="253"/>
      <c r="N1072" s="253"/>
      <c r="O1072" s="56"/>
      <c r="P1072" s="56"/>
      <c r="Q1072" s="56"/>
      <c r="R1072" s="56"/>
      <c r="S1072" s="56"/>
      <c r="T1072" s="56"/>
      <c r="U1072" s="56"/>
      <c r="V1072" s="250"/>
      <c r="W1072" s="56"/>
    </row>
    <row r="1073" spans="1:23" ht="15.75" customHeight="1">
      <c r="A1073" s="56"/>
      <c r="B1073" s="56"/>
      <c r="C1073" s="56"/>
      <c r="D1073" s="56"/>
      <c r="E1073" s="56"/>
      <c r="F1073" s="251"/>
      <c r="G1073" s="251"/>
      <c r="H1073" s="251"/>
      <c r="I1073" s="56"/>
      <c r="J1073" s="56"/>
      <c r="K1073" s="56"/>
      <c r="L1073" s="56"/>
      <c r="M1073" s="253"/>
      <c r="N1073" s="253"/>
      <c r="O1073" s="56"/>
      <c r="P1073" s="56"/>
      <c r="Q1073" s="56"/>
      <c r="R1073" s="56"/>
      <c r="S1073" s="56"/>
      <c r="T1073" s="56"/>
      <c r="U1073" s="56"/>
      <c r="V1073" s="250"/>
      <c r="W1073" s="56"/>
    </row>
    <row r="1074" spans="1:23" ht="15.75" customHeight="1">
      <c r="A1074" s="56"/>
      <c r="B1074" s="56"/>
      <c r="C1074" s="56"/>
      <c r="D1074" s="56"/>
      <c r="E1074" s="56"/>
      <c r="F1074" s="251"/>
      <c r="G1074" s="251"/>
      <c r="H1074" s="251"/>
      <c r="I1074" s="56"/>
      <c r="J1074" s="56"/>
      <c r="K1074" s="56"/>
      <c r="L1074" s="56"/>
      <c r="M1074" s="253"/>
      <c r="N1074" s="253"/>
      <c r="O1074" s="56"/>
      <c r="P1074" s="56"/>
      <c r="Q1074" s="56"/>
      <c r="R1074" s="56"/>
      <c r="S1074" s="56"/>
      <c r="T1074" s="56"/>
      <c r="U1074" s="56"/>
      <c r="V1074" s="250"/>
      <c r="W1074" s="56"/>
    </row>
    <row r="1075" spans="1:23" ht="15.75" customHeight="1">
      <c r="A1075" s="56"/>
      <c r="B1075" s="56"/>
      <c r="C1075" s="56"/>
      <c r="D1075" s="56"/>
      <c r="E1075" s="56"/>
      <c r="F1075" s="251"/>
      <c r="G1075" s="251"/>
      <c r="H1075" s="251"/>
      <c r="I1075" s="56"/>
      <c r="J1075" s="56"/>
      <c r="K1075" s="56"/>
      <c r="L1075" s="56"/>
      <c r="M1075" s="253"/>
      <c r="N1075" s="253"/>
      <c r="O1075" s="56"/>
      <c r="P1075" s="56"/>
      <c r="Q1075" s="56"/>
      <c r="R1075" s="56"/>
      <c r="S1075" s="56"/>
      <c r="T1075" s="56"/>
      <c r="U1075" s="56"/>
      <c r="V1075" s="250"/>
      <c r="W1075" s="56"/>
    </row>
    <row r="1076" spans="1:23" ht="15.75" customHeight="1">
      <c r="A1076" s="56"/>
      <c r="B1076" s="56"/>
      <c r="C1076" s="56"/>
      <c r="D1076" s="56"/>
      <c r="E1076" s="56"/>
      <c r="F1076" s="251"/>
      <c r="G1076" s="251"/>
      <c r="H1076" s="251"/>
      <c r="I1076" s="56"/>
      <c r="J1076" s="56"/>
      <c r="K1076" s="56"/>
      <c r="L1076" s="56"/>
      <c r="M1076" s="253"/>
      <c r="N1076" s="253"/>
      <c r="O1076" s="56"/>
      <c r="P1076" s="56"/>
      <c r="Q1076" s="56"/>
      <c r="R1076" s="56"/>
      <c r="S1076" s="56"/>
      <c r="T1076" s="56"/>
      <c r="U1076" s="56"/>
      <c r="V1076" s="250"/>
      <c r="W1076" s="56"/>
    </row>
    <row r="1077" spans="1:23" ht="15.75" customHeight="1">
      <c r="A1077" s="56"/>
      <c r="B1077" s="56"/>
      <c r="C1077" s="56"/>
      <c r="D1077" s="56"/>
      <c r="E1077" s="56"/>
      <c r="F1077" s="251"/>
      <c r="G1077" s="251"/>
      <c r="H1077" s="251"/>
      <c r="I1077" s="56"/>
      <c r="J1077" s="56"/>
      <c r="K1077" s="56"/>
      <c r="L1077" s="56"/>
      <c r="M1077" s="253"/>
      <c r="N1077" s="253"/>
      <c r="O1077" s="56"/>
      <c r="P1077" s="56"/>
      <c r="Q1077" s="56"/>
      <c r="R1077" s="56"/>
      <c r="S1077" s="56"/>
      <c r="T1077" s="56"/>
      <c r="U1077" s="56"/>
      <c r="V1077" s="250"/>
      <c r="W1077" s="56"/>
    </row>
    <row r="1078" spans="1:23" ht="15.75" customHeight="1">
      <c r="A1078" s="56"/>
      <c r="B1078" s="56"/>
      <c r="C1078" s="56"/>
      <c r="D1078" s="56"/>
      <c r="E1078" s="56"/>
      <c r="F1078" s="251"/>
      <c r="G1078" s="251"/>
      <c r="H1078" s="251"/>
      <c r="I1078" s="56"/>
      <c r="J1078" s="56"/>
      <c r="K1078" s="56"/>
      <c r="L1078" s="56"/>
      <c r="M1078" s="253"/>
      <c r="N1078" s="253"/>
      <c r="O1078" s="56"/>
      <c r="P1078" s="56"/>
      <c r="Q1078" s="56"/>
      <c r="R1078" s="56"/>
      <c r="S1078" s="56"/>
      <c r="T1078" s="56"/>
      <c r="U1078" s="56"/>
      <c r="V1078" s="250"/>
      <c r="W1078" s="56"/>
    </row>
    <row r="1079" spans="1:23" ht="15.75" customHeight="1">
      <c r="A1079" s="56"/>
      <c r="B1079" s="56"/>
      <c r="C1079" s="56"/>
      <c r="D1079" s="56"/>
      <c r="E1079" s="56"/>
      <c r="F1079" s="251"/>
      <c r="G1079" s="251"/>
      <c r="H1079" s="251"/>
      <c r="I1079" s="56"/>
      <c r="J1079" s="56"/>
      <c r="K1079" s="56"/>
      <c r="L1079" s="56"/>
      <c r="M1079" s="253"/>
      <c r="N1079" s="253"/>
      <c r="O1079" s="56"/>
      <c r="P1079" s="56"/>
      <c r="Q1079" s="56"/>
      <c r="R1079" s="56"/>
      <c r="S1079" s="56"/>
      <c r="T1079" s="56"/>
      <c r="U1079" s="56"/>
      <c r="V1079" s="250"/>
      <c r="W1079" s="56"/>
    </row>
    <row r="1080" spans="1:23" ht="15.75" customHeight="1">
      <c r="A1080" s="56"/>
      <c r="B1080" s="56"/>
      <c r="C1080" s="56"/>
      <c r="D1080" s="56"/>
      <c r="E1080" s="56"/>
      <c r="F1080" s="251"/>
      <c r="G1080" s="251"/>
      <c r="H1080" s="251"/>
      <c r="I1080" s="56"/>
      <c r="J1080" s="56"/>
      <c r="K1080" s="56"/>
      <c r="L1080" s="56"/>
      <c r="M1080" s="253"/>
      <c r="N1080" s="253"/>
      <c r="O1080" s="56"/>
      <c r="P1080" s="56"/>
      <c r="Q1080" s="56"/>
      <c r="R1080" s="56"/>
      <c r="S1080" s="56"/>
      <c r="T1080" s="56"/>
      <c r="U1080" s="56"/>
      <c r="V1080" s="250"/>
      <c r="W1080" s="56"/>
    </row>
    <row r="1081" spans="1:23" ht="15.75" customHeight="1">
      <c r="A1081" s="56"/>
      <c r="B1081" s="56"/>
      <c r="C1081" s="56"/>
      <c r="D1081" s="56"/>
      <c r="E1081" s="56"/>
      <c r="F1081" s="251"/>
      <c r="G1081" s="251"/>
      <c r="H1081" s="251"/>
      <c r="I1081" s="56"/>
      <c r="J1081" s="56"/>
      <c r="K1081" s="56"/>
      <c r="L1081" s="56"/>
      <c r="M1081" s="253"/>
      <c r="N1081" s="253"/>
      <c r="O1081" s="56"/>
      <c r="P1081" s="56"/>
      <c r="Q1081" s="56"/>
      <c r="R1081" s="56"/>
      <c r="S1081" s="56"/>
      <c r="T1081" s="56"/>
      <c r="U1081" s="56"/>
      <c r="V1081" s="250"/>
      <c r="W1081" s="56"/>
    </row>
    <row r="1082" spans="1:23" ht="15.75" customHeight="1">
      <c r="A1082" s="56"/>
      <c r="B1082" s="56"/>
      <c r="C1082" s="56"/>
      <c r="D1082" s="56"/>
      <c r="E1082" s="56"/>
      <c r="F1082" s="251"/>
      <c r="G1082" s="251"/>
      <c r="H1082" s="251"/>
      <c r="I1082" s="56"/>
      <c r="J1082" s="56"/>
      <c r="K1082" s="56"/>
      <c r="L1082" s="56"/>
      <c r="M1082" s="253"/>
      <c r="N1082" s="253"/>
      <c r="O1082" s="56"/>
      <c r="P1082" s="56"/>
      <c r="Q1082" s="56"/>
      <c r="R1082" s="56"/>
      <c r="S1082" s="56"/>
      <c r="T1082" s="56"/>
      <c r="U1082" s="56"/>
      <c r="V1082" s="250"/>
      <c r="W1082" s="56"/>
    </row>
    <row r="1083" spans="1:23" ht="15.75" customHeight="1">
      <c r="A1083" s="56"/>
      <c r="B1083" s="56"/>
      <c r="C1083" s="56"/>
      <c r="D1083" s="56"/>
      <c r="E1083" s="56"/>
      <c r="F1083" s="251"/>
      <c r="G1083" s="251"/>
      <c r="H1083" s="251"/>
      <c r="I1083" s="56"/>
      <c r="J1083" s="56"/>
      <c r="K1083" s="56"/>
      <c r="L1083" s="56"/>
      <c r="M1083" s="253"/>
      <c r="N1083" s="253"/>
      <c r="O1083" s="56"/>
      <c r="P1083" s="56"/>
      <c r="Q1083" s="56"/>
      <c r="R1083" s="56"/>
      <c r="S1083" s="56"/>
      <c r="T1083" s="56"/>
      <c r="U1083" s="56"/>
      <c r="V1083" s="250"/>
      <c r="W1083" s="56"/>
    </row>
    <row r="1084" spans="1:23" ht="15.75" customHeight="1">
      <c r="A1084" s="56"/>
      <c r="B1084" s="56"/>
      <c r="C1084" s="56"/>
      <c r="D1084" s="56"/>
      <c r="E1084" s="56"/>
      <c r="F1084" s="251"/>
      <c r="G1084" s="251"/>
      <c r="H1084" s="251"/>
      <c r="I1084" s="56"/>
      <c r="J1084" s="56"/>
      <c r="K1084" s="56"/>
      <c r="L1084" s="56"/>
      <c r="M1084" s="253"/>
      <c r="N1084" s="253"/>
      <c r="O1084" s="56"/>
      <c r="P1084" s="56"/>
      <c r="Q1084" s="56"/>
      <c r="R1084" s="56"/>
      <c r="S1084" s="56"/>
      <c r="T1084" s="56"/>
      <c r="U1084" s="56"/>
      <c r="V1084" s="250"/>
      <c r="W1084" s="56"/>
    </row>
    <row r="1085" spans="1:23" ht="15.75" customHeight="1">
      <c r="A1085" s="56"/>
      <c r="B1085" s="56"/>
      <c r="C1085" s="56"/>
      <c r="D1085" s="56"/>
      <c r="E1085" s="56"/>
      <c r="F1085" s="251"/>
      <c r="G1085" s="251"/>
      <c r="H1085" s="251"/>
      <c r="I1085" s="56"/>
      <c r="J1085" s="56"/>
      <c r="K1085" s="56"/>
      <c r="L1085" s="56"/>
      <c r="M1085" s="253"/>
      <c r="N1085" s="253"/>
      <c r="O1085" s="56"/>
      <c r="P1085" s="56"/>
      <c r="Q1085" s="56"/>
      <c r="R1085" s="56"/>
      <c r="S1085" s="56"/>
      <c r="T1085" s="56"/>
      <c r="U1085" s="56"/>
      <c r="V1085" s="250"/>
      <c r="W1085" s="56"/>
    </row>
    <row r="1086" spans="1:23" ht="15.75" customHeight="1">
      <c r="A1086" s="56"/>
      <c r="B1086" s="56"/>
      <c r="C1086" s="56"/>
      <c r="D1086" s="56"/>
      <c r="E1086" s="56"/>
      <c r="F1086" s="251"/>
      <c r="G1086" s="251"/>
      <c r="H1086" s="251"/>
      <c r="I1086" s="56"/>
      <c r="J1086" s="56"/>
      <c r="K1086" s="56"/>
      <c r="L1086" s="56"/>
      <c r="M1086" s="253"/>
      <c r="N1086" s="253"/>
      <c r="O1086" s="56"/>
      <c r="P1086" s="56"/>
      <c r="Q1086" s="56"/>
      <c r="R1086" s="56"/>
      <c r="S1086" s="56"/>
      <c r="T1086" s="56"/>
      <c r="U1086" s="56"/>
      <c r="V1086" s="250"/>
      <c r="W1086" s="56"/>
    </row>
    <row r="1087" spans="1:23" ht="15.75" customHeight="1">
      <c r="A1087" s="56"/>
      <c r="B1087" s="56"/>
      <c r="C1087" s="56"/>
      <c r="D1087" s="56"/>
      <c r="E1087" s="56"/>
      <c r="F1087" s="251"/>
      <c r="G1087" s="251"/>
      <c r="H1087" s="251"/>
      <c r="I1087" s="56"/>
      <c r="J1087" s="56"/>
      <c r="K1087" s="56"/>
      <c r="L1087" s="56"/>
      <c r="M1087" s="253"/>
      <c r="N1087" s="253"/>
      <c r="O1087" s="56"/>
      <c r="P1087" s="56"/>
      <c r="Q1087" s="56"/>
      <c r="R1087" s="56"/>
      <c r="S1087" s="56"/>
      <c r="T1087" s="56"/>
      <c r="U1087" s="56"/>
      <c r="V1087" s="250"/>
      <c r="W1087" s="56"/>
    </row>
    <row r="1088" spans="1:23" ht="15.75" customHeight="1">
      <c r="A1088" s="56"/>
      <c r="B1088" s="56"/>
      <c r="C1088" s="56"/>
      <c r="D1088" s="56"/>
      <c r="E1088" s="56"/>
      <c r="F1088" s="251"/>
      <c r="G1088" s="251"/>
      <c r="H1088" s="251"/>
      <c r="I1088" s="56"/>
      <c r="J1088" s="56"/>
      <c r="K1088" s="56"/>
      <c r="L1088" s="56"/>
      <c r="M1088" s="253"/>
      <c r="N1088" s="253"/>
      <c r="O1088" s="56"/>
      <c r="P1088" s="56"/>
      <c r="Q1088" s="56"/>
      <c r="R1088" s="56"/>
      <c r="S1088" s="56"/>
      <c r="T1088" s="56"/>
      <c r="U1088" s="56"/>
      <c r="V1088" s="250"/>
      <c r="W1088" s="56"/>
    </row>
    <row r="1089" spans="1:23" ht="15.75" customHeight="1">
      <c r="A1089" s="56"/>
      <c r="B1089" s="56"/>
      <c r="C1089" s="56"/>
      <c r="D1089" s="56"/>
      <c r="E1089" s="56"/>
      <c r="F1089" s="251"/>
      <c r="G1089" s="251"/>
      <c r="H1089" s="251"/>
      <c r="I1089" s="56"/>
      <c r="J1089" s="56"/>
      <c r="K1089" s="56"/>
      <c r="L1089" s="56"/>
      <c r="M1089" s="253"/>
      <c r="N1089" s="253"/>
      <c r="O1089" s="56"/>
      <c r="P1089" s="56"/>
      <c r="Q1089" s="56"/>
      <c r="R1089" s="56"/>
      <c r="S1089" s="56"/>
      <c r="T1089" s="56"/>
      <c r="U1089" s="56"/>
      <c r="V1089" s="250"/>
      <c r="W1089" s="56"/>
    </row>
    <row r="1090" spans="1:23" ht="15.75" customHeight="1">
      <c r="A1090" s="56"/>
      <c r="B1090" s="56"/>
      <c r="C1090" s="56"/>
      <c r="D1090" s="56"/>
      <c r="E1090" s="56"/>
      <c r="F1090" s="251"/>
      <c r="G1090" s="251"/>
      <c r="H1090" s="251"/>
      <c r="I1090" s="56"/>
      <c r="J1090" s="56"/>
      <c r="K1090" s="56"/>
      <c r="L1090" s="56"/>
      <c r="M1090" s="253"/>
      <c r="N1090" s="253"/>
      <c r="O1090" s="56"/>
      <c r="P1090" s="56"/>
      <c r="Q1090" s="56"/>
      <c r="R1090" s="56"/>
      <c r="S1090" s="56"/>
      <c r="T1090" s="56"/>
      <c r="U1090" s="56"/>
      <c r="V1090" s="250"/>
      <c r="W1090" s="56"/>
    </row>
    <row r="1091" spans="1:23" ht="15.75" customHeight="1">
      <c r="A1091" s="56"/>
      <c r="B1091" s="56"/>
      <c r="C1091" s="56"/>
      <c r="D1091" s="56"/>
      <c r="E1091" s="56"/>
      <c r="F1091" s="251"/>
      <c r="G1091" s="251"/>
      <c r="H1091" s="251"/>
      <c r="I1091" s="56"/>
      <c r="J1091" s="56"/>
      <c r="K1091" s="56"/>
      <c r="L1091" s="56"/>
      <c r="M1091" s="253"/>
      <c r="N1091" s="253"/>
      <c r="O1091" s="56"/>
      <c r="P1091" s="56"/>
      <c r="Q1091" s="56"/>
      <c r="R1091" s="56"/>
      <c r="S1091" s="56"/>
      <c r="T1091" s="56"/>
      <c r="U1091" s="56"/>
      <c r="V1091" s="250"/>
      <c r="W1091" s="56"/>
    </row>
    <row r="1092" spans="1:23" ht="15.75" customHeight="1">
      <c r="A1092" s="56"/>
      <c r="B1092" s="56"/>
      <c r="C1092" s="56"/>
      <c r="D1092" s="56"/>
      <c r="E1092" s="56"/>
      <c r="F1092" s="251"/>
      <c r="G1092" s="251"/>
      <c r="H1092" s="251"/>
      <c r="I1092" s="56"/>
      <c r="J1092" s="56"/>
      <c r="K1092" s="56"/>
      <c r="L1092" s="56"/>
      <c r="M1092" s="253"/>
      <c r="N1092" s="253"/>
      <c r="O1092" s="56"/>
      <c r="P1092" s="56"/>
      <c r="Q1092" s="56"/>
      <c r="R1092" s="56"/>
      <c r="S1092" s="56"/>
      <c r="T1092" s="56"/>
      <c r="U1092" s="56"/>
      <c r="V1092" s="250"/>
      <c r="W1092" s="56"/>
    </row>
    <row r="1093" spans="1:23" ht="15.75" customHeight="1">
      <c r="A1093" s="56"/>
      <c r="B1093" s="56"/>
      <c r="C1093" s="56"/>
      <c r="D1093" s="56"/>
      <c r="E1093" s="56"/>
      <c r="F1093" s="251"/>
      <c r="G1093" s="251"/>
      <c r="H1093" s="251"/>
      <c r="I1093" s="56"/>
      <c r="J1093" s="56"/>
      <c r="K1093" s="56"/>
      <c r="L1093" s="56"/>
      <c r="M1093" s="253"/>
      <c r="N1093" s="253"/>
      <c r="O1093" s="56"/>
      <c r="P1093" s="56"/>
      <c r="Q1093" s="56"/>
      <c r="R1093" s="56"/>
      <c r="S1093" s="56"/>
      <c r="T1093" s="56"/>
      <c r="U1093" s="56"/>
      <c r="V1093" s="250"/>
      <c r="W1093" s="56"/>
    </row>
    <row r="1094" spans="1:23" ht="15.75" customHeight="1">
      <c r="A1094" s="56"/>
      <c r="B1094" s="56"/>
      <c r="C1094" s="56"/>
      <c r="D1094" s="56"/>
      <c r="E1094" s="56"/>
      <c r="F1094" s="251"/>
      <c r="G1094" s="251"/>
      <c r="H1094" s="251"/>
      <c r="I1094" s="56"/>
      <c r="J1094" s="56"/>
      <c r="K1094" s="56"/>
      <c r="L1094" s="56"/>
      <c r="M1094" s="253"/>
      <c r="N1094" s="253"/>
      <c r="O1094" s="56"/>
      <c r="P1094" s="56"/>
      <c r="Q1094" s="56"/>
      <c r="R1094" s="56"/>
      <c r="S1094" s="56"/>
      <c r="T1094" s="56"/>
      <c r="U1094" s="56"/>
      <c r="V1094" s="250"/>
      <c r="W1094" s="56"/>
    </row>
    <row r="1095" spans="1:23" ht="15.75" customHeight="1">
      <c r="A1095" s="56"/>
      <c r="B1095" s="56"/>
      <c r="C1095" s="56"/>
      <c r="D1095" s="56"/>
      <c r="E1095" s="56"/>
      <c r="F1095" s="251"/>
      <c r="G1095" s="251"/>
      <c r="H1095" s="251"/>
      <c r="I1095" s="56"/>
      <c r="J1095" s="56"/>
      <c r="K1095" s="56"/>
      <c r="L1095" s="56"/>
      <c r="M1095" s="253"/>
      <c r="N1095" s="253"/>
      <c r="O1095" s="56"/>
      <c r="P1095" s="56"/>
      <c r="Q1095" s="56"/>
      <c r="R1095" s="56"/>
      <c r="S1095" s="56"/>
      <c r="T1095" s="56"/>
      <c r="U1095" s="56"/>
      <c r="V1095" s="250"/>
      <c r="W1095" s="56"/>
    </row>
    <row r="1096" spans="1:23" ht="15.75" customHeight="1">
      <c r="A1096" s="56"/>
      <c r="B1096" s="56"/>
      <c r="C1096" s="56"/>
      <c r="D1096" s="56"/>
      <c r="E1096" s="56"/>
      <c r="F1096" s="251"/>
      <c r="G1096" s="251"/>
      <c r="H1096" s="251"/>
      <c r="I1096" s="56"/>
      <c r="J1096" s="56"/>
      <c r="K1096" s="56"/>
      <c r="L1096" s="56"/>
      <c r="M1096" s="253"/>
      <c r="N1096" s="253"/>
      <c r="O1096" s="56"/>
      <c r="P1096" s="56"/>
      <c r="Q1096" s="56"/>
      <c r="R1096" s="56"/>
      <c r="S1096" s="56"/>
      <c r="T1096" s="56"/>
      <c r="U1096" s="56"/>
      <c r="V1096" s="250"/>
      <c r="W1096" s="56"/>
    </row>
    <row r="1097" spans="1:23" ht="15.75" customHeight="1">
      <c r="A1097" s="56"/>
      <c r="B1097" s="56"/>
      <c r="C1097" s="56"/>
      <c r="D1097" s="56"/>
      <c r="E1097" s="56"/>
      <c r="F1097" s="251"/>
      <c r="G1097" s="251"/>
      <c r="H1097" s="251"/>
      <c r="I1097" s="56"/>
      <c r="J1097" s="56"/>
      <c r="K1097" s="56"/>
      <c r="L1097" s="56"/>
      <c r="M1097" s="253"/>
      <c r="N1097" s="253"/>
      <c r="O1097" s="56"/>
      <c r="P1097" s="56"/>
      <c r="Q1097" s="56"/>
      <c r="R1097" s="56"/>
      <c r="S1097" s="56"/>
      <c r="T1097" s="56"/>
      <c r="U1097" s="56"/>
      <c r="V1097" s="250"/>
      <c r="W1097" s="56"/>
    </row>
    <row r="1098" spans="1:23" ht="15.75" customHeight="1">
      <c r="A1098" s="56"/>
      <c r="B1098" s="56"/>
      <c r="C1098" s="56"/>
      <c r="D1098" s="56"/>
      <c r="E1098" s="56"/>
      <c r="F1098" s="251"/>
      <c r="G1098" s="251"/>
      <c r="H1098" s="251"/>
      <c r="I1098" s="56"/>
      <c r="J1098" s="56"/>
      <c r="K1098" s="56"/>
      <c r="L1098" s="56"/>
      <c r="M1098" s="253"/>
      <c r="N1098" s="253"/>
      <c r="O1098" s="56"/>
      <c r="P1098" s="56"/>
      <c r="Q1098" s="56"/>
      <c r="R1098" s="56"/>
      <c r="S1098" s="56"/>
      <c r="T1098" s="56"/>
      <c r="U1098" s="56"/>
      <c r="V1098" s="250"/>
      <c r="W1098" s="56"/>
    </row>
    <row r="1099" spans="1:23" ht="15.75" customHeight="1">
      <c r="A1099" s="56"/>
      <c r="B1099" s="56"/>
      <c r="C1099" s="56"/>
      <c r="D1099" s="56"/>
      <c r="E1099" s="56"/>
      <c r="F1099" s="251"/>
      <c r="G1099" s="251"/>
      <c r="H1099" s="251"/>
      <c r="I1099" s="56"/>
      <c r="J1099" s="56"/>
      <c r="K1099" s="56"/>
      <c r="L1099" s="56"/>
      <c r="M1099" s="253"/>
      <c r="N1099" s="253"/>
      <c r="O1099" s="56"/>
      <c r="P1099" s="56"/>
      <c r="Q1099" s="56"/>
      <c r="R1099" s="56"/>
      <c r="S1099" s="56"/>
      <c r="T1099" s="56"/>
      <c r="U1099" s="56"/>
      <c r="V1099" s="250"/>
      <c r="W1099" s="56"/>
    </row>
    <row r="1100" spans="1:23" ht="15.75" customHeight="1">
      <c r="A1100" s="56"/>
      <c r="B1100" s="56"/>
      <c r="C1100" s="56"/>
      <c r="D1100" s="56"/>
      <c r="E1100" s="56"/>
      <c r="F1100" s="251"/>
      <c r="G1100" s="251"/>
      <c r="H1100" s="251"/>
      <c r="I1100" s="56"/>
      <c r="J1100" s="56"/>
      <c r="K1100" s="56"/>
      <c r="L1100" s="56"/>
      <c r="M1100" s="253"/>
      <c r="N1100" s="253"/>
      <c r="O1100" s="56"/>
      <c r="P1100" s="56"/>
      <c r="Q1100" s="56"/>
      <c r="R1100" s="56"/>
      <c r="S1100" s="56"/>
      <c r="T1100" s="56"/>
      <c r="U1100" s="56"/>
      <c r="V1100" s="250"/>
      <c r="W1100" s="56"/>
    </row>
    <row r="1101" spans="1:23" ht="15.75" customHeight="1">
      <c r="A1101" s="56"/>
      <c r="B1101" s="56"/>
      <c r="C1101" s="56"/>
      <c r="D1101" s="56"/>
      <c r="E1101" s="56"/>
      <c r="F1101" s="251"/>
      <c r="G1101" s="251"/>
      <c r="H1101" s="251"/>
      <c r="I1101" s="56"/>
      <c r="J1101" s="56"/>
      <c r="K1101" s="56"/>
      <c r="L1101" s="56"/>
      <c r="M1101" s="253"/>
      <c r="N1101" s="253"/>
      <c r="O1101" s="56"/>
      <c r="P1101" s="56"/>
      <c r="Q1101" s="56"/>
      <c r="R1101" s="56"/>
      <c r="S1101" s="56"/>
      <c r="T1101" s="56"/>
      <c r="U1101" s="56"/>
      <c r="V1101" s="250"/>
      <c r="W1101" s="56"/>
    </row>
    <row r="1102" spans="1:23" ht="15.75" customHeight="1">
      <c r="A1102" s="56"/>
      <c r="B1102" s="56"/>
      <c r="C1102" s="56"/>
      <c r="D1102" s="56"/>
      <c r="E1102" s="56"/>
      <c r="F1102" s="251"/>
      <c r="G1102" s="251"/>
      <c r="H1102" s="251"/>
      <c r="I1102" s="56"/>
      <c r="J1102" s="56"/>
      <c r="K1102" s="56"/>
      <c r="L1102" s="56"/>
      <c r="M1102" s="253"/>
      <c r="N1102" s="253"/>
      <c r="O1102" s="56"/>
      <c r="P1102" s="56"/>
      <c r="Q1102" s="56"/>
      <c r="R1102" s="56"/>
      <c r="S1102" s="56"/>
      <c r="T1102" s="56"/>
      <c r="U1102" s="56"/>
      <c r="V1102" s="250"/>
      <c r="W1102" s="56"/>
    </row>
    <row r="1103" spans="1:23" ht="15.75" customHeight="1">
      <c r="A1103" s="56"/>
      <c r="B1103" s="56"/>
      <c r="C1103" s="56"/>
      <c r="D1103" s="56"/>
      <c r="E1103" s="56"/>
      <c r="F1103" s="251"/>
      <c r="G1103" s="251"/>
      <c r="H1103" s="251"/>
      <c r="I1103" s="56"/>
      <c r="J1103" s="56"/>
      <c r="K1103" s="56"/>
      <c r="L1103" s="56"/>
      <c r="M1103" s="253"/>
      <c r="N1103" s="253"/>
      <c r="O1103" s="56"/>
      <c r="P1103" s="56"/>
      <c r="Q1103" s="56"/>
      <c r="R1103" s="56"/>
      <c r="S1103" s="56"/>
      <c r="T1103" s="56"/>
      <c r="U1103" s="56"/>
      <c r="V1103" s="250"/>
      <c r="W1103" s="56"/>
    </row>
    <row r="1104" spans="1:23" ht="15.75" customHeight="1">
      <c r="A1104" s="56"/>
      <c r="B1104" s="56"/>
      <c r="C1104" s="56"/>
      <c r="D1104" s="56"/>
      <c r="E1104" s="56"/>
      <c r="F1104" s="251"/>
      <c r="G1104" s="251"/>
      <c r="H1104" s="251"/>
      <c r="I1104" s="56"/>
      <c r="J1104" s="56"/>
      <c r="K1104" s="56"/>
      <c r="L1104" s="56"/>
      <c r="M1104" s="253"/>
      <c r="N1104" s="253"/>
      <c r="O1104" s="56"/>
      <c r="P1104" s="56"/>
      <c r="Q1104" s="56"/>
      <c r="R1104" s="56"/>
      <c r="S1104" s="56"/>
      <c r="T1104" s="56"/>
      <c r="U1104" s="56"/>
      <c r="V1104" s="250"/>
      <c r="W1104" s="56"/>
    </row>
    <row r="1105" spans="1:23" ht="15.75" customHeight="1">
      <c r="A1105" s="56"/>
      <c r="B1105" s="56"/>
      <c r="C1105" s="56"/>
      <c r="D1105" s="56"/>
      <c r="E1105" s="56"/>
      <c r="F1105" s="251"/>
      <c r="G1105" s="251"/>
      <c r="H1105" s="251"/>
      <c r="I1105" s="56"/>
      <c r="J1105" s="56"/>
      <c r="K1105" s="56"/>
      <c r="L1105" s="56"/>
      <c r="M1105" s="253"/>
      <c r="N1105" s="253"/>
      <c r="O1105" s="56"/>
      <c r="P1105" s="56"/>
      <c r="Q1105" s="56"/>
      <c r="R1105" s="56"/>
      <c r="S1105" s="56"/>
      <c r="T1105" s="56"/>
      <c r="U1105" s="56"/>
      <c r="V1105" s="250"/>
      <c r="W1105" s="56"/>
    </row>
    <row r="1106" spans="1:23" ht="15.75" customHeight="1">
      <c r="A1106" s="56"/>
      <c r="B1106" s="56"/>
      <c r="C1106" s="56"/>
      <c r="D1106" s="56"/>
      <c r="E1106" s="56"/>
      <c r="F1106" s="251"/>
      <c r="G1106" s="251"/>
      <c r="H1106" s="251"/>
      <c r="I1106" s="56"/>
      <c r="J1106" s="56"/>
      <c r="K1106" s="56"/>
      <c r="L1106" s="56"/>
      <c r="M1106" s="253"/>
      <c r="N1106" s="253"/>
      <c r="O1106" s="56"/>
      <c r="P1106" s="56"/>
      <c r="Q1106" s="56"/>
      <c r="R1106" s="56"/>
      <c r="S1106" s="56"/>
      <c r="T1106" s="56"/>
      <c r="U1106" s="56"/>
      <c r="V1106" s="250"/>
      <c r="W1106" s="56"/>
    </row>
    <row r="1107" spans="1:23" ht="15.75" customHeight="1">
      <c r="A1107" s="56"/>
      <c r="B1107" s="56"/>
      <c r="C1107" s="56"/>
      <c r="D1107" s="56"/>
      <c r="E1107" s="56"/>
      <c r="F1107" s="251"/>
      <c r="G1107" s="251"/>
      <c r="H1107" s="251"/>
      <c r="I1107" s="56"/>
      <c r="J1107" s="56"/>
      <c r="K1107" s="56"/>
      <c r="L1107" s="56"/>
      <c r="M1107" s="253"/>
      <c r="N1107" s="253"/>
      <c r="O1107" s="56"/>
      <c r="P1107" s="56"/>
      <c r="Q1107" s="56"/>
      <c r="R1107" s="56"/>
      <c r="S1107" s="56"/>
      <c r="T1107" s="56"/>
      <c r="U1107" s="56"/>
      <c r="V1107" s="250"/>
      <c r="W1107" s="56"/>
    </row>
    <row r="1108" spans="1:23" ht="15.75" customHeight="1">
      <c r="A1108" s="56"/>
      <c r="B1108" s="56"/>
      <c r="C1108" s="56"/>
      <c r="D1108" s="56"/>
      <c r="E1108" s="56"/>
      <c r="F1108" s="251"/>
      <c r="G1108" s="251"/>
      <c r="H1108" s="251"/>
      <c r="I1108" s="56"/>
      <c r="J1108" s="56"/>
      <c r="K1108" s="56"/>
      <c r="L1108" s="56"/>
      <c r="M1108" s="253"/>
      <c r="N1108" s="253"/>
      <c r="O1108" s="56"/>
      <c r="P1108" s="56"/>
      <c r="Q1108" s="56"/>
      <c r="R1108" s="56"/>
      <c r="S1108" s="56"/>
      <c r="T1108" s="56"/>
      <c r="U1108" s="56"/>
      <c r="V1108" s="250"/>
      <c r="W1108" s="56"/>
    </row>
    <row r="1109" spans="1:23" ht="15.75" customHeight="1">
      <c r="A1109" s="56"/>
      <c r="B1109" s="56"/>
      <c r="C1109" s="56"/>
      <c r="D1109" s="56"/>
      <c r="E1109" s="56"/>
      <c r="F1109" s="251"/>
      <c r="G1109" s="251"/>
      <c r="H1109" s="251"/>
      <c r="I1109" s="56"/>
      <c r="J1109" s="56"/>
      <c r="K1109" s="56"/>
      <c r="L1109" s="56"/>
      <c r="M1109" s="253"/>
      <c r="N1109" s="253"/>
      <c r="O1109" s="56"/>
      <c r="P1109" s="56"/>
      <c r="Q1109" s="56"/>
      <c r="R1109" s="56"/>
      <c r="S1109" s="56"/>
      <c r="T1109" s="56"/>
      <c r="U1109" s="56"/>
      <c r="V1109" s="250"/>
      <c r="W1109" s="56"/>
    </row>
    <row r="1110" spans="1:23" ht="15.75" customHeight="1">
      <c r="A1110" s="56"/>
      <c r="B1110" s="56"/>
      <c r="C1110" s="56"/>
      <c r="D1110" s="56"/>
      <c r="E1110" s="56"/>
      <c r="F1110" s="251"/>
      <c r="G1110" s="251"/>
      <c r="H1110" s="251"/>
      <c r="I1110" s="56"/>
      <c r="J1110" s="56"/>
      <c r="K1110" s="56"/>
      <c r="L1110" s="56"/>
      <c r="M1110" s="253"/>
      <c r="N1110" s="253"/>
      <c r="O1110" s="56"/>
      <c r="P1110" s="56"/>
      <c r="Q1110" s="56"/>
      <c r="R1110" s="56"/>
      <c r="S1110" s="56"/>
      <c r="T1110" s="56"/>
      <c r="U1110" s="56"/>
      <c r="V1110" s="250"/>
      <c r="W1110" s="56"/>
    </row>
    <row r="1111" spans="1:23" ht="15.75" customHeight="1">
      <c r="A1111" s="56"/>
      <c r="B1111" s="56"/>
      <c r="C1111" s="56"/>
      <c r="D1111" s="56"/>
      <c r="E1111" s="56"/>
      <c r="F1111" s="251"/>
      <c r="G1111" s="251"/>
      <c r="H1111" s="251"/>
      <c r="I1111" s="56"/>
      <c r="J1111" s="56"/>
      <c r="K1111" s="56"/>
      <c r="L1111" s="56"/>
      <c r="M1111" s="253"/>
      <c r="N1111" s="253"/>
      <c r="O1111" s="56"/>
      <c r="P1111" s="56"/>
      <c r="Q1111" s="56"/>
      <c r="R1111" s="56"/>
      <c r="S1111" s="56"/>
      <c r="T1111" s="56"/>
      <c r="U1111" s="56"/>
      <c r="V1111" s="250"/>
      <c r="W1111" s="56"/>
    </row>
    <row r="1112" spans="1:23" ht="15.75" customHeight="1">
      <c r="A1112" s="56"/>
      <c r="B1112" s="56"/>
      <c r="C1112" s="56"/>
      <c r="D1112" s="56"/>
      <c r="E1112" s="56"/>
      <c r="F1112" s="251"/>
      <c r="G1112" s="251"/>
      <c r="H1112" s="251"/>
      <c r="I1112" s="56"/>
      <c r="J1112" s="56"/>
      <c r="K1112" s="56"/>
      <c r="L1112" s="56"/>
      <c r="M1112" s="253"/>
      <c r="N1112" s="253"/>
      <c r="O1112" s="56"/>
      <c r="P1112" s="56"/>
      <c r="Q1112" s="56"/>
      <c r="R1112" s="56"/>
      <c r="S1112" s="56"/>
      <c r="T1112" s="56"/>
      <c r="U1112" s="56"/>
      <c r="V1112" s="250"/>
      <c r="W1112" s="56"/>
    </row>
    <row r="1113" spans="1:23" ht="15.75" customHeight="1">
      <c r="A1113" s="56"/>
      <c r="B1113" s="56"/>
      <c r="C1113" s="56"/>
      <c r="D1113" s="56"/>
      <c r="E1113" s="56"/>
      <c r="F1113" s="251"/>
      <c r="G1113" s="251"/>
      <c r="H1113" s="251"/>
      <c r="I1113" s="56"/>
      <c r="J1113" s="56"/>
      <c r="K1113" s="56"/>
      <c r="L1113" s="56"/>
      <c r="M1113" s="253"/>
      <c r="N1113" s="253"/>
      <c r="O1113" s="56"/>
      <c r="P1113" s="56"/>
      <c r="Q1113" s="56"/>
      <c r="R1113" s="56"/>
      <c r="S1113" s="56"/>
      <c r="T1113" s="56"/>
      <c r="U1113" s="56"/>
      <c r="V1113" s="250"/>
      <c r="W1113" s="56"/>
    </row>
    <row r="1114" spans="1:23" ht="15.75" customHeight="1">
      <c r="A1114" s="56"/>
      <c r="B1114" s="56"/>
      <c r="C1114" s="56"/>
      <c r="D1114" s="56"/>
      <c r="E1114" s="56"/>
      <c r="F1114" s="251"/>
      <c r="G1114" s="251"/>
      <c r="H1114" s="251"/>
      <c r="I1114" s="56"/>
      <c r="J1114" s="56"/>
      <c r="K1114" s="56"/>
      <c r="L1114" s="56"/>
      <c r="M1114" s="253"/>
      <c r="N1114" s="253"/>
      <c r="O1114" s="56"/>
      <c r="P1114" s="56"/>
      <c r="Q1114" s="56"/>
      <c r="R1114" s="56"/>
      <c r="S1114" s="56"/>
      <c r="T1114" s="56"/>
      <c r="U1114" s="56"/>
      <c r="V1114" s="250"/>
      <c r="W1114" s="56"/>
    </row>
    <row r="1115" spans="1:23" ht="15.75" customHeight="1">
      <c r="A1115" s="56"/>
      <c r="B1115" s="56"/>
      <c r="C1115" s="56"/>
      <c r="D1115" s="56"/>
      <c r="E1115" s="56"/>
      <c r="F1115" s="251"/>
      <c r="G1115" s="251"/>
      <c r="H1115" s="251"/>
      <c r="I1115" s="56"/>
      <c r="J1115" s="56"/>
      <c r="K1115" s="56"/>
      <c r="L1115" s="56"/>
      <c r="M1115" s="253"/>
      <c r="N1115" s="253"/>
      <c r="O1115" s="56"/>
      <c r="P1115" s="56"/>
      <c r="Q1115" s="56"/>
      <c r="R1115" s="56"/>
      <c r="S1115" s="56"/>
      <c r="T1115" s="56"/>
      <c r="U1115" s="56"/>
      <c r="V1115" s="250"/>
      <c r="W1115" s="56"/>
    </row>
    <row r="1116" spans="1:23" ht="15.75" customHeight="1">
      <c r="A1116" s="56"/>
      <c r="B1116" s="56"/>
      <c r="C1116" s="56"/>
      <c r="D1116" s="56"/>
      <c r="E1116" s="56"/>
      <c r="F1116" s="251"/>
      <c r="G1116" s="251"/>
      <c r="H1116" s="251"/>
      <c r="I1116" s="56"/>
      <c r="J1116" s="56"/>
      <c r="K1116" s="56"/>
      <c r="L1116" s="56"/>
      <c r="M1116" s="253"/>
      <c r="N1116" s="253"/>
      <c r="O1116" s="56"/>
      <c r="P1116" s="56"/>
      <c r="Q1116" s="56"/>
      <c r="R1116" s="56"/>
      <c r="S1116" s="56"/>
      <c r="T1116" s="56"/>
      <c r="U1116" s="56"/>
      <c r="V1116" s="250"/>
      <c r="W1116" s="56"/>
    </row>
    <row r="1117" spans="1:23" ht="15.75" customHeight="1">
      <c r="A1117" s="56"/>
      <c r="B1117" s="56"/>
      <c r="C1117" s="56"/>
      <c r="D1117" s="56"/>
      <c r="E1117" s="56"/>
      <c r="F1117" s="251"/>
      <c r="G1117" s="251"/>
      <c r="H1117" s="251"/>
      <c r="I1117" s="56"/>
      <c r="J1117" s="56"/>
      <c r="K1117" s="56"/>
      <c r="L1117" s="56"/>
      <c r="M1117" s="253"/>
      <c r="N1117" s="253"/>
      <c r="O1117" s="56"/>
      <c r="P1117" s="56"/>
      <c r="Q1117" s="56"/>
      <c r="R1117" s="56"/>
      <c r="S1117" s="56"/>
      <c r="T1117" s="56"/>
      <c r="U1117" s="56"/>
      <c r="V1117" s="250"/>
      <c r="W1117" s="56"/>
    </row>
    <row r="1118" spans="1:23" ht="15.75" customHeight="1">
      <c r="A1118" s="56"/>
      <c r="B1118" s="56"/>
      <c r="C1118" s="56"/>
      <c r="D1118" s="56"/>
      <c r="E1118" s="56"/>
      <c r="F1118" s="251"/>
      <c r="G1118" s="251"/>
      <c r="H1118" s="251"/>
      <c r="I1118" s="56"/>
      <c r="J1118" s="56"/>
      <c r="K1118" s="56"/>
      <c r="L1118" s="56"/>
      <c r="M1118" s="253"/>
      <c r="N1118" s="253"/>
      <c r="O1118" s="56"/>
      <c r="P1118" s="56"/>
      <c r="Q1118" s="56"/>
      <c r="R1118" s="56"/>
      <c r="S1118" s="56"/>
      <c r="T1118" s="56"/>
      <c r="U1118" s="56"/>
      <c r="V1118" s="250"/>
      <c r="W1118" s="56"/>
    </row>
    <row r="1119" spans="1:23" ht="15.75" customHeight="1">
      <c r="A1119" s="56"/>
      <c r="B1119" s="56"/>
      <c r="C1119" s="56"/>
      <c r="D1119" s="56"/>
      <c r="E1119" s="56"/>
      <c r="F1119" s="251"/>
      <c r="G1119" s="251"/>
      <c r="H1119" s="251"/>
      <c r="I1119" s="56"/>
      <c r="J1119" s="56"/>
      <c r="K1119" s="56"/>
      <c r="L1119" s="56"/>
      <c r="M1119" s="253"/>
      <c r="N1119" s="253"/>
      <c r="O1119" s="56"/>
      <c r="P1119" s="56"/>
      <c r="Q1119" s="56"/>
      <c r="R1119" s="56"/>
      <c r="S1119" s="56"/>
      <c r="T1119" s="56"/>
      <c r="U1119" s="56"/>
      <c r="V1119" s="250"/>
      <c r="W1119" s="56"/>
    </row>
    <row r="1120" spans="1:23" ht="15.75" customHeight="1">
      <c r="A1120" s="56"/>
      <c r="B1120" s="56"/>
      <c r="C1120" s="56"/>
      <c r="D1120" s="56"/>
      <c r="E1120" s="56"/>
      <c r="F1120" s="251"/>
      <c r="G1120" s="251"/>
      <c r="H1120" s="251"/>
      <c r="I1120" s="56"/>
      <c r="J1120" s="56"/>
      <c r="K1120" s="56"/>
      <c r="L1120" s="56"/>
      <c r="M1120" s="253"/>
      <c r="N1120" s="253"/>
      <c r="O1120" s="56"/>
      <c r="P1120" s="56"/>
      <c r="Q1120" s="56"/>
      <c r="R1120" s="56"/>
      <c r="S1120" s="56"/>
      <c r="T1120" s="56"/>
      <c r="U1120" s="56"/>
      <c r="V1120" s="250"/>
      <c r="W1120" s="56"/>
    </row>
    <row r="1121" spans="1:23" ht="15.75" customHeight="1">
      <c r="A1121" s="56"/>
      <c r="B1121" s="56"/>
      <c r="C1121" s="56"/>
      <c r="D1121" s="56"/>
      <c r="E1121" s="56"/>
      <c r="F1121" s="251"/>
      <c r="G1121" s="251"/>
      <c r="H1121" s="251"/>
      <c r="I1121" s="56"/>
      <c r="J1121" s="56"/>
      <c r="K1121" s="56"/>
      <c r="L1121" s="56"/>
      <c r="M1121" s="253"/>
      <c r="N1121" s="253"/>
      <c r="O1121" s="56"/>
      <c r="P1121" s="56"/>
      <c r="Q1121" s="56"/>
      <c r="R1121" s="56"/>
      <c r="S1121" s="56"/>
      <c r="T1121" s="56"/>
      <c r="U1121" s="56"/>
      <c r="V1121" s="250"/>
      <c r="W1121" s="56"/>
    </row>
    <row r="1122" spans="1:23" ht="15.75" customHeight="1">
      <c r="A1122" s="56"/>
      <c r="B1122" s="56"/>
      <c r="C1122" s="56"/>
      <c r="D1122" s="56"/>
      <c r="E1122" s="56"/>
      <c r="F1122" s="251"/>
      <c r="G1122" s="251"/>
      <c r="H1122" s="251"/>
      <c r="I1122" s="56"/>
      <c r="J1122" s="56"/>
      <c r="K1122" s="56"/>
      <c r="L1122" s="56"/>
      <c r="M1122" s="253"/>
      <c r="N1122" s="253"/>
      <c r="O1122" s="56"/>
      <c r="P1122" s="56"/>
      <c r="Q1122" s="56"/>
      <c r="R1122" s="56"/>
      <c r="S1122" s="56"/>
      <c r="T1122" s="56"/>
      <c r="U1122" s="56"/>
      <c r="V1122" s="250"/>
      <c r="W1122" s="56"/>
    </row>
    <row r="1123" spans="1:23" ht="15.75" customHeight="1">
      <c r="A1123" s="56"/>
      <c r="B1123" s="56"/>
      <c r="C1123" s="56"/>
      <c r="D1123" s="56"/>
      <c r="E1123" s="56"/>
      <c r="F1123" s="251"/>
      <c r="G1123" s="251"/>
      <c r="H1123" s="251"/>
      <c r="I1123" s="56"/>
      <c r="J1123" s="56"/>
      <c r="K1123" s="56"/>
      <c r="L1123" s="56"/>
      <c r="M1123" s="253"/>
      <c r="N1123" s="253"/>
      <c r="O1123" s="56"/>
      <c r="P1123" s="56"/>
      <c r="Q1123" s="56"/>
      <c r="R1123" s="56"/>
      <c r="S1123" s="56"/>
      <c r="T1123" s="56"/>
      <c r="U1123" s="56"/>
      <c r="V1123" s="250"/>
      <c r="W1123" s="56"/>
    </row>
    <row r="1124" spans="1:23" ht="15.75" customHeight="1">
      <c r="A1124" s="56"/>
      <c r="B1124" s="56"/>
      <c r="C1124" s="56"/>
      <c r="D1124" s="56"/>
      <c r="E1124" s="56"/>
      <c r="F1124" s="251"/>
      <c r="G1124" s="251"/>
      <c r="H1124" s="251"/>
      <c r="I1124" s="56"/>
      <c r="J1124" s="56"/>
      <c r="K1124" s="56"/>
      <c r="L1124" s="56"/>
      <c r="M1124" s="253"/>
      <c r="N1124" s="253"/>
      <c r="O1124" s="56"/>
      <c r="P1124" s="56"/>
      <c r="Q1124" s="56"/>
      <c r="R1124" s="56"/>
      <c r="S1124" s="56"/>
      <c r="T1124" s="56"/>
      <c r="U1124" s="56"/>
      <c r="V1124" s="250"/>
      <c r="W1124" s="56"/>
    </row>
    <row r="1125" spans="1:23" ht="15.75" customHeight="1">
      <c r="A1125" s="56"/>
      <c r="B1125" s="56"/>
      <c r="C1125" s="56"/>
      <c r="D1125" s="56"/>
      <c r="E1125" s="56"/>
      <c r="F1125" s="251"/>
      <c r="G1125" s="251"/>
      <c r="H1125" s="251"/>
      <c r="I1125" s="56"/>
      <c r="J1125" s="56"/>
      <c r="K1125" s="56"/>
      <c r="L1125" s="56"/>
      <c r="M1125" s="253"/>
      <c r="N1125" s="253"/>
      <c r="O1125" s="56"/>
      <c r="P1125" s="56"/>
      <c r="Q1125" s="56"/>
      <c r="R1125" s="56"/>
      <c r="S1125" s="56"/>
      <c r="T1125" s="56"/>
      <c r="U1125" s="56"/>
      <c r="V1125" s="250"/>
      <c r="W1125" s="56"/>
    </row>
    <row r="1126" spans="1:23" ht="15.75" customHeight="1">
      <c r="A1126" s="56"/>
      <c r="B1126" s="56"/>
      <c r="C1126" s="56"/>
      <c r="D1126" s="56"/>
      <c r="E1126" s="56"/>
      <c r="F1126" s="251"/>
      <c r="G1126" s="251"/>
      <c r="H1126" s="251"/>
      <c r="I1126" s="56"/>
      <c r="J1126" s="56"/>
      <c r="K1126" s="56"/>
      <c r="L1126" s="56"/>
      <c r="M1126" s="253"/>
      <c r="N1126" s="253"/>
      <c r="O1126" s="56"/>
      <c r="P1126" s="56"/>
      <c r="Q1126" s="56"/>
      <c r="R1126" s="56"/>
      <c r="S1126" s="56"/>
      <c r="T1126" s="56"/>
      <c r="U1126" s="56"/>
      <c r="V1126" s="250"/>
      <c r="W1126" s="56"/>
    </row>
    <row r="1127" spans="1:23" ht="15.75" customHeight="1">
      <c r="A1127" s="56"/>
      <c r="B1127" s="56"/>
      <c r="C1127" s="56"/>
      <c r="D1127" s="56"/>
      <c r="E1127" s="56"/>
      <c r="F1127" s="251"/>
      <c r="G1127" s="251"/>
      <c r="H1127" s="251"/>
      <c r="I1127" s="56"/>
      <c r="J1127" s="56"/>
      <c r="K1127" s="56"/>
      <c r="L1127" s="56"/>
      <c r="M1127" s="253"/>
      <c r="N1127" s="253"/>
      <c r="O1127" s="56"/>
      <c r="P1127" s="56"/>
      <c r="Q1127" s="56"/>
      <c r="R1127" s="56"/>
      <c r="S1127" s="56"/>
      <c r="T1127" s="56"/>
      <c r="U1127" s="56"/>
      <c r="V1127" s="250"/>
      <c r="W1127" s="56"/>
    </row>
    <row r="1128" spans="1:23" ht="15.75" customHeight="1">
      <c r="A1128" s="56"/>
      <c r="B1128" s="56"/>
      <c r="C1128" s="56"/>
      <c r="D1128" s="56"/>
      <c r="E1128" s="56"/>
      <c r="F1128" s="251"/>
      <c r="G1128" s="251"/>
      <c r="H1128" s="251"/>
      <c r="I1128" s="56"/>
      <c r="J1128" s="56"/>
      <c r="K1128" s="56"/>
      <c r="L1128" s="56"/>
      <c r="M1128" s="253"/>
      <c r="N1128" s="253"/>
      <c r="O1128" s="56"/>
      <c r="P1128" s="56"/>
      <c r="Q1128" s="56"/>
      <c r="R1128" s="56"/>
      <c r="S1128" s="56"/>
      <c r="T1128" s="56"/>
      <c r="U1128" s="56"/>
      <c r="V1128" s="250"/>
      <c r="W1128" s="56"/>
    </row>
    <row r="1129" spans="1:23" ht="15.75" customHeight="1">
      <c r="A1129" s="56"/>
      <c r="B1129" s="56"/>
      <c r="C1129" s="56"/>
      <c r="D1129" s="56"/>
      <c r="E1129" s="56"/>
      <c r="F1129" s="251"/>
      <c r="G1129" s="251"/>
      <c r="H1129" s="251"/>
      <c r="I1129" s="56"/>
      <c r="J1129" s="56"/>
      <c r="K1129" s="56"/>
      <c r="L1129" s="56"/>
      <c r="M1129" s="253"/>
      <c r="N1129" s="253"/>
      <c r="O1129" s="56"/>
      <c r="P1129" s="56"/>
      <c r="Q1129" s="56"/>
      <c r="R1129" s="56"/>
      <c r="S1129" s="56"/>
      <c r="T1129" s="56"/>
      <c r="U1129" s="56"/>
      <c r="V1129" s="250"/>
      <c r="W1129" s="56"/>
    </row>
    <row r="1130" spans="1:23" ht="15.75" customHeight="1">
      <c r="A1130" s="56"/>
      <c r="B1130" s="56"/>
      <c r="C1130" s="56"/>
      <c r="D1130" s="56"/>
      <c r="E1130" s="56"/>
      <c r="F1130" s="251"/>
      <c r="G1130" s="251"/>
      <c r="H1130" s="251"/>
      <c r="I1130" s="56"/>
      <c r="J1130" s="56"/>
      <c r="K1130" s="56"/>
      <c r="L1130" s="56"/>
      <c r="M1130" s="253"/>
      <c r="N1130" s="253"/>
      <c r="O1130" s="56"/>
      <c r="P1130" s="56"/>
      <c r="Q1130" s="56"/>
      <c r="R1130" s="56"/>
      <c r="S1130" s="56"/>
      <c r="T1130" s="56"/>
      <c r="U1130" s="56"/>
      <c r="V1130" s="250"/>
      <c r="W1130" s="56"/>
    </row>
    <row r="1131" spans="1:23" ht="15.75" customHeight="1">
      <c r="A1131" s="56"/>
      <c r="B1131" s="56"/>
      <c r="C1131" s="56"/>
      <c r="D1131" s="56"/>
      <c r="E1131" s="56"/>
      <c r="F1131" s="251"/>
      <c r="G1131" s="251"/>
      <c r="H1131" s="251"/>
      <c r="I1131" s="56"/>
      <c r="J1131" s="56"/>
      <c r="K1131" s="56"/>
      <c r="L1131" s="56"/>
      <c r="M1131" s="253"/>
      <c r="N1131" s="253"/>
      <c r="O1131" s="56"/>
      <c r="P1131" s="56"/>
      <c r="Q1131" s="56"/>
      <c r="R1131" s="56"/>
      <c r="S1131" s="56"/>
      <c r="T1131" s="56"/>
      <c r="U1131" s="56"/>
      <c r="V1131" s="250"/>
      <c r="W1131" s="56"/>
    </row>
    <row r="1132" spans="1:23" ht="15.75" customHeight="1">
      <c r="A1132" s="56"/>
      <c r="B1132" s="56"/>
      <c r="C1132" s="56"/>
      <c r="D1132" s="56"/>
      <c r="E1132" s="56"/>
      <c r="F1132" s="251"/>
      <c r="G1132" s="251"/>
      <c r="H1132" s="251"/>
      <c r="I1132" s="56"/>
      <c r="J1132" s="56"/>
      <c r="K1132" s="56"/>
      <c r="L1132" s="56"/>
      <c r="M1132" s="253"/>
      <c r="N1132" s="253"/>
      <c r="O1132" s="56"/>
      <c r="P1132" s="56"/>
      <c r="Q1132" s="56"/>
      <c r="R1132" s="56"/>
      <c r="S1132" s="56"/>
      <c r="T1132" s="56"/>
      <c r="U1132" s="56"/>
      <c r="V1132" s="250"/>
      <c r="W1132" s="56"/>
    </row>
    <row r="1133" spans="1:23" ht="15.75" customHeight="1">
      <c r="A1133" s="56"/>
      <c r="B1133" s="56"/>
      <c r="C1133" s="56"/>
      <c r="D1133" s="56"/>
      <c r="E1133" s="56"/>
      <c r="F1133" s="251"/>
      <c r="G1133" s="251"/>
      <c r="H1133" s="251"/>
      <c r="I1133" s="56"/>
      <c r="J1133" s="56"/>
      <c r="K1133" s="56"/>
      <c r="L1133" s="56"/>
      <c r="M1133" s="253"/>
      <c r="N1133" s="253"/>
      <c r="O1133" s="56"/>
      <c r="P1133" s="56"/>
      <c r="Q1133" s="56"/>
      <c r="R1133" s="56"/>
      <c r="S1133" s="56"/>
      <c r="T1133" s="56"/>
      <c r="U1133" s="56"/>
      <c r="V1133" s="250"/>
      <c r="W1133" s="56"/>
    </row>
    <row r="1134" spans="1:23" ht="15.75" customHeight="1">
      <c r="A1134" s="56"/>
      <c r="B1134" s="56"/>
      <c r="C1134" s="56"/>
      <c r="D1134" s="56"/>
      <c r="E1134" s="56"/>
      <c r="F1134" s="251"/>
      <c r="G1134" s="251"/>
      <c r="H1134" s="251"/>
      <c r="I1134" s="56"/>
      <c r="J1134" s="56"/>
      <c r="K1134" s="56"/>
      <c r="L1134" s="56"/>
      <c r="M1134" s="253"/>
      <c r="N1134" s="253"/>
      <c r="O1134" s="56"/>
      <c r="P1134" s="56"/>
      <c r="Q1134" s="56"/>
      <c r="R1134" s="56"/>
      <c r="S1134" s="56"/>
      <c r="T1134" s="56"/>
      <c r="U1134" s="56"/>
      <c r="V1134" s="250"/>
      <c r="W1134" s="56"/>
    </row>
    <row r="1135" spans="1:23" ht="15.75" customHeight="1">
      <c r="A1135" s="56"/>
      <c r="B1135" s="56"/>
      <c r="C1135" s="56"/>
      <c r="D1135" s="56"/>
      <c r="E1135" s="56"/>
      <c r="F1135" s="251"/>
      <c r="G1135" s="251"/>
      <c r="H1135" s="251"/>
      <c r="I1135" s="56"/>
      <c r="J1135" s="56"/>
      <c r="K1135" s="56"/>
      <c r="L1135" s="56"/>
      <c r="M1135" s="253"/>
      <c r="N1135" s="253"/>
      <c r="O1135" s="56"/>
      <c r="P1135" s="56"/>
      <c r="Q1135" s="56"/>
      <c r="R1135" s="56"/>
      <c r="S1135" s="56"/>
      <c r="T1135" s="56"/>
      <c r="U1135" s="56"/>
      <c r="V1135" s="250"/>
      <c r="W1135" s="56"/>
    </row>
    <row r="1136" spans="1:23" ht="15.75" customHeight="1">
      <c r="A1136" s="56"/>
      <c r="B1136" s="56"/>
      <c r="C1136" s="56"/>
      <c r="D1136" s="56"/>
      <c r="E1136" s="56"/>
      <c r="F1136" s="251"/>
      <c r="G1136" s="251"/>
      <c r="H1136" s="251"/>
      <c r="I1136" s="56"/>
      <c r="J1136" s="56"/>
      <c r="K1136" s="56"/>
      <c r="L1136" s="56"/>
      <c r="M1136" s="253"/>
      <c r="N1136" s="253"/>
      <c r="O1136" s="56"/>
      <c r="P1136" s="56"/>
      <c r="Q1136" s="56"/>
      <c r="R1136" s="56"/>
      <c r="S1136" s="56"/>
      <c r="T1136" s="56"/>
      <c r="U1136" s="56"/>
      <c r="V1136" s="250"/>
      <c r="W1136" s="56"/>
    </row>
    <row r="1137" spans="1:23" ht="15.75" customHeight="1">
      <c r="A1137" s="56"/>
      <c r="B1137" s="56"/>
      <c r="C1137" s="56"/>
      <c r="D1137" s="56"/>
      <c r="E1137" s="56"/>
      <c r="F1137" s="251"/>
      <c r="G1137" s="251"/>
      <c r="H1137" s="251"/>
      <c r="I1137" s="56"/>
      <c r="J1137" s="56"/>
      <c r="K1137" s="56"/>
      <c r="L1137" s="56"/>
      <c r="M1137" s="253"/>
      <c r="N1137" s="253"/>
      <c r="O1137" s="56"/>
      <c r="P1137" s="56"/>
      <c r="Q1137" s="56"/>
      <c r="R1137" s="56"/>
      <c r="S1137" s="56"/>
      <c r="T1137" s="56"/>
      <c r="U1137" s="56"/>
      <c r="V1137" s="250"/>
      <c r="W1137" s="56"/>
    </row>
    <row r="1138" spans="1:23" ht="15.75" customHeight="1">
      <c r="A1138" s="56"/>
      <c r="B1138" s="56"/>
      <c r="C1138" s="56"/>
      <c r="D1138" s="56"/>
      <c r="E1138" s="56"/>
      <c r="F1138" s="251"/>
      <c r="G1138" s="251"/>
      <c r="H1138" s="251"/>
      <c r="I1138" s="56"/>
      <c r="J1138" s="56"/>
      <c r="K1138" s="56"/>
      <c r="L1138" s="56"/>
      <c r="M1138" s="253"/>
      <c r="N1138" s="253"/>
      <c r="O1138" s="56"/>
      <c r="P1138" s="56"/>
      <c r="Q1138" s="56"/>
      <c r="R1138" s="56"/>
      <c r="S1138" s="56"/>
      <c r="T1138" s="56"/>
      <c r="U1138" s="56"/>
      <c r="V1138" s="250"/>
      <c r="W1138" s="56"/>
    </row>
    <row r="1139" spans="1:23" ht="15.75" customHeight="1">
      <c r="A1139" s="56"/>
      <c r="B1139" s="56"/>
      <c r="C1139" s="56"/>
      <c r="D1139" s="56"/>
      <c r="E1139" s="56"/>
      <c r="F1139" s="251"/>
      <c r="G1139" s="251"/>
      <c r="H1139" s="251"/>
      <c r="I1139" s="56"/>
      <c r="J1139" s="56"/>
      <c r="K1139" s="56"/>
      <c r="L1139" s="56"/>
      <c r="M1139" s="253"/>
      <c r="N1139" s="253"/>
      <c r="O1139" s="56"/>
      <c r="P1139" s="56"/>
      <c r="Q1139" s="56"/>
      <c r="R1139" s="56"/>
      <c r="S1139" s="56"/>
      <c r="T1139" s="56"/>
      <c r="U1139" s="56"/>
      <c r="V1139" s="250"/>
      <c r="W1139" s="56"/>
    </row>
  </sheetData>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dc:creator>
  <cp:lastModifiedBy>Christophe Devleeshouwer</cp:lastModifiedBy>
  <dcterms:created xsi:type="dcterms:W3CDTF">2020-03-17T14:39:54Z</dcterms:created>
  <dcterms:modified xsi:type="dcterms:W3CDTF">2021-02-26T13:50:24Z</dcterms:modified>
</cp:coreProperties>
</file>